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5A5" lockStructure="1"/>
  <bookViews>
    <workbookView xWindow="240" yWindow="300" windowWidth="20250" windowHeight="8130"/>
  </bookViews>
  <sheets>
    <sheet name="Kalkulátor" sheetId="8" r:id="rId1"/>
    <sheet name="Grafikon" sheetId="13" r:id="rId2"/>
    <sheet name="Bónusz Grafikon" sheetId="17" r:id="rId3"/>
    <sheet name="PM" sheetId="2" state="hidden" r:id="rId4"/>
    <sheet name="PPM" sheetId="12" state="hidden" r:id="rId5"/>
    <sheet name="CFdet" sheetId="9" state="hidden" r:id="rId6"/>
    <sheet name="exportTABLES" sheetId="10" state="hidden" r:id="rId7"/>
    <sheet name="yields" sheetId="11" state="hidden" r:id="rId8"/>
    <sheet name="Terméklista" sheetId="4" state="hidden" r:id="rId9"/>
    <sheet name="Eszközalap" sheetId="3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i18n">'[1]0. Language'!$F$93</definedName>
    <definedName name="__iLang">'[1]0. Language'!$D$2</definedName>
    <definedName name="_xlnm._FilterDatabase" localSheetId="9" hidden="1">Eszközalap!$A$1:$H$101</definedName>
    <definedName name="_xlnm._FilterDatabase" localSheetId="8" hidden="1">Terméklista!$A$2:$R$3</definedName>
    <definedName name="_TS_">[1]P.Readme!$B$55</definedName>
    <definedName name="AccDBen">CFdet!$B$27</definedName>
    <definedName name="AccDPrb">CFdet!$B$28</definedName>
    <definedName name="AdóHó">CFdet!$G$12</definedName>
    <definedName name="ah">'[2]Premium Calculation'!#REF!</definedName>
    <definedName name="alpha1">'[2]Profit Test Assumptions'!$E$3</definedName>
    <definedName name="Amo.1">CFdet!$D$22</definedName>
    <definedName name="Amo.2">CFdet!$D$23</definedName>
    <definedName name="Amo.3">CFdet!$D$24</definedName>
    <definedName name="anscount" hidden="1">1</definedName>
    <definedName name="AssLoy">CFdet!$BE$6:$BE$569</definedName>
    <definedName name="B.1">CFdet!$I$2</definedName>
    <definedName name="B.2">CFdet!$I$3</definedName>
    <definedName name="B.3">CFdet!$I$4</definedName>
    <definedName name="B.4">CFdet!$I$5</definedName>
    <definedName name="B.5">CFdet!$I$6</definedName>
    <definedName name="B.6">CFdet!$I$7</definedName>
    <definedName name="BAK">CFdet!$D$13</definedName>
    <definedName name="benefit">'[2]Profit Test Assumptions'!$B$10</definedName>
    <definedName name="benefit_annuity">'[2]Profit Test Assumptions'!$B$14</definedName>
    <definedName name="benefit_maturity">'[2]Profit Test Assumptions'!$B$11</definedName>
    <definedName name="benefit_term">'[2]Profit Test Assumptions'!$B$10</definedName>
    <definedName name="beta">'[2]Profit Test Assumptions'!$E$16</definedName>
    <definedName name="BL.1">CFdet!$G$2</definedName>
    <definedName name="BL.2">CFdet!$G$3</definedName>
    <definedName name="BL.3">CFdet!$G$4</definedName>
    <definedName name="BL.4">CFdet!$G$5</definedName>
    <definedName name="BL.5">CFdet!$G$6</definedName>
    <definedName name="BL.6">CFdet!$G$7</definedName>
    <definedName name="BonExtrTart">[3]Bon!$B:$B</definedName>
    <definedName name="C.10">CFdet!$B$10</definedName>
    <definedName name="C.20">CFdet!$B$11</definedName>
    <definedName name="calc.max.TKM">CFdet!#REF!</definedName>
    <definedName name="CAP">CFdet!$G$8</definedName>
    <definedName name="CBm">CFdet!$D$14</definedName>
    <definedName name="Check">CFdet!$I$1</definedName>
    <definedName name="ClaimExpDeath">CFdet!$D$28</definedName>
    <definedName name="ClaimExpMat">CFdet!$D$26</definedName>
    <definedName name="ClaimExpSurr">CFdet!$D$27</definedName>
    <definedName name="company">'[4]Market Risk'!$A$4:$A$23</definedName>
    <definedName name="company2">[2]Solvency_II_adj!$A$38:$A$54</definedName>
    <definedName name="contract_duration">'[2]Profit Test Assumptions'!$B$6</definedName>
    <definedName name="cur">[2]Solvency_II_adj!$J$3:$J$16</definedName>
    <definedName name="currency">'[4]Market Risk'!$M$4:$M$16</definedName>
    <definedName name="DAC">CFdet!$D$21</definedName>
    <definedName name="deferral">'[2]Profit Test Assumptions'!$B$15</definedName>
    <definedName name="Deviza">PM!$C$39</definedName>
    <definedName name="dfgyak">CFdet!$A$27:$A$30</definedName>
    <definedName name="DíjBonuszok">PM!$B$102:$C$107</definedName>
    <definedName name="EgyFoly">PM!$C$28</definedName>
    <definedName name="Ellenőrzés">Kalkulátor!$A$30</definedName>
    <definedName name="Ért">PM!$C$3</definedName>
    <definedName name="Eszközalap">[3]EszközalapLista!$C$6:$C$117</definedName>
    <definedName name="Fizgyak">PM!$A$29:$A$32</definedName>
    <definedName name="fizmód">PPM!$C$20:$C$22</definedName>
    <definedName name="FizMódBonus">PM!$C$36</definedName>
    <definedName name="FizMódVálasztott">Kalkulátor!$G$15</definedName>
    <definedName name="Freq" localSheetId="5">CFdet!$B$3</definedName>
    <definedName name="Freq">CFdet!$B$3</definedName>
    <definedName name="freq_ann">[5]Profit_test_assumptions!$M$14</definedName>
    <definedName name="freq_annuity">'[2]Profit Test Assumptions'!$B$13</definedName>
    <definedName name="gamma1">'[2]Profit Test Assumptions'!$E$14</definedName>
    <definedName name="gross_premium">'[2]Profit Test Assumptions'!$B$26</definedName>
    <definedName name="guarantee">[5]Profit_test_assumptions!$C$7</definedName>
    <definedName name="guaranteed">'[2]Profit Test Assumptions'!$B$16</definedName>
    <definedName name="GyakDíj">CFdet!$B$51</definedName>
    <definedName name="hozam">CFdet!$A$39:$A$48</definedName>
    <definedName name="iCom">CFdet!$T$55:$U$101</definedName>
    <definedName name="InCm">CFdet!#REF!</definedName>
    <definedName name="Ind">CFdet!$B$2</definedName>
    <definedName name="inExDAC">CFdet!$B$13</definedName>
    <definedName name="inExp">CFdet!$B$9</definedName>
    <definedName name="InExpBack">exportTABLES!$D$3:$N$23</definedName>
    <definedName name="inflation">'[2]Profit Test Assumptions'!#REF!</definedName>
    <definedName name="Kezdet">Kalkulátor!$G$8</definedName>
    <definedName name="KorMax">PM!$C$59</definedName>
    <definedName name="KorMin">PM!$C$58</definedName>
    <definedName name="LBe">CFdet!$B$24</definedName>
    <definedName name="LejárKorMax">PM!$C$60</definedName>
    <definedName name="limcount" hidden="1">1</definedName>
    <definedName name="method_payment">'[2]Profit Test Assumptions'!$B$18</definedName>
    <definedName name="MinDíj">PM!$C$15</definedName>
    <definedName name="no_insured">'[2]Profit Test Assumptions'!$B$5</definedName>
    <definedName name="_xlnm.Print_Area" localSheetId="0">Kalkulátor!$A$1:$I$79</definedName>
    <definedName name="Nyug">Kalkulátor!$H$4</definedName>
    <definedName name="OFFmp">CFdet!$D$4</definedName>
    <definedName name="OnCm">CFdet!#REF!</definedName>
    <definedName name="opExp">CFdet!$B$8</definedName>
    <definedName name="P">CFdet!$K$1</definedName>
    <definedName name="Pars">CFdet!$R$6:$AN$52</definedName>
    <definedName name="payment_duration">'[2]Profit Test Assumptions'!$B$20</definedName>
    <definedName name="PCh">CFdet!$G$1</definedName>
    <definedName name="Pénznem">PM!$C$40</definedName>
    <definedName name="PPM">PPM!$A$1:$O$100</definedName>
    <definedName name="Pr">CFdet!$B$1</definedName>
    <definedName name="prem_pay">[5]Profit_test_assumptions!$C$5</definedName>
    <definedName name="PrLim">CFdet!$I$8</definedName>
    <definedName name="RoundSwitch">CFdet!$M$3</definedName>
    <definedName name="SegmentNames">[6]Segments!$A$2:$A$8</definedName>
    <definedName name="sencount" hidden="1">1</definedName>
    <definedName name="solver_adj" localSheetId="5" hidden="1">CFdet!$E$12</definedName>
    <definedName name="solver_cvg" localSheetId="5" hidden="1">0.0001</definedName>
    <definedName name="solver_drv" localSheetId="5" hidden="1">1</definedName>
    <definedName name="solver_eng" localSheetId="5" hidden="1">1</definedName>
    <definedName name="solver_est" localSheetId="5" hidden="1">1</definedName>
    <definedName name="solver_itr" localSheetId="5" hidden="1">2147483647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2</definedName>
    <definedName name="solver_neg" localSheetId="5" hidden="1">1</definedName>
    <definedName name="solver_nod" localSheetId="5" hidden="1">2147483647</definedName>
    <definedName name="solver_num" localSheetId="5" hidden="1">0</definedName>
    <definedName name="solver_nwt" localSheetId="5" hidden="1">1</definedName>
    <definedName name="solver_opt" localSheetId="5" hidden="1">CFdet!$E$13</definedName>
    <definedName name="solver_pre" localSheetId="5" hidden="1">0.000001</definedName>
    <definedName name="solver_rbv" localSheetId="5" hidden="1">1</definedName>
    <definedName name="solver_rlx" localSheetId="5" hidden="1">2</definedName>
    <definedName name="solver_rsd" localSheetId="5" hidden="1">0</definedName>
    <definedName name="solver_scl" localSheetId="5" hidden="1">1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3</definedName>
    <definedName name="solver_val" localSheetId="5" hidden="1">0.0285</definedName>
    <definedName name="solver_ver" localSheetId="5" hidden="1">3</definedName>
    <definedName name="sr.1">CFdet!$D$15</definedName>
    <definedName name="sr.2">CFdet!$D$16</definedName>
    <definedName name="sr.3">CFdet!$D$17</definedName>
    <definedName name="subsidiaries">[2]Solvency_II_adj!$A$38:$A$54</definedName>
    <definedName name="Tartam_815">[3]Kalkulátor!$G$29</definedName>
    <definedName name="TartamMax">PM!$C$49</definedName>
    <definedName name="TartamMin">PM!$C$48</definedName>
    <definedName name="TartamTermék">PM!$C$47</definedName>
    <definedName name="TartamVálasztott">Kalkulátor!$G$10</definedName>
    <definedName name="TartamWlFix">PM!$C$46</definedName>
    <definedName name="TAX">CFdet!$D$25</definedName>
    <definedName name="technical_rate">'[2]Profit Test Assumptions'!$H$13</definedName>
    <definedName name="Technical_rate_surr">'[2]Profit Test Assumptions'!$H$21</definedName>
    <definedName name="Term" localSheetId="5">CFdet!$B$5</definedName>
    <definedName name="Term">CFdet!$B$5</definedName>
    <definedName name="Termékek">Terméklista!$C$3:$C$3</definedName>
    <definedName name="Termékkód">Kalkulátor!$G$2</definedName>
    <definedName name="TermékVálasztott">Kalkulátor!$D$2</definedName>
    <definedName name="TKM">CFdet!$D$1</definedName>
    <definedName name="TKMhelp">CFdet!$A$32:$C$69</definedName>
    <definedName name="TKMm">CFdet!$D$7</definedName>
    <definedName name="TöredékHó">Kalkulátor!$F$12</definedName>
    <definedName name="TPB">CFdet!$B$15</definedName>
    <definedName name="Transf10">CFdet!$B$21</definedName>
    <definedName name="Transf15">CFdet!$B$22</definedName>
    <definedName name="Transf5">CFdet!$B$20</definedName>
    <definedName name="VálaszthatóEszközalap">PM!$B$72:$B$91</definedName>
    <definedName name="VV">CFdet!$AV$6:$AV$569</definedName>
    <definedName name="WTab">CFdet!$Y$72:$AE$89</definedName>
    <definedName name="YIELDmp">CFdet!$D$5</definedName>
    <definedName name="zillmer">'[2]Profit Test Assumptions'!$H$15</definedName>
  </definedNames>
  <calcPr calcId="145621"/>
</workbook>
</file>

<file path=xl/calcChain.xml><?xml version="1.0" encoding="utf-8"?>
<calcChain xmlns="http://schemas.openxmlformats.org/spreadsheetml/2006/main">
  <c r="H122" i="3" l="1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I19" i="8" l="1"/>
  <c r="A98" i="2" l="1"/>
  <c r="A97" i="2"/>
  <c r="AC9" i="9" l="1"/>
  <c r="AA8" i="9"/>
  <c r="R1" i="9"/>
  <c r="A96" i="2" l="1"/>
  <c r="A55" i="10" l="1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54" i="10"/>
  <c r="E74" i="10"/>
  <c r="F74" i="10" s="1"/>
  <c r="G74" i="10" s="1"/>
  <c r="H74" i="10" s="1"/>
  <c r="I74" i="10" s="1"/>
  <c r="J74" i="10" s="1"/>
  <c r="K74" i="10" s="1"/>
  <c r="L74" i="10" s="1"/>
  <c r="M74" i="10" s="1"/>
  <c r="B26" i="9" l="1"/>
  <c r="H5" i="8" l="1"/>
  <c r="I8" i="11" l="1"/>
  <c r="H5" i="11"/>
  <c r="I5" i="11" s="1"/>
  <c r="I3" i="11" s="1"/>
  <c r="I4" i="11"/>
  <c r="B1" i="9" l="1"/>
  <c r="C19" i="8" l="1"/>
  <c r="G5" i="8" l="1"/>
  <c r="G7" i="8" l="1"/>
  <c r="H7" i="8" s="1"/>
  <c r="K3" i="8"/>
  <c r="G3" i="8" s="1"/>
  <c r="G2" i="8"/>
  <c r="B8" i="9" s="1"/>
  <c r="B13" i="9" l="1"/>
  <c r="B9" i="9"/>
  <c r="G13" i="9"/>
  <c r="B24" i="9"/>
  <c r="D20" i="9"/>
  <c r="D19" i="9"/>
  <c r="B12" i="9"/>
  <c r="B11" i="9"/>
  <c r="B10" i="9"/>
  <c r="G8" i="9"/>
  <c r="I8" i="9"/>
  <c r="D12" i="9"/>
  <c r="D11" i="9"/>
  <c r="X8" i="9"/>
  <c r="X9" i="9"/>
  <c r="X7" i="9"/>
  <c r="X6" i="9"/>
  <c r="D9" i="9"/>
  <c r="C104" i="2"/>
  <c r="I4" i="9" s="1"/>
  <c r="C105" i="2"/>
  <c r="I5" i="9" s="1"/>
  <c r="C106" i="2"/>
  <c r="I6" i="9" s="1"/>
  <c r="C103" i="2"/>
  <c r="I3" i="9" s="1"/>
  <c r="C107" i="2"/>
  <c r="I7" i="9" s="1"/>
  <c r="B102" i="2"/>
  <c r="G2" i="9" s="1"/>
  <c r="C102" i="2"/>
  <c r="I2" i="9" s="1"/>
  <c r="B104" i="2"/>
  <c r="G4" i="9" s="1"/>
  <c r="B105" i="2"/>
  <c r="G5" i="9" s="1"/>
  <c r="B106" i="2"/>
  <c r="G6" i="9" s="1"/>
  <c r="B103" i="2"/>
  <c r="G3" i="9" s="1"/>
  <c r="B107" i="2"/>
  <c r="G7" i="9" s="1"/>
  <c r="C3" i="2"/>
  <c r="B2" i="9"/>
  <c r="C2" i="2"/>
  <c r="C39" i="2"/>
  <c r="C40" i="2" s="1"/>
  <c r="G13" i="8" s="1"/>
  <c r="C58" i="2"/>
  <c r="C28" i="2"/>
  <c r="C13" i="8" s="1"/>
  <c r="C60" i="2"/>
  <c r="C49" i="2"/>
  <c r="C48" i="2"/>
  <c r="H19" i="8"/>
  <c r="N2" i="9"/>
  <c r="D10" i="9"/>
  <c r="B22" i="9"/>
  <c r="B20" i="9"/>
  <c r="B21" i="9"/>
  <c r="H4" i="8"/>
  <c r="A29" i="8" s="1"/>
  <c r="H23" i="8"/>
  <c r="C1" i="2"/>
  <c r="H21" i="8"/>
  <c r="H22" i="8"/>
  <c r="H20" i="8"/>
  <c r="K6" i="8"/>
  <c r="G8" i="8"/>
  <c r="B48" i="11"/>
  <c r="D48" i="11" s="1"/>
  <c r="B47" i="11"/>
  <c r="T51" i="9" s="1"/>
  <c r="B46" i="11"/>
  <c r="D46" i="11" s="1"/>
  <c r="B45" i="11"/>
  <c r="D45" i="11" s="1"/>
  <c r="B44" i="11"/>
  <c r="D44" i="11" s="1"/>
  <c r="B43" i="11"/>
  <c r="D43" i="11" s="1"/>
  <c r="B42" i="11"/>
  <c r="D42" i="11" s="1"/>
  <c r="B41" i="11"/>
  <c r="T45" i="9" s="1"/>
  <c r="B40" i="11"/>
  <c r="D40" i="11" s="1"/>
  <c r="B39" i="11"/>
  <c r="T43" i="9" s="1"/>
  <c r="B38" i="11"/>
  <c r="D38" i="11" s="1"/>
  <c r="B37" i="11"/>
  <c r="T41" i="9" s="1"/>
  <c r="B36" i="11"/>
  <c r="D36" i="11" s="1"/>
  <c r="B35" i="11"/>
  <c r="T39" i="9" s="1"/>
  <c r="B34" i="11"/>
  <c r="D34" i="11" s="1"/>
  <c r="B33" i="11"/>
  <c r="D33" i="11" s="1"/>
  <c r="B32" i="11"/>
  <c r="D32" i="11" s="1"/>
  <c r="B31" i="11"/>
  <c r="D31" i="11" s="1"/>
  <c r="B30" i="11"/>
  <c r="D30" i="11" s="1"/>
  <c r="B29" i="11"/>
  <c r="T33" i="9" s="1"/>
  <c r="B28" i="11"/>
  <c r="D28" i="11" s="1"/>
  <c r="B27" i="11"/>
  <c r="T31" i="9" s="1"/>
  <c r="B26" i="11"/>
  <c r="D26" i="11" s="1"/>
  <c r="B25" i="11"/>
  <c r="T29" i="9" s="1"/>
  <c r="B24" i="11"/>
  <c r="D24" i="11" s="1"/>
  <c r="B23" i="11"/>
  <c r="T27" i="9" s="1"/>
  <c r="C22" i="11"/>
  <c r="B22" i="11"/>
  <c r="D22" i="11" s="1"/>
  <c r="E21" i="11"/>
  <c r="B21" i="11"/>
  <c r="D21" i="11" s="1"/>
  <c r="E20" i="11"/>
  <c r="B20" i="11"/>
  <c r="D20" i="11" s="1"/>
  <c r="E19" i="11"/>
  <c r="B19" i="11"/>
  <c r="D19" i="11" s="1"/>
  <c r="E18" i="11"/>
  <c r="B18" i="11"/>
  <c r="D18" i="11" s="1"/>
  <c r="E17" i="11"/>
  <c r="B17" i="11"/>
  <c r="D17" i="11" s="1"/>
  <c r="E16" i="11"/>
  <c r="B16" i="11"/>
  <c r="D16" i="11" s="1"/>
  <c r="E15" i="11"/>
  <c r="B15" i="11"/>
  <c r="D15" i="11" s="1"/>
  <c r="E14" i="11"/>
  <c r="B14" i="11"/>
  <c r="D14" i="11" s="1"/>
  <c r="E13" i="11"/>
  <c r="B13" i="11"/>
  <c r="D13" i="11" s="1"/>
  <c r="E12" i="11"/>
  <c r="B12" i="11"/>
  <c r="D12" i="11" s="1"/>
  <c r="E11" i="11"/>
  <c r="B11" i="11"/>
  <c r="D11" i="11" s="1"/>
  <c r="E10" i="11"/>
  <c r="B10" i="11"/>
  <c r="T14" i="9" s="1"/>
  <c r="E9" i="11"/>
  <c r="B9" i="11"/>
  <c r="D9" i="11" s="1"/>
  <c r="E8" i="11"/>
  <c r="B8" i="11"/>
  <c r="D8" i="11" s="1"/>
  <c r="E7" i="11"/>
  <c r="B7" i="11"/>
  <c r="D7" i="11" s="1"/>
  <c r="E6" i="11"/>
  <c r="B6" i="11"/>
  <c r="D6" i="11" s="1"/>
  <c r="E5" i="11"/>
  <c r="B5" i="11"/>
  <c r="D5" i="11" s="1"/>
  <c r="E4" i="11"/>
  <c r="B4" i="11"/>
  <c r="D4" i="11" s="1"/>
  <c r="E3" i="11"/>
  <c r="B3" i="11"/>
  <c r="D3" i="11" s="1"/>
  <c r="E2" i="11"/>
  <c r="B2" i="11"/>
  <c r="D2" i="11" s="1"/>
  <c r="AC27" i="9"/>
  <c r="AC28" i="9" s="1"/>
  <c r="AC29" i="9" s="1"/>
  <c r="AC30" i="9" s="1"/>
  <c r="AC31" i="9" s="1"/>
  <c r="AC32" i="9" s="1"/>
  <c r="AC33" i="9" s="1"/>
  <c r="AC34" i="9" s="1"/>
  <c r="AC35" i="9" s="1"/>
  <c r="AC36" i="9" s="1"/>
  <c r="AC37" i="9" s="1"/>
  <c r="AC38" i="9" s="1"/>
  <c r="AC39" i="9" s="1"/>
  <c r="AC40" i="9" s="1"/>
  <c r="AC41" i="9" s="1"/>
  <c r="AC42" i="9" s="1"/>
  <c r="AC43" i="9" s="1"/>
  <c r="AC44" i="9" s="1"/>
  <c r="AC45" i="9" s="1"/>
  <c r="AC46" i="9" s="1"/>
  <c r="AC47" i="9" s="1"/>
  <c r="AC48" i="9" s="1"/>
  <c r="AC49" i="9" s="1"/>
  <c r="AC50" i="9" s="1"/>
  <c r="AC51" i="9" s="1"/>
  <c r="AC52" i="9" s="1"/>
  <c r="AB27" i="9"/>
  <c r="AB28" i="9" s="1"/>
  <c r="AB29" i="9" s="1"/>
  <c r="AB30" i="9" s="1"/>
  <c r="AB31" i="9" s="1"/>
  <c r="AB32" i="9" s="1"/>
  <c r="AB33" i="9" s="1"/>
  <c r="AB34" i="9" s="1"/>
  <c r="AB35" i="9" s="1"/>
  <c r="AB36" i="9" s="1"/>
  <c r="AB37" i="9" s="1"/>
  <c r="AB38" i="9" s="1"/>
  <c r="AB39" i="9" s="1"/>
  <c r="AB40" i="9" s="1"/>
  <c r="AB41" i="9" s="1"/>
  <c r="AB42" i="9" s="1"/>
  <c r="AB43" i="9" s="1"/>
  <c r="AB44" i="9" s="1"/>
  <c r="AB45" i="9" s="1"/>
  <c r="AB46" i="9" s="1"/>
  <c r="AB47" i="9" s="1"/>
  <c r="AB48" i="9" s="1"/>
  <c r="AB49" i="9" s="1"/>
  <c r="AB50" i="9" s="1"/>
  <c r="AB51" i="9" s="1"/>
  <c r="AB52" i="9" s="1"/>
  <c r="AA27" i="9"/>
  <c r="AA28" i="9" s="1"/>
  <c r="AA29" i="9" s="1"/>
  <c r="AA30" i="9" s="1"/>
  <c r="AA31" i="9" s="1"/>
  <c r="AA32" i="9" s="1"/>
  <c r="AA33" i="9" s="1"/>
  <c r="AA34" i="9" s="1"/>
  <c r="AA35" i="9" s="1"/>
  <c r="AA36" i="9" s="1"/>
  <c r="AA37" i="9" s="1"/>
  <c r="AA38" i="9" s="1"/>
  <c r="AA39" i="9" s="1"/>
  <c r="AA40" i="9" s="1"/>
  <c r="AA41" i="9" s="1"/>
  <c r="AA42" i="9" s="1"/>
  <c r="AA43" i="9" s="1"/>
  <c r="AA44" i="9" s="1"/>
  <c r="AA45" i="9" s="1"/>
  <c r="AA46" i="9" s="1"/>
  <c r="AA47" i="9" s="1"/>
  <c r="AA48" i="9" s="1"/>
  <c r="AA49" i="9" s="1"/>
  <c r="AA50" i="9" s="1"/>
  <c r="AA51" i="9" s="1"/>
  <c r="AA52" i="9" s="1"/>
  <c r="Y27" i="9"/>
  <c r="Y28" i="9" s="1"/>
  <c r="Y29" i="9" s="1"/>
  <c r="Y30" i="9" s="1"/>
  <c r="Y31" i="9" s="1"/>
  <c r="Y32" i="9" s="1"/>
  <c r="Y33" i="9" s="1"/>
  <c r="Y34" i="9" s="1"/>
  <c r="Y35" i="9" s="1"/>
  <c r="Y36" i="9" s="1"/>
  <c r="Y37" i="9" s="1"/>
  <c r="Y38" i="9" s="1"/>
  <c r="Y39" i="9" s="1"/>
  <c r="Y40" i="9" s="1"/>
  <c r="Y41" i="9" s="1"/>
  <c r="Y42" i="9" s="1"/>
  <c r="Y43" i="9" s="1"/>
  <c r="Y44" i="9" s="1"/>
  <c r="Y45" i="9" s="1"/>
  <c r="Y46" i="9" s="1"/>
  <c r="Y47" i="9" s="1"/>
  <c r="Y48" i="9" s="1"/>
  <c r="Y49" i="9" s="1"/>
  <c r="Y50" i="9" s="1"/>
  <c r="Y51" i="9" s="1"/>
  <c r="Y52" i="9" s="1"/>
  <c r="D18" i="9"/>
  <c r="AB10" i="9"/>
  <c r="AB11" i="9" s="1"/>
  <c r="AB12" i="9" s="1"/>
  <c r="AB13" i="9" s="1"/>
  <c r="AB14" i="9" s="1"/>
  <c r="AB15" i="9" s="1"/>
  <c r="AB16" i="9" s="1"/>
  <c r="AB17" i="9" s="1"/>
  <c r="AB18" i="9" s="1"/>
  <c r="AB19" i="9" s="1"/>
  <c r="AB20" i="9" s="1"/>
  <c r="AB21" i="9" s="1"/>
  <c r="AB22" i="9" s="1"/>
  <c r="AB23" i="9" s="1"/>
  <c r="AB24" i="9" s="1"/>
  <c r="AB25" i="9" s="1"/>
  <c r="AC10" i="9"/>
  <c r="AC11" i="9" s="1"/>
  <c r="AC12" i="9" s="1"/>
  <c r="AC13" i="9" s="1"/>
  <c r="AC14" i="9" s="1"/>
  <c r="AC15" i="9" s="1"/>
  <c r="AC16" i="9" s="1"/>
  <c r="AC17" i="9" s="1"/>
  <c r="AC18" i="9" s="1"/>
  <c r="AC19" i="9" s="1"/>
  <c r="AC20" i="9" s="1"/>
  <c r="AC21" i="9" s="1"/>
  <c r="AC22" i="9" s="1"/>
  <c r="AC23" i="9" s="1"/>
  <c r="AC24" i="9" s="1"/>
  <c r="AC25" i="9" s="1"/>
  <c r="AN7" i="9"/>
  <c r="AN8" i="9" s="1"/>
  <c r="AN9" i="9" s="1"/>
  <c r="AN10" i="9" s="1"/>
  <c r="AN11" i="9" s="1"/>
  <c r="AN12" i="9" s="1"/>
  <c r="AN13" i="9" s="1"/>
  <c r="AN14" i="9" s="1"/>
  <c r="AN15" i="9" s="1"/>
  <c r="AN16" i="9" s="1"/>
  <c r="AN17" i="9" s="1"/>
  <c r="AN18" i="9" s="1"/>
  <c r="AN19" i="9" s="1"/>
  <c r="AN20" i="9" s="1"/>
  <c r="AN21" i="9" s="1"/>
  <c r="AN22" i="9" s="1"/>
  <c r="AN23" i="9" s="1"/>
  <c r="AN24" i="9" s="1"/>
  <c r="AN25" i="9" s="1"/>
  <c r="AN26" i="9" s="1"/>
  <c r="AN27" i="9" s="1"/>
  <c r="AN28" i="9" s="1"/>
  <c r="AN29" i="9" s="1"/>
  <c r="AN30" i="9" s="1"/>
  <c r="AN31" i="9" s="1"/>
  <c r="AN32" i="9" s="1"/>
  <c r="AN33" i="9" s="1"/>
  <c r="AN34" i="9" s="1"/>
  <c r="AN35" i="9" s="1"/>
  <c r="AN36" i="9" s="1"/>
  <c r="AN37" i="9" s="1"/>
  <c r="AN38" i="9" s="1"/>
  <c r="AN39" i="9" s="1"/>
  <c r="AN40" i="9" s="1"/>
  <c r="AN41" i="9" s="1"/>
  <c r="AN42" i="9" s="1"/>
  <c r="AN43" i="9" s="1"/>
  <c r="AN44" i="9" s="1"/>
  <c r="AN45" i="9" s="1"/>
  <c r="AN46" i="9" s="1"/>
  <c r="AN47" i="9" s="1"/>
  <c r="AN48" i="9" s="1"/>
  <c r="AN49" i="9" s="1"/>
  <c r="AN50" i="9" s="1"/>
  <c r="AN51" i="9" s="1"/>
  <c r="AN52" i="9" s="1"/>
  <c r="AA7" i="9"/>
  <c r="R7" i="9"/>
  <c r="AP6" i="9"/>
  <c r="AO6" i="9"/>
  <c r="AA6" i="9"/>
  <c r="S3" i="9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AE3" i="9" s="1"/>
  <c r="AF3" i="9" s="1"/>
  <c r="B3" i="9"/>
  <c r="AK1" i="9"/>
  <c r="B51" i="9"/>
  <c r="G4" i="8" l="1"/>
  <c r="I30" i="8" s="1"/>
  <c r="G15" i="8"/>
  <c r="BL6" i="9"/>
  <c r="BM6" i="9"/>
  <c r="F24" i="8"/>
  <c r="G20" i="8" s="1"/>
  <c r="I20" i="8" s="1"/>
  <c r="Z26" i="9"/>
  <c r="AJ27" i="9"/>
  <c r="AJ31" i="9"/>
  <c r="AJ39" i="9"/>
  <c r="AJ43" i="9"/>
  <c r="AJ51" i="9"/>
  <c r="G14" i="8"/>
  <c r="S7" i="9"/>
  <c r="Z48" i="9"/>
  <c r="F16" i="8"/>
  <c r="Z52" i="9"/>
  <c r="Z32" i="9"/>
  <c r="Z37" i="9"/>
  <c r="Z41" i="9"/>
  <c r="Z44" i="9"/>
  <c r="Z33" i="9"/>
  <c r="Z46" i="9"/>
  <c r="Z30" i="9"/>
  <c r="Z38" i="9"/>
  <c r="Z51" i="9"/>
  <c r="Z27" i="9"/>
  <c r="Z28" i="9"/>
  <c r="Z36" i="9"/>
  <c r="Z42" i="9"/>
  <c r="Z49" i="9"/>
  <c r="Z29" i="9"/>
  <c r="Z34" i="9"/>
  <c r="Z40" i="9"/>
  <c r="Z45" i="9"/>
  <c r="Z50" i="9"/>
  <c r="Z31" i="9"/>
  <c r="Z35" i="9"/>
  <c r="Z39" i="9"/>
  <c r="Z43" i="9"/>
  <c r="Z47" i="9"/>
  <c r="T50" i="9"/>
  <c r="J8" i="11"/>
  <c r="H3" i="11"/>
  <c r="J3" i="11" s="1"/>
  <c r="H8" i="11"/>
  <c r="AO7" i="9"/>
  <c r="T13" i="9"/>
  <c r="T21" i="9"/>
  <c r="T47" i="9"/>
  <c r="T19" i="9"/>
  <c r="T6" i="9"/>
  <c r="T7" i="9"/>
  <c r="T25" i="9"/>
  <c r="T38" i="9"/>
  <c r="T34" i="9"/>
  <c r="T22" i="9"/>
  <c r="T30" i="9"/>
  <c r="T42" i="9"/>
  <c r="T9" i="9"/>
  <c r="T11" i="9"/>
  <c r="T18" i="9"/>
  <c r="T23" i="9"/>
  <c r="T46" i="9"/>
  <c r="T40" i="9"/>
  <c r="T10" i="9"/>
  <c r="T49" i="9"/>
  <c r="T44" i="9"/>
  <c r="T12" i="9"/>
  <c r="T20" i="9"/>
  <c r="T32" i="9"/>
  <c r="T48" i="9"/>
  <c r="T52" i="9"/>
  <c r="T8" i="9"/>
  <c r="T16" i="9"/>
  <c r="T28" i="9"/>
  <c r="T36" i="9"/>
  <c r="AE14" i="9"/>
  <c r="AJ14" i="9"/>
  <c r="AE29" i="9"/>
  <c r="AJ29" i="9"/>
  <c r="AE33" i="9"/>
  <c r="AJ33" i="9"/>
  <c r="AE41" i="9"/>
  <c r="AJ41" i="9"/>
  <c r="AE45" i="9"/>
  <c r="AJ45" i="9"/>
  <c r="T17" i="9"/>
  <c r="T35" i="9"/>
  <c r="T37" i="9"/>
  <c r="D23" i="11"/>
  <c r="D25" i="11"/>
  <c r="D27" i="11"/>
  <c r="D29" i="11"/>
  <c r="D37" i="11"/>
  <c r="D39" i="11"/>
  <c r="D41" i="11"/>
  <c r="D47" i="11"/>
  <c r="T15" i="9"/>
  <c r="T26" i="9"/>
  <c r="D10" i="11"/>
  <c r="D35" i="11"/>
  <c r="T24" i="9"/>
  <c r="R8" i="9"/>
  <c r="AE31" i="9"/>
  <c r="J6" i="9"/>
  <c r="AE27" i="9"/>
  <c r="AE43" i="9"/>
  <c r="AE51" i="9"/>
  <c r="J7" i="9"/>
  <c r="AE39" i="9"/>
  <c r="AP7" i="9"/>
  <c r="E22" i="11"/>
  <c r="C23" i="11"/>
  <c r="C9" i="8" l="1"/>
  <c r="C12" i="8"/>
  <c r="F31" i="8"/>
  <c r="C11" i="8"/>
  <c r="A94" i="2"/>
  <c r="C10" i="8"/>
  <c r="A95" i="2"/>
  <c r="BM7" i="9"/>
  <c r="BL7" i="9"/>
  <c r="C35" i="2"/>
  <c r="I1" i="9"/>
  <c r="C36" i="2"/>
  <c r="AF51" i="9"/>
  <c r="AF31" i="9"/>
  <c r="AJ35" i="9"/>
  <c r="AJ36" i="9"/>
  <c r="AJ52" i="9"/>
  <c r="AE12" i="9"/>
  <c r="AJ40" i="9"/>
  <c r="AJ11" i="9"/>
  <c r="AJ22" i="9"/>
  <c r="AE7" i="9"/>
  <c r="AE21" i="9"/>
  <c r="AE50" i="9"/>
  <c r="AF39" i="9"/>
  <c r="AF27" i="9"/>
  <c r="AJ24" i="9"/>
  <c r="AJ15" i="9"/>
  <c r="AJ32" i="9"/>
  <c r="AE49" i="9"/>
  <c r="AE23" i="9"/>
  <c r="AE42" i="9"/>
  <c r="AE38" i="9"/>
  <c r="AE19" i="9"/>
  <c r="AF45" i="9"/>
  <c r="AF33" i="9"/>
  <c r="AF14" i="9"/>
  <c r="AE8" i="9"/>
  <c r="AJ20" i="9"/>
  <c r="AE10" i="9"/>
  <c r="AJ18" i="9"/>
  <c r="AE30" i="9"/>
  <c r="AE25" i="9"/>
  <c r="AJ47" i="9"/>
  <c r="AF43" i="9"/>
  <c r="AJ17" i="9"/>
  <c r="AF41" i="9"/>
  <c r="AF29" i="9"/>
  <c r="AJ28" i="9"/>
  <c r="AJ48" i="9"/>
  <c r="AJ44" i="9"/>
  <c r="AE46" i="9"/>
  <c r="AE9" i="9"/>
  <c r="AE34" i="9"/>
  <c r="AE6" i="9"/>
  <c r="AJ6" i="9"/>
  <c r="AJ13" i="9"/>
  <c r="S8" i="9"/>
  <c r="G22" i="8"/>
  <c r="I22" i="8" s="1"/>
  <c r="G23" i="8"/>
  <c r="I23" i="8" s="1"/>
  <c r="G21" i="8"/>
  <c r="I21" i="8" s="1"/>
  <c r="AJ50" i="9"/>
  <c r="G6" i="8"/>
  <c r="AE13" i="9"/>
  <c r="AJ21" i="9"/>
  <c r="AE47" i="9"/>
  <c r="AJ19" i="9"/>
  <c r="AE11" i="9"/>
  <c r="AE22" i="9"/>
  <c r="AJ25" i="9"/>
  <c r="AJ7" i="9"/>
  <c r="AJ9" i="9"/>
  <c r="AJ46" i="9"/>
  <c r="AE20" i="9"/>
  <c r="AJ49" i="9"/>
  <c r="AJ8" i="9"/>
  <c r="AE52" i="9"/>
  <c r="AJ30" i="9"/>
  <c r="AJ38" i="9"/>
  <c r="AJ34" i="9"/>
  <c r="AE18" i="9"/>
  <c r="AE40" i="9"/>
  <c r="AJ23" i="9"/>
  <c r="AJ42" i="9"/>
  <c r="AJ10" i="9"/>
  <c r="AE44" i="9"/>
  <c r="AE32" i="9"/>
  <c r="AE36" i="9"/>
  <c r="AJ12" i="9"/>
  <c r="AE16" i="9"/>
  <c r="AJ16" i="9"/>
  <c r="AE28" i="9"/>
  <c r="AE15" i="9"/>
  <c r="AE35" i="9"/>
  <c r="AE48" i="9"/>
  <c r="AE24" i="9"/>
  <c r="AE37" i="9"/>
  <c r="AJ37" i="9"/>
  <c r="AE26" i="9"/>
  <c r="AJ26" i="9"/>
  <c r="AE17" i="9"/>
  <c r="AO8" i="9"/>
  <c r="AP8" i="9"/>
  <c r="R9" i="9"/>
  <c r="J8" i="9"/>
  <c r="E23" i="11"/>
  <c r="C24" i="11"/>
  <c r="C55" i="2"/>
  <c r="BN7" i="9" l="1"/>
  <c r="BO7" i="9" s="1"/>
  <c r="BL8" i="9"/>
  <c r="BM8" i="9"/>
  <c r="AF24" i="9"/>
  <c r="AF28" i="9"/>
  <c r="AF36" i="9"/>
  <c r="AF11" i="9"/>
  <c r="AF13" i="9"/>
  <c r="AF46" i="9"/>
  <c r="AF30" i="9"/>
  <c r="AF10" i="9"/>
  <c r="AF8" i="9"/>
  <c r="AF42" i="9"/>
  <c r="AF50" i="9"/>
  <c r="AF7" i="9"/>
  <c r="AF26" i="9"/>
  <c r="AF48" i="9"/>
  <c r="AF32" i="9"/>
  <c r="AF17" i="9"/>
  <c r="AF37" i="9"/>
  <c r="AF15" i="9"/>
  <c r="AF18" i="9"/>
  <c r="AF52" i="9"/>
  <c r="AF22" i="9"/>
  <c r="AF34" i="9"/>
  <c r="AF19" i="9"/>
  <c r="AF49" i="9"/>
  <c r="AF12" i="9"/>
  <c r="AF35" i="9"/>
  <c r="AF16" i="9"/>
  <c r="AF44" i="9"/>
  <c r="AF40" i="9"/>
  <c r="AF20" i="9"/>
  <c r="AF47" i="9"/>
  <c r="AF6" i="9"/>
  <c r="AF9" i="9"/>
  <c r="AF25" i="9"/>
  <c r="AF38" i="9"/>
  <c r="AF23" i="9"/>
  <c r="AF21" i="9"/>
  <c r="S9" i="9"/>
  <c r="G19" i="8"/>
  <c r="R10" i="9"/>
  <c r="J9" i="9"/>
  <c r="AO9" i="9"/>
  <c r="AP9" i="9"/>
  <c r="E24" i="11"/>
  <c r="C25" i="11"/>
  <c r="B51" i="2"/>
  <c r="C47" i="2"/>
  <c r="A55" i="2"/>
  <c r="G11" i="8" s="1"/>
  <c r="C53" i="2" s="1"/>
  <c r="BN8" i="9" l="1"/>
  <c r="BO8" i="9" s="1"/>
  <c r="BM9" i="9"/>
  <c r="BL9" i="9"/>
  <c r="G24" i="8"/>
  <c r="S10" i="9"/>
  <c r="C46" i="2"/>
  <c r="B59" i="2" s="1"/>
  <c r="C59" i="2" s="1"/>
  <c r="D10" i="8"/>
  <c r="H24" i="8"/>
  <c r="K10" i="8"/>
  <c r="AO10" i="9"/>
  <c r="AP10" i="9"/>
  <c r="E25" i="11"/>
  <c r="C26" i="11"/>
  <c r="R11" i="9"/>
  <c r="J10" i="9"/>
  <c r="B47" i="2"/>
  <c r="C54" i="2"/>
  <c r="D13" i="9" l="1"/>
  <c r="Z22" i="9" s="1"/>
  <c r="BN9" i="9"/>
  <c r="BO9" i="9" s="1"/>
  <c r="BL10" i="9"/>
  <c r="BM10" i="9"/>
  <c r="S11" i="9"/>
  <c r="C6" i="8"/>
  <c r="H6" i="8"/>
  <c r="A54" i="2"/>
  <c r="R12" i="9"/>
  <c r="J11" i="9"/>
  <c r="E26" i="11"/>
  <c r="C27" i="11"/>
  <c r="AO11" i="9"/>
  <c r="AP11" i="9"/>
  <c r="Z14" i="9" l="1"/>
  <c r="AA14" i="9" s="1"/>
  <c r="Z10" i="9"/>
  <c r="AA10" i="9" s="1"/>
  <c r="Z11" i="9"/>
  <c r="AA11" i="9" s="1"/>
  <c r="Z16" i="9"/>
  <c r="AA16" i="9" s="1"/>
  <c r="Z25" i="9"/>
  <c r="AA25" i="9" s="1"/>
  <c r="Z24" i="9"/>
  <c r="AA24" i="9" s="1"/>
  <c r="Z12" i="9"/>
  <c r="AA12" i="9" s="1"/>
  <c r="Z20" i="9"/>
  <c r="AA20" i="9" s="1"/>
  <c r="Z9" i="9"/>
  <c r="AA9" i="9" s="1"/>
  <c r="Z17" i="9"/>
  <c r="AA17" i="9" s="1"/>
  <c r="Z15" i="9"/>
  <c r="AA15" i="9" s="1"/>
  <c r="Z19" i="9"/>
  <c r="AA19" i="9" s="1"/>
  <c r="Z13" i="9"/>
  <c r="Z23" i="9"/>
  <c r="AA23" i="9" s="1"/>
  <c r="Z21" i="9"/>
  <c r="AA21" i="9" s="1"/>
  <c r="Z18" i="9"/>
  <c r="AA18" i="9" s="1"/>
  <c r="BN10" i="9"/>
  <c r="BO10" i="9" s="1"/>
  <c r="BM11" i="9"/>
  <c r="BL11" i="9"/>
  <c r="AA22" i="9"/>
  <c r="S12" i="9"/>
  <c r="AO12" i="9"/>
  <c r="AP12" i="9"/>
  <c r="E27" i="11"/>
  <c r="C28" i="11"/>
  <c r="R13" i="9"/>
  <c r="J12" i="9"/>
  <c r="AA13" i="9" l="1"/>
  <c r="BN11" i="9"/>
  <c r="BO11" i="9" s="1"/>
  <c r="BL12" i="9"/>
  <c r="BM12" i="9"/>
  <c r="S13" i="9"/>
  <c r="AP13" i="9"/>
  <c r="AO13" i="9"/>
  <c r="R14" i="9"/>
  <c r="J13" i="9"/>
  <c r="E28" i="11"/>
  <c r="C29" i="11"/>
  <c r="BN12" i="9" l="1"/>
  <c r="BO12" i="9" s="1"/>
  <c r="BM13" i="9"/>
  <c r="BL13" i="9"/>
  <c r="S14" i="9"/>
  <c r="R15" i="9"/>
  <c r="J14" i="9"/>
  <c r="AO14" i="9"/>
  <c r="AP14" i="9"/>
  <c r="E29" i="11"/>
  <c r="C30" i="11"/>
  <c r="BN13" i="9" l="1"/>
  <c r="BO13" i="9" s="1"/>
  <c r="BM14" i="9"/>
  <c r="BL14" i="9"/>
  <c r="S15" i="9"/>
  <c r="AP15" i="9"/>
  <c r="AO15" i="9"/>
  <c r="R16" i="9"/>
  <c r="J15" i="9"/>
  <c r="E30" i="11"/>
  <c r="C31" i="11"/>
  <c r="BN14" i="9" l="1"/>
  <c r="BO14" i="9" s="1"/>
  <c r="BM15" i="9"/>
  <c r="BL15" i="9"/>
  <c r="S16" i="9"/>
  <c r="R17" i="9"/>
  <c r="J16" i="9"/>
  <c r="AO16" i="9"/>
  <c r="AP16" i="9"/>
  <c r="E31" i="11"/>
  <c r="C32" i="11"/>
  <c r="BN15" i="9" l="1"/>
  <c r="BO15" i="9" s="1"/>
  <c r="BL16" i="9"/>
  <c r="BM16" i="9"/>
  <c r="S17" i="9"/>
  <c r="R18" i="9"/>
  <c r="J17" i="9"/>
  <c r="E32" i="11"/>
  <c r="C33" i="11"/>
  <c r="AP17" i="9"/>
  <c r="AO17" i="9"/>
  <c r="BM17" i="9" l="1"/>
  <c r="BL17" i="9"/>
  <c r="S18" i="9"/>
  <c r="AP18" i="9"/>
  <c r="AO18" i="9"/>
  <c r="E33" i="11"/>
  <c r="C34" i="11"/>
  <c r="R19" i="9"/>
  <c r="J18" i="9"/>
  <c r="BN17" i="9" l="1"/>
  <c r="BO17" i="9" s="1"/>
  <c r="BL18" i="9"/>
  <c r="BM18" i="9"/>
  <c r="S19" i="9"/>
  <c r="E34" i="11"/>
  <c r="C35" i="11"/>
  <c r="R20" i="9"/>
  <c r="J19" i="9"/>
  <c r="AO19" i="9"/>
  <c r="AP19" i="9"/>
  <c r="BL19" i="9" l="1"/>
  <c r="BM19" i="9"/>
  <c r="S20" i="9"/>
  <c r="AP20" i="9"/>
  <c r="AO20" i="9"/>
  <c r="R21" i="9"/>
  <c r="J20" i="9"/>
  <c r="E35" i="11"/>
  <c r="C36" i="11"/>
  <c r="BN19" i="9" l="1"/>
  <c r="BO19" i="9" s="1"/>
  <c r="BL20" i="9"/>
  <c r="BM20" i="9"/>
  <c r="S21" i="9"/>
  <c r="R22" i="9"/>
  <c r="J21" i="9"/>
  <c r="E36" i="11"/>
  <c r="C37" i="11"/>
  <c r="AO21" i="9"/>
  <c r="AP21" i="9"/>
  <c r="BN20" i="9" l="1"/>
  <c r="BO20" i="9" s="1"/>
  <c r="BL21" i="9"/>
  <c r="BM21" i="9"/>
  <c r="S22" i="9"/>
  <c r="AO22" i="9"/>
  <c r="AP22" i="9"/>
  <c r="J22" i="9"/>
  <c r="R23" i="9"/>
  <c r="E37" i="11"/>
  <c r="C38" i="11"/>
  <c r="BL22" i="9" l="1"/>
  <c r="BM22" i="9"/>
  <c r="BN21" i="9"/>
  <c r="BO21" i="9" s="1"/>
  <c r="S23" i="9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O23" i="9"/>
  <c r="AP23" i="9"/>
  <c r="E38" i="11"/>
  <c r="C39" i="11"/>
  <c r="R24" i="9"/>
  <c r="J23" i="9"/>
  <c r="BN22" i="9" l="1"/>
  <c r="BO22" i="9" s="1"/>
  <c r="BM23" i="9"/>
  <c r="BL23" i="9"/>
  <c r="S24" i="9"/>
  <c r="R25" i="9"/>
  <c r="J24" i="9"/>
  <c r="AO24" i="9"/>
  <c r="AP24" i="9"/>
  <c r="E39" i="11"/>
  <c r="C40" i="11"/>
  <c r="BN23" i="9" l="1"/>
  <c r="BO23" i="9" s="1"/>
  <c r="BM24" i="9"/>
  <c r="BL24" i="9"/>
  <c r="S25" i="9"/>
  <c r="E40" i="11"/>
  <c r="C41" i="11"/>
  <c r="R26" i="9"/>
  <c r="J25" i="9"/>
  <c r="AO25" i="9"/>
  <c r="AP25" i="9"/>
  <c r="BN24" i="9" l="1"/>
  <c r="BO24" i="9" s="1"/>
  <c r="BM25" i="9"/>
  <c r="BL25" i="9"/>
  <c r="S26" i="9"/>
  <c r="AO26" i="9"/>
  <c r="AP26" i="9"/>
  <c r="R27" i="9"/>
  <c r="J26" i="9"/>
  <c r="E41" i="11"/>
  <c r="C42" i="11"/>
  <c r="BN25" i="9" l="1"/>
  <c r="BO25" i="9" s="1"/>
  <c r="BM26" i="9"/>
  <c r="BL26" i="9"/>
  <c r="S27" i="9"/>
  <c r="AP27" i="9"/>
  <c r="AO27" i="9"/>
  <c r="E42" i="11"/>
  <c r="C43" i="11"/>
  <c r="R28" i="9"/>
  <c r="J27" i="9"/>
  <c r="BN26" i="9" l="1"/>
  <c r="BO26" i="9" s="1"/>
  <c r="BL27" i="9"/>
  <c r="BM27" i="9"/>
  <c r="S28" i="9"/>
  <c r="E43" i="11"/>
  <c r="C44" i="11"/>
  <c r="R29" i="9"/>
  <c r="J28" i="9"/>
  <c r="AP28" i="9"/>
  <c r="AO28" i="9"/>
  <c r="BN27" i="9" l="1"/>
  <c r="BO27" i="9" s="1"/>
  <c r="BL28" i="9"/>
  <c r="BM28" i="9"/>
  <c r="S29" i="9"/>
  <c r="R30" i="9"/>
  <c r="J29" i="9"/>
  <c r="AO29" i="9"/>
  <c r="AP29" i="9"/>
  <c r="E44" i="11"/>
  <c r="C45" i="11"/>
  <c r="BL29" i="9" l="1"/>
  <c r="BM29" i="9"/>
  <c r="S30" i="9"/>
  <c r="AO30" i="9"/>
  <c r="AP30" i="9"/>
  <c r="E45" i="11"/>
  <c r="C46" i="11"/>
  <c r="R31" i="9"/>
  <c r="J30" i="9"/>
  <c r="BN29" i="9" l="1"/>
  <c r="BO29" i="9" s="1"/>
  <c r="BL30" i="9"/>
  <c r="BM30" i="9"/>
  <c r="S31" i="9"/>
  <c r="E46" i="11"/>
  <c r="C47" i="11"/>
  <c r="AO31" i="9"/>
  <c r="AP31" i="9"/>
  <c r="R32" i="9"/>
  <c r="J31" i="9"/>
  <c r="BL31" i="9" l="1"/>
  <c r="BM31" i="9"/>
  <c r="S32" i="9"/>
  <c r="AP32" i="9"/>
  <c r="AO32" i="9"/>
  <c r="R33" i="9"/>
  <c r="J32" i="9"/>
  <c r="E47" i="11"/>
  <c r="C48" i="11"/>
  <c r="E48" i="11" s="1"/>
  <c r="BN31" i="9" l="1"/>
  <c r="BO31" i="9" s="1"/>
  <c r="BL32" i="9"/>
  <c r="BM32" i="9"/>
  <c r="S33" i="9"/>
  <c r="AO33" i="9"/>
  <c r="AP33" i="9"/>
  <c r="R34" i="9"/>
  <c r="J33" i="9"/>
  <c r="BN32" i="9" l="1"/>
  <c r="BO32" i="9" s="1"/>
  <c r="BM33" i="9"/>
  <c r="BL33" i="9"/>
  <c r="S34" i="9"/>
  <c r="R35" i="9"/>
  <c r="J34" i="9"/>
  <c r="AO34" i="9"/>
  <c r="AP34" i="9"/>
  <c r="BN33" i="9" l="1"/>
  <c r="BO33" i="9" s="1"/>
  <c r="BL34" i="9"/>
  <c r="BM34" i="9"/>
  <c r="S35" i="9"/>
  <c r="AP35" i="9"/>
  <c r="AO35" i="9"/>
  <c r="R36" i="9"/>
  <c r="J35" i="9"/>
  <c r="BN34" i="9" l="1"/>
  <c r="BO34" i="9" s="1"/>
  <c r="BL35" i="9"/>
  <c r="BM35" i="9"/>
  <c r="S36" i="9"/>
  <c r="R37" i="9"/>
  <c r="J36" i="9"/>
  <c r="AP36" i="9"/>
  <c r="AO36" i="9"/>
  <c r="BN35" i="9" l="1"/>
  <c r="BO35" i="9" s="1"/>
  <c r="BL36" i="9"/>
  <c r="BM36" i="9"/>
  <c r="S37" i="9"/>
  <c r="J37" i="9"/>
  <c r="R38" i="9"/>
  <c r="AO37" i="9"/>
  <c r="AP37" i="9"/>
  <c r="BN36" i="9" l="1"/>
  <c r="BO36" i="9" s="1"/>
  <c r="BL37" i="9"/>
  <c r="BM37" i="9"/>
  <c r="S38" i="9"/>
  <c r="AO38" i="9"/>
  <c r="AP38" i="9"/>
  <c r="R39" i="9"/>
  <c r="J38" i="9"/>
  <c r="BN37" i="9" l="1"/>
  <c r="BO37" i="9" s="1"/>
  <c r="BL38" i="9"/>
  <c r="BM38" i="9"/>
  <c r="S39" i="9"/>
  <c r="R40" i="9"/>
  <c r="J39" i="9"/>
  <c r="AO39" i="9"/>
  <c r="AP39" i="9"/>
  <c r="BN38" i="9" l="1"/>
  <c r="BO38" i="9" s="1"/>
  <c r="BL39" i="9"/>
  <c r="BM39" i="9"/>
  <c r="S40" i="9"/>
  <c r="AP40" i="9"/>
  <c r="AO40" i="9"/>
  <c r="R41" i="9"/>
  <c r="J40" i="9"/>
  <c r="BN39" i="9" l="1"/>
  <c r="BO39" i="9" s="1"/>
  <c r="BL40" i="9"/>
  <c r="BM40" i="9"/>
  <c r="S41" i="9"/>
  <c r="AO41" i="9"/>
  <c r="AP41" i="9"/>
  <c r="R42" i="9"/>
  <c r="J41" i="9"/>
  <c r="BM41" i="9" l="1"/>
  <c r="BL41" i="9"/>
  <c r="S42" i="9"/>
  <c r="R43" i="9"/>
  <c r="J42" i="9"/>
  <c r="AO42" i="9"/>
  <c r="AP42" i="9"/>
  <c r="BN41" i="9" l="1"/>
  <c r="BO41" i="9" s="1"/>
  <c r="BL42" i="9"/>
  <c r="BM42" i="9"/>
  <c r="S43" i="9"/>
  <c r="AP43" i="9"/>
  <c r="AO43" i="9"/>
  <c r="R44" i="9"/>
  <c r="J43" i="9"/>
  <c r="BL43" i="9" l="1"/>
  <c r="BM43" i="9"/>
  <c r="S44" i="9"/>
  <c r="R45" i="9"/>
  <c r="J44" i="9"/>
  <c r="AP44" i="9"/>
  <c r="AO44" i="9"/>
  <c r="BN43" i="9" l="1"/>
  <c r="BO43" i="9" s="1"/>
  <c r="BM44" i="9"/>
  <c r="BL44" i="9"/>
  <c r="S45" i="9"/>
  <c r="J45" i="9"/>
  <c r="R46" i="9"/>
  <c r="AO45" i="9"/>
  <c r="AP45" i="9"/>
  <c r="BN44" i="9" l="1"/>
  <c r="BO44" i="9" s="1"/>
  <c r="BL45" i="9"/>
  <c r="BM45" i="9"/>
  <c r="S46" i="9"/>
  <c r="R47" i="9"/>
  <c r="J46" i="9"/>
  <c r="AO46" i="9"/>
  <c r="AP46" i="9"/>
  <c r="BN45" i="9" l="1"/>
  <c r="BO45" i="9" s="1"/>
  <c r="BL46" i="9"/>
  <c r="BM46" i="9"/>
  <c r="S47" i="9"/>
  <c r="AO47" i="9"/>
  <c r="AP47" i="9"/>
  <c r="R48" i="9"/>
  <c r="J47" i="9"/>
  <c r="BN46" i="9" l="1"/>
  <c r="BO46" i="9" s="1"/>
  <c r="BL47" i="9"/>
  <c r="BM47" i="9"/>
  <c r="S48" i="9"/>
  <c r="R49" i="9"/>
  <c r="J48" i="9"/>
  <c r="AP48" i="9"/>
  <c r="AO48" i="9"/>
  <c r="BN47" i="9" l="1"/>
  <c r="BO47" i="9" s="1"/>
  <c r="BL48" i="9"/>
  <c r="BM48" i="9"/>
  <c r="S49" i="9"/>
  <c r="R50" i="9"/>
  <c r="J49" i="9"/>
  <c r="AO49" i="9"/>
  <c r="AP49" i="9"/>
  <c r="BN48" i="9" l="1"/>
  <c r="BO48" i="9" s="1"/>
  <c r="BM49" i="9"/>
  <c r="BL49" i="9"/>
  <c r="S50" i="9"/>
  <c r="R51" i="9"/>
  <c r="J50" i="9"/>
  <c r="AO50" i="9"/>
  <c r="AP50" i="9"/>
  <c r="BN49" i="9" l="1"/>
  <c r="BO49" i="9" s="1"/>
  <c r="BL50" i="9"/>
  <c r="BM50" i="9"/>
  <c r="S51" i="9"/>
  <c r="AP51" i="9"/>
  <c r="AO51" i="9"/>
  <c r="R52" i="9"/>
  <c r="J51" i="9"/>
  <c r="BN50" i="9" l="1"/>
  <c r="BO50" i="9" s="1"/>
  <c r="BL51" i="9"/>
  <c r="BM51" i="9"/>
  <c r="S52" i="9"/>
  <c r="AP52" i="9"/>
  <c r="AO52" i="9"/>
  <c r="J52" i="9"/>
  <c r="BN51" i="9" l="1"/>
  <c r="BO51" i="9" s="1"/>
  <c r="BL52" i="9"/>
  <c r="BM52" i="9"/>
  <c r="AP53" i="9"/>
  <c r="AO53" i="9"/>
  <c r="BM53" i="9" l="1"/>
  <c r="BL53" i="9"/>
  <c r="AO54" i="9"/>
  <c r="AP54" i="9"/>
  <c r="BN53" i="9" l="1"/>
  <c r="BO53" i="9" s="1"/>
  <c r="BM54" i="9"/>
  <c r="BL54" i="9"/>
  <c r="AO55" i="9"/>
  <c r="AP55" i="9"/>
  <c r="BL55" i="9" l="1"/>
  <c r="BM55" i="9"/>
  <c r="AP56" i="9"/>
  <c r="AO56" i="9"/>
  <c r="BN55" i="9" l="1"/>
  <c r="BO55" i="9" s="1"/>
  <c r="BM56" i="9"/>
  <c r="BL56" i="9"/>
  <c r="AP57" i="9"/>
  <c r="AO57" i="9"/>
  <c r="BN56" i="9" l="1"/>
  <c r="BO56" i="9" s="1"/>
  <c r="BL57" i="9"/>
  <c r="BM57" i="9"/>
  <c r="AO58" i="9"/>
  <c r="AP58" i="9"/>
  <c r="BN57" i="9" l="1"/>
  <c r="BO57" i="9" s="1"/>
  <c r="BL58" i="9"/>
  <c r="BM58" i="9"/>
  <c r="AO59" i="9"/>
  <c r="AP59" i="9"/>
  <c r="BN58" i="9" l="1"/>
  <c r="BO58" i="9" s="1"/>
  <c r="BL59" i="9"/>
  <c r="BM59" i="9"/>
  <c r="AP60" i="9"/>
  <c r="AO60" i="9"/>
  <c r="BL60" i="9" l="1"/>
  <c r="BM60" i="9"/>
  <c r="BN59" i="9"/>
  <c r="BO59" i="9" s="1"/>
  <c r="AP61" i="9"/>
  <c r="AO61" i="9"/>
  <c r="BN60" i="9" l="1"/>
  <c r="BO60" i="9" s="1"/>
  <c r="BM61" i="9"/>
  <c r="BL61" i="9"/>
  <c r="AO62" i="9"/>
  <c r="AP62" i="9"/>
  <c r="BN61" i="9" l="1"/>
  <c r="BO61" i="9" s="1"/>
  <c r="BL62" i="9"/>
  <c r="BM62" i="9"/>
  <c r="AO63" i="9"/>
  <c r="AP63" i="9"/>
  <c r="BN62" i="9" l="1"/>
  <c r="BO62" i="9" s="1"/>
  <c r="BL63" i="9"/>
  <c r="BM63" i="9"/>
  <c r="AP64" i="9"/>
  <c r="AO64" i="9"/>
  <c r="BN63" i="9" l="1"/>
  <c r="BO63" i="9" s="1"/>
  <c r="BM64" i="9"/>
  <c r="BL64" i="9"/>
  <c r="AP65" i="9"/>
  <c r="AO65" i="9"/>
  <c r="BM65" i="9" l="1"/>
  <c r="BL65" i="9"/>
  <c r="AO66" i="9"/>
  <c r="AP66" i="9"/>
  <c r="BN65" i="9" l="1"/>
  <c r="BO65" i="9" s="1"/>
  <c r="BM66" i="9"/>
  <c r="BL66" i="9"/>
  <c r="AO67" i="9"/>
  <c r="AP67" i="9"/>
  <c r="BM67" i="9" l="1"/>
  <c r="BL67" i="9"/>
  <c r="AP68" i="9"/>
  <c r="AO68" i="9"/>
  <c r="BM68" i="9" l="1"/>
  <c r="BL68" i="9"/>
  <c r="BN67" i="9"/>
  <c r="BO67" i="9" s="1"/>
  <c r="AP69" i="9"/>
  <c r="AO69" i="9"/>
  <c r="BL69" i="9" l="1"/>
  <c r="BM69" i="9"/>
  <c r="BN68" i="9"/>
  <c r="BO68" i="9" s="1"/>
  <c r="AO70" i="9"/>
  <c r="AP70" i="9"/>
  <c r="BM70" i="9" l="1"/>
  <c r="BL70" i="9"/>
  <c r="BN69" i="9"/>
  <c r="BO69" i="9" s="1"/>
  <c r="AO71" i="9"/>
  <c r="AP71" i="9"/>
  <c r="BL71" i="9" l="1"/>
  <c r="BM71" i="9"/>
  <c r="BN70" i="9"/>
  <c r="BO70" i="9" s="1"/>
  <c r="AP72" i="9"/>
  <c r="AO72" i="9"/>
  <c r="BN71" i="9" l="1"/>
  <c r="BO71" i="9" s="1"/>
  <c r="BM72" i="9"/>
  <c r="BL72" i="9"/>
  <c r="AO73" i="9"/>
  <c r="AP73" i="9"/>
  <c r="BM73" i="9" l="1"/>
  <c r="BL73" i="9"/>
  <c r="BN72" i="9"/>
  <c r="BO72" i="9" s="1"/>
  <c r="AO74" i="9"/>
  <c r="AP74" i="9"/>
  <c r="BM74" i="9" l="1"/>
  <c r="BL74" i="9"/>
  <c r="BN73" i="9"/>
  <c r="BO73" i="9" s="1"/>
  <c r="AO75" i="9"/>
  <c r="AP75" i="9"/>
  <c r="BM75" i="9" l="1"/>
  <c r="BL75" i="9"/>
  <c r="BN74" i="9"/>
  <c r="BO74" i="9" s="1"/>
  <c r="AP76" i="9"/>
  <c r="AO76" i="9"/>
  <c r="BM76" i="9" l="1"/>
  <c r="BL76" i="9"/>
  <c r="BN75" i="9"/>
  <c r="BO75" i="9" s="1"/>
  <c r="AP77" i="9"/>
  <c r="AO77" i="9"/>
  <c r="BL77" i="9" l="1"/>
  <c r="BM77" i="9"/>
  <c r="AO78" i="9"/>
  <c r="AP78" i="9"/>
  <c r="BM78" i="9" l="1"/>
  <c r="BL78" i="9"/>
  <c r="BN77" i="9"/>
  <c r="BO77" i="9" s="1"/>
  <c r="AO79" i="9"/>
  <c r="AP79" i="9"/>
  <c r="BM79" i="9" l="1"/>
  <c r="BL79" i="9"/>
  <c r="AP80" i="9"/>
  <c r="AO80" i="9"/>
  <c r="BM80" i="9" l="1"/>
  <c r="BL80" i="9"/>
  <c r="BN79" i="9"/>
  <c r="BO79" i="9" s="1"/>
  <c r="AP81" i="9"/>
  <c r="AO81" i="9"/>
  <c r="BM81" i="9" l="1"/>
  <c r="BL81" i="9"/>
  <c r="BN80" i="9"/>
  <c r="BO80" i="9" s="1"/>
  <c r="AO82" i="9"/>
  <c r="AP82" i="9"/>
  <c r="BM82" i="9" l="1"/>
  <c r="BL82" i="9"/>
  <c r="BN81" i="9"/>
  <c r="BO81" i="9" s="1"/>
  <c r="AO83" i="9"/>
  <c r="AP83" i="9"/>
  <c r="BN82" i="9" l="1"/>
  <c r="BO82" i="9" s="1"/>
  <c r="BM83" i="9"/>
  <c r="BL83" i="9"/>
  <c r="AP84" i="9"/>
  <c r="AO84" i="9"/>
  <c r="BN83" i="9" l="1"/>
  <c r="BO83" i="9" s="1"/>
  <c r="BM84" i="9"/>
  <c r="BL84" i="9"/>
  <c r="AP85" i="9"/>
  <c r="AO85" i="9"/>
  <c r="BN84" i="9" l="1"/>
  <c r="BO84" i="9" s="1"/>
  <c r="BL85" i="9"/>
  <c r="BM85" i="9"/>
  <c r="AO86" i="9"/>
  <c r="AP86" i="9"/>
  <c r="BN85" i="9" l="1"/>
  <c r="BO85" i="9" s="1"/>
  <c r="BL86" i="9"/>
  <c r="BM86" i="9"/>
  <c r="AO87" i="9"/>
  <c r="AP87" i="9"/>
  <c r="BN86" i="9" l="1"/>
  <c r="BO86" i="9" s="1"/>
  <c r="BL87" i="9"/>
  <c r="BM87" i="9"/>
  <c r="AP88" i="9"/>
  <c r="AO88" i="9"/>
  <c r="BN87" i="9" l="1"/>
  <c r="BO87" i="9" s="1"/>
  <c r="BM88" i="9"/>
  <c r="BL88" i="9"/>
  <c r="AO89" i="9"/>
  <c r="AP89" i="9"/>
  <c r="BM89" i="9" l="1"/>
  <c r="BL89" i="9"/>
  <c r="AO90" i="9"/>
  <c r="AP90" i="9"/>
  <c r="BN89" i="9" l="1"/>
  <c r="BO89" i="9" s="1"/>
  <c r="BM90" i="9"/>
  <c r="BL90" i="9"/>
  <c r="AO91" i="9"/>
  <c r="AP91" i="9"/>
  <c r="BM91" i="9" l="1"/>
  <c r="BL91" i="9"/>
  <c r="AP92" i="9"/>
  <c r="AO92" i="9"/>
  <c r="BN91" i="9" l="1"/>
  <c r="BO91" i="9" s="1"/>
  <c r="BL92" i="9"/>
  <c r="BM92" i="9"/>
  <c r="AP93" i="9"/>
  <c r="AO93" i="9"/>
  <c r="BN92" i="9" l="1"/>
  <c r="BO92" i="9" s="1"/>
  <c r="BL93" i="9"/>
  <c r="BM93" i="9"/>
  <c r="AO94" i="9"/>
  <c r="AP94" i="9"/>
  <c r="BN93" i="9" l="1"/>
  <c r="BO93" i="9" s="1"/>
  <c r="BM94" i="9"/>
  <c r="BL94" i="9"/>
  <c r="AO95" i="9"/>
  <c r="AP95" i="9"/>
  <c r="BN94" i="9" l="1"/>
  <c r="BO94" i="9" s="1"/>
  <c r="BL95" i="9"/>
  <c r="BM95" i="9"/>
  <c r="AP96" i="9"/>
  <c r="AO96" i="9"/>
  <c r="BN95" i="9" l="1"/>
  <c r="BO95" i="9" s="1"/>
  <c r="BM96" i="9"/>
  <c r="BL96" i="9"/>
  <c r="AP97" i="9"/>
  <c r="AO97" i="9"/>
  <c r="BN96" i="9" l="1"/>
  <c r="BO96" i="9" s="1"/>
  <c r="BM97" i="9"/>
  <c r="BL97" i="9"/>
  <c r="AO98" i="9"/>
  <c r="AP98" i="9"/>
  <c r="BN97" i="9" l="1"/>
  <c r="BO97" i="9" s="1"/>
  <c r="BM98" i="9"/>
  <c r="BL98" i="9"/>
  <c r="AO99" i="9"/>
  <c r="AP99" i="9"/>
  <c r="BN98" i="9" l="1"/>
  <c r="BO98" i="9" s="1"/>
  <c r="BM99" i="9"/>
  <c r="BL99" i="9"/>
  <c r="AP100" i="9"/>
  <c r="AO100" i="9"/>
  <c r="BN99" i="9" l="1"/>
  <c r="BO99" i="9" s="1"/>
  <c r="BM100" i="9"/>
  <c r="BL100" i="9"/>
  <c r="AP101" i="9"/>
  <c r="AO101" i="9"/>
  <c r="BL101" i="9" l="1"/>
  <c r="BM101" i="9"/>
  <c r="AO102" i="9"/>
  <c r="AP102" i="9"/>
  <c r="BN101" i="9" l="1"/>
  <c r="BO101" i="9" s="1"/>
  <c r="BM102" i="9"/>
  <c r="BL102" i="9"/>
  <c r="AO103" i="9"/>
  <c r="AP103" i="9"/>
  <c r="BL103" i="9" l="1"/>
  <c r="BM103" i="9"/>
  <c r="AP104" i="9"/>
  <c r="AO104" i="9"/>
  <c r="BN103" i="9" l="1"/>
  <c r="BO103" i="9" s="1"/>
  <c r="BM104" i="9"/>
  <c r="BL104" i="9"/>
  <c r="AO105" i="9"/>
  <c r="AP105" i="9"/>
  <c r="BN104" i="9" l="1"/>
  <c r="BO104" i="9" s="1"/>
  <c r="BL105" i="9"/>
  <c r="BM105" i="9"/>
  <c r="AO106" i="9"/>
  <c r="AP106" i="9"/>
  <c r="BN105" i="9" l="1"/>
  <c r="BO105" i="9" s="1"/>
  <c r="BM106" i="9"/>
  <c r="BL106" i="9"/>
  <c r="AO107" i="9"/>
  <c r="AP107" i="9"/>
  <c r="BN106" i="9" l="1"/>
  <c r="BO106" i="9" s="1"/>
  <c r="BL107" i="9"/>
  <c r="BM107" i="9"/>
  <c r="AP108" i="9"/>
  <c r="AO108" i="9"/>
  <c r="BN107" i="9" l="1"/>
  <c r="BO107" i="9" s="1"/>
  <c r="BM108" i="9"/>
  <c r="BL108" i="9"/>
  <c r="AP109" i="9"/>
  <c r="AO109" i="9"/>
  <c r="BN108" i="9" l="1"/>
  <c r="BO108" i="9" s="1"/>
  <c r="BL109" i="9"/>
  <c r="BM109" i="9"/>
  <c r="AO110" i="9"/>
  <c r="AP110" i="9"/>
  <c r="BN109" i="9" l="1"/>
  <c r="BO109" i="9" s="1"/>
  <c r="BL110" i="9"/>
  <c r="BM110" i="9"/>
  <c r="AO111" i="9"/>
  <c r="AP111" i="9"/>
  <c r="BN110" i="9" l="1"/>
  <c r="BO110" i="9" s="1"/>
  <c r="BL111" i="9"/>
  <c r="BM111" i="9"/>
  <c r="AP112" i="9"/>
  <c r="AO112" i="9"/>
  <c r="BN111" i="9" l="1"/>
  <c r="BO111" i="9" s="1"/>
  <c r="BM112" i="9"/>
  <c r="BL112" i="9"/>
  <c r="AO113" i="9"/>
  <c r="AP113" i="9"/>
  <c r="BM113" i="9" l="1"/>
  <c r="BL113" i="9"/>
  <c r="AO114" i="9"/>
  <c r="AP114" i="9"/>
  <c r="BN113" i="9" l="1"/>
  <c r="BO113" i="9" s="1"/>
  <c r="BL114" i="9"/>
  <c r="BM114" i="9"/>
  <c r="AO115" i="9"/>
  <c r="AP115" i="9"/>
  <c r="BL115" i="9" l="1"/>
  <c r="BM115" i="9"/>
  <c r="AP116" i="9"/>
  <c r="AO116" i="9"/>
  <c r="BN115" i="9" l="1"/>
  <c r="BO115" i="9" s="1"/>
  <c r="BL116" i="9"/>
  <c r="BM116" i="9"/>
  <c r="AP117" i="9"/>
  <c r="AO117" i="9"/>
  <c r="BN116" i="9" l="1"/>
  <c r="BO116" i="9" s="1"/>
  <c r="BL117" i="9"/>
  <c r="BM117" i="9"/>
  <c r="AO118" i="9"/>
  <c r="AP118" i="9"/>
  <c r="BN117" i="9" l="1"/>
  <c r="BO117" i="9" s="1"/>
  <c r="BM118" i="9"/>
  <c r="BL118" i="9"/>
  <c r="AO119" i="9"/>
  <c r="AP119" i="9"/>
  <c r="BN118" i="9" l="1"/>
  <c r="BO118" i="9" s="1"/>
  <c r="BL119" i="9"/>
  <c r="BM119" i="9"/>
  <c r="AP120" i="9"/>
  <c r="AO120" i="9"/>
  <c r="BN119" i="9" l="1"/>
  <c r="BO119" i="9" s="1"/>
  <c r="BM120" i="9"/>
  <c r="BL120" i="9"/>
  <c r="AP121" i="9"/>
  <c r="AO121" i="9"/>
  <c r="BN120" i="9" l="1"/>
  <c r="BO120" i="9" s="1"/>
  <c r="BM121" i="9"/>
  <c r="BL121" i="9"/>
  <c r="AO122" i="9"/>
  <c r="AP122" i="9"/>
  <c r="BN121" i="9" l="1"/>
  <c r="BO121" i="9" s="1"/>
  <c r="BL122" i="9"/>
  <c r="BM122" i="9"/>
  <c r="AO123" i="9"/>
  <c r="AP123" i="9"/>
  <c r="BN122" i="9" l="1"/>
  <c r="BO122" i="9" s="1"/>
  <c r="BM123" i="9"/>
  <c r="BL123" i="9"/>
  <c r="AP124" i="9"/>
  <c r="AO124" i="9"/>
  <c r="BN123" i="9" l="1"/>
  <c r="BO123" i="9" s="1"/>
  <c r="BM124" i="9"/>
  <c r="BL124" i="9"/>
  <c r="AP125" i="9"/>
  <c r="AO125" i="9"/>
  <c r="BL125" i="9" l="1"/>
  <c r="BM125" i="9"/>
  <c r="AO126" i="9"/>
  <c r="AP126" i="9"/>
  <c r="BN125" i="9" l="1"/>
  <c r="BO125" i="9" s="1"/>
  <c r="BL126" i="9"/>
  <c r="BM126" i="9"/>
  <c r="AO127" i="9"/>
  <c r="AP127" i="9"/>
  <c r="BL127" i="9" l="1"/>
  <c r="BM127" i="9"/>
  <c r="AP128" i="9"/>
  <c r="AO128" i="9"/>
  <c r="BN127" i="9" l="1"/>
  <c r="BO127" i="9" s="1"/>
  <c r="BM128" i="9"/>
  <c r="BL128" i="9"/>
  <c r="AO129" i="9"/>
  <c r="AP129" i="9"/>
  <c r="BN128" i="9" l="1"/>
  <c r="BO128" i="9" s="1"/>
  <c r="BL129" i="9"/>
  <c r="BM129" i="9"/>
  <c r="AO130" i="9"/>
  <c r="AP130" i="9"/>
  <c r="BN129" i="9" l="1"/>
  <c r="BO129" i="9" s="1"/>
  <c r="BM130" i="9"/>
  <c r="BL130" i="9"/>
  <c r="AO131" i="9"/>
  <c r="AP131" i="9"/>
  <c r="BN130" i="9" l="1"/>
  <c r="BO130" i="9" s="1"/>
  <c r="BL131" i="9"/>
  <c r="BM131" i="9"/>
  <c r="AP132" i="9"/>
  <c r="AO132" i="9"/>
  <c r="BN131" i="9" l="1"/>
  <c r="BO131" i="9" s="1"/>
  <c r="BM132" i="9"/>
  <c r="BL132" i="9"/>
  <c r="AP133" i="9"/>
  <c r="AO133" i="9"/>
  <c r="BN132" i="9" l="1"/>
  <c r="BO132" i="9" s="1"/>
  <c r="BL133" i="9"/>
  <c r="BM133" i="9"/>
  <c r="AP134" i="9"/>
  <c r="AO134" i="9"/>
  <c r="BN133" i="9" l="1"/>
  <c r="BO133" i="9" s="1"/>
  <c r="BM134" i="9"/>
  <c r="BL134" i="9"/>
  <c r="AP135" i="9"/>
  <c r="AO135" i="9"/>
  <c r="BN134" i="9" l="1"/>
  <c r="BO134" i="9" s="1"/>
  <c r="BM135" i="9"/>
  <c r="BL135" i="9"/>
  <c r="AO136" i="9"/>
  <c r="AP136" i="9"/>
  <c r="BM136" i="9" l="1"/>
  <c r="BL136" i="9"/>
  <c r="BN135" i="9"/>
  <c r="BO135" i="9" s="1"/>
  <c r="AO137" i="9"/>
  <c r="AP137" i="9"/>
  <c r="BM137" i="9" l="1"/>
  <c r="BL137" i="9"/>
  <c r="AP138" i="9"/>
  <c r="AO138" i="9"/>
  <c r="BN137" i="9" l="1"/>
  <c r="BO137" i="9" s="1"/>
  <c r="BM138" i="9"/>
  <c r="BL138" i="9"/>
  <c r="AO139" i="9"/>
  <c r="AP139" i="9"/>
  <c r="BM139" i="9" l="1"/>
  <c r="BL139" i="9"/>
  <c r="AP140" i="9"/>
  <c r="AO140" i="9"/>
  <c r="BN139" i="9" l="1"/>
  <c r="BO139" i="9" s="1"/>
  <c r="BM140" i="9"/>
  <c r="BL140" i="9"/>
  <c r="AO141" i="9"/>
  <c r="AP141" i="9"/>
  <c r="BN140" i="9" l="1"/>
  <c r="BO140" i="9" s="1"/>
  <c r="BL141" i="9"/>
  <c r="BM141" i="9"/>
  <c r="AP142" i="9"/>
  <c r="AO142" i="9"/>
  <c r="BN141" i="9" l="1"/>
  <c r="BO141" i="9" s="1"/>
  <c r="BL142" i="9"/>
  <c r="BM142" i="9"/>
  <c r="AO143" i="9"/>
  <c r="AP143" i="9"/>
  <c r="BN142" i="9" l="1"/>
  <c r="BO142" i="9" s="1"/>
  <c r="BL143" i="9"/>
  <c r="BM143" i="9"/>
  <c r="AP144" i="9"/>
  <c r="AO144" i="9"/>
  <c r="BN143" i="9" l="1"/>
  <c r="BO143" i="9" s="1"/>
  <c r="BM144" i="9"/>
  <c r="BL144" i="9"/>
  <c r="AO145" i="9"/>
  <c r="AP145" i="9"/>
  <c r="BN144" i="9" l="1"/>
  <c r="BO144" i="9" s="1"/>
  <c r="BM145" i="9"/>
  <c r="BL145" i="9"/>
  <c r="AP146" i="9"/>
  <c r="AO146" i="9"/>
  <c r="BN145" i="9" l="1"/>
  <c r="BO145" i="9" s="1"/>
  <c r="BM146" i="9"/>
  <c r="BL146" i="9"/>
  <c r="AP147" i="9"/>
  <c r="AO147" i="9"/>
  <c r="BN146" i="9" l="1"/>
  <c r="BO146" i="9" s="1"/>
  <c r="BM147" i="9"/>
  <c r="BL147" i="9"/>
  <c r="AO148" i="9"/>
  <c r="AP148" i="9"/>
  <c r="BN147" i="9" l="1"/>
  <c r="BO147" i="9" s="1"/>
  <c r="BM148" i="9"/>
  <c r="BL148" i="9"/>
  <c r="AO149" i="9"/>
  <c r="AP149" i="9"/>
  <c r="BL149" i="9" l="1"/>
  <c r="BM149" i="9"/>
  <c r="AP150" i="9"/>
  <c r="AO150" i="9"/>
  <c r="BN149" i="9" l="1"/>
  <c r="BO149" i="9" s="1"/>
  <c r="BL150" i="9"/>
  <c r="BM150" i="9"/>
  <c r="AP151" i="9"/>
  <c r="AO151" i="9"/>
  <c r="BL151" i="9" l="1"/>
  <c r="BM151" i="9"/>
  <c r="AO152" i="9"/>
  <c r="AP152" i="9"/>
  <c r="BN151" i="9" l="1"/>
  <c r="BO151" i="9" s="1"/>
  <c r="BM152" i="9"/>
  <c r="BL152" i="9"/>
  <c r="AO153" i="9"/>
  <c r="AP153" i="9"/>
  <c r="BN152" i="9" l="1"/>
  <c r="BO152" i="9" s="1"/>
  <c r="BM153" i="9"/>
  <c r="BL153" i="9"/>
  <c r="AP154" i="9"/>
  <c r="AO154" i="9"/>
  <c r="BN153" i="9" l="1"/>
  <c r="BO153" i="9" s="1"/>
  <c r="BM154" i="9"/>
  <c r="BL154" i="9"/>
  <c r="AP155" i="9"/>
  <c r="AO155" i="9"/>
  <c r="BN154" i="9" l="1"/>
  <c r="BO154" i="9" s="1"/>
  <c r="BM155" i="9"/>
  <c r="BL155" i="9"/>
  <c r="AO156" i="9"/>
  <c r="AP156" i="9"/>
  <c r="BN155" i="9" l="1"/>
  <c r="BO155" i="9" s="1"/>
  <c r="BM156" i="9"/>
  <c r="BL156" i="9"/>
  <c r="AO157" i="9"/>
  <c r="AP157" i="9"/>
  <c r="BN156" i="9" l="1"/>
  <c r="BO156" i="9" s="1"/>
  <c r="BL157" i="9"/>
  <c r="BM157" i="9"/>
  <c r="AO158" i="9"/>
  <c r="AP158" i="9"/>
  <c r="BN157" i="9" l="1"/>
  <c r="BO157" i="9" s="1"/>
  <c r="BM158" i="9"/>
  <c r="BL158" i="9"/>
  <c r="AP159" i="9"/>
  <c r="AO159" i="9"/>
  <c r="BN158" i="9" l="1"/>
  <c r="BO158" i="9" s="1"/>
  <c r="BL159" i="9"/>
  <c r="BM159" i="9"/>
  <c r="AP160" i="9"/>
  <c r="AO160" i="9"/>
  <c r="BN159" i="9" l="1"/>
  <c r="BO159" i="9" s="1"/>
  <c r="BM160" i="9"/>
  <c r="BL160" i="9"/>
  <c r="AO161" i="9"/>
  <c r="AP161" i="9"/>
  <c r="BM161" i="9" l="1"/>
  <c r="BL161" i="9"/>
  <c r="AO162" i="9"/>
  <c r="AP162" i="9"/>
  <c r="BN161" i="9" l="1"/>
  <c r="BO161" i="9" s="1"/>
  <c r="BM162" i="9"/>
  <c r="BL162" i="9"/>
  <c r="AP163" i="9"/>
  <c r="AO163" i="9"/>
  <c r="BM163" i="9" l="1"/>
  <c r="BL163" i="9"/>
  <c r="AO164" i="9"/>
  <c r="AP164" i="9"/>
  <c r="BN163" i="9" l="1"/>
  <c r="BO163" i="9" s="1"/>
  <c r="BM164" i="9"/>
  <c r="BL164" i="9"/>
  <c r="AO165" i="9"/>
  <c r="AP165" i="9"/>
  <c r="BN164" i="9" l="1"/>
  <c r="BO164" i="9" s="1"/>
  <c r="BL165" i="9"/>
  <c r="BM165" i="9"/>
  <c r="AO166" i="9"/>
  <c r="AP166" i="9"/>
  <c r="BN165" i="9" l="1"/>
  <c r="BO165" i="9" s="1"/>
  <c r="BL166" i="9"/>
  <c r="BM166" i="9"/>
  <c r="AP167" i="9"/>
  <c r="AO167" i="9"/>
  <c r="BN166" i="9" l="1"/>
  <c r="BO166" i="9" s="1"/>
  <c r="BM167" i="9"/>
  <c r="BL167" i="9"/>
  <c r="AP168" i="9"/>
  <c r="AO168" i="9"/>
  <c r="BN167" i="9" l="1"/>
  <c r="BO167" i="9" s="1"/>
  <c r="BM168" i="9"/>
  <c r="BL168" i="9"/>
  <c r="AO169" i="9"/>
  <c r="AP169" i="9"/>
  <c r="BN168" i="9" l="1"/>
  <c r="BO168" i="9" s="1"/>
  <c r="BM169" i="9"/>
  <c r="BL169" i="9"/>
  <c r="AO170" i="9"/>
  <c r="AP170" i="9"/>
  <c r="BN169" i="9" l="1"/>
  <c r="BO169" i="9" s="1"/>
  <c r="BM170" i="9"/>
  <c r="BL170" i="9"/>
  <c r="AP171" i="9"/>
  <c r="AO171" i="9"/>
  <c r="BN170" i="9" l="1"/>
  <c r="BO170" i="9" s="1"/>
  <c r="BM171" i="9"/>
  <c r="BL171" i="9"/>
  <c r="AO172" i="9"/>
  <c r="AP172" i="9"/>
  <c r="BN171" i="9" l="1"/>
  <c r="BO171" i="9" s="1"/>
  <c r="BM172" i="9"/>
  <c r="BL172" i="9"/>
  <c r="AO173" i="9"/>
  <c r="AP173" i="9"/>
  <c r="BL173" i="9" l="1"/>
  <c r="BM173" i="9"/>
  <c r="AO174" i="9"/>
  <c r="AP174" i="9"/>
  <c r="BN173" i="9" l="1"/>
  <c r="BO173" i="9" s="1"/>
  <c r="BM174" i="9"/>
  <c r="BL174" i="9"/>
  <c r="AP175" i="9"/>
  <c r="AO175" i="9"/>
  <c r="BM175" i="9" l="1"/>
  <c r="BL175" i="9"/>
  <c r="AP176" i="9"/>
  <c r="AO176" i="9"/>
  <c r="BN175" i="9" l="1"/>
  <c r="BO175" i="9" s="1"/>
  <c r="BM176" i="9"/>
  <c r="BL176" i="9"/>
  <c r="AO177" i="9"/>
  <c r="AP177" i="9"/>
  <c r="BN176" i="9" l="1"/>
  <c r="BO176" i="9" s="1"/>
  <c r="BM177" i="9"/>
  <c r="BL177" i="9"/>
  <c r="AO178" i="9"/>
  <c r="AP178" i="9"/>
  <c r="BN177" i="9" l="1"/>
  <c r="BO177" i="9" s="1"/>
  <c r="BM178" i="9"/>
  <c r="BL178" i="9"/>
  <c r="AP179" i="9"/>
  <c r="AO179" i="9"/>
  <c r="BN178" i="9" l="1"/>
  <c r="BO178" i="9" s="1"/>
  <c r="BL179" i="9"/>
  <c r="BM179" i="9"/>
  <c r="AO180" i="9"/>
  <c r="AP180" i="9"/>
  <c r="BN179" i="9" l="1"/>
  <c r="BO179" i="9" s="1"/>
  <c r="BM180" i="9"/>
  <c r="BL180" i="9"/>
  <c r="AO181" i="9"/>
  <c r="AP181" i="9"/>
  <c r="BN180" i="9" l="1"/>
  <c r="BO180" i="9" s="1"/>
  <c r="BL181" i="9"/>
  <c r="BM181" i="9"/>
  <c r="AO182" i="9"/>
  <c r="AP182" i="9"/>
  <c r="BN181" i="9" l="1"/>
  <c r="BO181" i="9" s="1"/>
  <c r="BM182" i="9"/>
  <c r="BL182" i="9"/>
  <c r="AP183" i="9"/>
  <c r="AO183" i="9"/>
  <c r="BN182" i="9" l="1"/>
  <c r="BO182" i="9" s="1"/>
  <c r="BL183" i="9"/>
  <c r="BM183" i="9"/>
  <c r="AP184" i="9"/>
  <c r="AO184" i="9"/>
  <c r="BN183" i="9" l="1"/>
  <c r="BO183" i="9" s="1"/>
  <c r="BM184" i="9"/>
  <c r="BL184" i="9"/>
  <c r="AO185" i="9"/>
  <c r="AP185" i="9"/>
  <c r="BM185" i="9" l="1"/>
  <c r="BL185" i="9"/>
  <c r="AO186" i="9"/>
  <c r="AP186" i="9"/>
  <c r="BN185" i="9" l="1"/>
  <c r="BO185" i="9" s="1"/>
  <c r="BL186" i="9"/>
  <c r="BM186" i="9"/>
  <c r="AP187" i="9"/>
  <c r="AO187" i="9"/>
  <c r="BM187" i="9" l="1"/>
  <c r="BL187" i="9"/>
  <c r="AO188" i="9"/>
  <c r="AP188" i="9"/>
  <c r="BN187" i="9" l="1"/>
  <c r="BO187" i="9" s="1"/>
  <c r="BL188" i="9"/>
  <c r="BM188" i="9"/>
  <c r="AO189" i="9"/>
  <c r="AP189" i="9"/>
  <c r="BN188" i="9" l="1"/>
  <c r="BO188" i="9" s="1"/>
  <c r="BM189" i="9"/>
  <c r="BL189" i="9"/>
  <c r="AO190" i="9"/>
  <c r="AP190" i="9"/>
  <c r="BN189" i="9" l="1"/>
  <c r="BO189" i="9" s="1"/>
  <c r="BM190" i="9"/>
  <c r="BL190" i="9"/>
  <c r="AP191" i="9"/>
  <c r="AO191" i="9"/>
  <c r="BN190" i="9" l="1"/>
  <c r="BO190" i="9" s="1"/>
  <c r="BM191" i="9"/>
  <c r="BL191" i="9"/>
  <c r="AP192" i="9"/>
  <c r="AO192" i="9"/>
  <c r="BN191" i="9" l="1"/>
  <c r="BO191" i="9" s="1"/>
  <c r="BL192" i="9"/>
  <c r="BM192" i="9"/>
  <c r="AO193" i="9"/>
  <c r="AP193" i="9"/>
  <c r="BN192" i="9" l="1"/>
  <c r="BO192" i="9" s="1"/>
  <c r="BM193" i="9"/>
  <c r="BL193" i="9"/>
  <c r="AO194" i="9"/>
  <c r="AP194" i="9"/>
  <c r="BN193" i="9" l="1"/>
  <c r="BO193" i="9" s="1"/>
  <c r="BM194" i="9"/>
  <c r="BL194" i="9"/>
  <c r="AP195" i="9"/>
  <c r="AO195" i="9"/>
  <c r="BN194" i="9" l="1"/>
  <c r="BO194" i="9" s="1"/>
  <c r="BM195" i="9"/>
  <c r="BL195" i="9"/>
  <c r="AO196" i="9"/>
  <c r="AP196" i="9"/>
  <c r="BN195" i="9" l="1"/>
  <c r="BO195" i="9" s="1"/>
  <c r="BL196" i="9"/>
  <c r="BM196" i="9"/>
  <c r="AO197" i="9"/>
  <c r="AP197" i="9"/>
  <c r="BL197" i="9" l="1"/>
  <c r="BM197" i="9"/>
  <c r="AP198" i="9"/>
  <c r="AO198" i="9"/>
  <c r="BN197" i="9" l="1"/>
  <c r="BO197" i="9" s="1"/>
  <c r="BL198" i="9"/>
  <c r="BM198" i="9"/>
  <c r="AO199" i="9"/>
  <c r="AP199" i="9"/>
  <c r="BM199" i="9" l="1"/>
  <c r="BL199" i="9"/>
  <c r="AP200" i="9"/>
  <c r="AO200" i="9"/>
  <c r="BN199" i="9" l="1"/>
  <c r="BO199" i="9" s="1"/>
  <c r="BL200" i="9"/>
  <c r="BM200" i="9"/>
  <c r="AO201" i="9"/>
  <c r="AP201" i="9"/>
  <c r="BN200" i="9" l="1"/>
  <c r="BO200" i="9" s="1"/>
  <c r="BM201" i="9"/>
  <c r="BL201" i="9"/>
  <c r="AP202" i="9"/>
  <c r="AO202" i="9"/>
  <c r="BN201" i="9" l="1"/>
  <c r="BO201" i="9" s="1"/>
  <c r="BL202" i="9"/>
  <c r="BM202" i="9"/>
  <c r="AP203" i="9"/>
  <c r="AO203" i="9"/>
  <c r="BN202" i="9" l="1"/>
  <c r="BO202" i="9" s="1"/>
  <c r="BM203" i="9"/>
  <c r="BL203" i="9"/>
  <c r="AO204" i="9"/>
  <c r="AP204" i="9"/>
  <c r="BN203" i="9" l="1"/>
  <c r="BO203" i="9" s="1"/>
  <c r="BL204" i="9"/>
  <c r="BM204" i="9"/>
  <c r="AO205" i="9"/>
  <c r="AP205" i="9"/>
  <c r="BN204" i="9" l="1"/>
  <c r="BO204" i="9" s="1"/>
  <c r="BL205" i="9"/>
  <c r="BM205" i="9"/>
  <c r="AP206" i="9"/>
  <c r="AO206" i="9"/>
  <c r="BN205" i="9" l="1"/>
  <c r="BO205" i="9" s="1"/>
  <c r="BL206" i="9"/>
  <c r="BM206" i="9"/>
  <c r="AP207" i="9"/>
  <c r="AO207" i="9"/>
  <c r="BN206" i="9" l="1"/>
  <c r="BO206" i="9" s="1"/>
  <c r="BM207" i="9"/>
  <c r="BL207" i="9"/>
  <c r="AO208" i="9"/>
  <c r="AP208" i="9"/>
  <c r="BN207" i="9" l="1"/>
  <c r="BO207" i="9" s="1"/>
  <c r="BL208" i="9"/>
  <c r="BM208" i="9"/>
  <c r="AO209" i="9"/>
  <c r="AL209" i="9" s="1"/>
  <c r="AP209" i="9"/>
  <c r="BL209" i="9" l="1"/>
  <c r="BM209" i="9"/>
  <c r="AP210" i="9"/>
  <c r="AO210" i="9"/>
  <c r="BN209" i="9" l="1"/>
  <c r="BO209" i="9" s="1"/>
  <c r="BL210" i="9"/>
  <c r="BM210" i="9"/>
  <c r="AL210" i="9"/>
  <c r="AO211" i="9"/>
  <c r="AL211" i="9" s="1"/>
  <c r="AP211" i="9"/>
  <c r="BM211" i="9" l="1"/>
  <c r="BL211" i="9"/>
  <c r="AP212" i="9"/>
  <c r="AO212" i="9"/>
  <c r="BN211" i="9" l="1"/>
  <c r="BO211" i="9" s="1"/>
  <c r="BL212" i="9"/>
  <c r="BM212" i="9"/>
  <c r="AO213" i="9"/>
  <c r="AP213" i="9"/>
  <c r="BN212" i="9" l="1"/>
  <c r="BO212" i="9" s="1"/>
  <c r="BL213" i="9"/>
  <c r="BM213" i="9"/>
  <c r="AP214" i="9"/>
  <c r="AO214" i="9"/>
  <c r="BN213" i="9" l="1"/>
  <c r="BO213" i="9" s="1"/>
  <c r="BL214" i="9"/>
  <c r="BM214" i="9"/>
  <c r="AO215" i="9"/>
  <c r="AP215" i="9"/>
  <c r="BN214" i="9" l="1"/>
  <c r="BO214" i="9" s="1"/>
  <c r="BM215" i="9"/>
  <c r="BL215" i="9"/>
  <c r="AP216" i="9"/>
  <c r="AO216" i="9"/>
  <c r="BN215" i="9" l="1"/>
  <c r="BO215" i="9" s="1"/>
  <c r="BM216" i="9"/>
  <c r="BL216" i="9"/>
  <c r="AO217" i="9"/>
  <c r="AP217" i="9"/>
  <c r="BN216" i="9" l="1"/>
  <c r="BO216" i="9" s="1"/>
  <c r="BM217" i="9"/>
  <c r="BL217" i="9"/>
  <c r="AP218" i="9"/>
  <c r="AO218" i="9"/>
  <c r="BN217" i="9" l="1"/>
  <c r="BO217" i="9" s="1"/>
  <c r="BL218" i="9"/>
  <c r="BM218" i="9"/>
  <c r="AO219" i="9"/>
  <c r="AP219" i="9"/>
  <c r="BN218" i="9" l="1"/>
  <c r="BO218" i="9" s="1"/>
  <c r="BM219" i="9"/>
  <c r="BL219" i="9"/>
  <c r="AO220" i="9"/>
  <c r="AP220" i="9"/>
  <c r="BN219" i="9" l="1"/>
  <c r="BO219" i="9" s="1"/>
  <c r="BL220" i="9"/>
  <c r="BM220" i="9"/>
  <c r="AO221" i="9"/>
  <c r="AP221" i="9"/>
  <c r="BM221" i="9" l="1"/>
  <c r="BL221" i="9"/>
  <c r="AP222" i="9"/>
  <c r="AO222" i="9"/>
  <c r="BN221" i="9" l="1"/>
  <c r="BO221" i="9" s="1"/>
  <c r="BM222" i="9"/>
  <c r="BL222" i="9"/>
  <c r="AP223" i="9"/>
  <c r="AO223" i="9"/>
  <c r="BM223" i="9" l="1"/>
  <c r="BL223" i="9"/>
  <c r="AO224" i="9"/>
  <c r="AP224" i="9"/>
  <c r="BN223" i="9" l="1"/>
  <c r="BO223" i="9" s="1"/>
  <c r="BL224" i="9"/>
  <c r="BM224" i="9"/>
  <c r="AO225" i="9"/>
  <c r="AP225" i="9"/>
  <c r="BN224" i="9" l="1"/>
  <c r="BO224" i="9" s="1"/>
  <c r="BL225" i="9"/>
  <c r="BM225" i="9"/>
  <c r="AP226" i="9"/>
  <c r="AO226" i="9"/>
  <c r="BN225" i="9" l="1"/>
  <c r="BO225" i="9" s="1"/>
  <c r="BM226" i="9"/>
  <c r="BL226" i="9"/>
  <c r="AO227" i="9"/>
  <c r="AP227" i="9"/>
  <c r="BN226" i="9" l="1"/>
  <c r="BO226" i="9" s="1"/>
  <c r="BL227" i="9"/>
  <c r="BM227" i="9"/>
  <c r="AO228" i="9"/>
  <c r="AP228" i="9"/>
  <c r="BN227" i="9" l="1"/>
  <c r="BO227" i="9" s="1"/>
  <c r="BL228" i="9"/>
  <c r="BM228" i="9"/>
  <c r="AP229" i="9"/>
  <c r="AO229" i="9"/>
  <c r="BN228" i="9" l="1"/>
  <c r="BO228" i="9" s="1"/>
  <c r="BL229" i="9"/>
  <c r="BM229" i="9"/>
  <c r="AP230" i="9"/>
  <c r="AO230" i="9"/>
  <c r="BN229" i="9" l="1"/>
  <c r="BO229" i="9" s="1"/>
  <c r="BL230" i="9"/>
  <c r="BM230" i="9"/>
  <c r="AO231" i="9"/>
  <c r="AP231" i="9"/>
  <c r="BN230" i="9" l="1"/>
  <c r="BO230" i="9" s="1"/>
  <c r="BM231" i="9"/>
  <c r="BL231" i="9"/>
  <c r="AO232" i="9"/>
  <c r="AP232" i="9"/>
  <c r="BM232" i="9" l="1"/>
  <c r="BL232" i="9"/>
  <c r="BN231" i="9"/>
  <c r="BO231" i="9" s="1"/>
  <c r="AP233" i="9"/>
  <c r="AO233" i="9"/>
  <c r="BL233" i="9" l="1"/>
  <c r="BM233" i="9"/>
  <c r="AP234" i="9"/>
  <c r="AO234" i="9"/>
  <c r="BN233" i="9" l="1"/>
  <c r="BO233" i="9" s="1"/>
  <c r="BM234" i="9"/>
  <c r="BL234" i="9"/>
  <c r="AP235" i="9"/>
  <c r="AO235" i="9"/>
  <c r="BM235" i="9" l="1"/>
  <c r="BL235" i="9"/>
  <c r="AO236" i="9"/>
  <c r="AP236" i="9"/>
  <c r="BN235" i="9" l="1"/>
  <c r="BO235" i="9" s="1"/>
  <c r="BM236" i="9"/>
  <c r="BL236" i="9"/>
  <c r="AP237" i="9"/>
  <c r="AO237" i="9"/>
  <c r="BL237" i="9" l="1"/>
  <c r="BM237" i="9"/>
  <c r="BN236" i="9"/>
  <c r="BO236" i="9" s="1"/>
  <c r="AP238" i="9"/>
  <c r="AO238" i="9"/>
  <c r="BN237" i="9" l="1"/>
  <c r="BO237" i="9" s="1"/>
  <c r="BM238" i="9"/>
  <c r="BL238" i="9"/>
  <c r="AO239" i="9"/>
  <c r="AP239" i="9"/>
  <c r="BN238" i="9" l="1"/>
  <c r="BO238" i="9" s="1"/>
  <c r="BM239" i="9"/>
  <c r="BL239" i="9"/>
  <c r="AO240" i="9"/>
  <c r="AP240" i="9"/>
  <c r="BM240" i="9" l="1"/>
  <c r="BL240" i="9"/>
  <c r="BN239" i="9"/>
  <c r="BO239" i="9" s="1"/>
  <c r="AP241" i="9"/>
  <c r="AO241" i="9"/>
  <c r="BN240" i="9" l="1"/>
  <c r="BO240" i="9" s="1"/>
  <c r="BL241" i="9"/>
  <c r="BM241" i="9"/>
  <c r="AP242" i="9"/>
  <c r="AO242" i="9"/>
  <c r="BN241" i="9" l="1"/>
  <c r="BO241" i="9" s="1"/>
  <c r="BL242" i="9"/>
  <c r="BM242" i="9"/>
  <c r="AO243" i="9"/>
  <c r="AP243" i="9"/>
  <c r="BM243" i="9" l="1"/>
  <c r="BL243" i="9"/>
  <c r="BN242" i="9"/>
  <c r="BO242" i="9" s="1"/>
  <c r="AO244" i="9"/>
  <c r="AP244" i="9"/>
  <c r="BM244" i="9" l="1"/>
  <c r="BL244" i="9"/>
  <c r="BN243" i="9"/>
  <c r="BO243" i="9" s="1"/>
  <c r="AP245" i="9"/>
  <c r="AO245" i="9"/>
  <c r="BL245" i="9" l="1"/>
  <c r="BM245" i="9"/>
  <c r="AP246" i="9"/>
  <c r="AO246" i="9"/>
  <c r="BM246" i="9" l="1"/>
  <c r="BL246" i="9"/>
  <c r="BN245" i="9"/>
  <c r="BO245" i="9" s="1"/>
  <c r="AO247" i="9"/>
  <c r="AP247" i="9"/>
  <c r="BL247" i="9" l="1"/>
  <c r="BM247" i="9"/>
  <c r="AO248" i="9"/>
  <c r="AP248" i="9"/>
  <c r="BM248" i="9" l="1"/>
  <c r="BL248" i="9"/>
  <c r="BN247" i="9"/>
  <c r="BO247" i="9" s="1"/>
  <c r="AP249" i="9"/>
  <c r="AO249" i="9"/>
  <c r="BM249" i="9" l="1"/>
  <c r="BL249" i="9"/>
  <c r="BN248" i="9"/>
  <c r="BO248" i="9" s="1"/>
  <c r="AP250" i="9"/>
  <c r="AO250" i="9"/>
  <c r="BM250" i="9" l="1"/>
  <c r="BL250" i="9"/>
  <c r="BN249" i="9"/>
  <c r="BO249" i="9" s="1"/>
  <c r="AP251" i="9"/>
  <c r="AO251" i="9"/>
  <c r="BL251" i="9" l="1"/>
  <c r="BM251" i="9"/>
  <c r="BN250" i="9"/>
  <c r="BO250" i="9" s="1"/>
  <c r="AO252" i="9"/>
  <c r="AP252" i="9"/>
  <c r="BM252" i="9" l="1"/>
  <c r="BL252" i="9"/>
  <c r="BN251" i="9"/>
  <c r="BO251" i="9" s="1"/>
  <c r="AP253" i="9"/>
  <c r="AO253" i="9"/>
  <c r="BL253" i="9" l="1"/>
  <c r="BM253" i="9"/>
  <c r="BN252" i="9"/>
  <c r="BO252" i="9" s="1"/>
  <c r="AP254" i="9"/>
  <c r="AO254" i="9"/>
  <c r="BM254" i="9" l="1"/>
  <c r="BL254" i="9"/>
  <c r="BN253" i="9"/>
  <c r="BO253" i="9" s="1"/>
  <c r="AO255" i="9"/>
  <c r="AP255" i="9"/>
  <c r="BM255" i="9" l="1"/>
  <c r="BL255" i="9"/>
  <c r="BN254" i="9"/>
  <c r="BO254" i="9" s="1"/>
  <c r="AO256" i="9"/>
  <c r="AP256" i="9"/>
  <c r="BM256" i="9" l="1"/>
  <c r="BL256" i="9"/>
  <c r="BN255" i="9"/>
  <c r="BO255" i="9" s="1"/>
  <c r="AP257" i="9"/>
  <c r="AO257" i="9"/>
  <c r="BM257" i="9" l="1"/>
  <c r="BL257" i="9"/>
  <c r="AP258" i="9"/>
  <c r="AO258" i="9"/>
  <c r="BN257" i="9" l="1"/>
  <c r="BO257" i="9" s="1"/>
  <c r="BM258" i="9"/>
  <c r="BL258" i="9"/>
  <c r="AO259" i="9"/>
  <c r="AP259" i="9"/>
  <c r="BM259" i="9" l="1"/>
  <c r="BL259" i="9"/>
  <c r="AO260" i="9"/>
  <c r="AP260" i="9"/>
  <c r="BM260" i="9" l="1"/>
  <c r="BL260" i="9"/>
  <c r="BN259" i="9"/>
  <c r="BO259" i="9" s="1"/>
  <c r="AP261" i="9"/>
  <c r="AO261" i="9"/>
  <c r="BL261" i="9" l="1"/>
  <c r="BM261" i="9"/>
  <c r="BN260" i="9"/>
  <c r="BO260" i="9" s="1"/>
  <c r="AP262" i="9"/>
  <c r="AO262" i="9"/>
  <c r="BM262" i="9" l="1"/>
  <c r="BL262" i="9"/>
  <c r="BN261" i="9"/>
  <c r="BO261" i="9" s="1"/>
  <c r="AO263" i="9"/>
  <c r="AP263" i="9"/>
  <c r="BM263" i="9" l="1"/>
  <c r="BL263" i="9"/>
  <c r="BN262" i="9"/>
  <c r="BO262" i="9" s="1"/>
  <c r="AO264" i="9"/>
  <c r="AP264" i="9"/>
  <c r="BM264" i="9" l="1"/>
  <c r="BL264" i="9"/>
  <c r="BN263" i="9"/>
  <c r="BO263" i="9" s="1"/>
  <c r="AP265" i="9"/>
  <c r="AO265" i="9"/>
  <c r="BN264" i="9" l="1"/>
  <c r="BO264" i="9" s="1"/>
  <c r="BL265" i="9"/>
  <c r="BM265" i="9"/>
  <c r="AP266" i="9"/>
  <c r="AO266" i="9"/>
  <c r="BM266" i="9" l="1"/>
  <c r="BL266" i="9"/>
  <c r="BN265" i="9"/>
  <c r="BO265" i="9" s="1"/>
  <c r="AP267" i="9"/>
  <c r="AO267" i="9"/>
  <c r="BM267" i="9" l="1"/>
  <c r="BL267" i="9"/>
  <c r="BN266" i="9"/>
  <c r="BO266" i="9" s="1"/>
  <c r="AO268" i="9"/>
  <c r="AP268" i="9"/>
  <c r="BM268" i="9" l="1"/>
  <c r="BL268" i="9"/>
  <c r="BN267" i="9"/>
  <c r="BO267" i="9" s="1"/>
  <c r="AP269" i="9"/>
  <c r="AO269" i="9"/>
  <c r="BL269" i="9" l="1"/>
  <c r="BM269" i="9"/>
  <c r="AO270" i="9"/>
  <c r="AP270" i="9"/>
  <c r="BM270" i="9" l="1"/>
  <c r="BL270" i="9"/>
  <c r="BN269" i="9"/>
  <c r="BO269" i="9" s="1"/>
  <c r="AP271" i="9"/>
  <c r="AO271" i="9"/>
  <c r="BL271" i="9" l="1"/>
  <c r="BM271" i="9"/>
  <c r="AP272" i="9"/>
  <c r="AO272" i="9"/>
  <c r="BM272" i="9" l="1"/>
  <c r="BL272" i="9"/>
  <c r="BN271" i="9"/>
  <c r="BO271" i="9" s="1"/>
  <c r="AP273" i="9"/>
  <c r="AO273" i="9"/>
  <c r="BL273" i="9" l="1"/>
  <c r="BM273" i="9"/>
  <c r="BN272" i="9"/>
  <c r="BO272" i="9" s="1"/>
  <c r="AO274" i="9"/>
  <c r="AP274" i="9"/>
  <c r="BN273" i="9" l="1"/>
  <c r="BO273" i="9" s="1"/>
  <c r="BM274" i="9"/>
  <c r="BL274" i="9"/>
  <c r="AP275" i="9"/>
  <c r="AO275" i="9"/>
  <c r="BM275" i="9" l="1"/>
  <c r="BL275" i="9"/>
  <c r="BN274" i="9"/>
  <c r="BO274" i="9" s="1"/>
  <c r="AP276" i="9"/>
  <c r="AO276" i="9"/>
  <c r="BM276" i="9" l="1"/>
  <c r="BL276" i="9"/>
  <c r="BN275" i="9"/>
  <c r="BO275" i="9" s="1"/>
  <c r="AO277" i="9"/>
  <c r="AP277" i="9"/>
  <c r="BL277" i="9" l="1"/>
  <c r="BM277" i="9"/>
  <c r="BN276" i="9"/>
  <c r="BO276" i="9" s="1"/>
  <c r="AO278" i="9"/>
  <c r="AP278" i="9"/>
  <c r="BM278" i="9" l="1"/>
  <c r="BL278" i="9"/>
  <c r="BN277" i="9"/>
  <c r="BO277" i="9" s="1"/>
  <c r="AP279" i="9"/>
  <c r="AO279" i="9"/>
  <c r="BM279" i="9" l="1"/>
  <c r="BL279" i="9"/>
  <c r="BN278" i="9"/>
  <c r="BO278" i="9" s="1"/>
  <c r="AP280" i="9"/>
  <c r="AO280" i="9"/>
  <c r="BM280" i="9" l="1"/>
  <c r="BL280" i="9"/>
  <c r="BN279" i="9"/>
  <c r="BO279" i="9" s="1"/>
  <c r="AP281" i="9"/>
  <c r="AO281" i="9"/>
  <c r="BM281" i="9" l="1"/>
  <c r="BL281" i="9"/>
  <c r="AO282" i="9"/>
  <c r="AP282" i="9"/>
  <c r="BM282" i="9" l="1"/>
  <c r="BL282" i="9"/>
  <c r="BN281" i="9"/>
  <c r="BO281" i="9" s="1"/>
  <c r="AP283" i="9"/>
  <c r="AO283" i="9"/>
  <c r="BM283" i="9" l="1"/>
  <c r="BL283" i="9"/>
  <c r="AP284" i="9"/>
  <c r="AO284" i="9"/>
  <c r="BM284" i="9" l="1"/>
  <c r="BL284" i="9"/>
  <c r="BN283" i="9"/>
  <c r="BO283" i="9" s="1"/>
  <c r="AO285" i="9"/>
  <c r="AP285" i="9"/>
  <c r="BL285" i="9" l="1"/>
  <c r="BM285" i="9"/>
  <c r="BN284" i="9"/>
  <c r="BO284" i="9" s="1"/>
  <c r="AO286" i="9"/>
  <c r="AP286" i="9"/>
  <c r="BM286" i="9" l="1"/>
  <c r="BL286" i="9"/>
  <c r="BN285" i="9"/>
  <c r="BO285" i="9" s="1"/>
  <c r="AP287" i="9"/>
  <c r="AO287" i="9"/>
  <c r="BM287" i="9" l="1"/>
  <c r="BL287" i="9"/>
  <c r="BN286" i="9"/>
  <c r="BO286" i="9" s="1"/>
  <c r="AP288" i="9"/>
  <c r="AO288" i="9"/>
  <c r="BM288" i="9" l="1"/>
  <c r="BL288" i="9"/>
  <c r="BN287" i="9"/>
  <c r="BO287" i="9" s="1"/>
  <c r="AP289" i="9"/>
  <c r="AO289" i="9"/>
  <c r="BN288" i="9" l="1"/>
  <c r="BO288" i="9" s="1"/>
  <c r="BM289" i="9"/>
  <c r="BL289" i="9"/>
  <c r="AO290" i="9"/>
  <c r="AP290" i="9"/>
  <c r="BM290" i="9" l="1"/>
  <c r="BL290" i="9"/>
  <c r="BN289" i="9"/>
  <c r="BO289" i="9" s="1"/>
  <c r="AP291" i="9"/>
  <c r="AO291" i="9"/>
  <c r="BN290" i="9" l="1"/>
  <c r="BO290" i="9" s="1"/>
  <c r="BL291" i="9"/>
  <c r="BM291" i="9"/>
  <c r="AP292" i="9"/>
  <c r="AO292" i="9"/>
  <c r="BN291" i="9" l="1"/>
  <c r="BO291" i="9" s="1"/>
  <c r="BM292" i="9"/>
  <c r="BL292" i="9"/>
  <c r="AO293" i="9"/>
  <c r="AP293" i="9"/>
  <c r="BL293" i="9" l="1"/>
  <c r="BM293" i="9"/>
  <c r="AO294" i="9"/>
  <c r="AP294" i="9"/>
  <c r="BN293" i="9" l="1"/>
  <c r="BO293" i="9" s="1"/>
  <c r="BM294" i="9"/>
  <c r="BL294" i="9"/>
  <c r="AP295" i="9"/>
  <c r="AO295" i="9"/>
  <c r="BM295" i="9" l="1"/>
  <c r="BL295" i="9"/>
  <c r="AP296" i="9"/>
  <c r="AO296" i="9"/>
  <c r="BN295" i="9" l="1"/>
  <c r="BO295" i="9" s="1"/>
  <c r="BM296" i="9"/>
  <c r="BL296" i="9"/>
  <c r="AP297" i="9"/>
  <c r="AO297" i="9"/>
  <c r="BN296" i="9" l="1"/>
  <c r="BO296" i="9" s="1"/>
  <c r="BL297" i="9"/>
  <c r="BM297" i="9"/>
  <c r="AO298" i="9"/>
  <c r="AP298" i="9"/>
  <c r="BN297" i="9" l="1"/>
  <c r="BO297" i="9" s="1"/>
  <c r="BM298" i="9"/>
  <c r="BL298" i="9"/>
  <c r="AP299" i="9"/>
  <c r="AO299" i="9"/>
  <c r="BL299" i="9" l="1"/>
  <c r="BN298" i="9"/>
  <c r="BO298" i="9" s="1"/>
  <c r="BM299" i="9"/>
  <c r="AP300" i="9"/>
  <c r="AO300" i="9"/>
  <c r="BL300" i="9" l="1"/>
  <c r="BN299" i="9"/>
  <c r="BO299" i="9" s="1"/>
  <c r="BM300" i="9"/>
  <c r="AO301" i="9"/>
  <c r="AP301" i="9"/>
  <c r="BN300" i="9" l="1"/>
  <c r="BO300" i="9" s="1"/>
  <c r="BL301" i="9"/>
  <c r="BM301" i="9"/>
  <c r="AO302" i="9"/>
  <c r="AP302" i="9"/>
  <c r="BN301" i="9" l="1"/>
  <c r="BO301" i="9" s="1"/>
  <c r="BM302" i="9"/>
  <c r="BL302" i="9"/>
  <c r="AP303" i="9"/>
  <c r="AO303" i="9"/>
  <c r="BN302" i="9" l="1"/>
  <c r="BO302" i="9" s="1"/>
  <c r="BM303" i="9"/>
  <c r="BL303" i="9"/>
  <c r="AP304" i="9"/>
  <c r="AO304" i="9"/>
  <c r="BN303" i="9" l="1"/>
  <c r="BO303" i="9" s="1"/>
  <c r="BM304" i="9"/>
  <c r="BL304" i="9"/>
  <c r="AP305" i="9"/>
  <c r="AO305" i="9"/>
  <c r="BL305" i="9" l="1"/>
  <c r="BM305" i="9"/>
  <c r="AO306" i="9"/>
  <c r="AP306" i="9"/>
  <c r="BN305" i="9" l="1"/>
  <c r="BO305" i="9" s="1"/>
  <c r="BM306" i="9"/>
  <c r="BL306" i="9"/>
  <c r="AP307" i="9"/>
  <c r="AO307" i="9"/>
  <c r="BM307" i="9" l="1"/>
  <c r="BL307" i="9"/>
  <c r="AP308" i="9"/>
  <c r="AO308" i="9"/>
  <c r="BN307" i="9" l="1"/>
  <c r="BO307" i="9" s="1"/>
  <c r="BM308" i="9"/>
  <c r="BL308" i="9"/>
  <c r="AO309" i="9"/>
  <c r="AP309" i="9"/>
  <c r="BN308" i="9" l="1"/>
  <c r="BO308" i="9" s="1"/>
  <c r="BL309" i="9"/>
  <c r="BM309" i="9"/>
  <c r="AO310" i="9"/>
  <c r="AP310" i="9"/>
  <c r="BN309" i="9" l="1"/>
  <c r="BO309" i="9" s="1"/>
  <c r="BM310" i="9"/>
  <c r="BL310" i="9"/>
  <c r="AP311" i="9"/>
  <c r="AO311" i="9"/>
  <c r="BN310" i="9" l="1"/>
  <c r="BO310" i="9" s="1"/>
  <c r="BM311" i="9"/>
  <c r="BL311" i="9"/>
  <c r="AP312" i="9"/>
  <c r="AO312" i="9"/>
  <c r="BN311" i="9" l="1"/>
  <c r="BO311" i="9" s="1"/>
  <c r="BM312" i="9"/>
  <c r="BL312" i="9"/>
  <c r="AP313" i="9"/>
  <c r="AO313" i="9"/>
  <c r="BL313" i="9" l="1"/>
  <c r="BN312" i="9"/>
  <c r="BO312" i="9" s="1"/>
  <c r="BM313" i="9"/>
  <c r="AO314" i="9"/>
  <c r="AP314" i="9"/>
  <c r="BL314" i="9" l="1"/>
  <c r="BN313" i="9"/>
  <c r="BO313" i="9" s="1"/>
  <c r="BM314" i="9"/>
  <c r="AP315" i="9"/>
  <c r="AO315" i="9"/>
  <c r="BM315" i="9" l="1"/>
  <c r="BN314" i="9"/>
  <c r="BO314" i="9" s="1"/>
  <c r="BL315" i="9"/>
  <c r="AP316" i="9"/>
  <c r="AO316" i="9"/>
  <c r="BL316" i="9" l="1"/>
  <c r="BN315" i="9"/>
  <c r="BO315" i="9" s="1"/>
  <c r="BM316" i="9"/>
  <c r="AO317" i="9"/>
  <c r="AP317" i="9"/>
  <c r="BM317" i="9" l="1"/>
  <c r="BL317" i="9"/>
  <c r="AO318" i="9"/>
  <c r="AP318" i="9"/>
  <c r="BL318" i="9" l="1"/>
  <c r="BN317" i="9"/>
  <c r="BO317" i="9" s="1"/>
  <c r="BM318" i="9"/>
  <c r="AP319" i="9"/>
  <c r="AO319" i="9"/>
  <c r="BM319" i="9" l="1"/>
  <c r="BL319" i="9"/>
  <c r="AP320" i="9"/>
  <c r="AO320" i="9"/>
  <c r="BL320" i="9" l="1"/>
  <c r="BN319" i="9"/>
  <c r="BO319" i="9" s="1"/>
  <c r="BM320" i="9"/>
  <c r="AP321" i="9"/>
  <c r="AO321" i="9"/>
  <c r="BL321" i="9" l="1"/>
  <c r="BN320" i="9"/>
  <c r="BO320" i="9" s="1"/>
  <c r="BM321" i="9"/>
  <c r="AO322" i="9"/>
  <c r="AP322" i="9"/>
  <c r="BL322" i="9" l="1"/>
  <c r="BN321" i="9"/>
  <c r="BO321" i="9" s="1"/>
  <c r="BM322" i="9"/>
  <c r="AP323" i="9"/>
  <c r="AO323" i="9"/>
  <c r="BM323" i="9" l="1"/>
  <c r="BN322" i="9"/>
  <c r="BO322" i="9" s="1"/>
  <c r="BL323" i="9"/>
  <c r="AP324" i="9"/>
  <c r="AO324" i="9"/>
  <c r="BL324" i="9" l="1"/>
  <c r="BN323" i="9"/>
  <c r="BO323" i="9" s="1"/>
  <c r="BM324" i="9"/>
  <c r="AO325" i="9"/>
  <c r="AP325" i="9"/>
  <c r="BM325" i="9" l="1"/>
  <c r="BN324" i="9"/>
  <c r="BO324" i="9" s="1"/>
  <c r="BL325" i="9"/>
  <c r="AO326" i="9"/>
  <c r="AP326" i="9"/>
  <c r="BL326" i="9" l="1"/>
  <c r="BN325" i="9"/>
  <c r="BO325" i="9" s="1"/>
  <c r="BM326" i="9"/>
  <c r="AP327" i="9"/>
  <c r="AO327" i="9"/>
  <c r="BL327" i="9" l="1"/>
  <c r="BN326" i="9"/>
  <c r="BO326" i="9" s="1"/>
  <c r="BM327" i="9"/>
  <c r="AP328" i="9"/>
  <c r="AO328" i="9"/>
  <c r="BN327" i="9" l="1"/>
  <c r="BO327" i="9" s="1"/>
  <c r="BL328" i="9"/>
  <c r="BM328" i="9"/>
  <c r="AP329" i="9"/>
  <c r="AO329" i="9"/>
  <c r="BM329" i="9" l="1"/>
  <c r="BL329" i="9"/>
  <c r="AO330" i="9"/>
  <c r="AP330" i="9"/>
  <c r="BL330" i="9" l="1"/>
  <c r="BN329" i="9"/>
  <c r="BO329" i="9" s="1"/>
  <c r="BM330" i="9"/>
  <c r="AP331" i="9"/>
  <c r="AO331" i="9"/>
  <c r="BM331" i="9" l="1"/>
  <c r="BL331" i="9"/>
  <c r="AP332" i="9"/>
  <c r="AO332" i="9"/>
  <c r="BN331" i="9" l="1"/>
  <c r="BO331" i="9" s="1"/>
  <c r="BM332" i="9"/>
  <c r="BL332" i="9"/>
  <c r="AO333" i="9"/>
  <c r="AP333" i="9"/>
  <c r="BM333" i="9" l="1"/>
  <c r="BN332" i="9"/>
  <c r="BO332" i="9" s="1"/>
  <c r="BL333" i="9"/>
  <c r="AO334" i="9"/>
  <c r="AP334" i="9"/>
  <c r="BL334" i="9" l="1"/>
  <c r="BN333" i="9"/>
  <c r="BO333" i="9" s="1"/>
  <c r="BM334" i="9"/>
  <c r="AP335" i="9"/>
  <c r="AO335" i="9"/>
  <c r="BL335" i="9" l="1"/>
  <c r="BN334" i="9"/>
  <c r="BO334" i="9" s="1"/>
  <c r="BM335" i="9"/>
  <c r="AP336" i="9"/>
  <c r="AO336" i="9"/>
  <c r="BN335" i="9" l="1"/>
  <c r="BO335" i="9" s="1"/>
  <c r="BM336" i="9"/>
  <c r="BL336" i="9"/>
  <c r="AP337" i="9"/>
  <c r="AO337" i="9"/>
  <c r="BN336" i="9" l="1"/>
  <c r="BO336" i="9" s="1"/>
  <c r="BL337" i="9"/>
  <c r="BM337" i="9"/>
  <c r="AO338" i="9"/>
  <c r="AP338" i="9"/>
  <c r="BN337" i="9" l="1"/>
  <c r="BO337" i="9" s="1"/>
  <c r="BM338" i="9"/>
  <c r="BL338" i="9"/>
  <c r="AP339" i="9"/>
  <c r="AO339" i="9"/>
  <c r="BN338" i="9" l="1"/>
  <c r="BO338" i="9" s="1"/>
  <c r="BM339" i="9"/>
  <c r="BL339" i="9"/>
  <c r="AP340" i="9"/>
  <c r="AO340" i="9"/>
  <c r="BM340" i="9" l="1"/>
  <c r="BL340" i="9"/>
  <c r="BN339" i="9"/>
  <c r="BO339" i="9" s="1"/>
  <c r="AO341" i="9"/>
  <c r="AP341" i="9"/>
  <c r="BM341" i="9" l="1"/>
  <c r="BL341" i="9"/>
  <c r="AO342" i="9"/>
  <c r="AP342" i="9"/>
  <c r="BL342" i="9" l="1"/>
  <c r="BN341" i="9"/>
  <c r="BO341" i="9" s="1"/>
  <c r="BM342" i="9"/>
  <c r="AP343" i="9"/>
  <c r="AO343" i="9"/>
  <c r="BM343" i="9" l="1"/>
  <c r="BL343" i="9"/>
  <c r="AP344" i="9"/>
  <c r="AO344" i="9"/>
  <c r="BM344" i="9" l="1"/>
  <c r="BL344" i="9"/>
  <c r="BN343" i="9"/>
  <c r="BO343" i="9" s="1"/>
  <c r="AP345" i="9"/>
  <c r="AO345" i="9"/>
  <c r="BL345" i="9" l="1"/>
  <c r="BN344" i="9"/>
  <c r="BO344" i="9" s="1"/>
  <c r="BM345" i="9"/>
  <c r="AO346" i="9"/>
  <c r="AP346" i="9"/>
  <c r="BL346" i="9" l="1"/>
  <c r="BN345" i="9"/>
  <c r="BO345" i="9" s="1"/>
  <c r="BM346" i="9"/>
  <c r="AP347" i="9"/>
  <c r="AO347" i="9"/>
  <c r="BM347" i="9" l="1"/>
  <c r="BN346" i="9"/>
  <c r="BO346" i="9" s="1"/>
  <c r="BL347" i="9"/>
  <c r="AP348" i="9"/>
  <c r="AO348" i="9"/>
  <c r="BL348" i="9" l="1"/>
  <c r="BN347" i="9"/>
  <c r="BO347" i="9" s="1"/>
  <c r="BM348" i="9"/>
  <c r="AO349" i="9"/>
  <c r="AP349" i="9"/>
  <c r="BM349" i="9" l="1"/>
  <c r="BN348" i="9"/>
  <c r="BO348" i="9" s="1"/>
  <c r="BL349" i="9"/>
  <c r="AO350" i="9"/>
  <c r="AP350" i="9"/>
  <c r="BL350" i="9" l="1"/>
  <c r="BN349" i="9"/>
  <c r="BO349" i="9" s="1"/>
  <c r="BM350" i="9"/>
  <c r="AP351" i="9"/>
  <c r="AO351" i="9"/>
  <c r="BL351" i="9" l="1"/>
  <c r="BN350" i="9"/>
  <c r="BO350" i="9" s="1"/>
  <c r="BM351" i="9"/>
  <c r="AP352" i="9"/>
  <c r="AO352" i="9"/>
  <c r="BL352" i="9" l="1"/>
  <c r="BN351" i="9"/>
  <c r="BO351" i="9" s="1"/>
  <c r="BM352" i="9"/>
  <c r="AP353" i="9"/>
  <c r="AO353" i="9"/>
  <c r="BL353" i="9" l="1"/>
  <c r="BM353" i="9"/>
  <c r="AO354" i="9"/>
  <c r="AP354" i="9"/>
  <c r="BN353" i="9" l="1"/>
  <c r="BO353" i="9" s="1"/>
  <c r="BM354" i="9"/>
  <c r="BL354" i="9"/>
  <c r="AP355" i="9"/>
  <c r="AO355" i="9"/>
  <c r="BM355" i="9" l="1"/>
  <c r="BL355" i="9"/>
  <c r="AP356" i="9"/>
  <c r="AO356" i="9"/>
  <c r="BL356" i="9" l="1"/>
  <c r="BN355" i="9"/>
  <c r="BO355" i="9" s="1"/>
  <c r="BM356" i="9"/>
  <c r="AO357" i="9"/>
  <c r="AP357" i="9"/>
  <c r="BM357" i="9" l="1"/>
  <c r="BN356" i="9"/>
  <c r="BO356" i="9" s="1"/>
  <c r="BL357" i="9"/>
  <c r="AO358" i="9"/>
  <c r="AP358" i="9"/>
  <c r="BL358" i="9" l="1"/>
  <c r="BN357" i="9"/>
  <c r="BO357" i="9" s="1"/>
  <c r="BM358" i="9"/>
  <c r="AP359" i="9"/>
  <c r="AO359" i="9"/>
  <c r="BM359" i="9" l="1"/>
  <c r="BN358" i="9"/>
  <c r="BO358" i="9" s="1"/>
  <c r="BL359" i="9"/>
  <c r="AP360" i="9"/>
  <c r="AO360" i="9"/>
  <c r="BL360" i="9" l="1"/>
  <c r="BN359" i="9"/>
  <c r="BO359" i="9" s="1"/>
  <c r="BM360" i="9"/>
  <c r="AP361" i="9"/>
  <c r="AO361" i="9"/>
  <c r="BL361" i="9" l="1"/>
  <c r="BN360" i="9"/>
  <c r="BO360" i="9" s="1"/>
  <c r="BM361" i="9"/>
  <c r="AO362" i="9"/>
  <c r="AP362" i="9"/>
  <c r="BL362" i="9" l="1"/>
  <c r="BN361" i="9"/>
  <c r="BO361" i="9" s="1"/>
  <c r="BM362" i="9"/>
  <c r="AP363" i="9"/>
  <c r="AO363" i="9"/>
  <c r="BL363" i="9" l="1"/>
  <c r="BN362" i="9"/>
  <c r="BO362" i="9" s="1"/>
  <c r="BM363" i="9"/>
  <c r="AP364" i="9"/>
  <c r="AO364" i="9"/>
  <c r="BN363" i="9" l="1"/>
  <c r="BO363" i="9" s="1"/>
  <c r="BL364" i="9"/>
  <c r="BM364" i="9"/>
  <c r="AO365" i="9"/>
  <c r="AP365" i="9"/>
  <c r="BM365" i="9" l="1"/>
  <c r="BL365" i="9"/>
  <c r="AO366" i="9"/>
  <c r="AP366" i="9"/>
  <c r="BL366" i="9" l="1"/>
  <c r="BN365" i="9"/>
  <c r="BO365" i="9" s="1"/>
  <c r="BM366" i="9"/>
  <c r="AP367" i="9"/>
  <c r="AO367" i="9"/>
  <c r="BM367" i="9" l="1"/>
  <c r="BL367" i="9"/>
  <c r="AP368" i="9"/>
  <c r="AO368" i="9"/>
  <c r="BM368" i="9" l="1"/>
  <c r="BL368" i="9"/>
  <c r="BN367" i="9"/>
  <c r="BO367" i="9" s="1"/>
  <c r="AP369" i="9"/>
  <c r="AO369" i="9"/>
  <c r="BN368" i="9" l="1"/>
  <c r="BO368" i="9" s="1"/>
  <c r="BL369" i="9"/>
  <c r="BM369" i="9"/>
  <c r="AO370" i="9"/>
  <c r="AP370" i="9"/>
  <c r="BL370" i="9" l="1"/>
  <c r="BN369" i="9"/>
  <c r="BO369" i="9" s="1"/>
  <c r="BM370" i="9"/>
  <c r="AO371" i="9"/>
  <c r="AP371" i="9"/>
  <c r="BL371" i="9" l="1"/>
  <c r="BN370" i="9"/>
  <c r="BO370" i="9" s="1"/>
  <c r="BM371" i="9"/>
  <c r="AP372" i="9"/>
  <c r="AO372" i="9"/>
  <c r="BL372" i="9" l="1"/>
  <c r="BN371" i="9"/>
  <c r="BO371" i="9" s="1"/>
  <c r="BM372" i="9"/>
  <c r="AO373" i="9"/>
  <c r="AP373" i="9"/>
  <c r="BM373" i="9" l="1"/>
  <c r="BN372" i="9"/>
  <c r="BO372" i="9" s="1"/>
  <c r="BL373" i="9"/>
  <c r="AP374" i="9"/>
  <c r="AO374" i="9"/>
  <c r="BL374" i="9" l="1"/>
  <c r="BN373" i="9"/>
  <c r="BO373" i="9" s="1"/>
  <c r="BM374" i="9"/>
  <c r="AO375" i="9"/>
  <c r="AP375" i="9"/>
  <c r="BM375" i="9" l="1"/>
  <c r="BN374" i="9"/>
  <c r="BO374" i="9" s="1"/>
  <c r="BL375" i="9"/>
  <c r="AP376" i="9"/>
  <c r="AO376" i="9"/>
  <c r="BL376" i="9" l="1"/>
  <c r="BN375" i="9"/>
  <c r="BO375" i="9" s="1"/>
  <c r="BM376" i="9"/>
  <c r="AO377" i="9"/>
  <c r="AP377" i="9"/>
  <c r="BL377" i="9" l="1"/>
  <c r="BM377" i="9"/>
  <c r="AP378" i="9"/>
  <c r="AO378" i="9"/>
  <c r="BL378" i="9" l="1"/>
  <c r="BN377" i="9"/>
  <c r="BO377" i="9" s="1"/>
  <c r="BM378" i="9"/>
  <c r="AP379" i="9"/>
  <c r="AO379" i="9"/>
  <c r="BM379" i="9" l="1"/>
  <c r="BL379" i="9"/>
  <c r="AO380" i="9"/>
  <c r="AP380" i="9"/>
  <c r="BL380" i="9" l="1"/>
  <c r="BN379" i="9"/>
  <c r="BO379" i="9" s="1"/>
  <c r="BM380" i="9"/>
  <c r="AO381" i="9"/>
  <c r="AP381" i="9"/>
  <c r="BN380" i="9" l="1"/>
  <c r="BO380" i="9" s="1"/>
  <c r="BM381" i="9"/>
  <c r="BL381" i="9"/>
  <c r="AO382" i="9"/>
  <c r="AP382" i="9"/>
  <c r="BL382" i="9" l="1"/>
  <c r="BN381" i="9"/>
  <c r="BO381" i="9" s="1"/>
  <c r="BM382" i="9"/>
  <c r="AP383" i="9"/>
  <c r="AO383" i="9"/>
  <c r="BM383" i="9" l="1"/>
  <c r="BN382" i="9"/>
  <c r="BO382" i="9" s="1"/>
  <c r="BL383" i="9"/>
  <c r="AP384" i="9"/>
  <c r="AO384" i="9"/>
  <c r="BL384" i="9" l="1"/>
  <c r="BN383" i="9"/>
  <c r="BO383" i="9" s="1"/>
  <c r="BM384" i="9"/>
  <c r="AO385" i="9"/>
  <c r="AP385" i="9"/>
  <c r="BM385" i="9" l="1"/>
  <c r="BL385" i="9"/>
  <c r="BN384" i="9"/>
  <c r="BO384" i="9" s="1"/>
  <c r="AO386" i="9"/>
  <c r="AP386" i="9"/>
  <c r="BL386" i="9" l="1"/>
  <c r="BN385" i="9"/>
  <c r="BO385" i="9" s="1"/>
  <c r="BM386" i="9"/>
  <c r="AP387" i="9"/>
  <c r="AO387" i="9"/>
  <c r="BL387" i="9" l="1"/>
  <c r="BN386" i="9"/>
  <c r="BO386" i="9" s="1"/>
  <c r="BM387" i="9"/>
  <c r="AO388" i="9"/>
  <c r="AP388" i="9"/>
  <c r="BN387" i="9" l="1"/>
  <c r="BO387" i="9" s="1"/>
  <c r="BL388" i="9"/>
  <c r="BM388" i="9"/>
  <c r="AO389" i="9"/>
  <c r="AP389" i="9"/>
  <c r="BM389" i="9" l="1"/>
  <c r="BL389" i="9"/>
  <c r="AO390" i="9"/>
  <c r="AP390" i="9"/>
  <c r="BL390" i="9" l="1"/>
  <c r="BN389" i="9"/>
  <c r="BO389" i="9" s="1"/>
  <c r="BM390" i="9"/>
  <c r="AP391" i="9"/>
  <c r="AO391" i="9"/>
  <c r="BM391" i="9" l="1"/>
  <c r="BL391" i="9"/>
  <c r="AP392" i="9"/>
  <c r="AO392" i="9"/>
  <c r="BL392" i="9" l="1"/>
  <c r="BN391" i="9"/>
  <c r="BO391" i="9" s="1"/>
  <c r="BM392" i="9"/>
  <c r="AO393" i="9"/>
  <c r="AP393" i="9"/>
  <c r="BL393" i="9" l="1"/>
  <c r="BN392" i="9"/>
  <c r="BO392" i="9" s="1"/>
  <c r="BM393" i="9"/>
  <c r="AO394" i="9"/>
  <c r="AP394" i="9"/>
  <c r="BL394" i="9" l="1"/>
  <c r="BN393" i="9"/>
  <c r="BO393" i="9" s="1"/>
  <c r="BM394" i="9"/>
  <c r="AP395" i="9"/>
  <c r="AO395" i="9"/>
  <c r="BL395" i="9" l="1"/>
  <c r="BN394" i="9"/>
  <c r="BO394" i="9" s="1"/>
  <c r="BM395" i="9"/>
  <c r="AO396" i="9"/>
  <c r="AP396" i="9"/>
  <c r="BL396" i="9" l="1"/>
  <c r="BN395" i="9"/>
  <c r="BO395" i="9" s="1"/>
  <c r="BM396" i="9"/>
  <c r="AO397" i="9"/>
  <c r="AP397" i="9"/>
  <c r="BM397" i="9" l="1"/>
  <c r="BN396" i="9"/>
  <c r="BO396" i="9" s="1"/>
  <c r="BL397" i="9"/>
  <c r="AO398" i="9"/>
  <c r="AP398" i="9"/>
  <c r="BL398" i="9" l="1"/>
  <c r="BN397" i="9"/>
  <c r="BO397" i="9" s="1"/>
  <c r="BM398" i="9"/>
  <c r="AP399" i="9"/>
  <c r="AO399" i="9"/>
  <c r="BM399" i="9" l="1"/>
  <c r="BN398" i="9"/>
  <c r="BO398" i="9" s="1"/>
  <c r="BL399" i="9"/>
  <c r="AP400" i="9"/>
  <c r="AO400" i="9"/>
  <c r="BL400" i="9" l="1"/>
  <c r="BN399" i="9"/>
  <c r="BO399" i="9" s="1"/>
  <c r="BM400" i="9"/>
  <c r="AO401" i="9"/>
  <c r="AP401" i="9"/>
  <c r="BL401" i="9" l="1"/>
  <c r="BM401" i="9"/>
  <c r="AO402" i="9"/>
  <c r="AP402" i="9"/>
  <c r="BL402" i="9" l="1"/>
  <c r="BN401" i="9"/>
  <c r="BO401" i="9" s="1"/>
  <c r="BM402" i="9"/>
  <c r="AP403" i="9"/>
  <c r="AO403" i="9"/>
  <c r="BM403" i="9" l="1"/>
  <c r="BL403" i="9"/>
  <c r="AO404" i="9"/>
  <c r="AP404" i="9"/>
  <c r="BL404" i="9" l="1"/>
  <c r="BN403" i="9"/>
  <c r="BO403" i="9" s="1"/>
  <c r="BM404" i="9"/>
  <c r="AO405" i="9"/>
  <c r="AP405" i="9"/>
  <c r="BM405" i="9" l="1"/>
  <c r="BN404" i="9"/>
  <c r="BO404" i="9" s="1"/>
  <c r="BL405" i="9"/>
  <c r="AO406" i="9"/>
  <c r="AP406" i="9"/>
  <c r="BL406" i="9" l="1"/>
  <c r="BN405" i="9"/>
  <c r="BO405" i="9" s="1"/>
  <c r="BM406" i="9"/>
  <c r="AP407" i="9"/>
  <c r="AO407" i="9"/>
  <c r="BM407" i="9" l="1"/>
  <c r="BN406" i="9"/>
  <c r="BO406" i="9" s="1"/>
  <c r="BL407" i="9"/>
  <c r="AP408" i="9"/>
  <c r="AO408" i="9"/>
  <c r="BL408" i="9" l="1"/>
  <c r="BN407" i="9"/>
  <c r="BO407" i="9" s="1"/>
  <c r="BM408" i="9"/>
  <c r="AO409" i="9"/>
  <c r="AP409" i="9"/>
  <c r="BN408" i="9" l="1"/>
  <c r="BO408" i="9" s="1"/>
  <c r="BM409" i="9"/>
  <c r="BL409" i="9"/>
  <c r="AO410" i="9"/>
  <c r="AP410" i="9"/>
  <c r="BL410" i="9" l="1"/>
  <c r="BN409" i="9"/>
  <c r="BO409" i="9" s="1"/>
  <c r="BM410" i="9"/>
  <c r="AO411" i="9"/>
  <c r="AP411" i="9"/>
  <c r="BL411" i="9" l="1"/>
  <c r="BN410" i="9"/>
  <c r="BO410" i="9" s="1"/>
  <c r="BM411" i="9"/>
  <c r="AO412" i="9"/>
  <c r="AP412" i="9"/>
  <c r="BM412" i="9" l="1"/>
  <c r="BN411" i="9"/>
  <c r="BO411" i="9" s="1"/>
  <c r="BL412" i="9"/>
  <c r="AP413" i="9"/>
  <c r="AO413" i="9"/>
  <c r="BL413" i="9" l="1"/>
  <c r="BM413" i="9"/>
  <c r="AO414" i="9"/>
  <c r="AP414" i="9"/>
  <c r="BM414" i="9" l="1"/>
  <c r="BN413" i="9"/>
  <c r="BO413" i="9" s="1"/>
  <c r="BL414" i="9"/>
  <c r="AP415" i="9"/>
  <c r="AO415" i="9"/>
  <c r="BM415" i="9" l="1"/>
  <c r="BL415" i="9"/>
  <c r="AO416" i="9"/>
  <c r="AP416" i="9"/>
  <c r="BL416" i="9" l="1"/>
  <c r="BN415" i="9"/>
  <c r="BO415" i="9" s="1"/>
  <c r="BM416" i="9"/>
  <c r="AP417" i="9"/>
  <c r="AO417" i="9"/>
  <c r="BM417" i="9" l="1"/>
  <c r="BL417" i="9"/>
  <c r="BN416" i="9"/>
  <c r="BO416" i="9" s="1"/>
  <c r="AP418" i="9"/>
  <c r="AO418" i="9"/>
  <c r="BL418" i="9" l="1"/>
  <c r="BN417" i="9"/>
  <c r="BO417" i="9" s="1"/>
  <c r="BM418" i="9"/>
  <c r="AO419" i="9"/>
  <c r="AP419" i="9"/>
  <c r="BL419" i="9" l="1"/>
  <c r="BN418" i="9"/>
  <c r="BO418" i="9" s="1"/>
  <c r="BM419" i="9"/>
  <c r="AO420" i="9"/>
  <c r="AP420" i="9"/>
  <c r="BM420" i="9" l="1"/>
  <c r="BN419" i="9"/>
  <c r="BO419" i="9" s="1"/>
  <c r="BL420" i="9"/>
  <c r="AP421" i="9"/>
  <c r="AO421" i="9"/>
  <c r="BL421" i="9" l="1"/>
  <c r="BN420" i="9"/>
  <c r="BO420" i="9" s="1"/>
  <c r="BM421" i="9"/>
  <c r="AP422" i="9"/>
  <c r="AO422" i="9"/>
  <c r="BM422" i="9" l="1"/>
  <c r="BN421" i="9"/>
  <c r="BO421" i="9" s="1"/>
  <c r="BL422" i="9"/>
  <c r="AO423" i="9"/>
  <c r="AP423" i="9"/>
  <c r="BL423" i="9" l="1"/>
  <c r="BN422" i="9"/>
  <c r="BO422" i="9" s="1"/>
  <c r="BM423" i="9"/>
  <c r="AO424" i="9"/>
  <c r="AP424" i="9"/>
  <c r="BL424" i="9" l="1"/>
  <c r="BN423" i="9"/>
  <c r="BO423" i="9" s="1"/>
  <c r="BM424" i="9"/>
  <c r="AP425" i="9"/>
  <c r="AO425" i="9"/>
  <c r="BL425" i="9" l="1"/>
  <c r="BM425" i="9"/>
  <c r="AO426" i="9"/>
  <c r="AP426" i="9"/>
  <c r="BM426" i="9" l="1"/>
  <c r="BN425" i="9"/>
  <c r="BO425" i="9" s="1"/>
  <c r="BL426" i="9"/>
  <c r="AP427" i="9"/>
  <c r="AO427" i="9"/>
  <c r="BM427" i="9" l="1"/>
  <c r="BL427" i="9"/>
  <c r="AO428" i="9"/>
  <c r="AP428" i="9"/>
  <c r="BM428" i="9" l="1"/>
  <c r="BN427" i="9"/>
  <c r="BO427" i="9" s="1"/>
  <c r="BL428" i="9"/>
  <c r="AP429" i="9"/>
  <c r="AO429" i="9"/>
  <c r="BL429" i="9" l="1"/>
  <c r="BN428" i="9"/>
  <c r="BO428" i="9" s="1"/>
  <c r="BM429" i="9"/>
  <c r="AO430" i="9"/>
  <c r="AP430" i="9"/>
  <c r="BM430" i="9" l="1"/>
  <c r="BN429" i="9"/>
  <c r="BO429" i="9" s="1"/>
  <c r="BL430" i="9"/>
  <c r="AO431" i="9"/>
  <c r="AP431" i="9"/>
  <c r="BL431" i="9" l="1"/>
  <c r="BN430" i="9"/>
  <c r="BO430" i="9" s="1"/>
  <c r="BM431" i="9"/>
  <c r="AO432" i="9"/>
  <c r="AP432" i="9"/>
  <c r="BL432" i="9" l="1"/>
  <c r="BN431" i="9"/>
  <c r="BO431" i="9" s="1"/>
  <c r="BM432" i="9"/>
  <c r="AO433" i="9"/>
  <c r="AP433" i="9"/>
  <c r="BN432" i="9" l="1"/>
  <c r="BO432" i="9" s="1"/>
  <c r="BL433" i="9"/>
  <c r="BM433" i="9"/>
  <c r="AP434" i="9"/>
  <c r="AO434" i="9"/>
  <c r="BM434" i="9" l="1"/>
  <c r="BL434" i="9"/>
  <c r="BN433" i="9"/>
  <c r="BO433" i="9" s="1"/>
  <c r="AO435" i="9"/>
  <c r="AP435" i="9"/>
  <c r="BM435" i="9" l="1"/>
  <c r="BL435" i="9"/>
  <c r="BN434" i="9"/>
  <c r="BO434" i="9" s="1"/>
  <c r="AO436" i="9"/>
  <c r="AP436" i="9"/>
  <c r="BM436" i="9" l="1"/>
  <c r="BN435" i="9"/>
  <c r="BO435" i="9" s="1"/>
  <c r="BL436" i="9"/>
  <c r="AO437" i="9"/>
  <c r="AP437" i="9"/>
  <c r="BL437" i="9" l="1"/>
  <c r="BM437" i="9"/>
  <c r="AP438" i="9"/>
  <c r="AO438" i="9"/>
  <c r="BM438" i="9" l="1"/>
  <c r="BN437" i="9"/>
  <c r="BO437" i="9" s="1"/>
  <c r="BL438" i="9"/>
  <c r="AO439" i="9"/>
  <c r="AP439" i="9"/>
  <c r="BM439" i="9" l="1"/>
  <c r="BL439" i="9"/>
  <c r="AO440" i="9"/>
  <c r="AP440" i="9"/>
  <c r="BL440" i="9" l="1"/>
  <c r="BN439" i="9"/>
  <c r="BO439" i="9" s="1"/>
  <c r="BM440" i="9"/>
  <c r="AO441" i="9"/>
  <c r="AP441" i="9"/>
  <c r="BL441" i="9" l="1"/>
  <c r="BN440" i="9"/>
  <c r="BO440" i="9" s="1"/>
  <c r="BM441" i="9"/>
  <c r="AP442" i="9"/>
  <c r="AO442" i="9"/>
  <c r="BM442" i="9" l="1"/>
  <c r="BN441" i="9"/>
  <c r="BO441" i="9" s="1"/>
  <c r="BL442" i="9"/>
  <c r="AP443" i="9"/>
  <c r="AO443" i="9"/>
  <c r="BL443" i="9" l="1"/>
  <c r="BN442" i="9"/>
  <c r="BO442" i="9" s="1"/>
  <c r="BM443" i="9"/>
  <c r="AO444" i="9"/>
  <c r="AP444" i="9"/>
  <c r="BN443" i="9" l="1"/>
  <c r="BO443" i="9" s="1"/>
  <c r="BM444" i="9"/>
  <c r="BL444" i="9"/>
  <c r="AO445" i="9"/>
  <c r="AP445" i="9"/>
  <c r="BM445" i="9" l="1"/>
  <c r="BL445" i="9"/>
  <c r="BN444" i="9"/>
  <c r="BO444" i="9" s="1"/>
  <c r="AP446" i="9"/>
  <c r="AO446" i="9"/>
  <c r="BL446" i="9" l="1"/>
  <c r="BM446" i="9"/>
  <c r="BN445" i="9"/>
  <c r="BO445" i="9" s="1"/>
  <c r="AO447" i="9"/>
  <c r="AP447" i="9"/>
  <c r="BL447" i="9" l="1"/>
  <c r="BN446" i="9"/>
  <c r="BO446" i="9" s="1"/>
  <c r="BM447" i="9"/>
  <c r="AO448" i="9"/>
  <c r="AP448" i="9"/>
  <c r="BL448" i="9" l="1"/>
  <c r="BN447" i="9"/>
  <c r="BO447" i="9" s="1"/>
  <c r="BM448" i="9"/>
  <c r="AO449" i="9"/>
  <c r="AP449" i="9"/>
  <c r="BL449" i="9" l="1"/>
  <c r="BM449" i="9"/>
  <c r="AP450" i="9"/>
  <c r="AO450" i="9"/>
  <c r="BL450" i="9" l="1"/>
  <c r="BN449" i="9"/>
  <c r="BO449" i="9" s="1"/>
  <c r="BM450" i="9"/>
  <c r="AO451" i="9"/>
  <c r="AP451" i="9"/>
  <c r="BM451" i="9" l="1"/>
  <c r="BL451" i="9"/>
  <c r="AO452" i="9"/>
  <c r="AP452" i="9"/>
  <c r="BM452" i="9" l="1"/>
  <c r="BN451" i="9"/>
  <c r="BO451" i="9" s="1"/>
  <c r="BL452" i="9"/>
  <c r="AO453" i="9"/>
  <c r="AP453" i="9"/>
  <c r="BL453" i="9" l="1"/>
  <c r="BN452" i="9"/>
  <c r="BO452" i="9" s="1"/>
  <c r="BM453" i="9"/>
  <c r="AP454" i="9"/>
  <c r="AO454" i="9"/>
  <c r="BM454" i="9" l="1"/>
  <c r="BN453" i="9"/>
  <c r="BO453" i="9" s="1"/>
  <c r="BL454" i="9"/>
  <c r="AP455" i="9"/>
  <c r="AO455" i="9"/>
  <c r="BL455" i="9" l="1"/>
  <c r="BN454" i="9"/>
  <c r="BO454" i="9" s="1"/>
  <c r="BM455" i="9"/>
  <c r="AO456" i="9"/>
  <c r="AP456" i="9"/>
  <c r="BL456" i="9" l="1"/>
  <c r="BN455" i="9"/>
  <c r="BO455" i="9" s="1"/>
  <c r="BM456" i="9"/>
  <c r="AO457" i="9"/>
  <c r="AP457" i="9"/>
  <c r="BL457" i="9" l="1"/>
  <c r="BN456" i="9"/>
  <c r="BO456" i="9" s="1"/>
  <c r="BM457" i="9"/>
  <c r="AP458" i="9"/>
  <c r="AO458" i="9"/>
  <c r="BM458" i="9" l="1"/>
  <c r="BN457" i="9"/>
  <c r="BO457" i="9" s="1"/>
  <c r="BL458" i="9"/>
  <c r="AO459" i="9"/>
  <c r="AP459" i="9"/>
  <c r="BL459" i="9" l="1"/>
  <c r="BN458" i="9"/>
  <c r="BO458" i="9" s="1"/>
  <c r="BM459" i="9"/>
  <c r="AO460" i="9"/>
  <c r="AP460" i="9"/>
  <c r="BM460" i="9" l="1"/>
  <c r="BN459" i="9"/>
  <c r="BO459" i="9" s="1"/>
  <c r="BL460" i="9"/>
  <c r="AO461" i="9"/>
  <c r="AP461" i="9"/>
  <c r="BL461" i="9" l="1"/>
  <c r="BM461" i="9"/>
  <c r="AP462" i="9"/>
  <c r="AO462" i="9"/>
  <c r="BM462" i="9" l="1"/>
  <c r="BN461" i="9"/>
  <c r="BO461" i="9" s="1"/>
  <c r="BL462" i="9"/>
  <c r="AO463" i="9"/>
  <c r="AP463" i="9"/>
  <c r="BM463" i="9" l="1"/>
  <c r="BL463" i="9"/>
  <c r="AO464" i="9"/>
  <c r="AP464" i="9"/>
  <c r="BL464" i="9" l="1"/>
  <c r="BN463" i="9"/>
  <c r="BO463" i="9" s="1"/>
  <c r="BM464" i="9"/>
  <c r="AO465" i="9"/>
  <c r="AP465" i="9"/>
  <c r="BL465" i="9" l="1"/>
  <c r="BN464" i="9"/>
  <c r="BO464" i="9" s="1"/>
  <c r="BM465" i="9"/>
  <c r="AP466" i="9"/>
  <c r="AO466" i="9"/>
  <c r="BL466" i="9" l="1"/>
  <c r="BN465" i="9"/>
  <c r="BO465" i="9" s="1"/>
  <c r="BM466" i="9"/>
  <c r="AP467" i="9"/>
  <c r="AO467" i="9"/>
  <c r="BL467" i="9" l="1"/>
  <c r="BN466" i="9"/>
  <c r="BO466" i="9" s="1"/>
  <c r="BM467" i="9"/>
  <c r="AP468" i="9"/>
  <c r="AO468" i="9"/>
  <c r="BM468" i="9" l="1"/>
  <c r="BN467" i="9"/>
  <c r="BO467" i="9" s="1"/>
  <c r="BL468" i="9"/>
  <c r="AO469" i="9"/>
  <c r="AP469" i="9"/>
  <c r="BL469" i="9" l="1"/>
  <c r="BN468" i="9"/>
  <c r="BO468" i="9" s="1"/>
  <c r="BM469" i="9"/>
  <c r="AP470" i="9"/>
  <c r="AO470" i="9"/>
  <c r="BM470" i="9" l="1"/>
  <c r="BN469" i="9"/>
  <c r="BO469" i="9" s="1"/>
  <c r="BL470" i="9"/>
  <c r="AO471" i="9"/>
  <c r="AP471" i="9"/>
  <c r="BL471" i="9" l="1"/>
  <c r="BN470" i="9"/>
  <c r="BO470" i="9" s="1"/>
  <c r="BM471" i="9"/>
  <c r="AO472" i="9"/>
  <c r="AP472" i="9"/>
  <c r="BL472" i="9" l="1"/>
  <c r="BN471" i="9"/>
  <c r="BO471" i="9" s="1"/>
  <c r="BM472" i="9"/>
  <c r="AO473" i="9"/>
  <c r="AP473" i="9"/>
  <c r="BL473" i="9" l="1"/>
  <c r="BM473" i="9"/>
  <c r="AP474" i="9"/>
  <c r="AO474" i="9"/>
  <c r="BM474" i="9" l="1"/>
  <c r="BN473" i="9"/>
  <c r="BO473" i="9" s="1"/>
  <c r="BL474" i="9"/>
  <c r="AO475" i="9"/>
  <c r="AP475" i="9"/>
  <c r="BM475" i="9" l="1"/>
  <c r="BL475" i="9"/>
  <c r="AP476" i="9"/>
  <c r="AO476" i="9"/>
  <c r="BM476" i="9" l="1"/>
  <c r="BN475" i="9"/>
  <c r="BO475" i="9" s="1"/>
  <c r="BL476" i="9"/>
  <c r="AO477" i="9"/>
  <c r="AP477" i="9"/>
  <c r="BL477" i="9" l="1"/>
  <c r="BN476" i="9"/>
  <c r="BO476" i="9" s="1"/>
  <c r="BM477" i="9"/>
  <c r="AP478" i="9"/>
  <c r="AO478" i="9"/>
  <c r="BM478" i="9" l="1"/>
  <c r="BN477" i="9"/>
  <c r="BO477" i="9" s="1"/>
  <c r="BL478" i="9"/>
  <c r="AO479" i="9"/>
  <c r="AP479" i="9"/>
  <c r="BL479" i="9" l="1"/>
  <c r="BN478" i="9"/>
  <c r="BO478" i="9" s="1"/>
  <c r="BM479" i="9"/>
  <c r="AO480" i="9"/>
  <c r="AP480" i="9"/>
  <c r="BL480" i="9" l="1"/>
  <c r="BN479" i="9"/>
  <c r="BO479" i="9" s="1"/>
  <c r="BM480" i="9"/>
  <c r="AP481" i="9"/>
  <c r="AO481" i="9"/>
  <c r="BL481" i="9" l="1"/>
  <c r="BN480" i="9"/>
  <c r="BO480" i="9" s="1"/>
  <c r="BM481" i="9"/>
  <c r="AP482" i="9"/>
  <c r="AO482" i="9"/>
  <c r="BL482" i="9" l="1"/>
  <c r="BN481" i="9"/>
  <c r="BO481" i="9" s="1"/>
  <c r="BM482" i="9"/>
  <c r="AP483" i="9"/>
  <c r="AO483" i="9"/>
  <c r="BL483" i="9" l="1"/>
  <c r="BN482" i="9"/>
  <c r="BO482" i="9" s="1"/>
  <c r="BM483" i="9"/>
  <c r="AO484" i="9"/>
  <c r="AP484" i="9"/>
  <c r="BM484" i="9" l="1"/>
  <c r="BN483" i="9"/>
  <c r="BO483" i="9" s="1"/>
  <c r="BL484" i="9"/>
  <c r="AP485" i="9"/>
  <c r="AO485" i="9"/>
  <c r="BL485" i="9" l="1"/>
  <c r="BM485" i="9"/>
  <c r="AP486" i="9"/>
  <c r="AO486" i="9"/>
  <c r="BM486" i="9" l="1"/>
  <c r="BN485" i="9"/>
  <c r="BO485" i="9" s="1"/>
  <c r="BL486" i="9"/>
  <c r="AP487" i="9"/>
  <c r="AO487" i="9"/>
  <c r="BM487" i="9" l="1"/>
  <c r="BL487" i="9"/>
  <c r="AO488" i="9"/>
  <c r="AP488" i="9"/>
  <c r="BL488" i="9" l="1"/>
  <c r="BN487" i="9"/>
  <c r="BO487" i="9" s="1"/>
  <c r="BM488" i="9"/>
  <c r="AP489" i="9"/>
  <c r="AO489" i="9"/>
  <c r="BL489" i="9" l="1"/>
  <c r="BN488" i="9"/>
  <c r="BO488" i="9" s="1"/>
  <c r="BM489" i="9"/>
  <c r="AP490" i="9"/>
  <c r="AO490" i="9"/>
  <c r="BM490" i="9" l="1"/>
  <c r="BN489" i="9"/>
  <c r="BO489" i="9" s="1"/>
  <c r="BL490" i="9"/>
  <c r="AP491" i="9"/>
  <c r="AO491" i="9"/>
  <c r="BL491" i="9" l="1"/>
  <c r="BN490" i="9"/>
  <c r="BO490" i="9" s="1"/>
  <c r="BM491" i="9"/>
  <c r="AO492" i="9"/>
  <c r="AP492" i="9"/>
  <c r="BM492" i="9" l="1"/>
  <c r="BN491" i="9"/>
  <c r="BO491" i="9" s="1"/>
  <c r="BL492" i="9"/>
  <c r="AP493" i="9"/>
  <c r="AO493" i="9"/>
  <c r="BL493" i="9" l="1"/>
  <c r="BN492" i="9"/>
  <c r="BO492" i="9" s="1"/>
  <c r="BM493" i="9"/>
  <c r="AP494" i="9"/>
  <c r="AO494" i="9"/>
  <c r="BM494" i="9" l="1"/>
  <c r="BN493" i="9"/>
  <c r="BO493" i="9" s="1"/>
  <c r="BL494" i="9"/>
  <c r="AO495" i="9"/>
  <c r="AP495" i="9"/>
  <c r="BL495" i="9" l="1"/>
  <c r="BN494" i="9"/>
  <c r="BO494" i="9" s="1"/>
  <c r="BM495" i="9"/>
  <c r="AO496" i="9"/>
  <c r="AP496" i="9"/>
  <c r="BL496" i="9" l="1"/>
  <c r="BN495" i="9"/>
  <c r="BO495" i="9" s="1"/>
  <c r="BM496" i="9"/>
  <c r="AP497" i="9"/>
  <c r="AO497" i="9"/>
  <c r="BL497" i="9" l="1"/>
  <c r="BM497" i="9"/>
  <c r="AP498" i="9"/>
  <c r="AO498" i="9"/>
  <c r="BL498" i="9" l="1"/>
  <c r="BN497" i="9"/>
  <c r="BO497" i="9" s="1"/>
  <c r="BM498" i="9"/>
  <c r="AO499" i="9"/>
  <c r="AP499" i="9"/>
  <c r="BM499" i="9" l="1"/>
  <c r="BL499" i="9"/>
  <c r="AP500" i="9"/>
  <c r="AO500" i="9"/>
  <c r="BM500" i="9" l="1"/>
  <c r="BN499" i="9"/>
  <c r="BO499" i="9" s="1"/>
  <c r="BL500" i="9"/>
  <c r="AO501" i="9"/>
  <c r="AP501" i="9"/>
  <c r="BL501" i="9" l="1"/>
  <c r="BN500" i="9"/>
  <c r="BO500" i="9" s="1"/>
  <c r="BM501" i="9"/>
  <c r="AP502" i="9"/>
  <c r="AO502" i="9"/>
  <c r="BM502" i="9" l="1"/>
  <c r="BN501" i="9"/>
  <c r="BO501" i="9" s="1"/>
  <c r="BL502" i="9"/>
  <c r="AO503" i="9"/>
  <c r="AP503" i="9"/>
  <c r="BL503" i="9" l="1"/>
  <c r="BN502" i="9"/>
  <c r="BO502" i="9" s="1"/>
  <c r="BM503" i="9"/>
  <c r="AP504" i="9"/>
  <c r="AO504" i="9"/>
  <c r="BL504" i="9" l="1"/>
  <c r="BN503" i="9"/>
  <c r="BO503" i="9" s="1"/>
  <c r="BM504" i="9"/>
  <c r="AO505" i="9"/>
  <c r="AP505" i="9"/>
  <c r="BL505" i="9" l="1"/>
  <c r="BN504" i="9"/>
  <c r="BO504" i="9" s="1"/>
  <c r="BM505" i="9"/>
  <c r="AP506" i="9"/>
  <c r="AO506" i="9"/>
  <c r="BL506" i="9" l="1"/>
  <c r="BN505" i="9"/>
  <c r="BO505" i="9" s="1"/>
  <c r="BM506" i="9"/>
  <c r="AP507" i="9"/>
  <c r="AO507" i="9"/>
  <c r="BM507" i="9" l="1"/>
  <c r="BN506" i="9"/>
  <c r="BO506" i="9" s="1"/>
  <c r="BL507" i="9"/>
  <c r="AP508" i="9"/>
  <c r="AO508" i="9"/>
  <c r="BM508" i="9" l="1"/>
  <c r="BN507" i="9"/>
  <c r="BO507" i="9" s="1"/>
  <c r="BL508" i="9"/>
  <c r="AP509" i="9"/>
  <c r="AO509" i="9"/>
  <c r="BM509" i="9" l="1"/>
  <c r="BL509" i="9"/>
  <c r="AO510" i="9"/>
  <c r="AP510" i="9"/>
  <c r="BL510" i="9" l="1"/>
  <c r="BN509" i="9"/>
  <c r="BO509" i="9" s="1"/>
  <c r="BM510" i="9"/>
  <c r="AP511" i="9"/>
  <c r="AO511" i="9"/>
  <c r="BL511" i="9" l="1"/>
  <c r="BM511" i="9"/>
  <c r="AP512" i="9"/>
  <c r="AO512" i="9"/>
  <c r="BM512" i="9" l="1"/>
  <c r="BN511" i="9"/>
  <c r="BO511" i="9" s="1"/>
  <c r="BL512" i="9"/>
  <c r="AO513" i="9"/>
  <c r="AP513" i="9"/>
  <c r="BM513" i="9" l="1"/>
  <c r="BN512" i="9"/>
  <c r="BO512" i="9" s="1"/>
  <c r="BL513" i="9"/>
  <c r="AO514" i="9"/>
  <c r="AP514" i="9"/>
  <c r="BL514" i="9" l="1"/>
  <c r="BN513" i="9"/>
  <c r="BO513" i="9" s="1"/>
  <c r="BM514" i="9"/>
  <c r="AP515" i="9"/>
  <c r="AO515" i="9"/>
  <c r="BM515" i="9" l="1"/>
  <c r="BN514" i="9"/>
  <c r="BO514" i="9" s="1"/>
  <c r="BL515" i="9"/>
  <c r="AP516" i="9"/>
  <c r="AO516" i="9"/>
  <c r="BM516" i="9" l="1"/>
  <c r="BN515" i="9"/>
  <c r="BO515" i="9" s="1"/>
  <c r="BL516" i="9"/>
  <c r="AP517" i="9"/>
  <c r="AO517" i="9"/>
  <c r="BM517" i="9" l="1"/>
  <c r="BN516" i="9"/>
  <c r="BO516" i="9" s="1"/>
  <c r="BL517" i="9"/>
  <c r="AO518" i="9"/>
  <c r="AP518" i="9"/>
  <c r="BL518" i="9" l="1"/>
  <c r="BN517" i="9"/>
  <c r="BO517" i="9" s="1"/>
  <c r="BM518" i="9"/>
  <c r="AP519" i="9"/>
  <c r="AO519" i="9"/>
  <c r="BM519" i="9" l="1"/>
  <c r="BN518" i="9"/>
  <c r="BO518" i="9" s="1"/>
  <c r="BL519" i="9"/>
  <c r="AP520" i="9"/>
  <c r="AO520" i="9"/>
  <c r="BM520" i="9" l="1"/>
  <c r="BN519" i="9"/>
  <c r="BO519" i="9" s="1"/>
  <c r="BL520" i="9"/>
  <c r="AO521" i="9"/>
  <c r="AP521" i="9"/>
  <c r="BM521" i="9" l="1"/>
  <c r="BL521" i="9"/>
  <c r="AO522" i="9"/>
  <c r="AP522" i="9"/>
  <c r="BL522" i="9" l="1"/>
  <c r="BN521" i="9"/>
  <c r="BO521" i="9" s="1"/>
  <c r="BM522" i="9"/>
  <c r="AP523" i="9"/>
  <c r="AO523" i="9"/>
  <c r="BL523" i="9" l="1"/>
  <c r="BM523" i="9"/>
  <c r="AO524" i="9"/>
  <c r="AP524" i="9"/>
  <c r="BM524" i="9" l="1"/>
  <c r="BN523" i="9"/>
  <c r="BO523" i="9" s="1"/>
  <c r="BL524" i="9"/>
  <c r="AO525" i="9"/>
  <c r="AP525" i="9"/>
  <c r="BM525" i="9" l="1"/>
  <c r="BN524" i="9"/>
  <c r="BO524" i="9" s="1"/>
  <c r="BL525" i="9"/>
  <c r="AP526" i="9"/>
  <c r="AO526" i="9"/>
  <c r="BM526" i="9" l="1"/>
  <c r="BN525" i="9"/>
  <c r="BO525" i="9" s="1"/>
  <c r="BL526" i="9"/>
  <c r="AO527" i="9"/>
  <c r="AP527" i="9"/>
  <c r="BM527" i="9" l="1"/>
  <c r="BN526" i="9"/>
  <c r="BO526" i="9" s="1"/>
  <c r="BL527" i="9"/>
  <c r="AP528" i="9"/>
  <c r="AO528" i="9"/>
  <c r="BL528" i="9" l="1"/>
  <c r="BN527" i="9"/>
  <c r="BO527" i="9" s="1"/>
  <c r="BM528" i="9"/>
  <c r="AO529" i="9"/>
  <c r="AP529" i="9"/>
  <c r="BM529" i="9" l="1"/>
  <c r="BN528" i="9"/>
  <c r="BO528" i="9" s="1"/>
  <c r="BL529" i="9"/>
  <c r="AP530" i="9"/>
  <c r="AO530" i="9"/>
  <c r="BM530" i="9" l="1"/>
  <c r="BN529" i="9"/>
  <c r="BO529" i="9" s="1"/>
  <c r="BL530" i="9"/>
  <c r="AP531" i="9"/>
  <c r="AO531" i="9"/>
  <c r="BM531" i="9" l="1"/>
  <c r="BN530" i="9"/>
  <c r="BO530" i="9" s="1"/>
  <c r="BL531" i="9"/>
  <c r="AP532" i="9"/>
  <c r="AO532" i="9"/>
  <c r="BL532" i="9" l="1"/>
  <c r="BN531" i="9"/>
  <c r="BO531" i="9" s="1"/>
  <c r="BM532" i="9"/>
  <c r="AO533" i="9"/>
  <c r="AP533" i="9"/>
  <c r="BM533" i="9" l="1"/>
  <c r="BL533" i="9"/>
  <c r="AP534" i="9"/>
  <c r="AO534" i="9"/>
  <c r="BM534" i="9" l="1"/>
  <c r="BN533" i="9"/>
  <c r="BO533" i="9" s="1"/>
  <c r="BL534" i="9"/>
  <c r="AP535" i="9"/>
  <c r="AO535" i="9"/>
  <c r="BL535" i="9" l="1"/>
  <c r="BM535" i="9"/>
  <c r="AO536" i="9"/>
  <c r="AP536" i="9"/>
  <c r="BL536" i="9" l="1"/>
  <c r="BN535" i="9"/>
  <c r="BO535" i="9" s="1"/>
  <c r="BM536" i="9"/>
  <c r="AP537" i="9"/>
  <c r="AO537" i="9"/>
  <c r="BM537" i="9" l="1"/>
  <c r="BN536" i="9"/>
  <c r="BO536" i="9" s="1"/>
  <c r="BL537" i="9"/>
  <c r="AP538" i="9"/>
  <c r="AO538" i="9"/>
  <c r="BM538" i="9" l="1"/>
  <c r="BN537" i="9"/>
  <c r="BO537" i="9" s="1"/>
  <c r="BL538" i="9"/>
  <c r="AO539" i="9"/>
  <c r="AP539" i="9"/>
  <c r="BM539" i="9" l="1"/>
  <c r="BN538" i="9"/>
  <c r="BO538" i="9" s="1"/>
  <c r="BL539" i="9"/>
  <c r="AO540" i="9"/>
  <c r="AP540" i="9"/>
  <c r="BM540" i="9" l="1"/>
  <c r="BN539" i="9"/>
  <c r="BO539" i="9" s="1"/>
  <c r="BL540" i="9"/>
  <c r="AP541" i="9"/>
  <c r="AO541" i="9"/>
  <c r="BM541" i="9" l="1"/>
  <c r="BN540" i="9"/>
  <c r="BO540" i="9" s="1"/>
  <c r="BL541" i="9"/>
  <c r="AP542" i="9"/>
  <c r="AO542" i="9"/>
  <c r="BL542" i="9" l="1"/>
  <c r="BN541" i="9"/>
  <c r="BO541" i="9" s="1"/>
  <c r="BM542" i="9"/>
  <c r="AP543" i="9"/>
  <c r="AO543" i="9"/>
  <c r="BM543" i="9" l="1"/>
  <c r="BN542" i="9"/>
  <c r="BO542" i="9" s="1"/>
  <c r="BL543" i="9"/>
  <c r="AP544" i="9"/>
  <c r="AO544" i="9"/>
  <c r="BM544" i="9" l="1"/>
  <c r="BN543" i="9"/>
  <c r="BO543" i="9" s="1"/>
  <c r="BL544" i="9"/>
  <c r="AO545" i="9"/>
  <c r="AP545" i="9"/>
  <c r="BM545" i="9" l="1"/>
  <c r="BL545" i="9"/>
  <c r="AO546" i="9"/>
  <c r="AP546" i="9"/>
  <c r="BL546" i="9" l="1"/>
  <c r="BN545" i="9"/>
  <c r="BO545" i="9" s="1"/>
  <c r="BM546" i="9"/>
  <c r="AP547" i="9"/>
  <c r="AO547" i="9"/>
  <c r="BL547" i="9" l="1"/>
  <c r="BM547" i="9"/>
  <c r="AP548" i="9"/>
  <c r="AO548" i="9"/>
  <c r="BM548" i="9" l="1"/>
  <c r="BN547" i="9"/>
  <c r="BO547" i="9" s="1"/>
  <c r="BL548" i="9"/>
  <c r="AP549" i="9"/>
  <c r="AO549" i="9"/>
  <c r="BM549" i="9" l="1"/>
  <c r="BN548" i="9"/>
  <c r="BO548" i="9" s="1"/>
  <c r="BL549" i="9"/>
  <c r="AO550" i="9"/>
  <c r="AP550" i="9"/>
  <c r="BL550" i="9" l="1"/>
  <c r="BN549" i="9"/>
  <c r="BO549" i="9" s="1"/>
  <c r="BM550" i="9"/>
  <c r="AP551" i="9"/>
  <c r="AO551" i="9"/>
  <c r="BM551" i="9" l="1"/>
  <c r="BN550" i="9"/>
  <c r="BO550" i="9" s="1"/>
  <c r="BL551" i="9"/>
  <c r="AP552" i="9"/>
  <c r="AO552" i="9"/>
  <c r="BM552" i="9" l="1"/>
  <c r="BN551" i="9"/>
  <c r="BO551" i="9" s="1"/>
  <c r="BL552" i="9"/>
  <c r="AO553" i="9"/>
  <c r="AP553" i="9"/>
  <c r="BM553" i="9" l="1"/>
  <c r="BN552" i="9"/>
  <c r="BO552" i="9" s="1"/>
  <c r="BL553" i="9"/>
  <c r="AO554" i="9"/>
  <c r="AP554" i="9"/>
  <c r="BL554" i="9" l="1"/>
  <c r="BN553" i="9"/>
  <c r="BO553" i="9" s="1"/>
  <c r="BM554" i="9"/>
  <c r="AP555" i="9"/>
  <c r="AO555" i="9"/>
  <c r="BM555" i="9" l="1"/>
  <c r="BN554" i="9"/>
  <c r="BO554" i="9" s="1"/>
  <c r="BL555" i="9"/>
  <c r="AP556" i="9"/>
  <c r="AO556" i="9"/>
  <c r="BM556" i="9" l="1"/>
  <c r="BN555" i="9"/>
  <c r="BO555" i="9" s="1"/>
  <c r="BL556" i="9"/>
  <c r="AO557" i="9"/>
  <c r="AP557" i="9"/>
  <c r="BM557" i="9" l="1"/>
  <c r="BL557" i="9"/>
  <c r="AO558" i="9"/>
  <c r="AP558" i="9"/>
  <c r="BL558" i="9" l="1"/>
  <c r="BN557" i="9"/>
  <c r="BO557" i="9" s="1"/>
  <c r="BM558" i="9"/>
  <c r="AP559" i="9"/>
  <c r="AO559" i="9"/>
  <c r="BL559" i="9" l="1"/>
  <c r="BM559" i="9"/>
  <c r="AO560" i="9"/>
  <c r="AP560" i="9"/>
  <c r="BM560" i="9" l="1"/>
  <c r="BN559" i="9"/>
  <c r="BO559" i="9" s="1"/>
  <c r="BL560" i="9"/>
  <c r="AP561" i="9"/>
  <c r="AO561" i="9"/>
  <c r="BM561" i="9" l="1"/>
  <c r="BN560" i="9"/>
  <c r="BO560" i="9" s="1"/>
  <c r="BL561" i="9"/>
  <c r="AO562" i="9"/>
  <c r="AP562" i="9"/>
  <c r="BL562" i="9" l="1"/>
  <c r="BN561" i="9"/>
  <c r="BO561" i="9" s="1"/>
  <c r="BM562" i="9"/>
  <c r="AO563" i="9"/>
  <c r="AP563" i="9"/>
  <c r="BM563" i="9" l="1"/>
  <c r="BN562" i="9"/>
  <c r="BO562" i="9" s="1"/>
  <c r="BL563" i="9"/>
  <c r="AP564" i="9"/>
  <c r="AO564" i="9"/>
  <c r="BM564" i="9" l="1"/>
  <c r="BN563" i="9"/>
  <c r="BO563" i="9" s="1"/>
  <c r="BL564" i="9"/>
  <c r="AP565" i="9"/>
  <c r="AO565" i="9"/>
  <c r="BM565" i="9" l="1"/>
  <c r="BN564" i="9"/>
  <c r="BO564" i="9" s="1"/>
  <c r="BL565" i="9"/>
  <c r="AO566" i="9"/>
  <c r="AP566" i="9"/>
  <c r="BM566" i="9" l="1"/>
  <c r="BN565" i="9"/>
  <c r="BO565" i="9" s="1"/>
  <c r="BL566" i="9"/>
  <c r="AO567" i="9"/>
  <c r="AP567" i="9"/>
  <c r="BM567" i="9" l="1"/>
  <c r="BN566" i="9"/>
  <c r="BO566" i="9" s="1"/>
  <c r="BL567" i="9"/>
  <c r="AP568" i="9"/>
  <c r="AO568" i="9"/>
  <c r="BL568" i="9" l="1"/>
  <c r="BN567" i="9"/>
  <c r="BO567" i="9" s="1"/>
  <c r="BM568" i="9"/>
  <c r="AP569" i="9"/>
  <c r="AO569" i="9"/>
  <c r="BM569" i="9" l="1"/>
  <c r="BN569" i="9" s="1"/>
  <c r="BO569" i="9" s="1"/>
  <c r="BL569" i="9"/>
  <c r="F72" i="2"/>
  <c r="E72" i="2"/>
  <c r="C72" i="2" l="1"/>
  <c r="D72" i="2"/>
  <c r="B72" i="2"/>
  <c r="A73" i="2" l="1"/>
  <c r="E73" i="2" l="1"/>
  <c r="C73" i="2"/>
  <c r="B73" i="2"/>
  <c r="A74" i="2"/>
  <c r="F73" i="2"/>
  <c r="D73" i="2"/>
  <c r="A75" i="2" l="1"/>
  <c r="B74" i="2"/>
  <c r="E74" i="2"/>
  <c r="D74" i="2"/>
  <c r="F74" i="2"/>
  <c r="C74" i="2"/>
  <c r="D75" i="2" l="1"/>
  <c r="F75" i="2"/>
  <c r="C75" i="2"/>
  <c r="E75" i="2"/>
  <c r="B75" i="2"/>
  <c r="A76" i="2"/>
  <c r="B76" i="2" l="1"/>
  <c r="E76" i="2"/>
  <c r="D76" i="2"/>
  <c r="A77" i="2"/>
  <c r="C76" i="2"/>
  <c r="F76" i="2"/>
  <c r="D77" i="2" l="1"/>
  <c r="B77" i="2"/>
  <c r="C77" i="2"/>
  <c r="F77" i="2"/>
  <c r="A78" i="2"/>
  <c r="E77" i="2"/>
  <c r="B78" i="2" l="1"/>
  <c r="D78" i="2"/>
  <c r="A79" i="2"/>
  <c r="F78" i="2"/>
  <c r="E78" i="2"/>
  <c r="C78" i="2"/>
  <c r="B79" i="2" l="1"/>
  <c r="D79" i="2"/>
  <c r="A80" i="2"/>
  <c r="E79" i="2"/>
  <c r="C79" i="2"/>
  <c r="F79" i="2"/>
  <c r="A81" i="2" l="1"/>
  <c r="B80" i="2"/>
  <c r="D80" i="2"/>
  <c r="E80" i="2"/>
  <c r="C80" i="2"/>
  <c r="F80" i="2"/>
  <c r="C81" i="2" l="1"/>
  <c r="E81" i="2"/>
  <c r="F81" i="2"/>
  <c r="A82" i="2"/>
  <c r="D81" i="2"/>
  <c r="B81" i="2"/>
  <c r="E82" i="2" l="1"/>
  <c r="D82" i="2"/>
  <c r="F82" i="2"/>
  <c r="A83" i="2"/>
  <c r="B82" i="2"/>
  <c r="C82" i="2"/>
  <c r="F83" i="2" l="1"/>
  <c r="D83" i="2"/>
  <c r="E83" i="2"/>
  <c r="B83" i="2"/>
  <c r="C83" i="2"/>
  <c r="A84" i="2"/>
  <c r="A85" i="2" l="1"/>
  <c r="B84" i="2"/>
  <c r="E84" i="2"/>
  <c r="F84" i="2"/>
  <c r="D84" i="2"/>
  <c r="C84" i="2"/>
  <c r="B85" i="2" l="1"/>
  <c r="F85" i="2"/>
  <c r="E85" i="2"/>
  <c r="A86" i="2"/>
  <c r="D85" i="2"/>
  <c r="C85" i="2"/>
  <c r="C86" i="2" l="1"/>
  <c r="D86" i="2"/>
  <c r="A87" i="2"/>
  <c r="E86" i="2"/>
  <c r="B86" i="2"/>
  <c r="F86" i="2"/>
  <c r="B87" i="2" l="1"/>
  <c r="C87" i="2"/>
  <c r="D87" i="2"/>
  <c r="A88" i="2"/>
  <c r="F87" i="2"/>
  <c r="E87" i="2"/>
  <c r="C88" i="2" l="1"/>
  <c r="B88" i="2"/>
  <c r="A89" i="2"/>
  <c r="F88" i="2"/>
  <c r="D88" i="2"/>
  <c r="E88" i="2"/>
  <c r="C89" i="2" l="1"/>
  <c r="E89" i="2"/>
  <c r="B89" i="2"/>
  <c r="F89" i="2"/>
  <c r="D89" i="2"/>
  <c r="A90" i="2"/>
  <c r="C90" i="2" l="1"/>
  <c r="B90" i="2"/>
  <c r="D90" i="2"/>
  <c r="E90" i="2"/>
  <c r="A91" i="2"/>
  <c r="F90" i="2"/>
  <c r="D91" i="2" l="1"/>
  <c r="E91" i="2"/>
  <c r="B91" i="2"/>
  <c r="A92" i="2"/>
  <c r="F91" i="2"/>
  <c r="C91" i="2"/>
  <c r="E92" i="2" l="1"/>
  <c r="C92" i="2"/>
  <c r="F92" i="2"/>
  <c r="D92" i="2"/>
  <c r="B92" i="2"/>
  <c r="K13" i="8" l="1"/>
  <c r="C15" i="2"/>
  <c r="H13" i="8" l="1"/>
  <c r="D13" i="8"/>
  <c r="H11" i="8" l="1"/>
  <c r="F12" i="8"/>
  <c r="BN510" i="9"/>
  <c r="BO510" i="9" s="1"/>
  <c r="BN558" i="9"/>
  <c r="BO558" i="9" s="1"/>
  <c r="BN450" i="9"/>
  <c r="BO450" i="9" s="1"/>
  <c r="BN402" i="9"/>
  <c r="BO402" i="9" s="1"/>
  <c r="BN534" i="9"/>
  <c r="BO534" i="9" s="1"/>
  <c r="BN282" i="9"/>
  <c r="BO282" i="9" s="1"/>
  <c r="BN246" i="9"/>
  <c r="BO246" i="9" s="1"/>
  <c r="BN18" i="9"/>
  <c r="BO18" i="9" s="1"/>
  <c r="BN366" i="9"/>
  <c r="BO366" i="9" s="1"/>
  <c r="BN306" i="9"/>
  <c r="BO306" i="9" s="1"/>
  <c r="BN486" i="9"/>
  <c r="BO486" i="9" s="1"/>
  <c r="BN354" i="9"/>
  <c r="BO354" i="9" s="1"/>
  <c r="BN462" i="9"/>
  <c r="BO462" i="9" s="1"/>
  <c r="BN294" i="9"/>
  <c r="BO294" i="9" s="1"/>
  <c r="BN138" i="9"/>
  <c r="BO138" i="9" s="1"/>
  <c r="BN54" i="9"/>
  <c r="BO54" i="9" s="1"/>
  <c r="BN150" i="9"/>
  <c r="BO150" i="9" s="1"/>
  <c r="BN126" i="9"/>
  <c r="BO126" i="9" s="1"/>
  <c r="BN78" i="9"/>
  <c r="BO78" i="9" s="1"/>
  <c r="BN42" i="9"/>
  <c r="BO42" i="9" s="1"/>
  <c r="BN30" i="9"/>
  <c r="BO30" i="9" s="1"/>
  <c r="BN6" i="9"/>
  <c r="BO6" i="9" s="1"/>
  <c r="BN342" i="9"/>
  <c r="BO342" i="9" s="1"/>
  <c r="BN66" i="9"/>
  <c r="BO66" i="9" s="1"/>
  <c r="BN438" i="9"/>
  <c r="BO438" i="9" s="1"/>
  <c r="BN318" i="9"/>
  <c r="BO318" i="9" s="1"/>
  <c r="BN414" i="9"/>
  <c r="BO414" i="9" s="1"/>
  <c r="BN378" i="9"/>
  <c r="BO378" i="9" s="1"/>
  <c r="BN114" i="9"/>
  <c r="BO114" i="9" s="1"/>
  <c r="BN258" i="9"/>
  <c r="BO258" i="9" s="1"/>
  <c r="BN198" i="9"/>
  <c r="BO198" i="9" s="1"/>
  <c r="BN174" i="9"/>
  <c r="BO174" i="9" s="1"/>
  <c r="BN102" i="9"/>
  <c r="BO102" i="9" s="1"/>
  <c r="BN426" i="9"/>
  <c r="BO426" i="9" s="1"/>
  <c r="BN546" i="9"/>
  <c r="BO546" i="9" s="1"/>
  <c r="BN474" i="9"/>
  <c r="BO474" i="9" s="1"/>
  <c r="BN270" i="9"/>
  <c r="BO270" i="9" s="1"/>
  <c r="BN522" i="9"/>
  <c r="BO522" i="9" s="1"/>
  <c r="BN498" i="9"/>
  <c r="BO498" i="9" s="1"/>
  <c r="BN210" i="9"/>
  <c r="BO210" i="9" s="1"/>
  <c r="BN390" i="9"/>
  <c r="BO390" i="9" s="1"/>
  <c r="BN234" i="9"/>
  <c r="BO234" i="9" s="1"/>
  <c r="BN186" i="9"/>
  <c r="BO186" i="9" s="1"/>
  <c r="BN330" i="9"/>
  <c r="BO330" i="9" s="1"/>
  <c r="BN222" i="9"/>
  <c r="BO222" i="9" s="1"/>
  <c r="BN162" i="9"/>
  <c r="BO162" i="9" s="1"/>
  <c r="BN90" i="9"/>
  <c r="BO90" i="9" s="1"/>
  <c r="G12" i="8" l="1"/>
  <c r="I34" i="8" l="1"/>
  <c r="I35" i="8" l="1"/>
  <c r="I36" i="8" l="1"/>
  <c r="I37" i="8" l="1"/>
  <c r="I38" i="8" l="1"/>
  <c r="I39" i="8" l="1"/>
  <c r="I40" i="8" l="1"/>
  <c r="I41" i="8" l="1"/>
  <c r="I42" i="8" l="1"/>
  <c r="I43" i="8" l="1"/>
  <c r="I44" i="8" l="1"/>
  <c r="I45" i="8" l="1"/>
  <c r="I46" i="8" l="1"/>
  <c r="I47" i="8" l="1"/>
  <c r="I48" i="8" l="1"/>
  <c r="I49" i="8" l="1"/>
  <c r="I50" i="8" l="1"/>
  <c r="I51" i="8" l="1"/>
  <c r="I52" i="8" l="1"/>
  <c r="I53" i="8" l="1"/>
  <c r="I54" i="8" l="1"/>
  <c r="I55" i="8" l="1"/>
  <c r="I56" i="8" l="1"/>
  <c r="I57" i="8" l="1"/>
  <c r="I58" i="8" l="1"/>
  <c r="I59" i="8" l="1"/>
  <c r="I60" i="8" l="1"/>
  <c r="I61" i="8" l="1"/>
  <c r="I62" i="8" l="1"/>
  <c r="I63" i="8" l="1"/>
  <c r="I64" i="8" l="1"/>
  <c r="I65" i="8" l="1"/>
  <c r="I66" i="8" l="1"/>
  <c r="I67" i="8" l="1"/>
  <c r="I68" i="8" l="1"/>
  <c r="I69" i="8" l="1"/>
  <c r="I70" i="8" l="1"/>
  <c r="I71" i="8" l="1"/>
  <c r="I72" i="8" l="1"/>
  <c r="I73" i="8" l="1"/>
  <c r="I74" i="8" l="1"/>
  <c r="I75" i="8" l="1"/>
  <c r="I76" i="8" l="1"/>
  <c r="I77" i="8" l="1"/>
  <c r="I78" i="8" l="1"/>
  <c r="I79" i="8" l="1"/>
  <c r="G10" i="8"/>
  <c r="BH11" i="9" s="1"/>
  <c r="I80" i="8"/>
  <c r="B34" i="8" l="1"/>
  <c r="BI455" i="9"/>
  <c r="BI447" i="9"/>
  <c r="BI449" i="9"/>
  <c r="BH568" i="9"/>
  <c r="BI292" i="9"/>
  <c r="BH521" i="9"/>
  <c r="BI538" i="9"/>
  <c r="BI492" i="9"/>
  <c r="BI448" i="9"/>
  <c r="BI341" i="9"/>
  <c r="BI539" i="9"/>
  <c r="BH540" i="9"/>
  <c r="BH399" i="9"/>
  <c r="BI464" i="9"/>
  <c r="BI319" i="9"/>
  <c r="BI567" i="9"/>
  <c r="BI530" i="9"/>
  <c r="BI347" i="9"/>
  <c r="BI509" i="9"/>
  <c r="BH492" i="9"/>
  <c r="BI540" i="9"/>
  <c r="BI411" i="9"/>
  <c r="BI493" i="9"/>
  <c r="BI490" i="9"/>
  <c r="BI477" i="9"/>
  <c r="BI446" i="9"/>
  <c r="BH468" i="9"/>
  <c r="BI555" i="9"/>
  <c r="BI430" i="9"/>
  <c r="BH460" i="9"/>
  <c r="BI384" i="9"/>
  <c r="BI300" i="9"/>
  <c r="BI463" i="9"/>
  <c r="BI559" i="9"/>
  <c r="BI359" i="9"/>
  <c r="BI428" i="9"/>
  <c r="BI479" i="9"/>
  <c r="BH548" i="9"/>
  <c r="BH500" i="9"/>
  <c r="BH415" i="9"/>
  <c r="BI556" i="9"/>
  <c r="BI326" i="9"/>
  <c r="BI376" i="9"/>
  <c r="BI354" i="9"/>
  <c r="BI385" i="9"/>
  <c r="BI410" i="9"/>
  <c r="BI443" i="9"/>
  <c r="BI521" i="9"/>
  <c r="BI405" i="9"/>
  <c r="BI499" i="9"/>
  <c r="BI302" i="9"/>
  <c r="BI419" i="9"/>
  <c r="BI400" i="9"/>
  <c r="BI381" i="9"/>
  <c r="BI467" i="9"/>
  <c r="BH563" i="9"/>
  <c r="BH532" i="9"/>
  <c r="BH516" i="9"/>
  <c r="BH484" i="9"/>
  <c r="BH444" i="9"/>
  <c r="BH368" i="9"/>
  <c r="BI392" i="9"/>
  <c r="BI536" i="9"/>
  <c r="BI297" i="9"/>
  <c r="BI554" i="9"/>
  <c r="BI474" i="9"/>
  <c r="BI295" i="9"/>
  <c r="BI390" i="9"/>
  <c r="BI283" i="9"/>
  <c r="BI442" i="9"/>
  <c r="BI311" i="9"/>
  <c r="BI371" i="9"/>
  <c r="BI294" i="9"/>
  <c r="BI364" i="9"/>
  <c r="BI534" i="9"/>
  <c r="BI562" i="9"/>
  <c r="BH556" i="9"/>
  <c r="BH524" i="9"/>
  <c r="BH508" i="9"/>
  <c r="BH476" i="9"/>
  <c r="BH436" i="9"/>
  <c r="BH350" i="9"/>
  <c r="BH452" i="9"/>
  <c r="BH423" i="9"/>
  <c r="BH384" i="9"/>
  <c r="BH286" i="9"/>
  <c r="BH431" i="9"/>
  <c r="BH392" i="9"/>
  <c r="BH329" i="9"/>
  <c r="BH407" i="9"/>
  <c r="BH376" i="9"/>
  <c r="BH307" i="9"/>
  <c r="BH360" i="9"/>
  <c r="BH339" i="9"/>
  <c r="BH318" i="9"/>
  <c r="BH297" i="9"/>
  <c r="BH127" i="9"/>
  <c r="BI488" i="9"/>
  <c r="BI378" i="9"/>
  <c r="BI456" i="9"/>
  <c r="BI433" i="9"/>
  <c r="BI519" i="9"/>
  <c r="BI290" i="9"/>
  <c r="BI421" i="9"/>
  <c r="BI370" i="9"/>
  <c r="BI320" i="9"/>
  <c r="BI525" i="9"/>
  <c r="BI481" i="9"/>
  <c r="BI564" i="9"/>
  <c r="BI489" i="9"/>
  <c r="BI291" i="9"/>
  <c r="BI531" i="9"/>
  <c r="BI414" i="9"/>
  <c r="BI356" i="9"/>
  <c r="BI468" i="9"/>
  <c r="BI391" i="9"/>
  <c r="BI369" i="9"/>
  <c r="BI340" i="9"/>
  <c r="BI469" i="9"/>
  <c r="BI497" i="9"/>
  <c r="BI358" i="9"/>
  <c r="BI512" i="9"/>
  <c r="BI568" i="9"/>
  <c r="BI327" i="9"/>
  <c r="BI382" i="9"/>
  <c r="BI373" i="9"/>
  <c r="BI374" i="9"/>
  <c r="BH559" i="9"/>
  <c r="BH543" i="9"/>
  <c r="BH527" i="9"/>
  <c r="BI523" i="9"/>
  <c r="BH511" i="9"/>
  <c r="BH495" i="9"/>
  <c r="BH479" i="9"/>
  <c r="BH463" i="9"/>
  <c r="BH447" i="9"/>
  <c r="BH434" i="9"/>
  <c r="BH418" i="9"/>
  <c r="BH402" i="9"/>
  <c r="BH387" i="9"/>
  <c r="BH371" i="9"/>
  <c r="BH354" i="9"/>
  <c r="BH333" i="9"/>
  <c r="BH311" i="9"/>
  <c r="BH290" i="9"/>
  <c r="B5" i="9"/>
  <c r="AS495" i="9" s="1"/>
  <c r="B33" i="8"/>
  <c r="BI458" i="9"/>
  <c r="BI343" i="9"/>
  <c r="BI344" i="9"/>
  <c r="BI321" i="9"/>
  <c r="BI471" i="9"/>
  <c r="BI333" i="9"/>
  <c r="BI316" i="9"/>
  <c r="BI465" i="9"/>
  <c r="BI307" i="9"/>
  <c r="BI563" i="9"/>
  <c r="BI318" i="9"/>
  <c r="BI408" i="9"/>
  <c r="BI386" i="9"/>
  <c r="BI454" i="9"/>
  <c r="BI353" i="9"/>
  <c r="BI437" i="9"/>
  <c r="BI486" i="9"/>
  <c r="BI342" i="9"/>
  <c r="BI298" i="9"/>
  <c r="BI518" i="9"/>
  <c r="BI431" i="9"/>
  <c r="BI293" i="9"/>
  <c r="BI418" i="9"/>
  <c r="BI450" i="9"/>
  <c r="BI462" i="9"/>
  <c r="BI351" i="9"/>
  <c r="BI513" i="9"/>
  <c r="BI550" i="9"/>
  <c r="BI557" i="9"/>
  <c r="BH564" i="9"/>
  <c r="BH551" i="9"/>
  <c r="BH535" i="9"/>
  <c r="BI285" i="9"/>
  <c r="BH519" i="9"/>
  <c r="BH503" i="9"/>
  <c r="BH487" i="9"/>
  <c r="BH471" i="9"/>
  <c r="BH455" i="9"/>
  <c r="BH439" i="9"/>
  <c r="BH426" i="9"/>
  <c r="BH410" i="9"/>
  <c r="BI394" i="9"/>
  <c r="BH379" i="9"/>
  <c r="BH363" i="9"/>
  <c r="BH343" i="9"/>
  <c r="BH322" i="9"/>
  <c r="BH301" i="9"/>
  <c r="BH206" i="9"/>
  <c r="BH275" i="9"/>
  <c r="P43" i="9"/>
  <c r="BH51" i="9"/>
  <c r="BH274" i="9"/>
  <c r="BH203" i="9"/>
  <c r="BH126" i="9"/>
  <c r="BH50" i="9"/>
  <c r="P41" i="9"/>
  <c r="BI416" i="9"/>
  <c r="BI413" i="9"/>
  <c r="BI304" i="9"/>
  <c r="BI506" i="9"/>
  <c r="BI348" i="9"/>
  <c r="BI362" i="9"/>
  <c r="BI435" i="9"/>
  <c r="BI296" i="9"/>
  <c r="BI335" i="9"/>
  <c r="BI383" i="9"/>
  <c r="BI427" i="9"/>
  <c r="BI332" i="9"/>
  <c r="BI483" i="9"/>
  <c r="BI444" i="9"/>
  <c r="BI401" i="9"/>
  <c r="BI569" i="9"/>
  <c r="BI459" i="9"/>
  <c r="BI496" i="9"/>
  <c r="BI366" i="9"/>
  <c r="BI460" i="9"/>
  <c r="BI284" i="9"/>
  <c r="BI445" i="9"/>
  <c r="BI346" i="9"/>
  <c r="BI368" i="9"/>
  <c r="BI337" i="9"/>
  <c r="BI470" i="9"/>
  <c r="BI306" i="9"/>
  <c r="BI515" i="9"/>
  <c r="BI415" i="9"/>
  <c r="BI287" i="9"/>
  <c r="BI324" i="9"/>
  <c r="BI389" i="9"/>
  <c r="BI441" i="9"/>
  <c r="BI503" i="9"/>
  <c r="BI514" i="9"/>
  <c r="BI338" i="9"/>
  <c r="BI566" i="9"/>
  <c r="BI365" i="9"/>
  <c r="BI372" i="9"/>
  <c r="BI500" i="9"/>
  <c r="BI501" i="9"/>
  <c r="BI544" i="9"/>
  <c r="BI403" i="9"/>
  <c r="BI323" i="9"/>
  <c r="BI424" i="9"/>
  <c r="BI528" i="9"/>
  <c r="BI549" i="9"/>
  <c r="BI412" i="9"/>
  <c r="BI334" i="9"/>
  <c r="BI498" i="9"/>
  <c r="BI398" i="9"/>
  <c r="BI375" i="9"/>
  <c r="BI505" i="9"/>
  <c r="BI312" i="9"/>
  <c r="BI484" i="9"/>
  <c r="BH569" i="9"/>
  <c r="BI511" i="9"/>
  <c r="BI552" i="9"/>
  <c r="BI313" i="9"/>
  <c r="BI417" i="9"/>
  <c r="BI466" i="9"/>
  <c r="BI288" i="9"/>
  <c r="BI350" i="9"/>
  <c r="BI396" i="9"/>
  <c r="BI282" i="9"/>
  <c r="BI439" i="9"/>
  <c r="BI529" i="9"/>
  <c r="BI339" i="9"/>
  <c r="BI457" i="9"/>
  <c r="BI357" i="9"/>
  <c r="BI406" i="9"/>
  <c r="BI380" i="9"/>
  <c r="BI388" i="9"/>
  <c r="BI422" i="9"/>
  <c r="BI309" i="9"/>
  <c r="BI367" i="9"/>
  <c r="BI495" i="9"/>
  <c r="BI420" i="9"/>
  <c r="BI561" i="9"/>
  <c r="BI355" i="9"/>
  <c r="BI426" i="9"/>
  <c r="BI451" i="9"/>
  <c r="BI314" i="9"/>
  <c r="BI436" i="9"/>
  <c r="BI485" i="9"/>
  <c r="BI393" i="9"/>
  <c r="BI565" i="9"/>
  <c r="BH560" i="9"/>
  <c r="BH552" i="9"/>
  <c r="BH544" i="9"/>
  <c r="BH536" i="9"/>
  <c r="BH528" i="9"/>
  <c r="BI475" i="9"/>
  <c r="BI310" i="9"/>
  <c r="BH520" i="9"/>
  <c r="BH512" i="9"/>
  <c r="BH504" i="9"/>
  <c r="BH496" i="9"/>
  <c r="BH488" i="9"/>
  <c r="BH480" i="9"/>
  <c r="BH472" i="9"/>
  <c r="BH464" i="9"/>
  <c r="BH456" i="9"/>
  <c r="BH448" i="9"/>
  <c r="BH440" i="9"/>
  <c r="BI434" i="9"/>
  <c r="BH427" i="9"/>
  <c r="BH419" i="9"/>
  <c r="BH411" i="9"/>
  <c r="BH403" i="9"/>
  <c r="BH395" i="9"/>
  <c r="BH388" i="9"/>
  <c r="BH380" i="9"/>
  <c r="BH372" i="9"/>
  <c r="BH364" i="9"/>
  <c r="BH355" i="9"/>
  <c r="BH345" i="9"/>
  <c r="BH334" i="9"/>
  <c r="BH323" i="9"/>
  <c r="BH313" i="9"/>
  <c r="BH302" i="9"/>
  <c r="BH291" i="9"/>
  <c r="BI255" i="9"/>
  <c r="BH242" i="9"/>
  <c r="BH163" i="9"/>
  <c r="BH87" i="9"/>
  <c r="P29" i="9"/>
  <c r="P39" i="9"/>
  <c r="P48" i="9"/>
  <c r="A34" i="8"/>
  <c r="A35" i="8" s="1"/>
  <c r="B36" i="8" s="1"/>
  <c r="BH10" i="9"/>
  <c r="BH18" i="9"/>
  <c r="BH27" i="9"/>
  <c r="BH38" i="9"/>
  <c r="BH47" i="9"/>
  <c r="BH55" i="9"/>
  <c r="BH66" i="9"/>
  <c r="BH75" i="9"/>
  <c r="BH86" i="9"/>
  <c r="BH95" i="9"/>
  <c r="BH103" i="9"/>
  <c r="BH114" i="9"/>
  <c r="BH123" i="9"/>
  <c r="BH134" i="9"/>
  <c r="BH143" i="9"/>
  <c r="BH151" i="9"/>
  <c r="BH162" i="9"/>
  <c r="BH171" i="9"/>
  <c r="BH182" i="9"/>
  <c r="BH191" i="9"/>
  <c r="BH199" i="9"/>
  <c r="BH210" i="9"/>
  <c r="BH219" i="9"/>
  <c r="BH230" i="9"/>
  <c r="BH239" i="9"/>
  <c r="BH247" i="9"/>
  <c r="BH255" i="9"/>
  <c r="BH263" i="9"/>
  <c r="BH271" i="9"/>
  <c r="BH279" i="9"/>
  <c r="BI273" i="9"/>
  <c r="BI266" i="9"/>
  <c r="BI259" i="9"/>
  <c r="BI249" i="9"/>
  <c r="P27" i="9"/>
  <c r="P36" i="9"/>
  <c r="P45" i="9"/>
  <c r="G9" i="8"/>
  <c r="C52" i="2" s="1"/>
  <c r="C50" i="2" s="1"/>
  <c r="BH7" i="9"/>
  <c r="BJ7" i="9" s="1"/>
  <c r="BH15" i="9"/>
  <c r="BH26" i="9"/>
  <c r="BH35" i="9"/>
  <c r="BH43" i="9"/>
  <c r="BH54" i="9"/>
  <c r="BH63" i="9"/>
  <c r="BH74" i="9"/>
  <c r="BH83" i="9"/>
  <c r="BH91" i="9"/>
  <c r="BH102" i="9"/>
  <c r="BH111" i="9"/>
  <c r="BH122" i="9"/>
  <c r="BH131" i="9"/>
  <c r="BH139" i="9"/>
  <c r="BH150" i="9"/>
  <c r="BH159" i="9"/>
  <c r="BH170" i="9"/>
  <c r="BH179" i="9"/>
  <c r="BH187" i="9"/>
  <c r="BH198" i="9"/>
  <c r="BH207" i="9"/>
  <c r="BH218" i="9"/>
  <c r="BH227" i="9"/>
  <c r="BH235" i="9"/>
  <c r="BH246" i="9"/>
  <c r="BH254" i="9"/>
  <c r="BH262" i="9"/>
  <c r="BH270" i="9"/>
  <c r="BH278" i="9"/>
  <c r="BI277" i="9"/>
  <c r="BI267" i="9"/>
  <c r="BI260" i="9"/>
  <c r="BI253" i="9"/>
  <c r="P32" i="9"/>
  <c r="H10" i="8"/>
  <c r="BI281" i="9"/>
  <c r="BH23" i="9"/>
  <c r="BH42" i="9"/>
  <c r="BH62" i="9"/>
  <c r="BH79" i="9"/>
  <c r="BH99" i="9"/>
  <c r="BH119" i="9"/>
  <c r="BH138" i="9"/>
  <c r="BH158" i="9"/>
  <c r="BH175" i="9"/>
  <c r="BH195" i="9"/>
  <c r="BH215" i="9"/>
  <c r="BH234" i="9"/>
  <c r="BH251" i="9"/>
  <c r="BH267" i="9"/>
  <c r="BI278" i="9"/>
  <c r="BI261" i="9"/>
  <c r="BI247" i="9"/>
  <c r="P52" i="9"/>
  <c r="BH19" i="9"/>
  <c r="BH39" i="9"/>
  <c r="BH59" i="9"/>
  <c r="BH78" i="9"/>
  <c r="BH98" i="9"/>
  <c r="BH115" i="9"/>
  <c r="BH135" i="9"/>
  <c r="BH155" i="9"/>
  <c r="BH174" i="9"/>
  <c r="BH194" i="9"/>
  <c r="BH211" i="9"/>
  <c r="BH231" i="9"/>
  <c r="BH250" i="9"/>
  <c r="BH266" i="9"/>
  <c r="BI279" i="9"/>
  <c r="BI265" i="9"/>
  <c r="BI248" i="9"/>
  <c r="E32" i="8"/>
  <c r="BH284" i="9"/>
  <c r="BH288" i="9"/>
  <c r="BH292" i="9"/>
  <c r="BH296" i="9"/>
  <c r="BH300" i="9"/>
  <c r="BH304" i="9"/>
  <c r="BH308" i="9"/>
  <c r="BH312" i="9"/>
  <c r="BH316" i="9"/>
  <c r="BH320" i="9"/>
  <c r="BH324" i="9"/>
  <c r="BH328" i="9"/>
  <c r="BH332" i="9"/>
  <c r="BH336" i="9"/>
  <c r="BH340" i="9"/>
  <c r="BH344" i="9"/>
  <c r="BH348" i="9"/>
  <c r="BH352" i="9"/>
  <c r="BH356" i="9"/>
  <c r="BH31" i="9"/>
  <c r="BH71" i="9"/>
  <c r="BH110" i="9"/>
  <c r="BH147" i="9"/>
  <c r="BH186" i="9"/>
  <c r="BH223" i="9"/>
  <c r="BH259" i="9"/>
  <c r="BI271" i="9"/>
  <c r="D32" i="8"/>
  <c r="H32" i="8" s="1"/>
  <c r="BH283" i="9"/>
  <c r="BH289" i="9"/>
  <c r="BH294" i="9"/>
  <c r="BH299" i="9"/>
  <c r="BH305" i="9"/>
  <c r="BH310" i="9"/>
  <c r="BH315" i="9"/>
  <c r="BH321" i="9"/>
  <c r="BH326" i="9"/>
  <c r="BH331" i="9"/>
  <c r="BH337" i="9"/>
  <c r="BH342" i="9"/>
  <c r="BH347" i="9"/>
  <c r="BH353" i="9"/>
  <c r="BH358" i="9"/>
  <c r="BH362" i="9"/>
  <c r="BH366" i="9"/>
  <c r="BH370" i="9"/>
  <c r="BH374" i="9"/>
  <c r="BH378" i="9"/>
  <c r="BH382" i="9"/>
  <c r="BH386" i="9"/>
  <c r="BH390" i="9"/>
  <c r="BH394" i="9"/>
  <c r="BH397" i="9"/>
  <c r="BH401" i="9"/>
  <c r="BH405" i="9"/>
  <c r="BH409" i="9"/>
  <c r="BH413" i="9"/>
  <c r="BH417" i="9"/>
  <c r="BH421" i="9"/>
  <c r="BH425" i="9"/>
  <c r="BH429" i="9"/>
  <c r="BH433" i="9"/>
  <c r="BI301" i="9"/>
  <c r="BH438" i="9"/>
  <c r="BH442" i="9"/>
  <c r="BH446" i="9"/>
  <c r="BH450" i="9"/>
  <c r="BH454" i="9"/>
  <c r="BH458" i="9"/>
  <c r="BH462" i="9"/>
  <c r="BH466" i="9"/>
  <c r="BH470" i="9"/>
  <c r="BH474" i="9"/>
  <c r="BH478" i="9"/>
  <c r="BH482" i="9"/>
  <c r="BH486" i="9"/>
  <c r="BH490" i="9"/>
  <c r="BH494" i="9"/>
  <c r="BH498" i="9"/>
  <c r="BH502" i="9"/>
  <c r="BH506" i="9"/>
  <c r="BH510" i="9"/>
  <c r="BH514" i="9"/>
  <c r="BH518" i="9"/>
  <c r="BI510" i="9"/>
  <c r="BH523" i="9"/>
  <c r="BI395" i="9"/>
  <c r="BI429" i="9"/>
  <c r="BI480" i="9"/>
  <c r="BH526" i="9"/>
  <c r="BH530" i="9"/>
  <c r="BH534" i="9"/>
  <c r="BH538" i="9"/>
  <c r="BH542" i="9"/>
  <c r="BH546" i="9"/>
  <c r="BH550" i="9"/>
  <c r="BH554" i="9"/>
  <c r="BH558" i="9"/>
  <c r="BH30" i="9"/>
  <c r="BH67" i="9"/>
  <c r="BH107" i="9"/>
  <c r="BH146" i="9"/>
  <c r="BH183" i="9"/>
  <c r="BH222" i="9"/>
  <c r="BH258" i="9"/>
  <c r="BI272" i="9"/>
  <c r="BH282" i="9"/>
  <c r="BH287" i="9"/>
  <c r="BH293" i="9"/>
  <c r="BH298" i="9"/>
  <c r="BH303" i="9"/>
  <c r="BH309" i="9"/>
  <c r="BH314" i="9"/>
  <c r="BH319" i="9"/>
  <c r="BH325" i="9"/>
  <c r="BH330" i="9"/>
  <c r="BH335" i="9"/>
  <c r="BH341" i="9"/>
  <c r="BH346" i="9"/>
  <c r="BH351" i="9"/>
  <c r="BH357" i="9"/>
  <c r="BH361" i="9"/>
  <c r="BH365" i="9"/>
  <c r="BH369" i="9"/>
  <c r="BH373" i="9"/>
  <c r="BH377" i="9"/>
  <c r="BH381" i="9"/>
  <c r="BH385" i="9"/>
  <c r="BH389" i="9"/>
  <c r="BH393" i="9"/>
  <c r="BH396" i="9"/>
  <c r="BH400" i="9"/>
  <c r="BH404" i="9"/>
  <c r="BH408" i="9"/>
  <c r="BH412" i="9"/>
  <c r="BH416" i="9"/>
  <c r="BH420" i="9"/>
  <c r="BH424" i="9"/>
  <c r="BH428" i="9"/>
  <c r="BH432" i="9"/>
  <c r="BI345" i="9"/>
  <c r="BH437" i="9"/>
  <c r="BH441" i="9"/>
  <c r="BH445" i="9"/>
  <c r="BH449" i="9"/>
  <c r="BH453" i="9"/>
  <c r="BH457" i="9"/>
  <c r="BH461" i="9"/>
  <c r="BH465" i="9"/>
  <c r="BH469" i="9"/>
  <c r="BH473" i="9"/>
  <c r="BH477" i="9"/>
  <c r="BH481" i="9"/>
  <c r="BH485" i="9"/>
  <c r="BH489" i="9"/>
  <c r="BH493" i="9"/>
  <c r="BH497" i="9"/>
  <c r="BH501" i="9"/>
  <c r="BH505" i="9"/>
  <c r="BH509" i="9"/>
  <c r="BH513" i="9"/>
  <c r="BH517" i="9"/>
  <c r="BI520" i="9"/>
  <c r="BH522" i="9"/>
  <c r="BI487" i="9"/>
  <c r="BI329" i="9"/>
  <c r="BI352" i="9"/>
  <c r="BH525" i="9"/>
  <c r="BH529" i="9"/>
  <c r="BH533" i="9"/>
  <c r="BH537" i="9"/>
  <c r="BH541" i="9"/>
  <c r="BH545" i="9"/>
  <c r="BH549" i="9"/>
  <c r="BH553" i="9"/>
  <c r="BH557" i="9"/>
  <c r="BH561" i="9"/>
  <c r="BH565" i="9"/>
  <c r="BI553" i="9"/>
  <c r="BI545" i="9"/>
  <c r="BI322" i="9"/>
  <c r="BI535" i="9"/>
  <c r="BI330" i="9"/>
  <c r="BI315" i="9"/>
  <c r="BI379" i="9"/>
  <c r="BI461" i="9"/>
  <c r="BI286" i="9"/>
  <c r="BI308" i="9"/>
  <c r="BH566" i="9"/>
  <c r="BI543" i="9"/>
  <c r="BI532" i="9"/>
  <c r="BI407" i="9"/>
  <c r="BI476" i="9"/>
  <c r="BI558" i="9"/>
  <c r="BI453" i="9"/>
  <c r="BI547" i="9"/>
  <c r="BI440" i="9"/>
  <c r="BI508" i="9"/>
  <c r="BI438" i="9"/>
  <c r="BI507" i="9"/>
  <c r="BI409" i="9"/>
  <c r="BI502" i="9"/>
  <c r="BI303" i="9"/>
  <c r="BI289" i="9"/>
  <c r="BI551" i="9"/>
  <c r="BI425" i="9"/>
  <c r="BI494" i="9"/>
  <c r="BI482" i="9"/>
  <c r="BI522" i="9"/>
  <c r="BI305" i="9"/>
  <c r="BI473" i="9"/>
  <c r="BI541" i="9"/>
  <c r="BI317" i="9"/>
  <c r="BI517" i="9"/>
  <c r="BI546" i="9"/>
  <c r="BI399" i="9"/>
  <c r="BI526" i="9"/>
  <c r="BI548" i="9"/>
  <c r="BI560" i="9"/>
  <c r="BI478" i="9"/>
  <c r="BI516" i="9"/>
  <c r="BI404" i="9"/>
  <c r="BI542" i="9"/>
  <c r="BI452" i="9"/>
  <c r="BI387" i="9"/>
  <c r="BI299" i="9"/>
  <c r="BI491" i="9"/>
  <c r="BI527" i="9"/>
  <c r="BI397" i="9"/>
  <c r="BI402" i="9"/>
  <c r="BI533" i="9"/>
  <c r="BI537" i="9"/>
  <c r="BI331" i="9"/>
  <c r="BI325" i="9"/>
  <c r="BI524" i="9"/>
  <c r="BH567" i="9"/>
  <c r="BI336" i="9"/>
  <c r="BI361" i="9"/>
  <c r="BI360" i="9"/>
  <c r="BI432" i="9"/>
  <c r="BI504" i="9"/>
  <c r="BI377" i="9"/>
  <c r="BI328" i="9"/>
  <c r="BI349" i="9"/>
  <c r="BH562" i="9"/>
  <c r="BH555" i="9"/>
  <c r="BH547" i="9"/>
  <c r="BH539" i="9"/>
  <c r="BH531" i="9"/>
  <c r="BI423" i="9"/>
  <c r="BI363" i="9"/>
  <c r="BI472" i="9"/>
  <c r="BH515" i="9"/>
  <c r="BH507" i="9"/>
  <c r="BH499" i="9"/>
  <c r="BH491" i="9"/>
  <c r="BH483" i="9"/>
  <c r="BH475" i="9"/>
  <c r="BH467" i="9"/>
  <c r="BH459" i="9"/>
  <c r="BH451" i="9"/>
  <c r="BH443" i="9"/>
  <c r="BH435" i="9"/>
  <c r="BH430" i="9"/>
  <c r="BH422" i="9"/>
  <c r="BH414" i="9"/>
  <c r="BH406" i="9"/>
  <c r="BH398" i="9"/>
  <c r="BH391" i="9"/>
  <c r="BH383" i="9"/>
  <c r="BH375" i="9"/>
  <c r="BH367" i="9"/>
  <c r="BH359" i="9"/>
  <c r="BH349" i="9"/>
  <c r="BH338" i="9"/>
  <c r="BH327" i="9"/>
  <c r="BH317" i="9"/>
  <c r="BH306" i="9"/>
  <c r="BH295" i="9"/>
  <c r="BH285" i="9"/>
  <c r="BI254" i="9"/>
  <c r="BH243" i="9"/>
  <c r="BH167" i="9"/>
  <c r="BH90" i="9"/>
  <c r="BH14" i="9"/>
  <c r="AQ6" i="9"/>
  <c r="M7" i="9"/>
  <c r="M6" i="9"/>
  <c r="P6" i="9"/>
  <c r="M8" i="9"/>
  <c r="M9" i="9"/>
  <c r="P8" i="9"/>
  <c r="P9" i="9"/>
  <c r="P7" i="9"/>
  <c r="P10" i="9"/>
  <c r="P11" i="9"/>
  <c r="M12" i="9"/>
  <c r="P12" i="9"/>
  <c r="M13" i="9"/>
  <c r="P13" i="9"/>
  <c r="P14" i="9"/>
  <c r="P15" i="9"/>
  <c r="M16" i="9"/>
  <c r="M10" i="9"/>
  <c r="M11" i="9"/>
  <c r="P16" i="9"/>
  <c r="M17" i="9"/>
  <c r="M18" i="9"/>
  <c r="P21" i="9"/>
  <c r="M15" i="9"/>
  <c r="P18" i="9"/>
  <c r="M19" i="9"/>
  <c r="P22" i="9"/>
  <c r="M23" i="9"/>
  <c r="P17" i="9"/>
  <c r="M20" i="9"/>
  <c r="M22" i="9"/>
  <c r="P23" i="9"/>
  <c r="M14" i="9"/>
  <c r="P20" i="9"/>
  <c r="M24" i="9"/>
  <c r="P19" i="9"/>
  <c r="M25" i="9"/>
  <c r="P25" i="9"/>
  <c r="P26" i="9"/>
  <c r="P30" i="9"/>
  <c r="P34" i="9"/>
  <c r="P38" i="9"/>
  <c r="P42" i="9"/>
  <c r="P46" i="9"/>
  <c r="P50" i="9"/>
  <c r="P24" i="9"/>
  <c r="P28" i="9"/>
  <c r="P35" i="9"/>
  <c r="P37" i="9"/>
  <c r="P44" i="9"/>
  <c r="P51" i="9"/>
  <c r="BH9" i="9"/>
  <c r="BH13" i="9"/>
  <c r="BH17" i="9"/>
  <c r="BH21" i="9"/>
  <c r="BH25" i="9"/>
  <c r="BH29" i="9"/>
  <c r="BH33" i="9"/>
  <c r="BH37" i="9"/>
  <c r="BH41" i="9"/>
  <c r="BH45" i="9"/>
  <c r="BH49" i="9"/>
  <c r="BH53" i="9"/>
  <c r="BH57" i="9"/>
  <c r="BH61" i="9"/>
  <c r="BH65" i="9"/>
  <c r="BH69" i="9"/>
  <c r="BH73" i="9"/>
  <c r="BH77" i="9"/>
  <c r="BH81" i="9"/>
  <c r="BH85" i="9"/>
  <c r="BH89" i="9"/>
  <c r="BH93" i="9"/>
  <c r="BH97" i="9"/>
  <c r="BH101" i="9"/>
  <c r="BH105" i="9"/>
  <c r="BH109" i="9"/>
  <c r="BH113" i="9"/>
  <c r="BH117" i="9"/>
  <c r="BH121" i="9"/>
  <c r="BH125" i="9"/>
  <c r="BH129" i="9"/>
  <c r="BH133" i="9"/>
  <c r="BH137" i="9"/>
  <c r="BH141" i="9"/>
  <c r="BH145" i="9"/>
  <c r="BH149" i="9"/>
  <c r="BH153" i="9"/>
  <c r="BH157" i="9"/>
  <c r="BH161" i="9"/>
  <c r="BH165" i="9"/>
  <c r="BH169" i="9"/>
  <c r="BH173" i="9"/>
  <c r="BH177" i="9"/>
  <c r="BH181" i="9"/>
  <c r="BH185" i="9"/>
  <c r="BH189" i="9"/>
  <c r="BH193" i="9"/>
  <c r="BH197" i="9"/>
  <c r="BH201" i="9"/>
  <c r="BH205" i="9"/>
  <c r="BH209" i="9"/>
  <c r="BH213" i="9"/>
  <c r="BH217" i="9"/>
  <c r="BH221" i="9"/>
  <c r="BH225" i="9"/>
  <c r="BH229" i="9"/>
  <c r="BH233" i="9"/>
  <c r="BH237" i="9"/>
  <c r="BH241" i="9"/>
  <c r="BH249" i="9"/>
  <c r="BH253" i="9"/>
  <c r="BH257" i="9"/>
  <c r="BH261" i="9"/>
  <c r="BH265" i="9"/>
  <c r="BH269" i="9"/>
  <c r="BH273" i="9"/>
  <c r="BH277" i="9"/>
  <c r="BH281" i="9"/>
  <c r="BI276" i="9"/>
  <c r="BI275" i="9"/>
  <c r="BI270" i="9"/>
  <c r="BI264" i="9"/>
  <c r="BI263" i="9"/>
  <c r="BI258" i="9"/>
  <c r="BI257" i="9"/>
  <c r="BI252" i="9"/>
  <c r="BI251" i="9"/>
  <c r="BI246" i="9"/>
  <c r="M21" i="9"/>
  <c r="P31" i="9"/>
  <c r="P33" i="9"/>
  <c r="P40" i="9"/>
  <c r="P47" i="9"/>
  <c r="P49" i="9"/>
  <c r="BH8" i="9"/>
  <c r="BH12" i="9"/>
  <c r="BH16" i="9"/>
  <c r="BH20" i="9"/>
  <c r="BH24" i="9"/>
  <c r="BH28" i="9"/>
  <c r="BH32" i="9"/>
  <c r="BH36" i="9"/>
  <c r="BH40" i="9"/>
  <c r="BH44" i="9"/>
  <c r="BH48" i="9"/>
  <c r="BH52" i="9"/>
  <c r="BH56" i="9"/>
  <c r="BH60" i="9"/>
  <c r="BH64" i="9"/>
  <c r="BH68" i="9"/>
  <c r="BH72" i="9"/>
  <c r="BH76" i="9"/>
  <c r="BH80" i="9"/>
  <c r="BH84" i="9"/>
  <c r="BH88" i="9"/>
  <c r="BH92" i="9"/>
  <c r="BH96" i="9"/>
  <c r="BH100" i="9"/>
  <c r="BH104" i="9"/>
  <c r="BH108" i="9"/>
  <c r="BH112" i="9"/>
  <c r="BH116" i="9"/>
  <c r="BH120" i="9"/>
  <c r="BH124" i="9"/>
  <c r="BH128" i="9"/>
  <c r="BH132" i="9"/>
  <c r="BH136" i="9"/>
  <c r="BH140" i="9"/>
  <c r="BH144" i="9"/>
  <c r="BH148" i="9"/>
  <c r="BH152" i="9"/>
  <c r="BH156" i="9"/>
  <c r="BH160" i="9"/>
  <c r="BH164" i="9"/>
  <c r="BH168" i="9"/>
  <c r="BH172" i="9"/>
  <c r="BH176" i="9"/>
  <c r="BH180" i="9"/>
  <c r="BH184" i="9"/>
  <c r="BH188" i="9"/>
  <c r="BH192" i="9"/>
  <c r="BH196" i="9"/>
  <c r="BH200" i="9"/>
  <c r="BH204" i="9"/>
  <c r="BH208" i="9"/>
  <c r="BH212" i="9"/>
  <c r="BH216" i="9"/>
  <c r="BH220" i="9"/>
  <c r="BH224" i="9"/>
  <c r="BH228" i="9"/>
  <c r="BH232" i="9"/>
  <c r="BH236" i="9"/>
  <c r="BH240" i="9"/>
  <c r="BH244" i="9"/>
  <c r="BH248" i="9"/>
  <c r="BH252" i="9"/>
  <c r="BH256" i="9"/>
  <c r="BH260" i="9"/>
  <c r="BH264" i="9"/>
  <c r="BH268" i="9"/>
  <c r="BH272" i="9"/>
  <c r="BH276" i="9"/>
  <c r="BH280" i="9"/>
  <c r="BI280" i="9"/>
  <c r="BI274" i="9"/>
  <c r="BI269" i="9"/>
  <c r="BI268" i="9"/>
  <c r="BI262" i="9"/>
  <c r="BI256" i="9"/>
  <c r="BI250" i="9"/>
  <c r="F32" i="8"/>
  <c r="AR387" i="9" l="1"/>
  <c r="AT541" i="9"/>
  <c r="AW541" i="9" s="1"/>
  <c r="AV427" i="9"/>
  <c r="AD44" i="9"/>
  <c r="AS269" i="9"/>
  <c r="AT384" i="9"/>
  <c r="BA384" i="9" s="1"/>
  <c r="AS367" i="9"/>
  <c r="AR494" i="9"/>
  <c r="AV525" i="9"/>
  <c r="AR504" i="9"/>
  <c r="AD38" i="9"/>
  <c r="AS343" i="9"/>
  <c r="AR443" i="9"/>
  <c r="AQ273" i="9"/>
  <c r="AY273" i="9" s="1"/>
  <c r="AV485" i="9"/>
  <c r="AR453" i="9"/>
  <c r="AQ549" i="9"/>
  <c r="AY549" i="9" s="1"/>
  <c r="AT261" i="9"/>
  <c r="AW261" i="9" s="1"/>
  <c r="AQ189" i="9"/>
  <c r="AV371" i="9"/>
  <c r="AV431" i="9"/>
  <c r="AS446" i="9"/>
  <c r="AS467" i="9"/>
  <c r="AQ559" i="9"/>
  <c r="AY559" i="9" s="1"/>
  <c r="AT414" i="9"/>
  <c r="AW414" i="9" s="1"/>
  <c r="O26" i="9"/>
  <c r="X26" i="9" s="1"/>
  <c r="N15" i="9"/>
  <c r="AD34" i="9"/>
  <c r="AQ490" i="9"/>
  <c r="AY490" i="9" s="1"/>
  <c r="AS377" i="9"/>
  <c r="AR481" i="9"/>
  <c r="AS300" i="9"/>
  <c r="AR342" i="9"/>
  <c r="AQ329" i="9"/>
  <c r="AY329" i="9" s="1"/>
  <c r="AT407" i="9"/>
  <c r="AW407" i="9" s="1"/>
  <c r="AT466" i="9"/>
  <c r="BA466" i="9" s="1"/>
  <c r="AQ481" i="9"/>
  <c r="AY481" i="9" s="1"/>
  <c r="AQ311" i="9"/>
  <c r="AY311" i="9" s="1"/>
  <c r="AT531" i="9"/>
  <c r="BA531" i="9" s="1"/>
  <c r="AV400" i="9"/>
  <c r="AS478" i="9"/>
  <c r="AR427" i="9"/>
  <c r="AS311" i="9"/>
  <c r="AV466" i="9"/>
  <c r="AS344" i="9"/>
  <c r="AS454" i="9"/>
  <c r="AV462" i="9"/>
  <c r="AS452" i="9"/>
  <c r="AT265" i="9"/>
  <c r="AW265" i="9" s="1"/>
  <c r="AT524" i="9"/>
  <c r="AW524" i="9" s="1"/>
  <c r="AT399" i="9"/>
  <c r="AW399" i="9" s="1"/>
  <c r="AR262" i="9"/>
  <c r="AT564" i="9"/>
  <c r="BA564" i="9" s="1"/>
  <c r="AR272" i="9"/>
  <c r="AQ473" i="9"/>
  <c r="AY473" i="9" s="1"/>
  <c r="AQ458" i="9"/>
  <c r="AY458" i="9" s="1"/>
  <c r="AT263" i="9"/>
  <c r="AW263" i="9" s="1"/>
  <c r="AQ320" i="9"/>
  <c r="AY320" i="9" s="1"/>
  <c r="AQ309" i="9"/>
  <c r="AY309" i="9" s="1"/>
  <c r="AQ55" i="9"/>
  <c r="AR264" i="9"/>
  <c r="AV339" i="9"/>
  <c r="AQ569" i="9"/>
  <c r="AY569" i="9" s="1"/>
  <c r="AR246" i="9"/>
  <c r="AV497" i="9"/>
  <c r="AR366" i="9"/>
  <c r="AR441" i="9"/>
  <c r="AV482" i="9"/>
  <c r="AS302" i="9"/>
  <c r="AV523" i="9"/>
  <c r="AR286" i="9"/>
  <c r="AS404" i="9"/>
  <c r="AV448" i="9"/>
  <c r="AR396" i="9"/>
  <c r="AV529" i="9"/>
  <c r="AR448" i="9"/>
  <c r="AS447" i="9"/>
  <c r="AS387" i="9"/>
  <c r="AS291" i="9"/>
  <c r="AS383" i="9"/>
  <c r="AS531" i="9"/>
  <c r="AQ524" i="9"/>
  <c r="AY524" i="9" s="1"/>
  <c r="AV265" i="9"/>
  <c r="AQ409" i="9"/>
  <c r="AY409" i="9" s="1"/>
  <c r="AQ482" i="9"/>
  <c r="AY482" i="9" s="1"/>
  <c r="AQ275" i="9"/>
  <c r="AY275" i="9" s="1"/>
  <c r="AQ302" i="9"/>
  <c r="AY302" i="9" s="1"/>
  <c r="AV348" i="9"/>
  <c r="AS263" i="9"/>
  <c r="AQ528" i="9"/>
  <c r="AY528" i="9" s="1"/>
  <c r="AQ384" i="9"/>
  <c r="AY384" i="9" s="1"/>
  <c r="O30" i="9"/>
  <c r="X30" i="9" s="1"/>
  <c r="AT386" i="9"/>
  <c r="AW386" i="9" s="1"/>
  <c r="AQ525" i="9"/>
  <c r="AY525" i="9" s="1"/>
  <c r="AQ404" i="9"/>
  <c r="AY404" i="9" s="1"/>
  <c r="AT483" i="9"/>
  <c r="BA483" i="9" s="1"/>
  <c r="AQ285" i="9"/>
  <c r="AY285" i="9" s="1"/>
  <c r="AQ251" i="9"/>
  <c r="AY251" i="9" s="1"/>
  <c r="N24" i="9"/>
  <c r="AQ67" i="9"/>
  <c r="AS438" i="9"/>
  <c r="AR398" i="9"/>
  <c r="AS547" i="9"/>
  <c r="AV551" i="9"/>
  <c r="AQ73" i="9"/>
  <c r="AQ68" i="9"/>
  <c r="AQ171" i="9"/>
  <c r="AQ60" i="9"/>
  <c r="AD27" i="9"/>
  <c r="AQ340" i="9"/>
  <c r="AY340" i="9" s="1"/>
  <c r="AQ247" i="9"/>
  <c r="AY247" i="9" s="1"/>
  <c r="AQ318" i="9"/>
  <c r="AY318" i="9" s="1"/>
  <c r="AQ203" i="9"/>
  <c r="AQ331" i="9"/>
  <c r="AY331" i="9" s="1"/>
  <c r="AQ401" i="9"/>
  <c r="AY401" i="9" s="1"/>
  <c r="AT452" i="9"/>
  <c r="BA452" i="9" s="1"/>
  <c r="AQ113" i="9"/>
  <c r="AT317" i="9"/>
  <c r="BA317" i="9" s="1"/>
  <c r="AT398" i="9"/>
  <c r="BA398" i="9" s="1"/>
  <c r="AQ456" i="9"/>
  <c r="AY456" i="9" s="1"/>
  <c r="AQ500" i="9"/>
  <c r="AY500" i="9" s="1"/>
  <c r="AT540" i="9"/>
  <c r="AW540" i="9" s="1"/>
  <c r="AQ88" i="9"/>
  <c r="AT342" i="9"/>
  <c r="BA342" i="9" s="1"/>
  <c r="AT428" i="9"/>
  <c r="AW428" i="9" s="1"/>
  <c r="AT507" i="9"/>
  <c r="AW507" i="9" s="1"/>
  <c r="AQ563" i="9"/>
  <c r="AY563" i="9" s="1"/>
  <c r="AV248" i="9"/>
  <c r="AD32" i="9"/>
  <c r="AQ407" i="9"/>
  <c r="AY407" i="9" s="1"/>
  <c r="AD43" i="9"/>
  <c r="AQ510" i="9"/>
  <c r="AY510" i="9" s="1"/>
  <c r="AT545" i="9"/>
  <c r="BA545" i="9" s="1"/>
  <c r="O51" i="9"/>
  <c r="X51" i="9" s="1"/>
  <c r="AS267" i="9"/>
  <c r="AR253" i="9"/>
  <c r="AS298" i="9"/>
  <c r="N22" i="9"/>
  <c r="AQ362" i="9"/>
  <c r="AY362" i="9" s="1"/>
  <c r="AQ181" i="9"/>
  <c r="AT273" i="9"/>
  <c r="BA273" i="9" s="1"/>
  <c r="AT441" i="9"/>
  <c r="AW441" i="9" s="1"/>
  <c r="AQ256" i="9"/>
  <c r="AY256" i="9" s="1"/>
  <c r="AT376" i="9"/>
  <c r="BA376" i="9" s="1"/>
  <c r="AQ444" i="9"/>
  <c r="AY444" i="9" s="1"/>
  <c r="AT505" i="9"/>
  <c r="BA505" i="9" s="1"/>
  <c r="AQ534" i="9"/>
  <c r="AY534" i="9" s="1"/>
  <c r="AQ264" i="9"/>
  <c r="AY264" i="9" s="1"/>
  <c r="AQ463" i="9"/>
  <c r="AY463" i="9" s="1"/>
  <c r="AT550" i="9"/>
  <c r="AW550" i="9" s="1"/>
  <c r="AV273" i="9"/>
  <c r="AQ198" i="9"/>
  <c r="AT434" i="9"/>
  <c r="BA434" i="9" s="1"/>
  <c r="AT529" i="9"/>
  <c r="BA529" i="9" s="1"/>
  <c r="O47" i="9"/>
  <c r="X47" i="9" s="1"/>
  <c r="AS394" i="9"/>
  <c r="AS323" i="9"/>
  <c r="AS456" i="9"/>
  <c r="AR351" i="9"/>
  <c r="AS517" i="9"/>
  <c r="AV425" i="9"/>
  <c r="AV519" i="9"/>
  <c r="AS385" i="9"/>
  <c r="AR462" i="9"/>
  <c r="AR554" i="9"/>
  <c r="AV496" i="9"/>
  <c r="AS476" i="9"/>
  <c r="AR489" i="9"/>
  <c r="AV299" i="9"/>
  <c r="AV352" i="9"/>
  <c r="AR552" i="9"/>
  <c r="AR293" i="9"/>
  <c r="AV502" i="9"/>
  <c r="AR395" i="9"/>
  <c r="AS285" i="9"/>
  <c r="AS346" i="9"/>
  <c r="AR542" i="9"/>
  <c r="AV403" i="9"/>
  <c r="AV565" i="9"/>
  <c r="AR526" i="9"/>
  <c r="AV366" i="9"/>
  <c r="AR549" i="9"/>
  <c r="AS419" i="9"/>
  <c r="AR420" i="9"/>
  <c r="AR381" i="9"/>
  <c r="AR261" i="9"/>
  <c r="AS402" i="9"/>
  <c r="AR525" i="9"/>
  <c r="AQ29" i="9"/>
  <c r="AR29" i="9" s="1"/>
  <c r="AQ76" i="9"/>
  <c r="AQ161" i="9"/>
  <c r="AQ231" i="9"/>
  <c r="AT349" i="9"/>
  <c r="AW349" i="9" s="1"/>
  <c r="AQ280" i="9"/>
  <c r="AY280" i="9" s="1"/>
  <c r="AT358" i="9"/>
  <c r="BA358" i="9" s="1"/>
  <c r="AQ335" i="9"/>
  <c r="AY335" i="9" s="1"/>
  <c r="AT429" i="9"/>
  <c r="AW429" i="9" s="1"/>
  <c r="AT485" i="9"/>
  <c r="AW485" i="9" s="1"/>
  <c r="AQ323" i="9"/>
  <c r="AY323" i="9" s="1"/>
  <c r="AQ429" i="9"/>
  <c r="AY429" i="9" s="1"/>
  <c r="AQ485" i="9"/>
  <c r="AY485" i="9" s="1"/>
  <c r="AT544" i="9"/>
  <c r="BA544" i="9" s="1"/>
  <c r="AQ260" i="9"/>
  <c r="AY260" i="9" s="1"/>
  <c r="AQ392" i="9"/>
  <c r="AY392" i="9" s="1"/>
  <c r="AQ516" i="9"/>
  <c r="AY516" i="9" s="1"/>
  <c r="AV271" i="9"/>
  <c r="AT269" i="9"/>
  <c r="AW269" i="9" s="1"/>
  <c r="AT416" i="9"/>
  <c r="AW416" i="9" s="1"/>
  <c r="AT489" i="9"/>
  <c r="AW489" i="9" s="1"/>
  <c r="AT528" i="9"/>
  <c r="BA528" i="9" s="1"/>
  <c r="AS260" i="9"/>
  <c r="AR277" i="9"/>
  <c r="AV458" i="9"/>
  <c r="AQ234" i="9"/>
  <c r="AQ421" i="9"/>
  <c r="AY421" i="9" s="1"/>
  <c r="AQ321" i="9"/>
  <c r="AY321" i="9" s="1"/>
  <c r="AQ467" i="9"/>
  <c r="AY467" i="9" s="1"/>
  <c r="AQ294" i="9"/>
  <c r="AY294" i="9" s="1"/>
  <c r="AQ436" i="9"/>
  <c r="AY436" i="9" s="1"/>
  <c r="AD47" i="9"/>
  <c r="AT560" i="9"/>
  <c r="AW560" i="9" s="1"/>
  <c r="AQ417" i="9"/>
  <c r="AY417" i="9" s="1"/>
  <c r="AT557" i="9"/>
  <c r="AW557" i="9" s="1"/>
  <c r="AV261" i="9"/>
  <c r="AD39" i="9"/>
  <c r="AQ541" i="9"/>
  <c r="AY541" i="9" s="1"/>
  <c r="AR310" i="9"/>
  <c r="AS412" i="9"/>
  <c r="AR510" i="9"/>
  <c r="AV312" i="9"/>
  <c r="AR345" i="9"/>
  <c r="AS528" i="9"/>
  <c r="AV360" i="9"/>
  <c r="AV385" i="9"/>
  <c r="AV428" i="9"/>
  <c r="AR428" i="9"/>
  <c r="AS515" i="9"/>
  <c r="AR355" i="9"/>
  <c r="AV397" i="9"/>
  <c r="AS359" i="9"/>
  <c r="AV472" i="9"/>
  <c r="AV310" i="9"/>
  <c r="AS380" i="9"/>
  <c r="AV438" i="9"/>
  <c r="AV556" i="9"/>
  <c r="AR419" i="9"/>
  <c r="AV362" i="9"/>
  <c r="AR416" i="9"/>
  <c r="AS330" i="9"/>
  <c r="AR274" i="9"/>
  <c r="O38" i="9"/>
  <c r="X38" i="9" s="1"/>
  <c r="AQ471" i="9"/>
  <c r="AY471" i="9" s="1"/>
  <c r="AQ80" i="9"/>
  <c r="AT274" i="9"/>
  <c r="BA274" i="9" s="1"/>
  <c r="AT289" i="9"/>
  <c r="BA289" i="9" s="1"/>
  <c r="AT374" i="9"/>
  <c r="BA374" i="9" s="1"/>
  <c r="AQ159" i="9"/>
  <c r="AQ431" i="9"/>
  <c r="AY431" i="9" s="1"/>
  <c r="AT563" i="9"/>
  <c r="AW563" i="9" s="1"/>
  <c r="AT436" i="9"/>
  <c r="BA436" i="9" s="1"/>
  <c r="AV270" i="9"/>
  <c r="AT439" i="9"/>
  <c r="BA439" i="9" s="1"/>
  <c r="AQ499" i="9"/>
  <c r="AY499" i="9" s="1"/>
  <c r="AV247" i="9"/>
  <c r="AV404" i="9"/>
  <c r="AD40" i="9"/>
  <c r="AQ494" i="9"/>
  <c r="AY494" i="9" s="1"/>
  <c r="AT472" i="9"/>
  <c r="BA472" i="9" s="1"/>
  <c r="AQ515" i="9"/>
  <c r="AY515" i="9" s="1"/>
  <c r="AQ522" i="9"/>
  <c r="AY522" i="9" s="1"/>
  <c r="AV250" i="9"/>
  <c r="AV451" i="9"/>
  <c r="AS349" i="9"/>
  <c r="AQ20" i="9"/>
  <c r="AR20" i="9" s="1"/>
  <c r="AQ162" i="9"/>
  <c r="AQ192" i="9"/>
  <c r="N23" i="9"/>
  <c r="AT431" i="9"/>
  <c r="AW431" i="9" s="1"/>
  <c r="AT369" i="9"/>
  <c r="BA369" i="9" s="1"/>
  <c r="AQ502" i="9"/>
  <c r="AY502" i="9" s="1"/>
  <c r="AT277" i="9"/>
  <c r="AW277" i="9" s="1"/>
  <c r="AT535" i="9"/>
  <c r="AW535" i="9" s="1"/>
  <c r="AQ344" i="9"/>
  <c r="AY344" i="9" s="1"/>
  <c r="AT547" i="9"/>
  <c r="BA547" i="9" s="1"/>
  <c r="AR279" i="9"/>
  <c r="AQ291" i="9"/>
  <c r="AY291" i="9" s="1"/>
  <c r="AQ337" i="9"/>
  <c r="AY337" i="9" s="1"/>
  <c r="AQ364" i="9"/>
  <c r="AY364" i="9" s="1"/>
  <c r="AQ233" i="9"/>
  <c r="O43" i="9"/>
  <c r="X43" i="9" s="1"/>
  <c r="AT495" i="9"/>
  <c r="AW495" i="9" s="1"/>
  <c r="AS264" i="9"/>
  <c r="AV405" i="9"/>
  <c r="AS562" i="9"/>
  <c r="AR413" i="9"/>
  <c r="AR331" i="9"/>
  <c r="AR454" i="9"/>
  <c r="AS492" i="9"/>
  <c r="AS308" i="9"/>
  <c r="AV330" i="9"/>
  <c r="AT556" i="9"/>
  <c r="AW556" i="9" s="1"/>
  <c r="AT530" i="9"/>
  <c r="AW530" i="9" s="1"/>
  <c r="AT391" i="9"/>
  <c r="AW391" i="9" s="1"/>
  <c r="AT300" i="9"/>
  <c r="BA300" i="9" s="1"/>
  <c r="AT443" i="9"/>
  <c r="BA443" i="9" s="1"/>
  <c r="AT565" i="9"/>
  <c r="BA565" i="9" s="1"/>
  <c r="AQ376" i="9"/>
  <c r="AY376" i="9" s="1"/>
  <c r="AQ428" i="9"/>
  <c r="AY428" i="9" s="1"/>
  <c r="AS280" i="9"/>
  <c r="AR267" i="9"/>
  <c r="AS541" i="9"/>
  <c r="AV381" i="9"/>
  <c r="AV413" i="9"/>
  <c r="AS360" i="9"/>
  <c r="AS487" i="9"/>
  <c r="AV282" i="9"/>
  <c r="AV335" i="9"/>
  <c r="AV332" i="9"/>
  <c r="AV416" i="9"/>
  <c r="AV560" i="9"/>
  <c r="AV285" i="9"/>
  <c r="AV491" i="9"/>
  <c r="AS554" i="9"/>
  <c r="AR314" i="9"/>
  <c r="AR340" i="9"/>
  <c r="AS312" i="9"/>
  <c r="AV259" i="9"/>
  <c r="AQ521" i="9"/>
  <c r="AY521" i="9" s="1"/>
  <c r="O50" i="9"/>
  <c r="X50" i="9" s="1"/>
  <c r="AQ361" i="9"/>
  <c r="AY361" i="9" s="1"/>
  <c r="AQ474" i="9"/>
  <c r="AY474" i="9" s="1"/>
  <c r="AT503" i="9"/>
  <c r="AW503" i="9" s="1"/>
  <c r="AQ199" i="9"/>
  <c r="AR320" i="9"/>
  <c r="AR265" i="9"/>
  <c r="AT510" i="9"/>
  <c r="AW510" i="9" s="1"/>
  <c r="AQ380" i="9"/>
  <c r="AY380" i="9" s="1"/>
  <c r="AQ543" i="9"/>
  <c r="AY543" i="9" s="1"/>
  <c r="AT350" i="9"/>
  <c r="AW350" i="9" s="1"/>
  <c r="AQ523" i="9"/>
  <c r="AY523" i="9" s="1"/>
  <c r="AT377" i="9"/>
  <c r="AW377" i="9" s="1"/>
  <c r="AT458" i="9"/>
  <c r="AW458" i="9" s="1"/>
  <c r="AT275" i="9"/>
  <c r="BA275" i="9" s="1"/>
  <c r="AD21" i="9"/>
  <c r="N13" i="9"/>
  <c r="AQ103" i="9"/>
  <c r="AR296" i="9"/>
  <c r="G32" i="8"/>
  <c r="AS511" i="9"/>
  <c r="AR471" i="9"/>
  <c r="AS440" i="9"/>
  <c r="AS474" i="9"/>
  <c r="AV290" i="9"/>
  <c r="AQ173" i="9"/>
  <c r="AR515" i="9"/>
  <c r="AR553" i="9"/>
  <c r="AR389" i="9"/>
  <c r="AS325" i="9"/>
  <c r="AV507" i="9"/>
  <c r="AR383" i="9"/>
  <c r="AV439" i="9"/>
  <c r="AV521" i="9"/>
  <c r="AK210" i="9"/>
  <c r="AV380" i="9"/>
  <c r="AV481" i="9"/>
  <c r="AS318" i="9"/>
  <c r="AS483" i="9"/>
  <c r="AV394" i="9"/>
  <c r="AR538" i="9"/>
  <c r="AS449" i="9"/>
  <c r="AS249" i="9"/>
  <c r="AQ560" i="9"/>
  <c r="AY560" i="9" s="1"/>
  <c r="AQ386" i="9"/>
  <c r="AY386" i="9" s="1"/>
  <c r="AQ15" i="9"/>
  <c r="AR15" i="9" s="1"/>
  <c r="AQ38" i="9"/>
  <c r="AQ58" i="9"/>
  <c r="AQ57" i="9"/>
  <c r="AQ8" i="9"/>
  <c r="AR8" i="9" s="1"/>
  <c r="AQ64" i="9"/>
  <c r="AQ92" i="9"/>
  <c r="AQ107" i="9"/>
  <c r="AQ86" i="9"/>
  <c r="AQ126" i="9"/>
  <c r="AQ45" i="9"/>
  <c r="AR45" i="9" s="1"/>
  <c r="N12" i="9"/>
  <c r="AQ106" i="9"/>
  <c r="AQ137" i="9"/>
  <c r="AQ151" i="9"/>
  <c r="AQ95" i="9"/>
  <c r="O16" i="9"/>
  <c r="N19" i="9"/>
  <c r="AQ182" i="9"/>
  <c r="AQ72" i="9"/>
  <c r="AQ124" i="9"/>
  <c r="AQ157" i="9"/>
  <c r="AQ172" i="9"/>
  <c r="AQ183" i="9"/>
  <c r="AQ209" i="9"/>
  <c r="AQ83" i="9"/>
  <c r="AQ154" i="9"/>
  <c r="AQ200" i="9"/>
  <c r="AD23" i="9"/>
  <c r="O25" i="9"/>
  <c r="AT253" i="9"/>
  <c r="AW253" i="9" s="1"/>
  <c r="AQ263" i="9"/>
  <c r="AY263" i="9" s="1"/>
  <c r="AT270" i="9"/>
  <c r="AW270" i="9" s="1"/>
  <c r="AQ282" i="9"/>
  <c r="AQ292" i="9"/>
  <c r="AY292" i="9" s="1"/>
  <c r="AT303" i="9"/>
  <c r="AW303" i="9" s="1"/>
  <c r="AQ315" i="9"/>
  <c r="AY315" i="9" s="1"/>
  <c r="AT322" i="9"/>
  <c r="AW322" i="9" s="1"/>
  <c r="AQ332" i="9"/>
  <c r="AY332" i="9" s="1"/>
  <c r="AT345" i="9"/>
  <c r="BA345" i="9" s="1"/>
  <c r="AD11" i="9"/>
  <c r="O17" i="9"/>
  <c r="AQ185" i="9"/>
  <c r="O22" i="9"/>
  <c r="AQ213" i="9"/>
  <c r="AQ232" i="9"/>
  <c r="AQ243" i="9"/>
  <c r="AQ255" i="9"/>
  <c r="AY255" i="9" s="1"/>
  <c r="AT264" i="9"/>
  <c r="BA264" i="9" s="1"/>
  <c r="AQ274" i="9"/>
  <c r="AT285" i="9"/>
  <c r="AQ297" i="9"/>
  <c r="AY297" i="9" s="1"/>
  <c r="AD30" i="9"/>
  <c r="AT314" i="9"/>
  <c r="BA314" i="9" s="1"/>
  <c r="AQ326" i="9"/>
  <c r="AY326" i="9" s="1"/>
  <c r="AT337" i="9"/>
  <c r="AW337" i="9" s="1"/>
  <c r="AQ347" i="9"/>
  <c r="AY347" i="9" s="1"/>
  <c r="AT356" i="9"/>
  <c r="AQ366" i="9"/>
  <c r="AY366" i="9" s="1"/>
  <c r="O9" i="9"/>
  <c r="AV488" i="9"/>
  <c r="AS410" i="9"/>
  <c r="AR294" i="9"/>
  <c r="AR534" i="9"/>
  <c r="AR472" i="9"/>
  <c r="AS569" i="9"/>
  <c r="AS406" i="9"/>
  <c r="AS463" i="9"/>
  <c r="AR299" i="9"/>
  <c r="AV554" i="9"/>
  <c r="AS411" i="9"/>
  <c r="AS529" i="9"/>
  <c r="AV411" i="9"/>
  <c r="AV568" i="9"/>
  <c r="AS490" i="9"/>
  <c r="AV314" i="9"/>
  <c r="AV564" i="9"/>
  <c r="AR278" i="9"/>
  <c r="AV262" i="9"/>
  <c r="AQ10" i="9"/>
  <c r="AR10" i="9" s="1"/>
  <c r="O8" i="9"/>
  <c r="Y8" i="9" s="1"/>
  <c r="AQ48" i="9"/>
  <c r="AQ69" i="9"/>
  <c r="AQ53" i="9"/>
  <c r="AR53" i="9" s="1"/>
  <c r="AQ85" i="9"/>
  <c r="AQ43" i="9"/>
  <c r="AX43" i="9" s="1"/>
  <c r="AQ110" i="9"/>
  <c r="N17" i="9"/>
  <c r="AD12" i="9"/>
  <c r="AQ118" i="9"/>
  <c r="AD17" i="9"/>
  <c r="AQ102" i="9"/>
  <c r="AQ156" i="9"/>
  <c r="O20" i="9"/>
  <c r="AQ79" i="9"/>
  <c r="AQ141" i="9"/>
  <c r="AQ168" i="9"/>
  <c r="AQ190" i="9"/>
  <c r="AQ40" i="9"/>
  <c r="AR40" i="9" s="1"/>
  <c r="O18" i="9"/>
  <c r="AQ206" i="9"/>
  <c r="AQ227" i="9"/>
  <c r="AT249" i="9"/>
  <c r="BA249" i="9" s="1"/>
  <c r="AQ265" i="9"/>
  <c r="AY265" i="9" s="1"/>
  <c r="AT276" i="9"/>
  <c r="BA276" i="9" s="1"/>
  <c r="AQ290" i="9"/>
  <c r="AY290" i="9" s="1"/>
  <c r="AQ307" i="9"/>
  <c r="AY307" i="9" s="1"/>
  <c r="AD31" i="9"/>
  <c r="AQ330" i="9"/>
  <c r="AY330" i="9" s="1"/>
  <c r="AT347" i="9"/>
  <c r="BA347" i="9" s="1"/>
  <c r="AD15" i="9"/>
  <c r="AQ170" i="9"/>
  <c r="AQ202" i="9"/>
  <c r="AQ222" i="9"/>
  <c r="AQ239" i="9"/>
  <c r="AD26" i="9"/>
  <c r="AT268" i="9"/>
  <c r="BA268" i="9" s="1"/>
  <c r="AT283" i="9"/>
  <c r="AQ299" i="9"/>
  <c r="AY299" i="9" s="1"/>
  <c r="AT310" i="9"/>
  <c r="AW310" i="9" s="1"/>
  <c r="AQ322" i="9"/>
  <c r="AY322" i="9" s="1"/>
  <c r="AT339" i="9"/>
  <c r="AQ353" i="9"/>
  <c r="AY353" i="9" s="1"/>
  <c r="AT364" i="9"/>
  <c r="BA364" i="9" s="1"/>
  <c r="AQ147" i="9"/>
  <c r="AQ208" i="9"/>
  <c r="AQ244" i="9"/>
  <c r="AQ266" i="9"/>
  <c r="AY266" i="9" s="1"/>
  <c r="AQ289" i="9"/>
  <c r="AY289" i="9" s="1"/>
  <c r="AT302" i="9"/>
  <c r="AT329" i="9"/>
  <c r="AW329" i="9" s="1"/>
  <c r="AT348" i="9"/>
  <c r="BA348" i="9" s="1"/>
  <c r="AT365" i="9"/>
  <c r="BA365" i="9" s="1"/>
  <c r="AT375" i="9"/>
  <c r="AW375" i="9" s="1"/>
  <c r="AT385" i="9"/>
  <c r="BA385" i="9" s="1"/>
  <c r="AQ395" i="9"/>
  <c r="AY395" i="9" s="1"/>
  <c r="AT404" i="9"/>
  <c r="BA404" i="9" s="1"/>
  <c r="AQ414" i="9"/>
  <c r="AY414" i="9" s="1"/>
  <c r="AQ424" i="9"/>
  <c r="AY424" i="9" s="1"/>
  <c r="AT437" i="9"/>
  <c r="BA437" i="9" s="1"/>
  <c r="AQ447" i="9"/>
  <c r="AY447" i="9" s="1"/>
  <c r="AT454" i="9"/>
  <c r="AQ466" i="9"/>
  <c r="AY466" i="9" s="1"/>
  <c r="AT477" i="9"/>
  <c r="BA477" i="9" s="1"/>
  <c r="AQ487" i="9"/>
  <c r="AY487" i="9" s="1"/>
  <c r="AD46" i="9"/>
  <c r="N9" i="9"/>
  <c r="AQ166" i="9"/>
  <c r="AQ246" i="9"/>
  <c r="AY246" i="9" s="1"/>
  <c r="AT267" i="9"/>
  <c r="AT282" i="9"/>
  <c r="BA282" i="9" s="1"/>
  <c r="AT309" i="9"/>
  <c r="BA309" i="9" s="1"/>
  <c r="AQ327" i="9"/>
  <c r="AY327" i="9" s="1"/>
  <c r="AQ346" i="9"/>
  <c r="AY346" i="9" s="1"/>
  <c r="AQ369" i="9"/>
  <c r="AY369" i="9" s="1"/>
  <c r="AQ383" i="9"/>
  <c r="AY383" i="9" s="1"/>
  <c r="AT390" i="9"/>
  <c r="BA390" i="9" s="1"/>
  <c r="AQ402" i="9"/>
  <c r="AY402" i="9" s="1"/>
  <c r="AQ412" i="9"/>
  <c r="AY412" i="9" s="1"/>
  <c r="AT423" i="9"/>
  <c r="BA423" i="9" s="1"/>
  <c r="AQ435" i="9"/>
  <c r="AY435" i="9" s="1"/>
  <c r="AT442" i="9"/>
  <c r="BA442" i="9" s="1"/>
  <c r="AQ452" i="9"/>
  <c r="AY452" i="9" s="1"/>
  <c r="AT465" i="9"/>
  <c r="BA465" i="9" s="1"/>
  <c r="AQ475" i="9"/>
  <c r="AY475" i="9" s="1"/>
  <c r="AQ483" i="9"/>
  <c r="AY483" i="9" s="1"/>
  <c r="AT488" i="9"/>
  <c r="AT496" i="9"/>
  <c r="AW496" i="9" s="1"/>
  <c r="AQ504" i="9"/>
  <c r="AY504" i="9" s="1"/>
  <c r="AT513" i="9"/>
  <c r="BA513" i="9" s="1"/>
  <c r="AT521" i="9"/>
  <c r="AW521" i="9" s="1"/>
  <c r="AQ529" i="9"/>
  <c r="AY529" i="9" s="1"/>
  <c r="AT534" i="9"/>
  <c r="BA534" i="9" s="1"/>
  <c r="AT542" i="9"/>
  <c r="AQ550" i="9"/>
  <c r="AY550" i="9" s="1"/>
  <c r="AT559" i="9"/>
  <c r="AW559" i="9" s="1"/>
  <c r="AT567" i="9"/>
  <c r="AW567" i="9" s="1"/>
  <c r="O37" i="9"/>
  <c r="X37" i="9" s="1"/>
  <c r="AD52" i="9"/>
  <c r="AQ174" i="9"/>
  <c r="AQ225" i="9"/>
  <c r="AQ268" i="9"/>
  <c r="AY268" i="9" s="1"/>
  <c r="AT304" i="9"/>
  <c r="AQ333" i="9"/>
  <c r="AY333" i="9" s="1"/>
  <c r="AQ352" i="9"/>
  <c r="AY352" i="9" s="1"/>
  <c r="AQ371" i="9"/>
  <c r="AY371" i="9" s="1"/>
  <c r="AT382" i="9"/>
  <c r="BA382" i="9" s="1"/>
  <c r="AQ400" i="9"/>
  <c r="AY400" i="9" s="1"/>
  <c r="AQ415" i="9"/>
  <c r="AY415" i="9" s="1"/>
  <c r="AT432" i="9"/>
  <c r="AW432" i="9" s="1"/>
  <c r="AQ446" i="9"/>
  <c r="AY446" i="9" s="1"/>
  <c r="AQ465" i="9"/>
  <c r="AY465" i="9" s="1"/>
  <c r="AT474" i="9"/>
  <c r="AW474" i="9" s="1"/>
  <c r="AQ492" i="9"/>
  <c r="AQ507" i="9"/>
  <c r="AY507" i="9" s="1"/>
  <c r="AQ517" i="9"/>
  <c r="AY517" i="9" s="1"/>
  <c r="AT526" i="9"/>
  <c r="BA526" i="9" s="1"/>
  <c r="AQ536" i="9"/>
  <c r="AY536" i="9" s="1"/>
  <c r="AT552" i="9"/>
  <c r="AW552" i="9" s="1"/>
  <c r="AQ562" i="9"/>
  <c r="AY562" i="9" s="1"/>
  <c r="O32" i="9"/>
  <c r="X32" i="9" s="1"/>
  <c r="AV281" i="9"/>
  <c r="AV276" i="9"/>
  <c r="AV268" i="9"/>
  <c r="AV256" i="9"/>
  <c r="AV246" i="9"/>
  <c r="AQ188" i="9"/>
  <c r="AQ226" i="9"/>
  <c r="AQ271" i="9"/>
  <c r="AY271" i="9" s="1"/>
  <c r="AT307" i="9"/>
  <c r="AT334" i="9"/>
  <c r="BA334" i="9" s="1"/>
  <c r="AT363" i="9"/>
  <c r="BA363" i="9" s="1"/>
  <c r="AQ388" i="9"/>
  <c r="AY388" i="9" s="1"/>
  <c r="AQ403" i="9"/>
  <c r="AY403" i="9" s="1"/>
  <c r="AT420" i="9"/>
  <c r="AW420" i="9" s="1"/>
  <c r="AQ434" i="9"/>
  <c r="AY434" i="9" s="1"/>
  <c r="AQ453" i="9"/>
  <c r="AY453" i="9" s="1"/>
  <c r="AT462" i="9"/>
  <c r="AQ480" i="9"/>
  <c r="AY480" i="9" s="1"/>
  <c r="AT497" i="9"/>
  <c r="BA497" i="9" s="1"/>
  <c r="AQ509" i="9"/>
  <c r="AY509" i="9" s="1"/>
  <c r="AQ511" i="9"/>
  <c r="AY511" i="9" s="1"/>
  <c r="AT527" i="9"/>
  <c r="AT537" i="9"/>
  <c r="BA537" i="9" s="1"/>
  <c r="AT546" i="9"/>
  <c r="AW546" i="9" s="1"/>
  <c r="AQ555" i="9"/>
  <c r="AY555" i="9" s="1"/>
  <c r="AQ565" i="9"/>
  <c r="AY565" i="9" s="1"/>
  <c r="O42" i="9"/>
  <c r="X42" i="9" s="1"/>
  <c r="AS259" i="9"/>
  <c r="AV252" i="9"/>
  <c r="AS458" i="9"/>
  <c r="AV563" i="9"/>
  <c r="AV464" i="9"/>
  <c r="AS315" i="9"/>
  <c r="AR306" i="9"/>
  <c r="AR352" i="9"/>
  <c r="AR313" i="9"/>
  <c r="AV302" i="9"/>
  <c r="AV504" i="9"/>
  <c r="AV532" i="9"/>
  <c r="AV326" i="9"/>
  <c r="AV396" i="9"/>
  <c r="AS273" i="9"/>
  <c r="AT445" i="9"/>
  <c r="BA445" i="9" s="1"/>
  <c r="AQ36" i="9"/>
  <c r="AR36" i="9" s="1"/>
  <c r="AQ30" i="9"/>
  <c r="AR30" i="9" s="1"/>
  <c r="O7" i="9"/>
  <c r="Y7" i="9" s="1"/>
  <c r="AQ96" i="9"/>
  <c r="O12" i="9"/>
  <c r="AQ136" i="9"/>
  <c r="O13" i="9"/>
  <c r="AQ138" i="9"/>
  <c r="AQ65" i="9"/>
  <c r="AD18" i="9"/>
  <c r="AQ193" i="9"/>
  <c r="AQ131" i="9"/>
  <c r="AD19" i="9"/>
  <c r="AQ201" i="9"/>
  <c r="AQ134" i="9"/>
  <c r="AQ212" i="9"/>
  <c r="AQ242" i="9"/>
  <c r="AQ261" i="9"/>
  <c r="AY261" i="9" s="1"/>
  <c r="AT278" i="9"/>
  <c r="BA278" i="9" s="1"/>
  <c r="AT299" i="9"/>
  <c r="AW299" i="9" s="1"/>
  <c r="AQ317" i="9"/>
  <c r="AQ336" i="9"/>
  <c r="AY336" i="9" s="1"/>
  <c r="AQ35" i="9"/>
  <c r="AX35" i="9" s="1"/>
  <c r="AQ155" i="9"/>
  <c r="AD22" i="9"/>
  <c r="AD24" i="9"/>
  <c r="AQ253" i="9"/>
  <c r="AY253" i="9" s="1"/>
  <c r="AQ272" i="9"/>
  <c r="AY272" i="9" s="1"/>
  <c r="AT291" i="9"/>
  <c r="BA291" i="9" s="1"/>
  <c r="AT306" i="9"/>
  <c r="AQ328" i="9"/>
  <c r="AY328" i="9" s="1"/>
  <c r="AQ345" i="9"/>
  <c r="AY345" i="9" s="1"/>
  <c r="AT360" i="9"/>
  <c r="BA360" i="9" s="1"/>
  <c r="AQ158" i="9"/>
  <c r="AQ229" i="9"/>
  <c r="AQ258" i="9"/>
  <c r="AY258" i="9" s="1"/>
  <c r="AQ293" i="9"/>
  <c r="AY293" i="9" s="1"/>
  <c r="AQ316" i="9"/>
  <c r="AY316" i="9" s="1"/>
  <c r="AT344" i="9"/>
  <c r="AW344" i="9" s="1"/>
  <c r="AQ367" i="9"/>
  <c r="AY367" i="9" s="1"/>
  <c r="AT379" i="9"/>
  <c r="AW379" i="9" s="1"/>
  <c r="AQ393" i="9"/>
  <c r="AY393" i="9" s="1"/>
  <c r="AT406" i="9"/>
  <c r="BA406" i="9" s="1"/>
  <c r="AQ420" i="9"/>
  <c r="AY420" i="9" s="1"/>
  <c r="AT433" i="9"/>
  <c r="AW433" i="9" s="1"/>
  <c r="AQ449" i="9"/>
  <c r="AT460" i="9"/>
  <c r="BA460" i="9" s="1"/>
  <c r="AT475" i="9"/>
  <c r="BA475" i="9" s="1"/>
  <c r="AQ491" i="9"/>
  <c r="AY491" i="9" s="1"/>
  <c r="AT500" i="9"/>
  <c r="BA500" i="9" s="1"/>
  <c r="O19" i="9"/>
  <c r="AQ250" i="9"/>
  <c r="AY250" i="9" s="1"/>
  <c r="AQ281" i="9"/>
  <c r="AY281" i="9" s="1"/>
  <c r="AQ300" i="9"/>
  <c r="AY300" i="9" s="1"/>
  <c r="AT332" i="9"/>
  <c r="BA332" i="9" s="1"/>
  <c r="AT359" i="9"/>
  <c r="AW359" i="9" s="1"/>
  <c r="AQ381" i="9"/>
  <c r="AY381" i="9" s="1"/>
  <c r="AT394" i="9"/>
  <c r="AW394" i="9" s="1"/>
  <c r="AQ406" i="9"/>
  <c r="AY406" i="9" s="1"/>
  <c r="AT421" i="9"/>
  <c r="BA421" i="9" s="1"/>
  <c r="AQ437" i="9"/>
  <c r="AY437" i="9" s="1"/>
  <c r="AT448" i="9"/>
  <c r="AQ460" i="9"/>
  <c r="AY460" i="9" s="1"/>
  <c r="AQ477" i="9"/>
  <c r="AY477" i="9" s="1"/>
  <c r="AD45" i="9"/>
  <c r="AT494" i="9"/>
  <c r="AW494" i="9" s="1"/>
  <c r="AQ506" i="9"/>
  <c r="AY506" i="9" s="1"/>
  <c r="AT517" i="9"/>
  <c r="BA517" i="9" s="1"/>
  <c r="AQ527" i="9"/>
  <c r="AY527" i="9" s="1"/>
  <c r="AT536" i="9"/>
  <c r="BA536" i="9" s="1"/>
  <c r="AQ546" i="9"/>
  <c r="AY546" i="9" s="1"/>
  <c r="AQ556" i="9"/>
  <c r="AY556" i="9" s="1"/>
  <c r="AT569" i="9"/>
  <c r="AW569" i="9" s="1"/>
  <c r="O45" i="9"/>
  <c r="X45" i="9" s="1"/>
  <c r="AQ142" i="9"/>
  <c r="AD25" i="9"/>
  <c r="AQ287" i="9"/>
  <c r="AY287" i="9" s="1"/>
  <c r="AT323" i="9"/>
  <c r="AW323" i="9" s="1"/>
  <c r="AQ354" i="9"/>
  <c r="AY354" i="9" s="1"/>
  <c r="AD36" i="9"/>
  <c r="AQ396" i="9"/>
  <c r="AY396" i="9" s="1"/>
  <c r="AQ419" i="9"/>
  <c r="AY419" i="9" s="1"/>
  <c r="AQ438" i="9"/>
  <c r="AT459" i="9"/>
  <c r="BA459" i="9" s="1"/>
  <c r="AT478" i="9"/>
  <c r="BA478" i="9" s="1"/>
  <c r="AT501" i="9"/>
  <c r="AT516" i="9"/>
  <c r="BA516" i="9" s="1"/>
  <c r="AT533" i="9"/>
  <c r="AW533" i="9" s="1"/>
  <c r="AT543" i="9"/>
  <c r="BA543" i="9" s="1"/>
  <c r="AD51" i="9"/>
  <c r="O39" i="9"/>
  <c r="X39" i="9" s="1"/>
  <c r="AV278" i="9"/>
  <c r="AV269" i="9"/>
  <c r="AV255" i="9"/>
  <c r="AQ104" i="9"/>
  <c r="O24" i="9"/>
  <c r="AQ279" i="9"/>
  <c r="AY279" i="9" s="1"/>
  <c r="AQ325" i="9"/>
  <c r="AY325" i="9" s="1"/>
  <c r="AQ356" i="9"/>
  <c r="AY356" i="9" s="1"/>
  <c r="AT393" i="9"/>
  <c r="BA393" i="9" s="1"/>
  <c r="AQ411" i="9"/>
  <c r="AY411" i="9" s="1"/>
  <c r="AQ430" i="9"/>
  <c r="AY430" i="9" s="1"/>
  <c r="AQ457" i="9"/>
  <c r="AY457" i="9" s="1"/>
  <c r="AT470" i="9"/>
  <c r="AW470" i="9" s="1"/>
  <c r="AT493" i="9"/>
  <c r="AW493" i="9" s="1"/>
  <c r="AT509" i="9"/>
  <c r="BA509" i="9" s="1"/>
  <c r="AT518" i="9"/>
  <c r="BA518" i="9" s="1"/>
  <c r="AQ537" i="9"/>
  <c r="AY537" i="9" s="1"/>
  <c r="AQ547" i="9"/>
  <c r="AY547" i="9" s="1"/>
  <c r="AQ564" i="9"/>
  <c r="AY564" i="9" s="1"/>
  <c r="O35" i="9"/>
  <c r="X35" i="9" s="1"/>
  <c r="AV257" i="9"/>
  <c r="AR280" i="9"/>
  <c r="AS271" i="9"/>
  <c r="AS251" i="9"/>
  <c r="AR248" i="9"/>
  <c r="AR266" i="9"/>
  <c r="AR362" i="9"/>
  <c r="AV414" i="9"/>
  <c r="AV423" i="9"/>
  <c r="AR546" i="9"/>
  <c r="AQ187" i="9"/>
  <c r="AT246" i="9"/>
  <c r="AW246" i="9" s="1"/>
  <c r="AQ310" i="9"/>
  <c r="AY310" i="9" s="1"/>
  <c r="AT370" i="9"/>
  <c r="BA370" i="9" s="1"/>
  <c r="AT411" i="9"/>
  <c r="BA411" i="9" s="1"/>
  <c r="AQ440" i="9"/>
  <c r="AY440" i="9" s="1"/>
  <c r="AQ241" i="9"/>
  <c r="AT311" i="9"/>
  <c r="AW311" i="9" s="1"/>
  <c r="AT254" i="9"/>
  <c r="AQ378" i="9"/>
  <c r="AY378" i="9" s="1"/>
  <c r="AT418" i="9"/>
  <c r="BA418" i="9" s="1"/>
  <c r="AT457" i="9"/>
  <c r="AW457" i="9" s="1"/>
  <c r="AQ486" i="9"/>
  <c r="AQ211" i="9"/>
  <c r="AT338" i="9"/>
  <c r="AW338" i="9" s="1"/>
  <c r="AT380" i="9"/>
  <c r="BA380" i="9" s="1"/>
  <c r="AQ425" i="9"/>
  <c r="AY425" i="9" s="1"/>
  <c r="AT464" i="9"/>
  <c r="BA464" i="9" s="1"/>
  <c r="AT491" i="9"/>
  <c r="AW491" i="9" s="1"/>
  <c r="AQ514" i="9"/>
  <c r="AY514" i="9" s="1"/>
  <c r="AQ532" i="9"/>
  <c r="AY532" i="9" s="1"/>
  <c r="AQ551" i="9"/>
  <c r="AY551" i="9" s="1"/>
  <c r="AT327" i="9"/>
  <c r="AW327" i="9" s="1"/>
  <c r="AQ413" i="9"/>
  <c r="AY413" i="9" s="1"/>
  <c r="AQ513" i="9"/>
  <c r="AY513" i="9" s="1"/>
  <c r="AQ542" i="9"/>
  <c r="AY542" i="9" s="1"/>
  <c r="AT568" i="9"/>
  <c r="AW568" i="9" s="1"/>
  <c r="AV275" i="9"/>
  <c r="AV263" i="9"/>
  <c r="AQ149" i="9"/>
  <c r="AT353" i="9"/>
  <c r="BA353" i="9" s="1"/>
  <c r="AQ451" i="9"/>
  <c r="AY451" i="9" s="1"/>
  <c r="AT522" i="9"/>
  <c r="BA522" i="9" s="1"/>
  <c r="AT539" i="9"/>
  <c r="AW539" i="9" s="1"/>
  <c r="AT566" i="9"/>
  <c r="BA566" i="9" s="1"/>
  <c r="AS363" i="9"/>
  <c r="AS543" i="9"/>
  <c r="AV509" i="9"/>
  <c r="AS431" i="9"/>
  <c r="AS494" i="9"/>
  <c r="AR335" i="9"/>
  <c r="AV561" i="9"/>
  <c r="AS425" i="9"/>
  <c r="AS293" i="9"/>
  <c r="AV301" i="9"/>
  <c r="AS525" i="9"/>
  <c r="AR303" i="9"/>
  <c r="AM209" i="9"/>
  <c r="AV399" i="9"/>
  <c r="AV450" i="9"/>
  <c r="AR466" i="9"/>
  <c r="AS415" i="9"/>
  <c r="AV361" i="9"/>
  <c r="AV533" i="9"/>
  <c r="AS416" i="9"/>
  <c r="AR551" i="9"/>
  <c r="AR567" i="9"/>
  <c r="AV545" i="9"/>
  <c r="AR367" i="9"/>
  <c r="AV461" i="9"/>
  <c r="AR372" i="9"/>
  <c r="AV557" i="9"/>
  <c r="AV538" i="9"/>
  <c r="AR401" i="9"/>
  <c r="AR476" i="9"/>
  <c r="AR360" i="9"/>
  <c r="AS297" i="9"/>
  <c r="AS362" i="9"/>
  <c r="AV346" i="9"/>
  <c r="AR548" i="9"/>
  <c r="AS513" i="9"/>
  <c r="AS524" i="9"/>
  <c r="AR537" i="9"/>
  <c r="AS518" i="9"/>
  <c r="AS550" i="9"/>
  <c r="AR346" i="9"/>
  <c r="AR368" i="9"/>
  <c r="AS301" i="9"/>
  <c r="AS335" i="9"/>
  <c r="AV324" i="9"/>
  <c r="AS545" i="9"/>
  <c r="AR536" i="9"/>
  <c r="AS462" i="9"/>
  <c r="AV418" i="9"/>
  <c r="AV315" i="9"/>
  <c r="AS553" i="9"/>
  <c r="AV471" i="9"/>
  <c r="AR565" i="9"/>
  <c r="AV452" i="9"/>
  <c r="AR256" i="9"/>
  <c r="AS250" i="9"/>
  <c r="AS274" i="9"/>
  <c r="O34" i="9"/>
  <c r="X34" i="9" s="1"/>
  <c r="AQ512" i="9"/>
  <c r="AY512" i="9" s="1"/>
  <c r="AT346" i="9"/>
  <c r="BA346" i="9" s="1"/>
  <c r="AV292" i="9"/>
  <c r="AV429" i="9"/>
  <c r="AR521" i="9"/>
  <c r="AS292" i="9"/>
  <c r="AR463" i="9"/>
  <c r="AV316" i="9"/>
  <c r="AR415" i="9"/>
  <c r="AV313" i="9"/>
  <c r="AR508" i="9"/>
  <c r="AS530" i="9"/>
  <c r="AV410" i="9"/>
  <c r="AV527" i="9"/>
  <c r="AS278" i="9"/>
  <c r="AQ26" i="9"/>
  <c r="AR26" i="9" s="1"/>
  <c r="AQ17" i="9"/>
  <c r="AR17" i="9" s="1"/>
  <c r="AQ51" i="9"/>
  <c r="AR51" i="9" s="1"/>
  <c r="N10" i="9"/>
  <c r="AQ100" i="9"/>
  <c r="AQ105" i="9"/>
  <c r="AQ50" i="9"/>
  <c r="AX50" i="9" s="1"/>
  <c r="AQ99" i="9"/>
  <c r="AQ148" i="9"/>
  <c r="AQ108" i="9"/>
  <c r="AQ167" i="9"/>
  <c r="AQ66" i="9"/>
  <c r="AQ146" i="9"/>
  <c r="AQ175" i="9"/>
  <c r="AQ210" i="9"/>
  <c r="AQ176" i="9"/>
  <c r="AQ220" i="9"/>
  <c r="AT247" i="9"/>
  <c r="AW247" i="9" s="1"/>
  <c r="AQ269" i="9"/>
  <c r="AY269" i="9" s="1"/>
  <c r="AQ284" i="9"/>
  <c r="AY284" i="9" s="1"/>
  <c r="AT301" i="9"/>
  <c r="BA301" i="9" s="1"/>
  <c r="AT320" i="9"/>
  <c r="BA320" i="9" s="1"/>
  <c r="AQ338" i="9"/>
  <c r="AY338" i="9" s="1"/>
  <c r="AQ91" i="9"/>
  <c r="AQ186" i="9"/>
  <c r="O23" i="9"/>
  <c r="N25" i="9"/>
  <c r="AT258" i="9"/>
  <c r="AW258" i="9" s="1"/>
  <c r="AQ276" i="9"/>
  <c r="AY276" i="9" s="1"/>
  <c r="AT293" i="9"/>
  <c r="AW293" i="9" s="1"/>
  <c r="AT312" i="9"/>
  <c r="BA312" i="9" s="1"/>
  <c r="AT331" i="9"/>
  <c r="BA331" i="9" s="1"/>
  <c r="AQ351" i="9"/>
  <c r="AY351" i="9" s="1"/>
  <c r="AQ368" i="9"/>
  <c r="AY368" i="9" s="1"/>
  <c r="AQ165" i="9"/>
  <c r="AQ236" i="9"/>
  <c r="AT271" i="9"/>
  <c r="AW271" i="9" s="1"/>
  <c r="AT294" i="9"/>
  <c r="AW294" i="9" s="1"/>
  <c r="AT321" i="9"/>
  <c r="AW321" i="9" s="1"/>
  <c r="AQ357" i="9"/>
  <c r="AY357" i="9" s="1"/>
  <c r="AT367" i="9"/>
  <c r="BA367" i="9" s="1"/>
  <c r="AT383" i="9"/>
  <c r="BA383" i="9" s="1"/>
  <c r="AQ399" i="9"/>
  <c r="AY399" i="9" s="1"/>
  <c r="AT408" i="9"/>
  <c r="BA408" i="9" s="1"/>
  <c r="AQ422" i="9"/>
  <c r="AY422" i="9" s="1"/>
  <c r="AQ439" i="9"/>
  <c r="AY439" i="9" s="1"/>
  <c r="AT450" i="9"/>
  <c r="BA450" i="9" s="1"/>
  <c r="AQ462" i="9"/>
  <c r="AY462" i="9" s="1"/>
  <c r="AT479" i="9"/>
  <c r="AQ493" i="9"/>
  <c r="AT504" i="9"/>
  <c r="AW504" i="9" s="1"/>
  <c r="AQ215" i="9"/>
  <c r="AQ254" i="9"/>
  <c r="AY254" i="9" s="1"/>
  <c r="AD28" i="9"/>
  <c r="AT313" i="9"/>
  <c r="BA313" i="9" s="1"/>
  <c r="AT340" i="9"/>
  <c r="BA340" i="9" s="1"/>
  <c r="AQ360" i="9"/>
  <c r="AY360" i="9" s="1"/>
  <c r="AQ385" i="9"/>
  <c r="AY385" i="9" s="1"/>
  <c r="AT396" i="9"/>
  <c r="BA396" i="9" s="1"/>
  <c r="AQ410" i="9"/>
  <c r="AY410" i="9" s="1"/>
  <c r="AQ427" i="9"/>
  <c r="AY427" i="9" s="1"/>
  <c r="AD41" i="9"/>
  <c r="AQ450" i="9"/>
  <c r="AY450" i="9" s="1"/>
  <c r="AT467" i="9"/>
  <c r="BA467" i="9" s="1"/>
  <c r="AQ479" i="9"/>
  <c r="AY479" i="9" s="1"/>
  <c r="AT486" i="9"/>
  <c r="BA486" i="9" s="1"/>
  <c r="AQ498" i="9"/>
  <c r="AY498" i="9" s="1"/>
  <c r="AQ508" i="9"/>
  <c r="AY508" i="9" s="1"/>
  <c r="AT519" i="9"/>
  <c r="AQ531" i="9"/>
  <c r="AY531" i="9" s="1"/>
  <c r="AT538" i="9"/>
  <c r="AW538" i="9" s="1"/>
  <c r="AQ548" i="9"/>
  <c r="AY548" i="9" s="1"/>
  <c r="AT561" i="9"/>
  <c r="AW561" i="9" s="1"/>
  <c r="O29" i="9"/>
  <c r="X29" i="9" s="1"/>
  <c r="O49" i="9"/>
  <c r="X49" i="9" s="1"/>
  <c r="AQ180" i="9"/>
  <c r="AT250" i="9"/>
  <c r="BA250" i="9" s="1"/>
  <c r="AT296" i="9"/>
  <c r="BA296" i="9" s="1"/>
  <c r="AQ341" i="9"/>
  <c r="AY341" i="9" s="1"/>
  <c r="AT361" i="9"/>
  <c r="AW361" i="9" s="1"/>
  <c r="AT378" i="9"/>
  <c r="AW378" i="9" s="1"/>
  <c r="AT405" i="9"/>
  <c r="AW405" i="9" s="1"/>
  <c r="AQ423" i="9"/>
  <c r="AY423" i="9" s="1"/>
  <c r="AQ442" i="9"/>
  <c r="AY442" i="9" s="1"/>
  <c r="AQ469" i="9"/>
  <c r="AY469" i="9" s="1"/>
  <c r="AT482" i="9"/>
  <c r="AW482" i="9" s="1"/>
  <c r="AT506" i="9"/>
  <c r="BA506" i="9" s="1"/>
  <c r="AD48" i="9"/>
  <c r="AQ535" i="9"/>
  <c r="AQ544" i="9"/>
  <c r="AY544" i="9" s="1"/>
  <c r="AT562" i="9"/>
  <c r="BA562" i="9" s="1"/>
  <c r="O46" i="9"/>
  <c r="X46" i="9" s="1"/>
  <c r="AV277" i="9"/>
  <c r="AV266" i="9"/>
  <c r="AS253" i="9"/>
  <c r="AQ114" i="9"/>
  <c r="AQ252" i="9"/>
  <c r="AY252" i="9" s="1"/>
  <c r="AT288" i="9"/>
  <c r="AW288" i="9" s="1"/>
  <c r="AS356" i="9"/>
  <c r="B15" i="9"/>
  <c r="AV318" i="9"/>
  <c r="AR291" i="9"/>
  <c r="AV386" i="9"/>
  <c r="AR361" i="9"/>
  <c r="AS358" i="9"/>
  <c r="AV420" i="9"/>
  <c r="AQ540" i="9"/>
  <c r="AY540" i="9" s="1"/>
  <c r="AQ24" i="9"/>
  <c r="AR24" i="9" s="1"/>
  <c r="AQ81" i="9"/>
  <c r="AQ128" i="9"/>
  <c r="AQ133" i="9"/>
  <c r="AQ145" i="9"/>
  <c r="AQ116" i="9"/>
  <c r="AQ194" i="9"/>
  <c r="N21" i="9"/>
  <c r="AT257" i="9"/>
  <c r="BA257" i="9" s="1"/>
  <c r="AT295" i="9"/>
  <c r="AT328" i="9"/>
  <c r="AW328" i="9" s="1"/>
  <c r="AQ150" i="9"/>
  <c r="AQ224" i="9"/>
  <c r="AT266" i="9"/>
  <c r="AW266" i="9" s="1"/>
  <c r="AQ305" i="9"/>
  <c r="AY305" i="9" s="1"/>
  <c r="AQ343" i="9"/>
  <c r="AY343" i="9" s="1"/>
  <c r="AQ374" i="9"/>
  <c r="AY374" i="9" s="1"/>
  <c r="AT256" i="9"/>
  <c r="BA256" i="9" s="1"/>
  <c r="AQ312" i="9"/>
  <c r="AY312" i="9" s="1"/>
  <c r="AQ365" i="9"/>
  <c r="AY365" i="9" s="1"/>
  <c r="AQ391" i="9"/>
  <c r="AY391" i="9" s="1"/>
  <c r="AQ416" i="9"/>
  <c r="AY416" i="9" s="1"/>
  <c r="AQ445" i="9"/>
  <c r="AY445" i="9" s="1"/>
  <c r="AQ470" i="9"/>
  <c r="AY470" i="9" s="1"/>
  <c r="AT498" i="9"/>
  <c r="AW498" i="9" s="1"/>
  <c r="AQ237" i="9"/>
  <c r="AQ296" i="9"/>
  <c r="AQ359" i="9"/>
  <c r="AY359" i="9" s="1"/>
  <c r="AD37" i="9"/>
  <c r="AT419" i="9"/>
  <c r="AW419" i="9" s="1"/>
  <c r="AT444" i="9"/>
  <c r="BA444" i="9" s="1"/>
  <c r="AT473" i="9"/>
  <c r="AW473" i="9" s="1"/>
  <c r="AT492" i="9"/>
  <c r="AW492" i="9" s="1"/>
  <c r="AT515" i="9"/>
  <c r="BA515" i="9" s="1"/>
  <c r="AD49" i="9"/>
  <c r="AQ554" i="9"/>
  <c r="AY554" i="9" s="1"/>
  <c r="O41" i="9"/>
  <c r="X41" i="9" s="1"/>
  <c r="AQ218" i="9"/>
  <c r="AQ314" i="9"/>
  <c r="AY314" i="9" s="1"/>
  <c r="AQ377" i="9"/>
  <c r="AY377" i="9" s="1"/>
  <c r="AT413" i="9"/>
  <c r="AW413" i="9" s="1"/>
  <c r="AT455" i="9"/>
  <c r="AQ496" i="9"/>
  <c r="AY496" i="9" s="1"/>
  <c r="AQ526" i="9"/>
  <c r="AY526" i="9" s="1"/>
  <c r="AT553" i="9"/>
  <c r="BA553" i="9" s="1"/>
  <c r="AV279" i="9"/>
  <c r="AV260" i="9"/>
  <c r="AQ219" i="9"/>
  <c r="AT315" i="9"/>
  <c r="AW315" i="9" s="1"/>
  <c r="AQ373" i="9"/>
  <c r="AT401" i="9"/>
  <c r="AW401" i="9" s="1"/>
  <c r="AQ426" i="9"/>
  <c r="AY426" i="9" s="1"/>
  <c r="AQ461" i="9"/>
  <c r="AY461" i="9" s="1"/>
  <c r="AQ484" i="9"/>
  <c r="AY484" i="9" s="1"/>
  <c r="AT508" i="9"/>
  <c r="BA508" i="9" s="1"/>
  <c r="AQ519" i="9"/>
  <c r="AY519" i="9" s="1"/>
  <c r="AQ545" i="9"/>
  <c r="AY545" i="9" s="1"/>
  <c r="AT555" i="9"/>
  <c r="O44" i="9"/>
  <c r="X44" i="9" s="1"/>
  <c r="AV253" i="9"/>
  <c r="AS275" i="9"/>
  <c r="AS248" i="9"/>
  <c r="AR269" i="9"/>
  <c r="AR480" i="9"/>
  <c r="AR527" i="9"/>
  <c r="AS332" i="9"/>
  <c r="AQ112" i="9"/>
  <c r="AT281" i="9"/>
  <c r="AW281" i="9" s="1"/>
  <c r="AD33" i="9"/>
  <c r="AT403" i="9"/>
  <c r="AQ448" i="9"/>
  <c r="AY448" i="9" s="1"/>
  <c r="AT292" i="9"/>
  <c r="BA292" i="9" s="1"/>
  <c r="AQ363" i="9"/>
  <c r="AY363" i="9" s="1"/>
  <c r="AT388" i="9"/>
  <c r="BA388" i="9" s="1"/>
  <c r="AT426" i="9"/>
  <c r="BA426" i="9" s="1"/>
  <c r="AT484" i="9"/>
  <c r="BA484" i="9" s="1"/>
  <c r="AS535" i="9"/>
  <c r="AS378" i="9"/>
  <c r="AR336" i="9"/>
  <c r="AR530" i="9"/>
  <c r="AR297" i="9"/>
  <c r="AR501" i="9"/>
  <c r="AQ557" i="9"/>
  <c r="AY557" i="9" s="1"/>
  <c r="AQ44" i="9"/>
  <c r="AR44" i="9" s="1"/>
  <c r="AQ70" i="9"/>
  <c r="AQ117" i="9"/>
  <c r="O15" i="9"/>
  <c r="AQ123" i="9"/>
  <c r="AQ97" i="9"/>
  <c r="AQ179" i="9"/>
  <c r="AQ184" i="9"/>
  <c r="AT255" i="9"/>
  <c r="AW255" i="9" s="1"/>
  <c r="AQ286" i="9"/>
  <c r="AY286" i="9" s="1"/>
  <c r="AT324" i="9"/>
  <c r="BA324" i="9" s="1"/>
  <c r="AQ135" i="9"/>
  <c r="AQ221" i="9"/>
  <c r="AT260" i="9"/>
  <c r="BA260" i="9" s="1"/>
  <c r="AQ301" i="9"/>
  <c r="AY301" i="9" s="1"/>
  <c r="AT335" i="9"/>
  <c r="BA335" i="9" s="1"/>
  <c r="AQ372" i="9"/>
  <c r="AY372" i="9" s="1"/>
  <c r="AT252" i="9"/>
  <c r="BA252" i="9" s="1"/>
  <c r="AT298" i="9"/>
  <c r="BA298" i="9" s="1"/>
  <c r="AQ358" i="9"/>
  <c r="AY358" i="9" s="1"/>
  <c r="AT387" i="9"/>
  <c r="BA387" i="9" s="1"/>
  <c r="AT412" i="9"/>
  <c r="BA412" i="9" s="1"/>
  <c r="AQ441" i="9"/>
  <c r="AY441" i="9" s="1"/>
  <c r="AQ468" i="9"/>
  <c r="AY468" i="9" s="1"/>
  <c r="AQ495" i="9"/>
  <c r="AY495" i="9" s="1"/>
  <c r="AQ230" i="9"/>
  <c r="AT290" i="9"/>
  <c r="BA290" i="9" s="1"/>
  <c r="AQ342" i="9"/>
  <c r="AY342" i="9" s="1"/>
  <c r="AQ389" i="9"/>
  <c r="AY389" i="9" s="1"/>
  <c r="AT415" i="9"/>
  <c r="BA415" i="9" s="1"/>
  <c r="AT440" i="9"/>
  <c r="AT469" i="9"/>
  <c r="BA469" i="9" s="1"/>
  <c r="AT490" i="9"/>
  <c r="BA490" i="9" s="1"/>
  <c r="AT511" i="9"/>
  <c r="BA511" i="9" s="1"/>
  <c r="AQ533" i="9"/>
  <c r="AY533" i="9" s="1"/>
  <c r="AQ552" i="9"/>
  <c r="O33" i="9"/>
  <c r="X33" i="9" s="1"/>
  <c r="AQ196" i="9"/>
  <c r="AQ306" i="9"/>
  <c r="AY306" i="9" s="1"/>
  <c r="AD35" i="9"/>
  <c r="AT409" i="9"/>
  <c r="BA409" i="9" s="1"/>
  <c r="AT451" i="9"/>
  <c r="AW451" i="9" s="1"/>
  <c r="AQ488" i="9"/>
  <c r="AT525" i="9"/>
  <c r="AW525" i="9" s="1"/>
  <c r="AQ553" i="9"/>
  <c r="AY553" i="9" s="1"/>
  <c r="O48" i="9"/>
  <c r="X48" i="9" s="1"/>
  <c r="AV264" i="9"/>
  <c r="AQ204" i="9"/>
  <c r="AQ298" i="9"/>
  <c r="AY298" i="9" s="1"/>
  <c r="AQ355" i="9"/>
  <c r="AY355" i="9" s="1"/>
  <c r="AT397" i="9"/>
  <c r="BA397" i="9" s="1"/>
  <c r="AT424" i="9"/>
  <c r="BA424" i="9" s="1"/>
  <c r="AT447" i="9"/>
  <c r="BA447" i="9" s="1"/>
  <c r="AQ476" i="9"/>
  <c r="AY476" i="9" s="1"/>
  <c r="AQ503" i="9"/>
  <c r="AY503" i="9" s="1"/>
  <c r="AQ518" i="9"/>
  <c r="AY518" i="9" s="1"/>
  <c r="AQ538" i="9"/>
  <c r="AY538" i="9" s="1"/>
  <c r="AT554" i="9"/>
  <c r="AW554" i="9" s="1"/>
  <c r="O28" i="9"/>
  <c r="X28" i="9" s="1"/>
  <c r="AV254" i="9"/>
  <c r="AS279" i="9"/>
  <c r="AS256" i="9"/>
  <c r="AR254" i="9"/>
  <c r="AS455" i="9"/>
  <c r="AS398" i="9"/>
  <c r="AV402" i="9"/>
  <c r="B14" i="9"/>
  <c r="AQ240" i="9"/>
  <c r="AT319" i="9"/>
  <c r="AW319" i="9" s="1"/>
  <c r="AQ394" i="9"/>
  <c r="AY394" i="9" s="1"/>
  <c r="AT430" i="9"/>
  <c r="AQ248" i="9"/>
  <c r="AY248" i="9" s="1"/>
  <c r="AT330" i="9"/>
  <c r="BA330" i="9" s="1"/>
  <c r="AT373" i="9"/>
  <c r="AW373" i="9" s="1"/>
  <c r="AT422" i="9"/>
  <c r="AT476" i="9"/>
  <c r="BA476" i="9" s="1"/>
  <c r="AT512" i="9"/>
  <c r="AW512" i="9" s="1"/>
  <c r="AT355" i="9"/>
  <c r="AW355" i="9" s="1"/>
  <c r="AT395" i="9"/>
  <c r="AQ455" i="9"/>
  <c r="AY455" i="9" s="1"/>
  <c r="AQ501" i="9"/>
  <c r="AY501" i="9" s="1"/>
  <c r="AT523" i="9"/>
  <c r="AW523" i="9" s="1"/>
  <c r="AD50" i="9"/>
  <c r="AT352" i="9"/>
  <c r="AW352" i="9" s="1"/>
  <c r="AT453" i="9"/>
  <c r="BA453" i="9" s="1"/>
  <c r="AQ539" i="9"/>
  <c r="AY539" i="9" s="1"/>
  <c r="O36" i="9"/>
  <c r="X36" i="9" s="1"/>
  <c r="AV267" i="9"/>
  <c r="AQ120" i="9"/>
  <c r="AQ405" i="9"/>
  <c r="AY405" i="9" s="1"/>
  <c r="AQ505" i="9"/>
  <c r="AY505" i="9" s="1"/>
  <c r="AT532" i="9"/>
  <c r="AW532" i="9" s="1"/>
  <c r="O40" i="9"/>
  <c r="X40" i="9" s="1"/>
  <c r="AS567" i="9"/>
  <c r="AV558" i="9"/>
  <c r="AS470" i="9"/>
  <c r="AS400" i="9"/>
  <c r="AV514" i="9"/>
  <c r="AS491" i="9"/>
  <c r="AR455" i="9"/>
  <c r="AV336" i="9"/>
  <c r="AR318" i="9"/>
  <c r="AR418" i="9"/>
  <c r="AS329" i="9"/>
  <c r="AR562" i="9"/>
  <c r="AV518" i="9"/>
  <c r="AV546" i="9"/>
  <c r="AR326" i="9"/>
  <c r="AS418" i="9"/>
  <c r="AR249" i="9"/>
  <c r="AR304" i="9"/>
  <c r="AS502" i="9"/>
  <c r="AS435" i="9"/>
  <c r="AR547" i="9"/>
  <c r="AV393" i="9"/>
  <c r="AR295" i="9"/>
  <c r="AV367" i="9"/>
  <c r="AV535" i="9"/>
  <c r="AR568" i="9"/>
  <c r="AV463" i="9"/>
  <c r="AV537" i="9"/>
  <c r="AR338" i="9"/>
  <c r="AR511" i="9"/>
  <c r="AS499" i="9"/>
  <c r="AR369" i="9"/>
  <c r="AV442" i="9"/>
  <c r="AV390" i="9"/>
  <c r="AS299" i="9"/>
  <c r="AV540" i="9"/>
  <c r="AV369" i="9"/>
  <c r="AV305" i="9"/>
  <c r="AV345" i="9"/>
  <c r="AS413" i="9"/>
  <c r="AR276" i="9"/>
  <c r="AS255" i="9"/>
  <c r="P2" i="9"/>
  <c r="N33" i="9" s="1"/>
  <c r="AQ520" i="9"/>
  <c r="AY520" i="9" s="1"/>
  <c r="AR302" i="9"/>
  <c r="AR251" i="9"/>
  <c r="AV320" i="9"/>
  <c r="AR328" i="9"/>
  <c r="AR307" i="9"/>
  <c r="AR411" i="9"/>
  <c r="AR330" i="9"/>
  <c r="AS565" i="9"/>
  <c r="AS420" i="9"/>
  <c r="AR543" i="9"/>
  <c r="AR474" i="9"/>
  <c r="AR298" i="9"/>
  <c r="AS475" i="9"/>
  <c r="AS327" i="9"/>
  <c r="AR348" i="9"/>
  <c r="AV426" i="9"/>
  <c r="AR373" i="9"/>
  <c r="AR359" i="9"/>
  <c r="AV465" i="9"/>
  <c r="AS427" i="9"/>
  <c r="AR289" i="9"/>
  <c r="AR308" i="9"/>
  <c r="AS379" i="9"/>
  <c r="AS437" i="9"/>
  <c r="AS442" i="9"/>
  <c r="AR532" i="9"/>
  <c r="AV512" i="9"/>
  <c r="AR436" i="9"/>
  <c r="AR512" i="9"/>
  <c r="AS501" i="9"/>
  <c r="AM211" i="9"/>
  <c r="AV347" i="9"/>
  <c r="AR423" i="9"/>
  <c r="AV480" i="9"/>
  <c r="AS289" i="9"/>
  <c r="AS563" i="9"/>
  <c r="AR377" i="9"/>
  <c r="AV389" i="9"/>
  <c r="AV421" i="9"/>
  <c r="AV401" i="9"/>
  <c r="AS246" i="9"/>
  <c r="AV408" i="9"/>
  <c r="AV511" i="9"/>
  <c r="AS493" i="9"/>
  <c r="AS321" i="9"/>
  <c r="AS473" i="9"/>
  <c r="AS471" i="9"/>
  <c r="AV541" i="9"/>
  <c r="AV552" i="9"/>
  <c r="AR354" i="9"/>
  <c r="AS557" i="9"/>
  <c r="AR410" i="9"/>
  <c r="AS283" i="9"/>
  <c r="AV331" i="9"/>
  <c r="AV441" i="9"/>
  <c r="AV475" i="9"/>
  <c r="AS559" i="9"/>
  <c r="AS457" i="9"/>
  <c r="AR329" i="9"/>
  <c r="AS468" i="9"/>
  <c r="AR385" i="9"/>
  <c r="AR497" i="9"/>
  <c r="AR541" i="9"/>
  <c r="AR468" i="9"/>
  <c r="AS357" i="9"/>
  <c r="AV534" i="9"/>
  <c r="AR498" i="9"/>
  <c r="AS331" i="9"/>
  <c r="AR558" i="9"/>
  <c r="AV477" i="9"/>
  <c r="AR469" i="9"/>
  <c r="AR446" i="9"/>
  <c r="AS265" i="9"/>
  <c r="AS516" i="9"/>
  <c r="AS295" i="9"/>
  <c r="AS388" i="9"/>
  <c r="AR341" i="9"/>
  <c r="AR464" i="9"/>
  <c r="AS369" i="9"/>
  <c r="AS506" i="9"/>
  <c r="AV384" i="9"/>
  <c r="AR271" i="9"/>
  <c r="AR473" i="9"/>
  <c r="AR503" i="9"/>
  <c r="AR392" i="9"/>
  <c r="AR322" i="9"/>
  <c r="AS382" i="9"/>
  <c r="AS282" i="9"/>
  <c r="AS290" i="9"/>
  <c r="AR445" i="9"/>
  <c r="AR505" i="9"/>
  <c r="AR319" i="9"/>
  <c r="AV289" i="9"/>
  <c r="AV492" i="9"/>
  <c r="AS481" i="9"/>
  <c r="AS414" i="9"/>
  <c r="AV317" i="9"/>
  <c r="AS519" i="9"/>
  <c r="AV328" i="9"/>
  <c r="AR561" i="9"/>
  <c r="AV460" i="9"/>
  <c r="AS338" i="9"/>
  <c r="AR391" i="9"/>
  <c r="AS432" i="9"/>
  <c r="AV468" i="9"/>
  <c r="AR321" i="9"/>
  <c r="AR332" i="9"/>
  <c r="AS395" i="9"/>
  <c r="AS334" i="9"/>
  <c r="AR429" i="9"/>
  <c r="AV446" i="9"/>
  <c r="AS439" i="9"/>
  <c r="AS428" i="9"/>
  <c r="AR365" i="9"/>
  <c r="AS314" i="9"/>
  <c r="AS401" i="9"/>
  <c r="AV303" i="9"/>
  <c r="AR559" i="9"/>
  <c r="AS477" i="9"/>
  <c r="AV440" i="9"/>
  <c r="AV341" i="9"/>
  <c r="AR523" i="9"/>
  <c r="AS277" i="9"/>
  <c r="AV353" i="9"/>
  <c r="AV409" i="9"/>
  <c r="AV300" i="9"/>
  <c r="AS469" i="9"/>
  <c r="AR564" i="9"/>
  <c r="AV388" i="9"/>
  <c r="AS408" i="9"/>
  <c r="AS294" i="9"/>
  <c r="AS444" i="9"/>
  <c r="AS317" i="9"/>
  <c r="AS520" i="9"/>
  <c r="AR388" i="9"/>
  <c r="AS372" i="9"/>
  <c r="AR292" i="9"/>
  <c r="AS426" i="9"/>
  <c r="AR316" i="9"/>
  <c r="AS284" i="9"/>
  <c r="AS287" i="9"/>
  <c r="AR333" i="9"/>
  <c r="AR356" i="9"/>
  <c r="AS351" i="9"/>
  <c r="AV510" i="9"/>
  <c r="AS365" i="9"/>
  <c r="AV295" i="9"/>
  <c r="AS450" i="9"/>
  <c r="AV378" i="9"/>
  <c r="AS322" i="9"/>
  <c r="AR370" i="9"/>
  <c r="AS537" i="9"/>
  <c r="AR475" i="9"/>
  <c r="AS459" i="9"/>
  <c r="AR451" i="9"/>
  <c r="AR487" i="9"/>
  <c r="AR393" i="9"/>
  <c r="AV334" i="9"/>
  <c r="AR404" i="9"/>
  <c r="AR493" i="9"/>
  <c r="AR408" i="9"/>
  <c r="AS409" i="9"/>
  <c r="AS350" i="9"/>
  <c r="AS433" i="9"/>
  <c r="AV338" i="9"/>
  <c r="AR311" i="9"/>
  <c r="AV473" i="9"/>
  <c r="AV342" i="9"/>
  <c r="AR394" i="9"/>
  <c r="AV528" i="9"/>
  <c r="AS441" i="9"/>
  <c r="AR557" i="9"/>
  <c r="AV412" i="9"/>
  <c r="AS451" i="9"/>
  <c r="AR517" i="9"/>
  <c r="AR516" i="9"/>
  <c r="AR344" i="9"/>
  <c r="AM210" i="9"/>
  <c r="AS407" i="9"/>
  <c r="AS405" i="9"/>
  <c r="AS305" i="9"/>
  <c r="AV323" i="9"/>
  <c r="AV417" i="9"/>
  <c r="AV322" i="9"/>
  <c r="AR283" i="9"/>
  <c r="AV495" i="9"/>
  <c r="AR491" i="9"/>
  <c r="AV387" i="9"/>
  <c r="AR290" i="9"/>
  <c r="AV364" i="9"/>
  <c r="AR275" i="9"/>
  <c r="AS262" i="9"/>
  <c r="AR273" i="9"/>
  <c r="O52" i="9"/>
  <c r="X52" i="9" s="1"/>
  <c r="AT551" i="9"/>
  <c r="BA551" i="9" s="1"/>
  <c r="AQ478" i="9"/>
  <c r="AY478" i="9" s="1"/>
  <c r="AQ348" i="9"/>
  <c r="AY348" i="9" s="1"/>
  <c r="AQ18" i="9"/>
  <c r="AR18" i="9" s="1"/>
  <c r="AQ7" i="9"/>
  <c r="AQ13" i="9"/>
  <c r="AR13" i="9" s="1"/>
  <c r="AQ33" i="9"/>
  <c r="AR33" i="9" s="1"/>
  <c r="AQ28" i="9"/>
  <c r="AR28" i="9" s="1"/>
  <c r="AQ42" i="9"/>
  <c r="AQ32" i="9"/>
  <c r="AR32" i="9" s="1"/>
  <c r="AQ52" i="9"/>
  <c r="AR52" i="9" s="1"/>
  <c r="AQ34" i="9"/>
  <c r="AR34" i="9" s="1"/>
  <c r="AR432" i="9"/>
  <c r="AV307" i="9"/>
  <c r="AS480" i="9"/>
  <c r="AS500" i="9"/>
  <c r="AR437" i="9"/>
  <c r="AR522" i="9"/>
  <c r="AR376" i="9"/>
  <c r="AS503" i="9"/>
  <c r="AR465" i="9"/>
  <c r="AR337" i="9"/>
  <c r="AV308" i="9"/>
  <c r="AS465" i="9"/>
  <c r="AR412" i="9"/>
  <c r="AR281" i="9"/>
  <c r="AR500" i="9"/>
  <c r="AS568" i="9"/>
  <c r="AV474" i="9"/>
  <c r="AR482" i="9"/>
  <c r="AS560" i="9"/>
  <c r="AS429" i="9"/>
  <c r="AS479" i="9"/>
  <c r="AR450" i="9"/>
  <c r="AV530" i="9"/>
  <c r="AR414" i="9"/>
  <c r="AQ530" i="9"/>
  <c r="AY530" i="9" s="1"/>
  <c r="AV293" i="9"/>
  <c r="AR317" i="9"/>
  <c r="AV398" i="9"/>
  <c r="AR282" i="9"/>
  <c r="AS396" i="9"/>
  <c r="AV469" i="9"/>
  <c r="AS307" i="9"/>
  <c r="AR496" i="9"/>
  <c r="AS328" i="9"/>
  <c r="AR347" i="9"/>
  <c r="AV493" i="9"/>
  <c r="AV325" i="9"/>
  <c r="AV355" i="9"/>
  <c r="AV498" i="9"/>
  <c r="AR309" i="9"/>
  <c r="AS507" i="9"/>
  <c r="AV433" i="9"/>
  <c r="AV479" i="9"/>
  <c r="AV553" i="9"/>
  <c r="AV382" i="9"/>
  <c r="AR325" i="9"/>
  <c r="AR301" i="9"/>
  <c r="AV517" i="9"/>
  <c r="AS326" i="9"/>
  <c r="AS381" i="9"/>
  <c r="AS304" i="9"/>
  <c r="AS373" i="9"/>
  <c r="AS337" i="9"/>
  <c r="AR518" i="9"/>
  <c r="AR519" i="9"/>
  <c r="AS505" i="9"/>
  <c r="AV503" i="9"/>
  <c r="AV499" i="9"/>
  <c r="AR284" i="9"/>
  <c r="AS564" i="9"/>
  <c r="AS424" i="9"/>
  <c r="AV291" i="9"/>
  <c r="AR324" i="9"/>
  <c r="AV370" i="9"/>
  <c r="AV372" i="9"/>
  <c r="AR440" i="9"/>
  <c r="AV343" i="9"/>
  <c r="AR490" i="9"/>
  <c r="AR263" i="9"/>
  <c r="AR268" i="9"/>
  <c r="AS268" i="9"/>
  <c r="AV251" i="9"/>
  <c r="AQ567" i="9"/>
  <c r="AY567" i="9" s="1"/>
  <c r="AT548" i="9"/>
  <c r="AW548" i="9" s="1"/>
  <c r="AQ459" i="9"/>
  <c r="AY459" i="9" s="1"/>
  <c r="O6" i="9"/>
  <c r="Y6" i="9" s="1"/>
  <c r="AQ22" i="9"/>
  <c r="AR22" i="9" s="1"/>
  <c r="AQ11" i="9"/>
  <c r="AR11" i="9" s="1"/>
  <c r="AQ25" i="9"/>
  <c r="AX25" i="9" s="1"/>
  <c r="AQ37" i="9"/>
  <c r="AR37" i="9" s="1"/>
  <c r="AQ31" i="9"/>
  <c r="AR31" i="9" s="1"/>
  <c r="AQ12" i="9"/>
  <c r="AX12" i="9" s="1"/>
  <c r="AQ39" i="9"/>
  <c r="AR39" i="9" s="1"/>
  <c r="O10" i="9"/>
  <c r="AQ23" i="9"/>
  <c r="AR23" i="9" s="1"/>
  <c r="AQ46" i="9"/>
  <c r="AX46" i="9" s="1"/>
  <c r="AQ63" i="9"/>
  <c r="AQ78" i="9"/>
  <c r="AQ59" i="9"/>
  <c r="AQ74" i="9"/>
  <c r="AQ90" i="9"/>
  <c r="AD13" i="9"/>
  <c r="AQ16" i="9"/>
  <c r="AR16" i="9" s="1"/>
  <c r="AQ75" i="9"/>
  <c r="AQ98" i="9"/>
  <c r="AQ121" i="9"/>
  <c r="AQ132" i="9"/>
  <c r="AQ139" i="9"/>
  <c r="AQ61" i="9"/>
  <c r="AQ82" i="9"/>
  <c r="AQ94" i="9"/>
  <c r="AQ111" i="9"/>
  <c r="AQ129" i="9"/>
  <c r="AQ140" i="9"/>
  <c r="N18" i="9"/>
  <c r="AQ54" i="9"/>
  <c r="AQ71" i="9"/>
  <c r="AD14" i="9"/>
  <c r="AQ130" i="9"/>
  <c r="AQ160" i="9"/>
  <c r="AR533" i="9"/>
  <c r="AS536" i="9"/>
  <c r="AV306" i="9"/>
  <c r="AR285" i="9"/>
  <c r="AV359" i="9"/>
  <c r="AV445" i="9"/>
  <c r="AS521" i="9"/>
  <c r="AV356" i="9"/>
  <c r="AT514" i="9"/>
  <c r="AW514" i="9" s="1"/>
  <c r="AS391" i="9"/>
  <c r="AV350" i="9"/>
  <c r="AR459" i="9"/>
  <c r="AR434" i="9"/>
  <c r="AR555" i="9"/>
  <c r="AS552" i="9"/>
  <c r="AS533" i="9"/>
  <c r="AR384" i="9"/>
  <c r="AS354" i="9"/>
  <c r="AR430" i="9"/>
  <c r="AR556" i="9"/>
  <c r="AR425" i="9"/>
  <c r="AS375" i="9"/>
  <c r="AV562" i="9"/>
  <c r="AS549" i="9"/>
  <c r="AS460" i="9"/>
  <c r="AS320" i="9"/>
  <c r="AR502" i="9"/>
  <c r="AR514" i="9"/>
  <c r="AS538" i="9"/>
  <c r="AR524" i="9"/>
  <c r="AV470" i="9"/>
  <c r="AS397" i="9"/>
  <c r="AV424" i="9"/>
  <c r="AS254" i="9"/>
  <c r="AV274" i="9"/>
  <c r="AT520" i="9"/>
  <c r="AW520" i="9" s="1"/>
  <c r="AQ14" i="9"/>
  <c r="AQ19" i="9"/>
  <c r="AX19" i="9" s="1"/>
  <c r="AQ27" i="9"/>
  <c r="AR27" i="9" s="1"/>
  <c r="AQ21" i="9"/>
  <c r="AR21" i="9" s="1"/>
  <c r="AQ62" i="9"/>
  <c r="X10" i="9"/>
  <c r="AQ77" i="9"/>
  <c r="AQ47" i="9"/>
  <c r="AR47" i="9" s="1"/>
  <c r="O11" i="9"/>
  <c r="AQ89" i="9"/>
  <c r="N14" i="9"/>
  <c r="AD10" i="9"/>
  <c r="AQ93" i="9"/>
  <c r="AQ125" i="9"/>
  <c r="AD16" i="9"/>
  <c r="AQ56" i="9"/>
  <c r="AQ87" i="9"/>
  <c r="O14" i="9"/>
  <c r="AQ122" i="9"/>
  <c r="AQ144" i="9"/>
  <c r="AQ9" i="9"/>
  <c r="AX9" i="9" s="1"/>
  <c r="N11" i="9"/>
  <c r="AQ115" i="9"/>
  <c r="AQ152" i="9"/>
  <c r="AQ163" i="9"/>
  <c r="AQ178" i="9"/>
  <c r="AQ41" i="9"/>
  <c r="AX41" i="9" s="1"/>
  <c r="AQ84" i="9"/>
  <c r="N16" i="9"/>
  <c r="AQ153" i="9"/>
  <c r="AQ164" i="9"/>
  <c r="N20" i="9"/>
  <c r="O21" i="9"/>
  <c r="AQ205" i="9"/>
  <c r="AQ49" i="9"/>
  <c r="AR49" i="9" s="1"/>
  <c r="AQ101" i="9"/>
  <c r="AQ169" i="9"/>
  <c r="AQ191" i="9"/>
  <c r="AQ216" i="9"/>
  <c r="AQ223" i="9"/>
  <c r="AQ238" i="9"/>
  <c r="AT251" i="9"/>
  <c r="BA251" i="9" s="1"/>
  <c r="AQ259" i="9"/>
  <c r="AQ267" i="9"/>
  <c r="AY267" i="9" s="1"/>
  <c r="AT272" i="9"/>
  <c r="BA272" i="9" s="1"/>
  <c r="AT280" i="9"/>
  <c r="BA280" i="9" s="1"/>
  <c r="AQ288" i="9"/>
  <c r="AY288" i="9" s="1"/>
  <c r="AT297" i="9"/>
  <c r="AW297" i="9" s="1"/>
  <c r="AT305" i="9"/>
  <c r="AQ313" i="9"/>
  <c r="AY313" i="9" s="1"/>
  <c r="AT318" i="9"/>
  <c r="AW318" i="9" s="1"/>
  <c r="AT326" i="9"/>
  <c r="AW326" i="9" s="1"/>
  <c r="AQ334" i="9"/>
  <c r="AY334" i="9" s="1"/>
  <c r="AT343" i="9"/>
  <c r="BA343" i="9" s="1"/>
  <c r="AT351" i="9"/>
  <c r="BA351" i="9" s="1"/>
  <c r="AQ109" i="9"/>
  <c r="AQ143" i="9"/>
  <c r="AQ177" i="9"/>
  <c r="AQ195" i="9"/>
  <c r="AQ207" i="9"/>
  <c r="AQ217" i="9"/>
  <c r="AQ228" i="9"/>
  <c r="AQ235" i="9"/>
  <c r="AQ249" i="9"/>
  <c r="AQ257" i="9"/>
  <c r="AY257" i="9" s="1"/>
  <c r="AT262" i="9"/>
  <c r="AW262" i="9" s="1"/>
  <c r="AQ270" i="9"/>
  <c r="AY270" i="9" s="1"/>
  <c r="AQ278" i="9"/>
  <c r="AY278" i="9" s="1"/>
  <c r="AT287" i="9"/>
  <c r="AQ295" i="9"/>
  <c r="AY295" i="9" s="1"/>
  <c r="AQ303" i="9"/>
  <c r="AY303" i="9" s="1"/>
  <c r="AT308" i="9"/>
  <c r="AW308" i="9" s="1"/>
  <c r="AT316" i="9"/>
  <c r="AQ324" i="9"/>
  <c r="AY324" i="9" s="1"/>
  <c r="AT333" i="9"/>
  <c r="BA333" i="9" s="1"/>
  <c r="AT341" i="9"/>
  <c r="BA341" i="9" s="1"/>
  <c r="AQ349" i="9"/>
  <c r="AY349" i="9" s="1"/>
  <c r="AT354" i="9"/>
  <c r="AW354" i="9" s="1"/>
  <c r="AT362" i="9"/>
  <c r="AW362" i="9" s="1"/>
  <c r="AQ370" i="9"/>
  <c r="AQ119" i="9"/>
  <c r="AD20" i="9"/>
  <c r="AQ214" i="9"/>
  <c r="AT248" i="9"/>
  <c r="AW248" i="9" s="1"/>
  <c r="AQ262" i="9"/>
  <c r="AY262" i="9" s="1"/>
  <c r="AT279" i="9"/>
  <c r="BA279" i="9" s="1"/>
  <c r="AD29" i="9"/>
  <c r="AQ308" i="9"/>
  <c r="AT325" i="9"/>
  <c r="BA325" i="9" s="1"/>
  <c r="AQ339" i="9"/>
  <c r="AY339" i="9" s="1"/>
  <c r="AT357" i="9"/>
  <c r="BA357" i="9" s="1"/>
  <c r="AT366" i="9"/>
  <c r="AW366" i="9" s="1"/>
  <c r="AQ375" i="9"/>
  <c r="AY375" i="9" s="1"/>
  <c r="AT381" i="9"/>
  <c r="AW381" i="9" s="1"/>
  <c r="AT389" i="9"/>
  <c r="BA389" i="9" s="1"/>
  <c r="AQ397" i="9"/>
  <c r="AY397" i="9" s="1"/>
  <c r="AT402" i="9"/>
  <c r="AT410" i="9"/>
  <c r="BA410" i="9" s="1"/>
  <c r="AQ418" i="9"/>
  <c r="AY418" i="9" s="1"/>
  <c r="AT427" i="9"/>
  <c r="AW427" i="9" s="1"/>
  <c r="AT435" i="9"/>
  <c r="BA435" i="9" s="1"/>
  <c r="AQ443" i="9"/>
  <c r="AY443" i="9" s="1"/>
  <c r="AD42" i="9"/>
  <c r="AT456" i="9"/>
  <c r="AW456" i="9" s="1"/>
  <c r="AQ464" i="9"/>
  <c r="AQ472" i="9"/>
  <c r="AT481" i="9"/>
  <c r="BA481" i="9" s="1"/>
  <c r="AQ489" i="9"/>
  <c r="AY489" i="9" s="1"/>
  <c r="AQ497" i="9"/>
  <c r="AY497" i="9" s="1"/>
  <c r="AT502" i="9"/>
  <c r="AQ127" i="9"/>
  <c r="AQ197" i="9"/>
  <c r="AQ245" i="9"/>
  <c r="AT259" i="9"/>
  <c r="AW259" i="9" s="1"/>
  <c r="AQ277" i="9"/>
  <c r="AY277" i="9" s="1"/>
  <c r="AT286" i="9"/>
  <c r="AW286" i="9" s="1"/>
  <c r="AQ304" i="9"/>
  <c r="AY304" i="9" s="1"/>
  <c r="AQ319" i="9"/>
  <c r="AY319" i="9" s="1"/>
  <c r="AT336" i="9"/>
  <c r="BA336" i="9" s="1"/>
  <c r="AQ350" i="9"/>
  <c r="AY350" i="9" s="1"/>
  <c r="AT368" i="9"/>
  <c r="AQ379" i="9"/>
  <c r="AY379" i="9" s="1"/>
  <c r="AQ387" i="9"/>
  <c r="AY387" i="9" s="1"/>
  <c r="AT392" i="9"/>
  <c r="BA392" i="9" s="1"/>
  <c r="AT400" i="9"/>
  <c r="AW400" i="9" s="1"/>
  <c r="AQ408" i="9"/>
  <c r="AY408" i="9" s="1"/>
  <c r="AT417" i="9"/>
  <c r="BA417" i="9" s="1"/>
  <c r="AT425" i="9"/>
  <c r="AW425" i="9" s="1"/>
  <c r="AQ433" i="9"/>
  <c r="AY433" i="9" s="1"/>
  <c r="AT438" i="9"/>
  <c r="AW438" i="9" s="1"/>
  <c r="AT446" i="9"/>
  <c r="AW446" i="9" s="1"/>
  <c r="AQ454" i="9"/>
  <c r="AY454" i="9" s="1"/>
  <c r="AT463" i="9"/>
  <c r="AT471" i="9"/>
  <c r="AR566" i="9"/>
  <c r="AR478" i="9"/>
  <c r="AS340" i="9"/>
  <c r="AS390" i="9"/>
  <c r="AR495" i="9"/>
  <c r="AV296" i="9"/>
  <c r="AS324" i="9"/>
  <c r="AS339" i="9"/>
  <c r="AV526" i="9"/>
  <c r="AV304" i="9"/>
  <c r="AS296" i="9"/>
  <c r="AR506" i="9"/>
  <c r="AV489" i="9"/>
  <c r="AS561" i="9"/>
  <c r="AS361" i="9"/>
  <c r="AS272" i="9"/>
  <c r="AS510" i="9"/>
  <c r="AT284" i="9"/>
  <c r="AQ558" i="9"/>
  <c r="AY558" i="9" s="1"/>
  <c r="AS266" i="9"/>
  <c r="AR259" i="9"/>
  <c r="AR358" i="9"/>
  <c r="AS540" i="9"/>
  <c r="AV392" i="9"/>
  <c r="AS319" i="9"/>
  <c r="AS508" i="9"/>
  <c r="AV340" i="9"/>
  <c r="AS445" i="9"/>
  <c r="AS436" i="9"/>
  <c r="AT487" i="9"/>
  <c r="AS281" i="9"/>
  <c r="AR257" i="9"/>
  <c r="AV516" i="9"/>
  <c r="AS386" i="9"/>
  <c r="AV432" i="9"/>
  <c r="AR535" i="9"/>
  <c r="AR343" i="9"/>
  <c r="AS422" i="9"/>
  <c r="AR409" i="9"/>
  <c r="AR438" i="9"/>
  <c r="AT372" i="9"/>
  <c r="AV249" i="9"/>
  <c r="AR339" i="9"/>
  <c r="AS417" i="9"/>
  <c r="AS542" i="9"/>
  <c r="AV319" i="9"/>
  <c r="AV297" i="9"/>
  <c r="AR563" i="9"/>
  <c r="AR433" i="9"/>
  <c r="AS512" i="9"/>
  <c r="AS532" i="9"/>
  <c r="AV484" i="9"/>
  <c r="AV311" i="9"/>
  <c r="AV419" i="9"/>
  <c r="AS333" i="9"/>
  <c r="AV379" i="9"/>
  <c r="AS566" i="9"/>
  <c r="O31" i="9"/>
  <c r="X31" i="9" s="1"/>
  <c r="AR260" i="9"/>
  <c r="AV544" i="9"/>
  <c r="AV454" i="9"/>
  <c r="AV522" i="9"/>
  <c r="AS403" i="9"/>
  <c r="AV376" i="9"/>
  <c r="AR528" i="9"/>
  <c r="AR390" i="9"/>
  <c r="AV288" i="9"/>
  <c r="AR479" i="9"/>
  <c r="AV501" i="9"/>
  <c r="AS527" i="9"/>
  <c r="AR287" i="9"/>
  <c r="AR364" i="9"/>
  <c r="AV515" i="9"/>
  <c r="AS497" i="9"/>
  <c r="AR379" i="9"/>
  <c r="AR442" i="9"/>
  <c r="AR449" i="9"/>
  <c r="AR439" i="9"/>
  <c r="AS286" i="9"/>
  <c r="AV508" i="9"/>
  <c r="AS288" i="9"/>
  <c r="O27" i="9"/>
  <c r="X27" i="9" s="1"/>
  <c r="AV520" i="9"/>
  <c r="AV569" i="9"/>
  <c r="AV543" i="9"/>
  <c r="AS347" i="9"/>
  <c r="AV309" i="9"/>
  <c r="AV329" i="9"/>
  <c r="AR569" i="9"/>
  <c r="AV365" i="9"/>
  <c r="AS484" i="9"/>
  <c r="AS364" i="9"/>
  <c r="AR353" i="9"/>
  <c r="AR426" i="9"/>
  <c r="AR544" i="9"/>
  <c r="AQ398" i="9"/>
  <c r="AY398" i="9" s="1"/>
  <c r="AS430" i="9"/>
  <c r="AV422" i="9"/>
  <c r="AV375" i="9"/>
  <c r="AS389" i="9"/>
  <c r="AV524" i="9"/>
  <c r="AS313" i="9"/>
  <c r="AQ390" i="9"/>
  <c r="AY390" i="9" s="1"/>
  <c r="AQ568" i="9"/>
  <c r="AY568" i="9" s="1"/>
  <c r="AS252" i="9"/>
  <c r="AS548" i="9"/>
  <c r="AR483" i="9"/>
  <c r="AS352" i="9"/>
  <c r="AR444" i="9"/>
  <c r="AS556" i="9"/>
  <c r="AV559" i="9"/>
  <c r="AS443" i="9"/>
  <c r="AS464" i="9"/>
  <c r="AQ283" i="9"/>
  <c r="AY283" i="9" s="1"/>
  <c r="AT549" i="9"/>
  <c r="BA549" i="9" s="1"/>
  <c r="AS270" i="9"/>
  <c r="AR255" i="9"/>
  <c r="AV459" i="9"/>
  <c r="AV415" i="9"/>
  <c r="AV539" i="9"/>
  <c r="AR406" i="9"/>
  <c r="AV395" i="9"/>
  <c r="AS522" i="9"/>
  <c r="AR477" i="9"/>
  <c r="AS509" i="9"/>
  <c r="AT480" i="9"/>
  <c r="BA480" i="9" s="1"/>
  <c r="AR247" i="9"/>
  <c r="AR461" i="9"/>
  <c r="AS342" i="9"/>
  <c r="AS546" i="9"/>
  <c r="AR457" i="9"/>
  <c r="AV383" i="9"/>
  <c r="AS306" i="9"/>
  <c r="AR403" i="9"/>
  <c r="AS421" i="9"/>
  <c r="AR323" i="9"/>
  <c r="AV456" i="9"/>
  <c r="AS345" i="9"/>
  <c r="AR382" i="9"/>
  <c r="AV443" i="9"/>
  <c r="AR513" i="9"/>
  <c r="AT371" i="9"/>
  <c r="AV258" i="9"/>
  <c r="AS551" i="9"/>
  <c r="AV358" i="9"/>
  <c r="AR424" i="9"/>
  <c r="AV294" i="9"/>
  <c r="AR315" i="9"/>
  <c r="AS534" i="9"/>
  <c r="AV542" i="9"/>
  <c r="AS523" i="9"/>
  <c r="AR499" i="9"/>
  <c r="AS558" i="9"/>
  <c r="AV506" i="9"/>
  <c r="AS526" i="9"/>
  <c r="AS348" i="9"/>
  <c r="AS544" i="9"/>
  <c r="AR486" i="9"/>
  <c r="AV333" i="9"/>
  <c r="AR374" i="9"/>
  <c r="AR467" i="9"/>
  <c r="AR431" i="9"/>
  <c r="AR334" i="9"/>
  <c r="AS336" i="9"/>
  <c r="AR371" i="9"/>
  <c r="AR417" i="9"/>
  <c r="AV280" i="9"/>
  <c r="AS482" i="9"/>
  <c r="AV483" i="9"/>
  <c r="AV531" i="9"/>
  <c r="AR545" i="9"/>
  <c r="AV377" i="9"/>
  <c r="AV536" i="9"/>
  <c r="AR507" i="9"/>
  <c r="AR460" i="9"/>
  <c r="AS399" i="9"/>
  <c r="AV547" i="9"/>
  <c r="AR488" i="9"/>
  <c r="AR402" i="9"/>
  <c r="AV549" i="9"/>
  <c r="AS247" i="9"/>
  <c r="AR470" i="9"/>
  <c r="AS539" i="9"/>
  <c r="AV368" i="9"/>
  <c r="AS376" i="9"/>
  <c r="AS374" i="9"/>
  <c r="AS486" i="9"/>
  <c r="AV283" i="9"/>
  <c r="AT461" i="9"/>
  <c r="BA461" i="9" s="1"/>
  <c r="AS261" i="9"/>
  <c r="AR258" i="9"/>
  <c r="AV406" i="9"/>
  <c r="AS371" i="9"/>
  <c r="AV284" i="9"/>
  <c r="AV354" i="9"/>
  <c r="AV457" i="9"/>
  <c r="AS434" i="9"/>
  <c r="AR378" i="9"/>
  <c r="AV566" i="9"/>
  <c r="AQ382" i="9"/>
  <c r="AY382" i="9" s="1"/>
  <c r="AQ566" i="9"/>
  <c r="AY566" i="9" s="1"/>
  <c r="AS257" i="9"/>
  <c r="AR270" i="9"/>
  <c r="AR300" i="9"/>
  <c r="AV476" i="9"/>
  <c r="AS355" i="9"/>
  <c r="AV550" i="9"/>
  <c r="AV555" i="9"/>
  <c r="AS392" i="9"/>
  <c r="AR363" i="9"/>
  <c r="AR407" i="9"/>
  <c r="AQ561" i="9"/>
  <c r="AY561" i="9" s="1"/>
  <c r="AV337" i="9"/>
  <c r="AR452" i="9"/>
  <c r="AR531" i="9"/>
  <c r="AS368" i="9"/>
  <c r="AS514" i="9"/>
  <c r="AV453" i="9"/>
  <c r="AV373" i="9"/>
  <c r="AR492" i="9"/>
  <c r="AV437" i="9"/>
  <c r="AV567" i="9"/>
  <c r="AR327" i="9"/>
  <c r="AS489" i="9"/>
  <c r="AV455" i="9"/>
  <c r="AR357" i="9"/>
  <c r="AV391" i="9"/>
  <c r="AT468" i="9"/>
  <c r="AW468" i="9" s="1"/>
  <c r="AS258" i="9"/>
  <c r="AR312" i="9"/>
  <c r="AR540" i="9"/>
  <c r="AR397" i="9"/>
  <c r="AS366" i="9"/>
  <c r="AR422" i="9"/>
  <c r="AV500" i="9"/>
  <c r="AS303" i="9"/>
  <c r="AR550" i="9"/>
  <c r="AS472" i="9"/>
  <c r="AV494" i="9"/>
  <c r="AV548" i="9"/>
  <c r="AV374" i="9"/>
  <c r="AR509" i="9"/>
  <c r="AR560" i="9"/>
  <c r="AS310" i="9"/>
  <c r="AV486" i="9"/>
  <c r="AV505" i="9"/>
  <c r="AR305" i="9"/>
  <c r="AR380" i="9"/>
  <c r="AS448" i="9"/>
  <c r="AR485" i="9"/>
  <c r="AR520" i="9"/>
  <c r="AS555" i="9"/>
  <c r="AR252" i="9"/>
  <c r="AV407" i="9"/>
  <c r="AV349" i="9"/>
  <c r="AV444" i="9"/>
  <c r="AR399" i="9"/>
  <c r="AV467" i="9"/>
  <c r="AV436" i="9"/>
  <c r="AV435" i="9"/>
  <c r="AV430" i="9"/>
  <c r="AR350" i="9"/>
  <c r="AR375" i="9"/>
  <c r="AV287" i="9"/>
  <c r="AR484" i="9"/>
  <c r="AS461" i="9"/>
  <c r="AV478" i="9"/>
  <c r="A36" i="8"/>
  <c r="B37" i="8" s="1"/>
  <c r="AV513" i="9"/>
  <c r="AS384" i="9"/>
  <c r="AS498" i="9"/>
  <c r="AV321" i="9"/>
  <c r="AS453" i="9"/>
  <c r="AV344" i="9"/>
  <c r="AR250" i="9"/>
  <c r="AR421" i="9"/>
  <c r="AV363" i="9"/>
  <c r="AV490" i="9"/>
  <c r="AS485" i="9"/>
  <c r="AV487" i="9"/>
  <c r="AR458" i="9"/>
  <c r="AV272" i="9"/>
  <c r="AV327" i="9"/>
  <c r="AV447" i="9"/>
  <c r="AT499" i="9"/>
  <c r="AR349" i="9"/>
  <c r="AS504" i="9"/>
  <c r="AS466" i="9"/>
  <c r="AR529" i="9"/>
  <c r="AS316" i="9"/>
  <c r="AS496" i="9"/>
  <c r="AS393" i="9"/>
  <c r="AQ432" i="9"/>
  <c r="AY432" i="9" s="1"/>
  <c r="AS423" i="9"/>
  <c r="AS370" i="9"/>
  <c r="AS353" i="9"/>
  <c r="AV434" i="9"/>
  <c r="AR405" i="9"/>
  <c r="AT558" i="9"/>
  <c r="AW558" i="9" s="1"/>
  <c r="AV298" i="9"/>
  <c r="AR447" i="9"/>
  <c r="AR288" i="9"/>
  <c r="AS276" i="9"/>
  <c r="AS341" i="9"/>
  <c r="AV286" i="9"/>
  <c r="AT449" i="9"/>
  <c r="AR386" i="9"/>
  <c r="AS309" i="9"/>
  <c r="BI7" i="9"/>
  <c r="BI8" i="9" s="1"/>
  <c r="BI9" i="9" s="1"/>
  <c r="AR539" i="9"/>
  <c r="AV357" i="9"/>
  <c r="AS488" i="9"/>
  <c r="AV351" i="9"/>
  <c r="AR435" i="9"/>
  <c r="AR400" i="9"/>
  <c r="AV449" i="9"/>
  <c r="AR456" i="9"/>
  <c r="H9" i="8"/>
  <c r="A30" i="8" s="1"/>
  <c r="F73" i="8" s="1"/>
  <c r="B35" i="8"/>
  <c r="BJ18" i="9"/>
  <c r="AX6" i="9"/>
  <c r="BJ17" i="9"/>
  <c r="BJ9" i="9"/>
  <c r="J33" i="8"/>
  <c r="BJ13" i="9"/>
  <c r="BJ10" i="9"/>
  <c r="BJ20" i="9"/>
  <c r="BJ8" i="9"/>
  <c r="BJ21" i="9"/>
  <c r="BJ14" i="9"/>
  <c r="BJ15" i="9"/>
  <c r="BJ12" i="9"/>
  <c r="AR6" i="9"/>
  <c r="BJ16" i="9"/>
  <c r="BJ11" i="9"/>
  <c r="BJ19" i="9"/>
  <c r="BA556" i="9"/>
  <c r="BA277" i="9" l="1"/>
  <c r="AW345" i="9"/>
  <c r="AW545" i="9"/>
  <c r="BA538" i="9"/>
  <c r="BA560" i="9"/>
  <c r="AW475" i="9"/>
  <c r="AW506" i="9"/>
  <c r="AW256" i="9"/>
  <c r="BA512" i="9"/>
  <c r="BA473" i="9"/>
  <c r="BA491" i="9"/>
  <c r="BA315" i="9"/>
  <c r="BA373" i="9"/>
  <c r="AX8" i="9"/>
  <c r="BA541" i="9"/>
  <c r="AW384" i="9"/>
  <c r="AW500" i="9"/>
  <c r="AW486" i="9"/>
  <c r="AW398" i="9"/>
  <c r="BA495" i="9"/>
  <c r="AW257" i="9"/>
  <c r="BA261" i="9"/>
  <c r="AW476" i="9"/>
  <c r="AW464" i="9"/>
  <c r="BA391" i="9"/>
  <c r="AW351" i="9"/>
  <c r="AW452" i="9"/>
  <c r="BA350" i="9"/>
  <c r="BA432" i="9"/>
  <c r="AW387" i="9"/>
  <c r="BA504" i="9"/>
  <c r="BA496" i="9"/>
  <c r="BA303" i="9"/>
  <c r="AW312" i="9"/>
  <c r="AW490" i="9"/>
  <c r="AW443" i="9"/>
  <c r="BA327" i="9"/>
  <c r="AW481" i="9"/>
  <c r="BA386" i="9"/>
  <c r="AW566" i="9"/>
  <c r="BA299" i="9"/>
  <c r="AW342" i="9"/>
  <c r="AW273" i="9"/>
  <c r="BA503" i="9"/>
  <c r="AW330" i="9"/>
  <c r="AW418" i="9"/>
  <c r="AX389" i="9"/>
  <c r="AX400" i="9"/>
  <c r="BA414" i="9"/>
  <c r="AW353" i="9"/>
  <c r="AW445" i="9"/>
  <c r="AX40" i="9"/>
  <c r="BA377" i="9"/>
  <c r="AW300" i="9"/>
  <c r="AW392" i="9"/>
  <c r="BA263" i="9"/>
  <c r="BA416" i="9"/>
  <c r="AW450" i="9"/>
  <c r="AW421" i="9"/>
  <c r="N47" i="9"/>
  <c r="BA338" i="9"/>
  <c r="BA281" i="9"/>
  <c r="AX434" i="9"/>
  <c r="BA247" i="9"/>
  <c r="AW385" i="9"/>
  <c r="AW460" i="9"/>
  <c r="AW424" i="9"/>
  <c r="AW376" i="9"/>
  <c r="BA328" i="9"/>
  <c r="BA482" i="9"/>
  <c r="AW417" i="9"/>
  <c r="AW472" i="9"/>
  <c r="AW531" i="9"/>
  <c r="AW374" i="9"/>
  <c r="AW483" i="9"/>
  <c r="AW369" i="9"/>
  <c r="AW547" i="9"/>
  <c r="AX16" i="9"/>
  <c r="AW333" i="9"/>
  <c r="AW436" i="9"/>
  <c r="BA510" i="9"/>
  <c r="AY32" i="9"/>
  <c r="AX457" i="9"/>
  <c r="Y22" i="9"/>
  <c r="AY202" i="9" s="1"/>
  <c r="AX553" i="9"/>
  <c r="AX250" i="9"/>
  <c r="AX23" i="9"/>
  <c r="BA405" i="9"/>
  <c r="AW444" i="9"/>
  <c r="AW466" i="9"/>
  <c r="BA525" i="9"/>
  <c r="N41" i="9"/>
  <c r="BA561" i="9"/>
  <c r="AW516" i="9"/>
  <c r="BA557" i="9"/>
  <c r="BA352" i="9"/>
  <c r="BA329" i="9"/>
  <c r="N26" i="9"/>
  <c r="BA563" i="9"/>
  <c r="AX45" i="9"/>
  <c r="AW389" i="9"/>
  <c r="AX312" i="9"/>
  <c r="AX260" i="9"/>
  <c r="AR61" i="9"/>
  <c r="AW301" i="9"/>
  <c r="BA266" i="9"/>
  <c r="AW358" i="9"/>
  <c r="BA399" i="9"/>
  <c r="AW410" i="9"/>
  <c r="BA394" i="9"/>
  <c r="BA407" i="9"/>
  <c r="AW280" i="9"/>
  <c r="BA269" i="9"/>
  <c r="AX360" i="9"/>
  <c r="Y15" i="9"/>
  <c r="AY116" i="9" s="1"/>
  <c r="BA271" i="9"/>
  <c r="BA378" i="9"/>
  <c r="AR19" i="9"/>
  <c r="AW289" i="9"/>
  <c r="BA375" i="9"/>
  <c r="AW275" i="9"/>
  <c r="AX302" i="9"/>
  <c r="BN328" i="9"/>
  <c r="BO328" i="9" s="1"/>
  <c r="AR65" i="9"/>
  <c r="BA354" i="9"/>
  <c r="AW252" i="9"/>
  <c r="Y21" i="9"/>
  <c r="AY197" i="9" s="1"/>
  <c r="AX530" i="9"/>
  <c r="Y24" i="9"/>
  <c r="AY226" i="9" s="1"/>
  <c r="AX537" i="9"/>
  <c r="AW317" i="9"/>
  <c r="AX396" i="9"/>
  <c r="BA524" i="9"/>
  <c r="AW404" i="9"/>
  <c r="AW360" i="9"/>
  <c r="BA485" i="9"/>
  <c r="BA428" i="9"/>
  <c r="BA535" i="9"/>
  <c r="BA265" i="9"/>
  <c r="BA349" i="9"/>
  <c r="BA540" i="9"/>
  <c r="AW447" i="9"/>
  <c r="BA319" i="9"/>
  <c r="BA310" i="9"/>
  <c r="AW364" i="9"/>
  <c r="AW437" i="9"/>
  <c r="BA359" i="9"/>
  <c r="AW396" i="9"/>
  <c r="BA559" i="9"/>
  <c r="BA361" i="9"/>
  <c r="AW363" i="9"/>
  <c r="BA546" i="9"/>
  <c r="BA530" i="9"/>
  <c r="AR50" i="9"/>
  <c r="BA489" i="9"/>
  <c r="AW292" i="9"/>
  <c r="AW484" i="9"/>
  <c r="BA568" i="9"/>
  <c r="AX44" i="9"/>
  <c r="AW562" i="9"/>
  <c r="AX61" i="9"/>
  <c r="BA507" i="9"/>
  <c r="AR9" i="9"/>
  <c r="Y12" i="9"/>
  <c r="AY89" i="9" s="1"/>
  <c r="AX36" i="9"/>
  <c r="BA255" i="9"/>
  <c r="BA258" i="9"/>
  <c r="BA337" i="9"/>
  <c r="AW348" i="9"/>
  <c r="BA431" i="9"/>
  <c r="AW477" i="9"/>
  <c r="BA321" i="9"/>
  <c r="BA470" i="9"/>
  <c r="BA533" i="9"/>
  <c r="AX10" i="9"/>
  <c r="AW264" i="9"/>
  <c r="BA429" i="9"/>
  <c r="AW537" i="9"/>
  <c r="AW505" i="9"/>
  <c r="AW453" i="9"/>
  <c r="AX541" i="9"/>
  <c r="AX51" i="9"/>
  <c r="AW408" i="9"/>
  <c r="AW517" i="9"/>
  <c r="AX303" i="9"/>
  <c r="Y18" i="9"/>
  <c r="AY152" i="9" s="1"/>
  <c r="BA498" i="9"/>
  <c r="AW415" i="9"/>
  <c r="AX15" i="9"/>
  <c r="BA457" i="9"/>
  <c r="AW543" i="9"/>
  <c r="BA550" i="9"/>
  <c r="AW268" i="9"/>
  <c r="AW365" i="9"/>
  <c r="AX33" i="9"/>
  <c r="AW276" i="9"/>
  <c r="AW291" i="9"/>
  <c r="AW390" i="9"/>
  <c r="AW423" i="9"/>
  <c r="AW544" i="9"/>
  <c r="BA569" i="9"/>
  <c r="BA413" i="9"/>
  <c r="AW459" i="9"/>
  <c r="AX544" i="9"/>
  <c r="AW393" i="9"/>
  <c r="AW439" i="9"/>
  <c r="AW336" i="9"/>
  <c r="BA441" i="9"/>
  <c r="AX22" i="9"/>
  <c r="BA297" i="9"/>
  <c r="AW511" i="9"/>
  <c r="AW478" i="9"/>
  <c r="AW564" i="9"/>
  <c r="AX451" i="9"/>
  <c r="AW346" i="9"/>
  <c r="BA548" i="9"/>
  <c r="AX27" i="9"/>
  <c r="AW274" i="9"/>
  <c r="AX391" i="9"/>
  <c r="BA458" i="9"/>
  <c r="AW313" i="9"/>
  <c r="BA567" i="9"/>
  <c r="AW409" i="9"/>
  <c r="AW497" i="9"/>
  <c r="BA311" i="9"/>
  <c r="AW529" i="9"/>
  <c r="AX13" i="9"/>
  <c r="BA270" i="9"/>
  <c r="AW528" i="9"/>
  <c r="AW434" i="9"/>
  <c r="AW309" i="9"/>
  <c r="AW465" i="9"/>
  <c r="AW565" i="9"/>
  <c r="BA554" i="9"/>
  <c r="BA355" i="9"/>
  <c r="F76" i="8"/>
  <c r="AX395" i="9"/>
  <c r="AX57" i="9"/>
  <c r="Y23" i="9"/>
  <c r="AY217" i="9" s="1"/>
  <c r="Y13" i="9"/>
  <c r="AY90" i="9" s="1"/>
  <c r="Y9" i="9"/>
  <c r="AY45" i="9" s="1"/>
  <c r="AX52" i="9"/>
  <c r="AW380" i="9"/>
  <c r="BA451" i="9"/>
  <c r="AW467" i="9"/>
  <c r="BA433" i="9"/>
  <c r="BA493" i="9"/>
  <c r="F69" i="8"/>
  <c r="AX31" i="9"/>
  <c r="AX53" i="9"/>
  <c r="AY317" i="9"/>
  <c r="BA474" i="9"/>
  <c r="BN532" i="9"/>
  <c r="BO532" i="9" s="1"/>
  <c r="AX29" i="9"/>
  <c r="AX20" i="9"/>
  <c r="AW534" i="9"/>
  <c r="AX32" i="9"/>
  <c r="AX49" i="9"/>
  <c r="AX286" i="9"/>
  <c r="BA286" i="9"/>
  <c r="BA492" i="9"/>
  <c r="AW526" i="9"/>
  <c r="BA362" i="9"/>
  <c r="Y16" i="9"/>
  <c r="AY137" i="9" s="1"/>
  <c r="AR12" i="9"/>
  <c r="AX347" i="9"/>
  <c r="AX387" i="9"/>
  <c r="BH238" i="9"/>
  <c r="Y17" i="9"/>
  <c r="AY144" i="9" s="1"/>
  <c r="Y25" i="9"/>
  <c r="AY244" i="9" s="1"/>
  <c r="Y19" i="9"/>
  <c r="AY166" i="9" s="1"/>
  <c r="AX64" i="9"/>
  <c r="AX491" i="9"/>
  <c r="AX494" i="9"/>
  <c r="AX267" i="9"/>
  <c r="AX264" i="9"/>
  <c r="AX269" i="9"/>
  <c r="AW463" i="9"/>
  <c r="BA463" i="9"/>
  <c r="AW368" i="9"/>
  <c r="BA368" i="9"/>
  <c r="AR14" i="9"/>
  <c r="AX14" i="9"/>
  <c r="AW395" i="9"/>
  <c r="BA395" i="9"/>
  <c r="BA430" i="9"/>
  <c r="AW430" i="9"/>
  <c r="AX279" i="9"/>
  <c r="AX270" i="9"/>
  <c r="AX488" i="9"/>
  <c r="AY488" i="9"/>
  <c r="AW440" i="9"/>
  <c r="BA440" i="9"/>
  <c r="AW403" i="9"/>
  <c r="BA403" i="9"/>
  <c r="BA555" i="9"/>
  <c r="AW555" i="9"/>
  <c r="AX373" i="9"/>
  <c r="AY373" i="9"/>
  <c r="AW455" i="9"/>
  <c r="BA455" i="9"/>
  <c r="BA295" i="9"/>
  <c r="AW295" i="9"/>
  <c r="BA479" i="9"/>
  <c r="AW479" i="9"/>
  <c r="AY486" i="9"/>
  <c r="AX486" i="9"/>
  <c r="BA254" i="9"/>
  <c r="AW254" i="9"/>
  <c r="BA501" i="9"/>
  <c r="AW501" i="9"/>
  <c r="BA462" i="9"/>
  <c r="AW462" i="9"/>
  <c r="AW307" i="9"/>
  <c r="BA307" i="9"/>
  <c r="AX492" i="9"/>
  <c r="AW267" i="9"/>
  <c r="BA267" i="9"/>
  <c r="AW454" i="9"/>
  <c r="BA454" i="9"/>
  <c r="AW302" i="9"/>
  <c r="BA302" i="9"/>
  <c r="AW339" i="9"/>
  <c r="BA339" i="9"/>
  <c r="AW283" i="9"/>
  <c r="BA283" i="9"/>
  <c r="AR48" i="9"/>
  <c r="AX48" i="9"/>
  <c r="BA356" i="9"/>
  <c r="AW356" i="9"/>
  <c r="AX274" i="9"/>
  <c r="BN292" i="9"/>
  <c r="BO292" i="9" s="1"/>
  <c r="AY282" i="9"/>
  <c r="AX340" i="9"/>
  <c r="AX337" i="9"/>
  <c r="AX512" i="9"/>
  <c r="AX520" i="9"/>
  <c r="AX518" i="9"/>
  <c r="AX517" i="9"/>
  <c r="BH34" i="9"/>
  <c r="AW367" i="9"/>
  <c r="BA323" i="9"/>
  <c r="AW325" i="9"/>
  <c r="AW513" i="9"/>
  <c r="AX490" i="9"/>
  <c r="AX255" i="9"/>
  <c r="F46" i="8"/>
  <c r="F62" i="8"/>
  <c r="AX24" i="9"/>
  <c r="AR46" i="9"/>
  <c r="BA425" i="9"/>
  <c r="AY207" i="9"/>
  <c r="AR60" i="9"/>
  <c r="BA262" i="9"/>
  <c r="BA366" i="9"/>
  <c r="AW412" i="9"/>
  <c r="AW553" i="9"/>
  <c r="BA523" i="9"/>
  <c r="BA520" i="9"/>
  <c r="AW260" i="9"/>
  <c r="AW331" i="9"/>
  <c r="BA379" i="9"/>
  <c r="AX454" i="9"/>
  <c r="AW370" i="9"/>
  <c r="AW340" i="9"/>
  <c r="F33" i="8"/>
  <c r="AX11" i="9"/>
  <c r="F49" i="8"/>
  <c r="F52" i="8"/>
  <c r="Y11" i="9"/>
  <c r="AY68" i="9" s="1"/>
  <c r="BH142" i="9"/>
  <c r="BN100" i="9"/>
  <c r="BO100" i="9" s="1"/>
  <c r="BH154" i="9"/>
  <c r="BN124" i="9"/>
  <c r="BO124" i="9" s="1"/>
  <c r="Y10" i="9"/>
  <c r="AY65" i="9" s="1"/>
  <c r="AX248" i="9"/>
  <c r="BH214" i="9"/>
  <c r="AX552" i="9"/>
  <c r="AX496" i="9"/>
  <c r="AX296" i="9"/>
  <c r="AX493" i="9"/>
  <c r="BH190" i="9"/>
  <c r="BN220" i="9"/>
  <c r="BO220" i="9" s="1"/>
  <c r="BH118" i="9"/>
  <c r="AX402" i="9"/>
  <c r="BN508" i="9"/>
  <c r="BO508" i="9" s="1"/>
  <c r="AX460" i="9"/>
  <c r="BN364" i="9"/>
  <c r="BO364" i="9" s="1"/>
  <c r="AX58" i="9"/>
  <c r="AX470" i="9"/>
  <c r="AX471" i="9"/>
  <c r="AX463" i="9"/>
  <c r="AX466" i="9"/>
  <c r="AX483" i="9"/>
  <c r="AX482" i="9"/>
  <c r="AX504" i="9"/>
  <c r="AX509" i="9"/>
  <c r="AX283" i="9"/>
  <c r="AX287" i="9"/>
  <c r="AW502" i="9"/>
  <c r="BA502" i="9"/>
  <c r="AR42" i="9"/>
  <c r="BH58" i="9"/>
  <c r="N39" i="9"/>
  <c r="N49" i="9"/>
  <c r="N45" i="9"/>
  <c r="N40" i="9"/>
  <c r="N50" i="9"/>
  <c r="N34" i="9"/>
  <c r="N48" i="9"/>
  <c r="N44" i="9"/>
  <c r="N46" i="9"/>
  <c r="N32" i="9"/>
  <c r="N28" i="9"/>
  <c r="N30" i="9"/>
  <c r="N42" i="9"/>
  <c r="BA527" i="9"/>
  <c r="AW527" i="9"/>
  <c r="BA304" i="9"/>
  <c r="AW304" i="9"/>
  <c r="BA488" i="9"/>
  <c r="AW488" i="9"/>
  <c r="BA285" i="9"/>
  <c r="AW285" i="9"/>
  <c r="BH202" i="9"/>
  <c r="BH70" i="9"/>
  <c r="AW406" i="9"/>
  <c r="AW282" i="9"/>
  <c r="AX406" i="9"/>
  <c r="AW469" i="9"/>
  <c r="AX506" i="9"/>
  <c r="BN88" i="9"/>
  <c r="BO88" i="9" s="1"/>
  <c r="AW249" i="9"/>
  <c r="AW278" i="9"/>
  <c r="BA288" i="9"/>
  <c r="AW551" i="9"/>
  <c r="AX60" i="9"/>
  <c r="AX262" i="9"/>
  <c r="BN544" i="9"/>
  <c r="BO544" i="9" s="1"/>
  <c r="AW382" i="9"/>
  <c r="BH82" i="9"/>
  <c r="AW499" i="9"/>
  <c r="BA499" i="9"/>
  <c r="AR64" i="9"/>
  <c r="AY464" i="9"/>
  <c r="BN472" i="9"/>
  <c r="BO472" i="9" s="1"/>
  <c r="BA287" i="9"/>
  <c r="AW287" i="9"/>
  <c r="BH178" i="9"/>
  <c r="AR62" i="9"/>
  <c r="AX63" i="9"/>
  <c r="AR63" i="9"/>
  <c r="AY535" i="9"/>
  <c r="AX535" i="9"/>
  <c r="BA448" i="9"/>
  <c r="AW448" i="9"/>
  <c r="BN520" i="9"/>
  <c r="BO520" i="9" s="1"/>
  <c r="AX388" i="9"/>
  <c r="AX384" i="9"/>
  <c r="BN280" i="9"/>
  <c r="BO280" i="9" s="1"/>
  <c r="AR38" i="9"/>
  <c r="AX38" i="9"/>
  <c r="BN184" i="9"/>
  <c r="BO184" i="9" s="1"/>
  <c r="BA322" i="9"/>
  <c r="AW347" i="9"/>
  <c r="AY274" i="9"/>
  <c r="AW298" i="9"/>
  <c r="AY493" i="9"/>
  <c r="AW332" i="9"/>
  <c r="AW515" i="9"/>
  <c r="AW536" i="9"/>
  <c r="AY552" i="9"/>
  <c r="AW296" i="9"/>
  <c r="AW509" i="9"/>
  <c r="AW426" i="9"/>
  <c r="AX37" i="9"/>
  <c r="AW324" i="9"/>
  <c r="AW314" i="9"/>
  <c r="AX258" i="9"/>
  <c r="BA259" i="9"/>
  <c r="AX268" i="9"/>
  <c r="AW518" i="9"/>
  <c r="AX551" i="9"/>
  <c r="AW272" i="9"/>
  <c r="AW343" i="9"/>
  <c r="AW279" i="9"/>
  <c r="AX497" i="9"/>
  <c r="AW290" i="9"/>
  <c r="AX519" i="9"/>
  <c r="AW522" i="9"/>
  <c r="AX26" i="9"/>
  <c r="AX42" i="9"/>
  <c r="BH226" i="9"/>
  <c r="AX261" i="9"/>
  <c r="AW320" i="9"/>
  <c r="AX266" i="9"/>
  <c r="BA294" i="9"/>
  <c r="BA344" i="9"/>
  <c r="AW383" i="9"/>
  <c r="AY296" i="9"/>
  <c r="AW442" i="9"/>
  <c r="AW250" i="9"/>
  <c r="BN484" i="9"/>
  <c r="BO484" i="9" s="1"/>
  <c r="AX271" i="9"/>
  <c r="AW388" i="9"/>
  <c r="N38" i="9"/>
  <c r="N31" i="9"/>
  <c r="N52" i="9"/>
  <c r="BA293" i="9"/>
  <c r="BA438" i="9"/>
  <c r="BA246" i="9"/>
  <c r="AW411" i="9"/>
  <c r="BN436" i="9"/>
  <c r="BO436" i="9" s="1"/>
  <c r="AR43" i="9"/>
  <c r="AW435" i="9"/>
  <c r="BA419" i="9"/>
  <c r="BA401" i="9"/>
  <c r="BA539" i="9"/>
  <c r="AW461" i="9"/>
  <c r="AX546" i="9"/>
  <c r="AX247" i="9"/>
  <c r="AX249" i="9"/>
  <c r="AR58" i="9"/>
  <c r="BA514" i="9"/>
  <c r="AX495" i="9"/>
  <c r="AX487" i="9"/>
  <c r="BA471" i="9"/>
  <c r="AW471" i="9"/>
  <c r="AX472" i="9"/>
  <c r="X11" i="9"/>
  <c r="AX75" i="9" s="1"/>
  <c r="AR59" i="9"/>
  <c r="AR57" i="9"/>
  <c r="AX55" i="9"/>
  <c r="AX59" i="9"/>
  <c r="AX65" i="9"/>
  <c r="AR7" i="9"/>
  <c r="BH22" i="9"/>
  <c r="BJ33" i="9" s="1"/>
  <c r="BN160" i="9"/>
  <c r="BO160" i="9" s="1"/>
  <c r="BN448" i="9"/>
  <c r="BO448" i="9" s="1"/>
  <c r="AY438" i="9"/>
  <c r="BN340" i="9"/>
  <c r="BO340" i="9" s="1"/>
  <c r="AR35" i="9"/>
  <c r="AW508" i="9"/>
  <c r="BA253" i="9"/>
  <c r="AW335" i="9"/>
  <c r="BA521" i="9"/>
  <c r="AW334" i="9"/>
  <c r="BA420" i="9"/>
  <c r="N43" i="9"/>
  <c r="N27" i="9"/>
  <c r="N51" i="9"/>
  <c r="BH245" i="9"/>
  <c r="BA402" i="9"/>
  <c r="AW402" i="9"/>
  <c r="BA316" i="9"/>
  <c r="AW316" i="9"/>
  <c r="BA305" i="9"/>
  <c r="AW305" i="9"/>
  <c r="AX368" i="9"/>
  <c r="BA422" i="9"/>
  <c r="AW422" i="9"/>
  <c r="BA519" i="9"/>
  <c r="AW519" i="9"/>
  <c r="AX513" i="9"/>
  <c r="BN460" i="9"/>
  <c r="BO460" i="9" s="1"/>
  <c r="BA306" i="9"/>
  <c r="AW306" i="9"/>
  <c r="BA542" i="9"/>
  <c r="AW542" i="9"/>
  <c r="AX17" i="9"/>
  <c r="AX56" i="9"/>
  <c r="AX263" i="9"/>
  <c r="BN412" i="9"/>
  <c r="BO412" i="9" s="1"/>
  <c r="AX62" i="9"/>
  <c r="AX265" i="9"/>
  <c r="AY492" i="9"/>
  <c r="AW397" i="9"/>
  <c r="BN556" i="9"/>
  <c r="BO556" i="9" s="1"/>
  <c r="AX30" i="9"/>
  <c r="BA381" i="9"/>
  <c r="AX7" i="9"/>
  <c r="N35" i="9"/>
  <c r="N36" i="9"/>
  <c r="N29" i="9"/>
  <c r="N37" i="9"/>
  <c r="AX34" i="9"/>
  <c r="AY449" i="9"/>
  <c r="BA400" i="9"/>
  <c r="BA552" i="9"/>
  <c r="BA532" i="9"/>
  <c r="AW251" i="9"/>
  <c r="AY472" i="9"/>
  <c r="BA494" i="9"/>
  <c r="AX448" i="9"/>
  <c r="AX456" i="9"/>
  <c r="AX453" i="9"/>
  <c r="AX450" i="9"/>
  <c r="AW480" i="9"/>
  <c r="AX430" i="9"/>
  <c r="BN208" i="9"/>
  <c r="BO208" i="9" s="1"/>
  <c r="AX489" i="9"/>
  <c r="BN316" i="9"/>
  <c r="BO316" i="9" s="1"/>
  <c r="BN376" i="9"/>
  <c r="BO376" i="9" s="1"/>
  <c r="BN256" i="9"/>
  <c r="BO256" i="9" s="1"/>
  <c r="BN232" i="9"/>
  <c r="BO232" i="9" s="1"/>
  <c r="BN112" i="9"/>
  <c r="BO112" i="9" s="1"/>
  <c r="Y20" i="9"/>
  <c r="AY176" i="9" s="1"/>
  <c r="BH166" i="9"/>
  <c r="AR56" i="9"/>
  <c r="BN64" i="9"/>
  <c r="BO64" i="9" s="1"/>
  <c r="BN148" i="9"/>
  <c r="BO148" i="9" s="1"/>
  <c r="BN352" i="9"/>
  <c r="BO352" i="9" s="1"/>
  <c r="F53" i="8"/>
  <c r="F48" i="8"/>
  <c r="AX326" i="9"/>
  <c r="AX336" i="9"/>
  <c r="BA558" i="9"/>
  <c r="AX425" i="9"/>
  <c r="BN136" i="9"/>
  <c r="BO136" i="9" s="1"/>
  <c r="AX418" i="9"/>
  <c r="BN304" i="9"/>
  <c r="BO304" i="9" s="1"/>
  <c r="BN244" i="9"/>
  <c r="BO244" i="9" s="1"/>
  <c r="BN196" i="9"/>
  <c r="BO196" i="9" s="1"/>
  <c r="BN268" i="9"/>
  <c r="BO268" i="9" s="1"/>
  <c r="BN172" i="9"/>
  <c r="BO172" i="9" s="1"/>
  <c r="BN52" i="9"/>
  <c r="BO52" i="9" s="1"/>
  <c r="BH130" i="9"/>
  <c r="Y14" i="9"/>
  <c r="AY113" i="9" s="1"/>
  <c r="BH106" i="9"/>
  <c r="AX566" i="9"/>
  <c r="AX564" i="9"/>
  <c r="AX559" i="9"/>
  <c r="AR25" i="9"/>
  <c r="AR54" i="9"/>
  <c r="BN40" i="9"/>
  <c r="BO40" i="9" s="1"/>
  <c r="AW341" i="9"/>
  <c r="AY370" i="9"/>
  <c r="BA456" i="9"/>
  <c r="BN76" i="9"/>
  <c r="BO76" i="9" s="1"/>
  <c r="AY249" i="9"/>
  <c r="AY308" i="9"/>
  <c r="BN388" i="9"/>
  <c r="BO388" i="9" s="1"/>
  <c r="A37" i="8"/>
  <c r="A38" i="8" s="1"/>
  <c r="A39" i="8" s="1"/>
  <c r="AX39" i="9"/>
  <c r="AR41" i="9"/>
  <c r="AY76" i="9"/>
  <c r="AX330" i="9"/>
  <c r="BN496" i="9"/>
  <c r="BO496" i="9" s="1"/>
  <c r="AX538" i="9"/>
  <c r="AX321" i="9"/>
  <c r="BA446" i="9"/>
  <c r="AX47" i="9"/>
  <c r="AX54" i="9"/>
  <c r="AX259" i="9"/>
  <c r="BA326" i="9"/>
  <c r="BA308" i="9"/>
  <c r="BA248" i="9"/>
  <c r="BA427" i="9"/>
  <c r="AY21" i="9"/>
  <c r="AX351" i="9"/>
  <c r="AX335" i="9"/>
  <c r="BN424" i="9"/>
  <c r="BO424" i="9" s="1"/>
  <c r="BN16" i="9"/>
  <c r="BO16" i="9" s="1"/>
  <c r="BA318" i="9"/>
  <c r="AW357" i="9"/>
  <c r="AX534" i="9"/>
  <c r="AY25" i="9"/>
  <c r="AX18" i="9"/>
  <c r="AX28" i="9"/>
  <c r="AX459" i="9"/>
  <c r="AX435" i="9"/>
  <c r="BN28" i="9"/>
  <c r="BO28" i="9" s="1"/>
  <c r="BN568" i="9"/>
  <c r="BO568" i="9" s="1"/>
  <c r="AY18" i="9"/>
  <c r="AY28" i="9"/>
  <c r="BH94" i="9"/>
  <c r="AX536" i="9"/>
  <c r="AY16" i="9"/>
  <c r="BH46" i="9"/>
  <c r="AY259" i="9"/>
  <c r="AX306" i="9"/>
  <c r="AX21" i="9"/>
  <c r="AX342" i="9"/>
  <c r="AX405" i="9"/>
  <c r="AX341" i="9"/>
  <c r="AX256" i="9"/>
  <c r="F74" i="8"/>
  <c r="F37" i="8"/>
  <c r="F60" i="8"/>
  <c r="AX398" i="9"/>
  <c r="AW549" i="9"/>
  <c r="AR55" i="9"/>
  <c r="AX345" i="9"/>
  <c r="AX545" i="9"/>
  <c r="AX414" i="9"/>
  <c r="BN400" i="9"/>
  <c r="BO400" i="9" s="1"/>
  <c r="AX432" i="9"/>
  <c r="BA468" i="9"/>
  <c r="BA372" i="9"/>
  <c r="AW372" i="9"/>
  <c r="AX320" i="9"/>
  <c r="AX447" i="9"/>
  <c r="AX539" i="9"/>
  <c r="AX441" i="9"/>
  <c r="AX542" i="9"/>
  <c r="AX420" i="9"/>
  <c r="AX426" i="9"/>
  <c r="AX382" i="9"/>
  <c r="BA449" i="9"/>
  <c r="AW449" i="9"/>
  <c r="AX540" i="9"/>
  <c r="AX443" i="9"/>
  <c r="AX427" i="9"/>
  <c r="AX419" i="9"/>
  <c r="AX437" i="9"/>
  <c r="AX423" i="9"/>
  <c r="AX416" i="9"/>
  <c r="AX352" i="9"/>
  <c r="AX415" i="9"/>
  <c r="AX543" i="9"/>
  <c r="AX417" i="9"/>
  <c r="BA371" i="9"/>
  <c r="AW371" i="9"/>
  <c r="BA487" i="9"/>
  <c r="AW487" i="9"/>
  <c r="BA284" i="9"/>
  <c r="AW284" i="9"/>
  <c r="AX401" i="9"/>
  <c r="AX375" i="9"/>
  <c r="AX374" i="9"/>
  <c r="AX439" i="9"/>
  <c r="AX346" i="9"/>
  <c r="AX431" i="9"/>
  <c r="AX442" i="9"/>
  <c r="AX344" i="9"/>
  <c r="AX371" i="9"/>
  <c r="AX370" i="9"/>
  <c r="AX397" i="9"/>
  <c r="AX436" i="9"/>
  <c r="AX399" i="9"/>
  <c r="AX445" i="9"/>
  <c r="AX429" i="9"/>
  <c r="AX394" i="9"/>
  <c r="BK8" i="9"/>
  <c r="AX348" i="9"/>
  <c r="AX349" i="9"/>
  <c r="F41" i="8"/>
  <c r="F70" i="8"/>
  <c r="F42" i="8"/>
  <c r="F72" i="8"/>
  <c r="F45" i="8"/>
  <c r="F63" i="8"/>
  <c r="F36" i="8"/>
  <c r="F71" i="8"/>
  <c r="F61" i="8"/>
  <c r="F38" i="8"/>
  <c r="F56" i="8"/>
  <c r="F78" i="8"/>
  <c r="AX366" i="9"/>
  <c r="AX376" i="9"/>
  <c r="AX393" i="9"/>
  <c r="BK7" i="9"/>
  <c r="AX392" i="9"/>
  <c r="AX369" i="9"/>
  <c r="AX377" i="9"/>
  <c r="F59" i="8"/>
  <c r="F47" i="8"/>
  <c r="F68" i="8"/>
  <c r="F54" i="8"/>
  <c r="F40" i="8"/>
  <c r="F66" i="8"/>
  <c r="F35" i="8"/>
  <c r="F58" i="8"/>
  <c r="F79" i="8"/>
  <c r="F34" i="8"/>
  <c r="F51" i="8"/>
  <c r="F67" i="8"/>
  <c r="AX390" i="9"/>
  <c r="AX353" i="9"/>
  <c r="AX422" i="9"/>
  <c r="AX424" i="9"/>
  <c r="AX350" i="9"/>
  <c r="AX433" i="9"/>
  <c r="AX421" i="9"/>
  <c r="AX343" i="9"/>
  <c r="AX372" i="9"/>
  <c r="AX367" i="9"/>
  <c r="AX438" i="9"/>
  <c r="AX444" i="9"/>
  <c r="AX449" i="9"/>
  <c r="AX446" i="9"/>
  <c r="AX440" i="9"/>
  <c r="AX428" i="9"/>
  <c r="F57" i="8"/>
  <c r="F44" i="8"/>
  <c r="F55" i="8"/>
  <c r="F77" i="8"/>
  <c r="F50" i="8"/>
  <c r="C33" i="8"/>
  <c r="C34" i="8" s="1"/>
  <c r="C35" i="8" s="1"/>
  <c r="C36" i="8" s="1"/>
  <c r="F39" i="8"/>
  <c r="F65" i="8"/>
  <c r="F75" i="8"/>
  <c r="F43" i="8"/>
  <c r="F64" i="8"/>
  <c r="AX289" i="9"/>
  <c r="AX311" i="9"/>
  <c r="AX332" i="9"/>
  <c r="AX288" i="9"/>
  <c r="AX313" i="9"/>
  <c r="AX381" i="9"/>
  <c r="AX410" i="9"/>
  <c r="AX298" i="9"/>
  <c r="AX378" i="9"/>
  <c r="AX522" i="9"/>
  <c r="AY26" i="9"/>
  <c r="AY27" i="9"/>
  <c r="AX305" i="9"/>
  <c r="AX467" i="9"/>
  <c r="AX524" i="9"/>
  <c r="AX533" i="9"/>
  <c r="AX465" i="9"/>
  <c r="AX380" i="9"/>
  <c r="AX532" i="9"/>
  <c r="AX309" i="9"/>
  <c r="AX385" i="9"/>
  <c r="AX452" i="9"/>
  <c r="AX407" i="9"/>
  <c r="AX528" i="9"/>
  <c r="AX547" i="9"/>
  <c r="AX362" i="9"/>
  <c r="AX525" i="9"/>
  <c r="AX521" i="9"/>
  <c r="AX295" i="9"/>
  <c r="AX282" i="9"/>
  <c r="AX251" i="9"/>
  <c r="AX297" i="9"/>
  <c r="AX458" i="9"/>
  <c r="AX475" i="9"/>
  <c r="AX529" i="9"/>
  <c r="AX314" i="9"/>
  <c r="AX516" i="9"/>
  <c r="AX403" i="9"/>
  <c r="AX511" i="9"/>
  <c r="AX364" i="9"/>
  <c r="BJ27" i="9"/>
  <c r="AX461" i="9"/>
  <c r="AX510" i="9"/>
  <c r="AX310" i="9"/>
  <c r="BJ32" i="9"/>
  <c r="AX308" i="9"/>
  <c r="AX292" i="9"/>
  <c r="AX316" i="9"/>
  <c r="AX485" i="9"/>
  <c r="AX531" i="9"/>
  <c r="AX526" i="9"/>
  <c r="AX294" i="9"/>
  <c r="AX386" i="9"/>
  <c r="AX301" i="9"/>
  <c r="AX462" i="9"/>
  <c r="AX379" i="9"/>
  <c r="AX408" i="9"/>
  <c r="AX333" i="9"/>
  <c r="AX411" i="9"/>
  <c r="AX315" i="9"/>
  <c r="AX412" i="9"/>
  <c r="AX291" i="9"/>
  <c r="AX474" i="9"/>
  <c r="AY24" i="9"/>
  <c r="AX284" i="9"/>
  <c r="AX317" i="9"/>
  <c r="AX253" i="9"/>
  <c r="AX299" i="9"/>
  <c r="AX468" i="9"/>
  <c r="AX300" i="9"/>
  <c r="AX523" i="9"/>
  <c r="AX252" i="9"/>
  <c r="AX455" i="9"/>
  <c r="AX409" i="9"/>
  <c r="AX293" i="9"/>
  <c r="AX304" i="9"/>
  <c r="AX479" i="9"/>
  <c r="AX514" i="9"/>
  <c r="AY22" i="9"/>
  <c r="AY29" i="9"/>
  <c r="AX527" i="9"/>
  <c r="AX515" i="9"/>
  <c r="AX290" i="9"/>
  <c r="AX307" i="9"/>
  <c r="AX285" i="9"/>
  <c r="AX383" i="9"/>
  <c r="AX404" i="9"/>
  <c r="AX473" i="9"/>
  <c r="AX565" i="9"/>
  <c r="AX413" i="9"/>
  <c r="AY19" i="9"/>
  <c r="AX560" i="9"/>
  <c r="AY11" i="9"/>
  <c r="AX276" i="9"/>
  <c r="AX357" i="9"/>
  <c r="AX277" i="9"/>
  <c r="AX508" i="9"/>
  <c r="AX355" i="9"/>
  <c r="AX356" i="9"/>
  <c r="AX567" i="9"/>
  <c r="AX272" i="9"/>
  <c r="AX550" i="9"/>
  <c r="AX275" i="9"/>
  <c r="AX361" i="9"/>
  <c r="AX500" i="9"/>
  <c r="AX507" i="9"/>
  <c r="AX549" i="9"/>
  <c r="AX554" i="9"/>
  <c r="AX562" i="9"/>
  <c r="AX503" i="9"/>
  <c r="AX568" i="9"/>
  <c r="AX278" i="9"/>
  <c r="AX359" i="9"/>
  <c r="AX556" i="9"/>
  <c r="AX354" i="9"/>
  <c r="AX280" i="9"/>
  <c r="AX358" i="9"/>
  <c r="AX281" i="9"/>
  <c r="AX502" i="9"/>
  <c r="AX548" i="9"/>
  <c r="AX363" i="9"/>
  <c r="AX501" i="9"/>
  <c r="AX365" i="9"/>
  <c r="AX273" i="9"/>
  <c r="AX498" i="9"/>
  <c r="AX557" i="9"/>
  <c r="AX499" i="9"/>
  <c r="AX505" i="9"/>
  <c r="AX558" i="9"/>
  <c r="AX561" i="9"/>
  <c r="AX563" i="9"/>
  <c r="AX555" i="9"/>
  <c r="AX569" i="9"/>
  <c r="AX324" i="9"/>
  <c r="AX323" i="9"/>
  <c r="AX318" i="9"/>
  <c r="AX327" i="9"/>
  <c r="AX319" i="9"/>
  <c r="AX325" i="9"/>
  <c r="AY40" i="9"/>
  <c r="AX328" i="9"/>
  <c r="AX338" i="9"/>
  <c r="AX331" i="9"/>
  <c r="AX254" i="9"/>
  <c r="AX477" i="9"/>
  <c r="AX484" i="9"/>
  <c r="AY37" i="9"/>
  <c r="AX322" i="9"/>
  <c r="AX329" i="9"/>
  <c r="AY38" i="9"/>
  <c r="AX339" i="9"/>
  <c r="AX464" i="9"/>
  <c r="AX246" i="9"/>
  <c r="AX480" i="9"/>
  <c r="AY35" i="9"/>
  <c r="AX334" i="9"/>
  <c r="AX257" i="9"/>
  <c r="AX481" i="9"/>
  <c r="AX469" i="9"/>
  <c r="AX478" i="9"/>
  <c r="AX476" i="9"/>
  <c r="AY23" i="9"/>
  <c r="AY20" i="9"/>
  <c r="BI10" i="9"/>
  <c r="BK9" i="9"/>
  <c r="AY31" i="9"/>
  <c r="AY8" i="9"/>
  <c r="AS6" i="9"/>
  <c r="AT6" i="9" s="1"/>
  <c r="AY13" i="9"/>
  <c r="AY34" i="9"/>
  <c r="AY41" i="9"/>
  <c r="AY14" i="9"/>
  <c r="AY15" i="9"/>
  <c r="AY30" i="9"/>
  <c r="AY9" i="9"/>
  <c r="AY12" i="9"/>
  <c r="AY6" i="9"/>
  <c r="AY33" i="9"/>
  <c r="AY36" i="9"/>
  <c r="AY17" i="9"/>
  <c r="AY39" i="9"/>
  <c r="AY10" i="9"/>
  <c r="AY7" i="9"/>
  <c r="AY191" i="9" l="1"/>
  <c r="AY204" i="9"/>
  <c r="AY242" i="9"/>
  <c r="AY156" i="9"/>
  <c r="AY77" i="9"/>
  <c r="AY160" i="9"/>
  <c r="AY74" i="9"/>
  <c r="AY75" i="9"/>
  <c r="AY72" i="9"/>
  <c r="AY151" i="9"/>
  <c r="AY234" i="9"/>
  <c r="AY238" i="9"/>
  <c r="AY69" i="9"/>
  <c r="AY153" i="9"/>
  <c r="AY237" i="9"/>
  <c r="AY66" i="9"/>
  <c r="AY157" i="9"/>
  <c r="AY154" i="9"/>
  <c r="AY241" i="9"/>
  <c r="AY73" i="9"/>
  <c r="AY158" i="9"/>
  <c r="AY71" i="9"/>
  <c r="AY67" i="9"/>
  <c r="AY159" i="9"/>
  <c r="AY243" i="9"/>
  <c r="AY245" i="9"/>
  <c r="AY239" i="9"/>
  <c r="AY201" i="9"/>
  <c r="AY122" i="9"/>
  <c r="AY114" i="9"/>
  <c r="AY214" i="9"/>
  <c r="AY208" i="9"/>
  <c r="AY203" i="9"/>
  <c r="AY205" i="9"/>
  <c r="AY124" i="9"/>
  <c r="AY80" i="9"/>
  <c r="AY56" i="9"/>
  <c r="AY179" i="9"/>
  <c r="AY178" i="9"/>
  <c r="AY194" i="9"/>
  <c r="AY200" i="9"/>
  <c r="AY88" i="9"/>
  <c r="AY81" i="9"/>
  <c r="AY206" i="9"/>
  <c r="AY198" i="9"/>
  <c r="AY209" i="9"/>
  <c r="AY129" i="9"/>
  <c r="AY86" i="9"/>
  <c r="AY199" i="9"/>
  <c r="AY79" i="9"/>
  <c r="AY177" i="9"/>
  <c r="AY233" i="9"/>
  <c r="AY232" i="9"/>
  <c r="AY52" i="9"/>
  <c r="AY190" i="9"/>
  <c r="AY215" i="9"/>
  <c r="AY161" i="9"/>
  <c r="AY188" i="9"/>
  <c r="AY169" i="9"/>
  <c r="AY155" i="9"/>
  <c r="AY192" i="9"/>
  <c r="AY193" i="9"/>
  <c r="AY180" i="9"/>
  <c r="AY236" i="9"/>
  <c r="AY210" i="9"/>
  <c r="AY235" i="9"/>
  <c r="AY70" i="9"/>
  <c r="AY150" i="9"/>
  <c r="AY121" i="9"/>
  <c r="AY120" i="9"/>
  <c r="AY57" i="9"/>
  <c r="AY123" i="9"/>
  <c r="AY185" i="9"/>
  <c r="AY240" i="9"/>
  <c r="AY186" i="9"/>
  <c r="AY196" i="9"/>
  <c r="AY117" i="9"/>
  <c r="AY118" i="9"/>
  <c r="AY213" i="9"/>
  <c r="AY115" i="9"/>
  <c r="AY168" i="9"/>
  <c r="AY195" i="9"/>
  <c r="AY189" i="9"/>
  <c r="AY119" i="9"/>
  <c r="AY125" i="9"/>
  <c r="AY183" i="9"/>
  <c r="AY216" i="9"/>
  <c r="AY187" i="9"/>
  <c r="AY219" i="9"/>
  <c r="AY224" i="9"/>
  <c r="AY46" i="9"/>
  <c r="AY227" i="9"/>
  <c r="AX77" i="9"/>
  <c r="AY47" i="9"/>
  <c r="AY222" i="9"/>
  <c r="AY225" i="9"/>
  <c r="AY223" i="9"/>
  <c r="AY228" i="9"/>
  <c r="AY44" i="9"/>
  <c r="AY229" i="9"/>
  <c r="AY230" i="9"/>
  <c r="AY87" i="9"/>
  <c r="AY82" i="9"/>
  <c r="AY85" i="9"/>
  <c r="BJ222" i="9"/>
  <c r="AY231" i="9"/>
  <c r="BJ25" i="9"/>
  <c r="AY147" i="9"/>
  <c r="BJ26" i="9"/>
  <c r="BJ36" i="9"/>
  <c r="AY51" i="9"/>
  <c r="AY142" i="9"/>
  <c r="AY143" i="9"/>
  <c r="AY138" i="9"/>
  <c r="BJ375" i="9"/>
  <c r="BK375" i="9" s="1"/>
  <c r="AY49" i="9"/>
  <c r="AY78" i="9"/>
  <c r="AY140" i="9"/>
  <c r="AY50" i="9"/>
  <c r="BJ29" i="9"/>
  <c r="AY141" i="9"/>
  <c r="AY83" i="9"/>
  <c r="AY104" i="9"/>
  <c r="AY84" i="9"/>
  <c r="AY181" i="9"/>
  <c r="AY149" i="9"/>
  <c r="BJ28" i="9"/>
  <c r="AY48" i="9"/>
  <c r="AY53" i="9"/>
  <c r="AY101" i="9"/>
  <c r="BJ23" i="9"/>
  <c r="BJ24" i="9"/>
  <c r="AY175" i="9"/>
  <c r="AY174" i="9"/>
  <c r="BJ107" i="9"/>
  <c r="AY148" i="9"/>
  <c r="AY145" i="9"/>
  <c r="AY139" i="9"/>
  <c r="AY42" i="9"/>
  <c r="AY43" i="9"/>
  <c r="BJ22" i="9"/>
  <c r="J34" i="8"/>
  <c r="J35" i="8" s="1"/>
  <c r="J36" i="8" s="1"/>
  <c r="J37" i="8" s="1"/>
  <c r="J38" i="8" s="1"/>
  <c r="J39" i="8" s="1"/>
  <c r="AY131" i="9"/>
  <c r="AY146" i="9"/>
  <c r="AY135" i="9"/>
  <c r="AY91" i="9"/>
  <c r="BJ355" i="9"/>
  <c r="BK355" i="9" s="1"/>
  <c r="BJ509" i="9"/>
  <c r="BK509" i="9" s="1"/>
  <c r="BJ568" i="9"/>
  <c r="BK568" i="9" s="1"/>
  <c r="BJ178" i="9"/>
  <c r="BJ45" i="9"/>
  <c r="AY132" i="9"/>
  <c r="AY128" i="9"/>
  <c r="AY95" i="9"/>
  <c r="AY100" i="9"/>
  <c r="AY96" i="9"/>
  <c r="BJ435" i="9"/>
  <c r="BK435" i="9" s="1"/>
  <c r="BJ91" i="9"/>
  <c r="BJ42" i="9"/>
  <c r="BJ41" i="9"/>
  <c r="BJ187" i="9"/>
  <c r="BJ92" i="9"/>
  <c r="AY218" i="9"/>
  <c r="AY98" i="9"/>
  <c r="AY97" i="9"/>
  <c r="AY93" i="9"/>
  <c r="AY164" i="9"/>
  <c r="AY163" i="9"/>
  <c r="AY126" i="9"/>
  <c r="BJ216" i="9"/>
  <c r="BJ302" i="9"/>
  <c r="BK302" i="9" s="1"/>
  <c r="BJ213" i="9"/>
  <c r="BJ248" i="9"/>
  <c r="BK248" i="9" s="1"/>
  <c r="AY162" i="9"/>
  <c r="AY167" i="9"/>
  <c r="AY170" i="9"/>
  <c r="AY130" i="9"/>
  <c r="BJ34" i="9"/>
  <c r="AY221" i="9"/>
  <c r="AY134" i="9"/>
  <c r="AY171" i="9"/>
  <c r="AY99" i="9"/>
  <c r="AY94" i="9"/>
  <c r="AY92" i="9"/>
  <c r="AY136" i="9"/>
  <c r="AY212" i="9"/>
  <c r="AY220" i="9"/>
  <c r="AY133" i="9"/>
  <c r="AY127" i="9"/>
  <c r="BJ550" i="9"/>
  <c r="BK550" i="9" s="1"/>
  <c r="AY172" i="9"/>
  <c r="BJ64" i="9"/>
  <c r="AY211" i="9"/>
  <c r="AY165" i="9"/>
  <c r="AY173" i="9"/>
  <c r="BJ141" i="9"/>
  <c r="BJ214" i="9"/>
  <c r="BJ468" i="9"/>
  <c r="BK468" i="9" s="1"/>
  <c r="BJ263" i="9"/>
  <c r="BK263" i="9" s="1"/>
  <c r="BJ512" i="9"/>
  <c r="BK512" i="9" s="1"/>
  <c r="BJ399" i="9"/>
  <c r="BK399" i="9" s="1"/>
  <c r="BJ208" i="9"/>
  <c r="BJ269" i="9"/>
  <c r="BK269" i="9" s="1"/>
  <c r="BJ40" i="9"/>
  <c r="BJ505" i="9"/>
  <c r="BK505" i="9" s="1"/>
  <c r="BJ417" i="9"/>
  <c r="BK417" i="9" s="1"/>
  <c r="BJ316" i="9"/>
  <c r="BK316" i="9" s="1"/>
  <c r="BJ464" i="9"/>
  <c r="BK464" i="9" s="1"/>
  <c r="BJ343" i="9"/>
  <c r="BK343" i="9" s="1"/>
  <c r="BJ219" i="9"/>
  <c r="BJ327" i="9"/>
  <c r="BK327" i="9" s="1"/>
  <c r="BJ445" i="9"/>
  <c r="BK445" i="9" s="1"/>
  <c r="BJ50" i="9"/>
  <c r="BJ257" i="9"/>
  <c r="BK257" i="9" s="1"/>
  <c r="BJ426" i="9"/>
  <c r="BK426" i="9" s="1"/>
  <c r="BJ517" i="9"/>
  <c r="BK517" i="9" s="1"/>
  <c r="BJ37" i="9"/>
  <c r="BJ163" i="9"/>
  <c r="BJ38" i="9"/>
  <c r="BJ479" i="9"/>
  <c r="BK479" i="9" s="1"/>
  <c r="BJ79" i="9"/>
  <c r="BJ536" i="9"/>
  <c r="BK536" i="9" s="1"/>
  <c r="BJ272" i="9"/>
  <c r="BK272" i="9" s="1"/>
  <c r="BJ95" i="9"/>
  <c r="BJ532" i="9"/>
  <c r="BK532" i="9" s="1"/>
  <c r="BJ367" i="9"/>
  <c r="BK367" i="9" s="1"/>
  <c r="BJ286" i="9"/>
  <c r="BK286" i="9" s="1"/>
  <c r="AY106" i="9"/>
  <c r="BJ35" i="9"/>
  <c r="BJ344" i="9"/>
  <c r="BK344" i="9" s="1"/>
  <c r="BJ353" i="9"/>
  <c r="BK353" i="9" s="1"/>
  <c r="BJ309" i="9"/>
  <c r="BK309" i="9" s="1"/>
  <c r="BJ108" i="9"/>
  <c r="BJ43" i="9"/>
  <c r="AY58" i="9"/>
  <c r="AY59" i="9"/>
  <c r="AY54" i="9"/>
  <c r="AY63" i="9"/>
  <c r="AY60" i="9"/>
  <c r="BJ39" i="9"/>
  <c r="BJ519" i="9"/>
  <c r="BK519" i="9" s="1"/>
  <c r="BJ270" i="9"/>
  <c r="BK270" i="9" s="1"/>
  <c r="BJ347" i="9"/>
  <c r="BK347" i="9" s="1"/>
  <c r="BJ243" i="9"/>
  <c r="BJ140" i="9"/>
  <c r="BJ484" i="9"/>
  <c r="BK484" i="9" s="1"/>
  <c r="BJ252" i="9"/>
  <c r="BK252" i="9" s="1"/>
  <c r="BJ288" i="9"/>
  <c r="BK288" i="9" s="1"/>
  <c r="BJ498" i="9"/>
  <c r="BK498" i="9" s="1"/>
  <c r="BJ86" i="9"/>
  <c r="BJ351" i="9"/>
  <c r="BK351" i="9" s="1"/>
  <c r="BJ434" i="9"/>
  <c r="BK434" i="9" s="1"/>
  <c r="BJ258" i="9"/>
  <c r="BK258" i="9" s="1"/>
  <c r="BJ319" i="9"/>
  <c r="BK319" i="9" s="1"/>
  <c r="BJ74" i="9"/>
  <c r="BJ467" i="9"/>
  <c r="BK467" i="9" s="1"/>
  <c r="BJ206" i="9"/>
  <c r="BJ105" i="9"/>
  <c r="AY55" i="9"/>
  <c r="AY61" i="9"/>
  <c r="AY62" i="9"/>
  <c r="AY102" i="9"/>
  <c r="AY64" i="9"/>
  <c r="AY103" i="9"/>
  <c r="BJ253" i="9"/>
  <c r="BK253" i="9" s="1"/>
  <c r="X12" i="9"/>
  <c r="AX68" i="9"/>
  <c r="AX72" i="9"/>
  <c r="AR66" i="9"/>
  <c r="AR72" i="9"/>
  <c r="AR73" i="9"/>
  <c r="AR75" i="9"/>
  <c r="AX66" i="9"/>
  <c r="AR70" i="9"/>
  <c r="AR76" i="9"/>
  <c r="AR71" i="9"/>
  <c r="AX73" i="9"/>
  <c r="AX67" i="9"/>
  <c r="AR67" i="9"/>
  <c r="AX70" i="9"/>
  <c r="AX76" i="9"/>
  <c r="AR69" i="9"/>
  <c r="AR68" i="9"/>
  <c r="BJ200" i="9"/>
  <c r="BJ66" i="9"/>
  <c r="BJ507" i="9"/>
  <c r="BK507" i="9" s="1"/>
  <c r="BJ501" i="9"/>
  <c r="BK501" i="9" s="1"/>
  <c r="BJ371" i="9"/>
  <c r="BK371" i="9" s="1"/>
  <c r="BJ185" i="9"/>
  <c r="BJ291" i="9"/>
  <c r="BK291" i="9" s="1"/>
  <c r="BJ432" i="9"/>
  <c r="BK432" i="9" s="1"/>
  <c r="BJ73" i="9"/>
  <c r="BJ379" i="9"/>
  <c r="BK379" i="9" s="1"/>
  <c r="BJ400" i="9"/>
  <c r="BK400" i="9" s="1"/>
  <c r="BJ404" i="9"/>
  <c r="BK404" i="9" s="1"/>
  <c r="BJ311" i="9"/>
  <c r="BK311" i="9" s="1"/>
  <c r="BJ254" i="9"/>
  <c r="BK254" i="9" s="1"/>
  <c r="BJ255" i="9"/>
  <c r="BK255" i="9" s="1"/>
  <c r="BJ93" i="9"/>
  <c r="BJ175" i="9"/>
  <c r="AY108" i="9"/>
  <c r="BJ100" i="9"/>
  <c r="BJ237" i="9"/>
  <c r="BJ508" i="9"/>
  <c r="BK508" i="9" s="1"/>
  <c r="BJ403" i="9"/>
  <c r="BK403" i="9" s="1"/>
  <c r="BJ357" i="9"/>
  <c r="BK357" i="9" s="1"/>
  <c r="BJ204" i="9"/>
  <c r="BJ537" i="9"/>
  <c r="BK537" i="9" s="1"/>
  <c r="BJ49" i="9"/>
  <c r="BJ230" i="9"/>
  <c r="BJ127" i="9"/>
  <c r="BJ495" i="9"/>
  <c r="BK495" i="9" s="1"/>
  <c r="BJ569" i="9"/>
  <c r="BK569" i="9" s="1"/>
  <c r="BJ545" i="9"/>
  <c r="BK545" i="9" s="1"/>
  <c r="BJ154" i="9"/>
  <c r="BJ194" i="9"/>
  <c r="AY110" i="9"/>
  <c r="BJ205" i="9"/>
  <c r="BJ238" i="9"/>
  <c r="BJ70" i="9"/>
  <c r="BJ303" i="9"/>
  <c r="BK303" i="9" s="1"/>
  <c r="BJ365" i="9"/>
  <c r="BK365" i="9" s="1"/>
  <c r="BJ369" i="9"/>
  <c r="BK369" i="9" s="1"/>
  <c r="BJ171" i="9"/>
  <c r="BJ564" i="9"/>
  <c r="BK564" i="9" s="1"/>
  <c r="BJ560" i="9"/>
  <c r="BK560" i="9" s="1"/>
  <c r="BJ174" i="9"/>
  <c r="BJ511" i="9"/>
  <c r="BK511" i="9" s="1"/>
  <c r="BJ256" i="9"/>
  <c r="BK256" i="9" s="1"/>
  <c r="AY111" i="9"/>
  <c r="BJ151" i="9"/>
  <c r="BJ409" i="9"/>
  <c r="BK409" i="9" s="1"/>
  <c r="BJ500" i="9"/>
  <c r="BK500" i="9" s="1"/>
  <c r="BJ346" i="9"/>
  <c r="BK346" i="9" s="1"/>
  <c r="BJ181" i="9"/>
  <c r="BJ366" i="9"/>
  <c r="BK366" i="9" s="1"/>
  <c r="BJ328" i="9"/>
  <c r="BK328" i="9" s="1"/>
  <c r="BJ146" i="9"/>
  <c r="BJ310" i="9"/>
  <c r="BK310" i="9" s="1"/>
  <c r="BJ460" i="9"/>
  <c r="BK460" i="9" s="1"/>
  <c r="BJ457" i="9"/>
  <c r="BK457" i="9" s="1"/>
  <c r="BJ540" i="9"/>
  <c r="BK540" i="9" s="1"/>
  <c r="BJ159" i="9"/>
  <c r="BJ112" i="9"/>
  <c r="BJ172" i="9"/>
  <c r="BJ68" i="9"/>
  <c r="BJ128" i="9"/>
  <c r="BJ81" i="9"/>
  <c r="BJ273" i="9"/>
  <c r="BK273" i="9" s="1"/>
  <c r="BJ226" i="9"/>
  <c r="BJ439" i="9"/>
  <c r="BK439" i="9" s="1"/>
  <c r="BJ265" i="9"/>
  <c r="BK265" i="9" s="1"/>
  <c r="AY184" i="9"/>
  <c r="AX74" i="9"/>
  <c r="AR77" i="9"/>
  <c r="BJ30" i="9"/>
  <c r="BJ31" i="9"/>
  <c r="BJ44" i="9"/>
  <c r="AX71" i="9"/>
  <c r="BJ162" i="9"/>
  <c r="BJ289" i="9"/>
  <c r="BK289" i="9" s="1"/>
  <c r="BJ566" i="9"/>
  <c r="BK566" i="9" s="1"/>
  <c r="BJ359" i="9"/>
  <c r="BK359" i="9" s="1"/>
  <c r="BJ167" i="9"/>
  <c r="BJ481" i="9"/>
  <c r="BK481" i="9" s="1"/>
  <c r="BJ401" i="9"/>
  <c r="BK401" i="9" s="1"/>
  <c r="BJ462" i="9"/>
  <c r="BK462" i="9" s="1"/>
  <c r="BJ567" i="9"/>
  <c r="BK567" i="9" s="1"/>
  <c r="BJ294" i="9"/>
  <c r="BK294" i="9" s="1"/>
  <c r="BJ362" i="9"/>
  <c r="BK362" i="9" s="1"/>
  <c r="BJ308" i="9"/>
  <c r="BK308" i="9" s="1"/>
  <c r="BJ274" i="9"/>
  <c r="BK274" i="9" s="1"/>
  <c r="BJ225" i="9"/>
  <c r="BJ142" i="9"/>
  <c r="BJ173" i="9"/>
  <c r="BJ241" i="9"/>
  <c r="BJ94" i="9"/>
  <c r="BJ502" i="9"/>
  <c r="BK502" i="9" s="1"/>
  <c r="BJ372" i="9"/>
  <c r="BK372" i="9" s="1"/>
  <c r="BJ529" i="9"/>
  <c r="BK529" i="9" s="1"/>
  <c r="BJ176" i="9"/>
  <c r="BJ299" i="9"/>
  <c r="BK299" i="9" s="1"/>
  <c r="BJ485" i="9"/>
  <c r="BK485" i="9" s="1"/>
  <c r="BJ101" i="9"/>
  <c r="BJ430" i="9"/>
  <c r="BK430" i="9" s="1"/>
  <c r="BJ422" i="9"/>
  <c r="BK422" i="9" s="1"/>
  <c r="BJ383" i="9"/>
  <c r="BK383" i="9" s="1"/>
  <c r="BJ315" i="9"/>
  <c r="BK315" i="9" s="1"/>
  <c r="BJ239" i="9"/>
  <c r="BJ268" i="9"/>
  <c r="BK268" i="9" s="1"/>
  <c r="BJ231" i="9"/>
  <c r="BJ207" i="9"/>
  <c r="BJ523" i="9"/>
  <c r="BK523" i="9" s="1"/>
  <c r="BJ494" i="9"/>
  <c r="BK494" i="9" s="1"/>
  <c r="BJ503" i="9"/>
  <c r="BK503" i="9" s="1"/>
  <c r="BJ342" i="9"/>
  <c r="BK342" i="9" s="1"/>
  <c r="BJ148" i="9"/>
  <c r="BJ290" i="9"/>
  <c r="BK290" i="9" s="1"/>
  <c r="BJ526" i="9"/>
  <c r="BK526" i="9" s="1"/>
  <c r="BJ475" i="9"/>
  <c r="BK475" i="9" s="1"/>
  <c r="BJ452" i="9"/>
  <c r="BK452" i="9" s="1"/>
  <c r="BJ121" i="9"/>
  <c r="BJ109" i="9"/>
  <c r="BJ113" i="9"/>
  <c r="BJ345" i="9"/>
  <c r="BK345" i="9" s="1"/>
  <c r="BJ551" i="9"/>
  <c r="BK551" i="9" s="1"/>
  <c r="BJ338" i="9"/>
  <c r="BK338" i="9" s="1"/>
  <c r="BJ527" i="9"/>
  <c r="BK527" i="9" s="1"/>
  <c r="BJ157" i="9"/>
  <c r="BJ386" i="9"/>
  <c r="BK386" i="9" s="1"/>
  <c r="BJ451" i="9"/>
  <c r="BK451" i="9" s="1"/>
  <c r="BJ63" i="9"/>
  <c r="BJ461" i="9"/>
  <c r="BK461" i="9" s="1"/>
  <c r="BJ306" i="9"/>
  <c r="BK306" i="9" s="1"/>
  <c r="BJ561" i="9"/>
  <c r="BK561" i="9" s="1"/>
  <c r="BJ553" i="9"/>
  <c r="BK553" i="9" s="1"/>
  <c r="BJ119" i="9"/>
  <c r="BJ135" i="9"/>
  <c r="BJ180" i="9"/>
  <c r="BJ250" i="9"/>
  <c r="BK250" i="9" s="1"/>
  <c r="BJ195" i="9"/>
  <c r="BJ85" i="9"/>
  <c r="B38" i="8"/>
  <c r="BJ133" i="9"/>
  <c r="BJ301" i="9"/>
  <c r="BK301" i="9" s="1"/>
  <c r="BJ414" i="9"/>
  <c r="BK414" i="9" s="1"/>
  <c r="BJ165" i="9"/>
  <c r="BJ80" i="9"/>
  <c r="BJ166" i="9"/>
  <c r="BJ54" i="9"/>
  <c r="BJ314" i="9"/>
  <c r="BK314" i="9" s="1"/>
  <c r="BJ559" i="9"/>
  <c r="BK559" i="9" s="1"/>
  <c r="BJ565" i="9"/>
  <c r="BK565" i="9" s="1"/>
  <c r="BJ465" i="9"/>
  <c r="BK465" i="9" s="1"/>
  <c r="BJ88" i="9"/>
  <c r="BJ188" i="9"/>
  <c r="BJ348" i="9"/>
  <c r="BK348" i="9" s="1"/>
  <c r="BJ437" i="9"/>
  <c r="BK437" i="9" s="1"/>
  <c r="BJ556" i="9"/>
  <c r="BK556" i="9" s="1"/>
  <c r="BJ499" i="9"/>
  <c r="BK499" i="9" s="1"/>
  <c r="BJ295" i="9"/>
  <c r="BK295" i="9" s="1"/>
  <c r="BJ55" i="9"/>
  <c r="AY105" i="9"/>
  <c r="BJ266" i="9"/>
  <c r="BK266" i="9" s="1"/>
  <c r="BJ245" i="9"/>
  <c r="BJ562" i="9"/>
  <c r="BK562" i="9" s="1"/>
  <c r="BJ405" i="9"/>
  <c r="BK405" i="9" s="1"/>
  <c r="BJ395" i="9"/>
  <c r="BK395" i="9" s="1"/>
  <c r="BJ307" i="9"/>
  <c r="BK307" i="9" s="1"/>
  <c r="BJ115" i="9"/>
  <c r="BJ433" i="9"/>
  <c r="BK433" i="9" s="1"/>
  <c r="BJ478" i="9"/>
  <c r="BK478" i="9" s="1"/>
  <c r="BJ340" i="9"/>
  <c r="BK340" i="9" s="1"/>
  <c r="BJ554" i="9"/>
  <c r="BK554" i="9" s="1"/>
  <c r="BJ282" i="9"/>
  <c r="BK282" i="9" s="1"/>
  <c r="BJ533" i="9"/>
  <c r="BK533" i="9" s="1"/>
  <c r="BJ449" i="9"/>
  <c r="BK449" i="9" s="1"/>
  <c r="BJ215" i="9"/>
  <c r="BJ99" i="9"/>
  <c r="BJ361" i="9"/>
  <c r="BK361" i="9" s="1"/>
  <c r="BJ312" i="9"/>
  <c r="BK312" i="9" s="1"/>
  <c r="BJ377" i="9"/>
  <c r="BK377" i="9" s="1"/>
  <c r="BJ421" i="9"/>
  <c r="BK421" i="9" s="1"/>
  <c r="BJ436" i="9"/>
  <c r="BK436" i="9" s="1"/>
  <c r="BJ160" i="9"/>
  <c r="BJ212" i="9"/>
  <c r="BJ96" i="9"/>
  <c r="BJ118" i="9"/>
  <c r="BJ232" i="9"/>
  <c r="BJ104" i="9"/>
  <c r="BJ242" i="9"/>
  <c r="BJ382" i="9"/>
  <c r="BK382" i="9" s="1"/>
  <c r="BJ283" i="9"/>
  <c r="BK283" i="9" s="1"/>
  <c r="BJ374" i="9"/>
  <c r="BK374" i="9" s="1"/>
  <c r="BJ370" i="9"/>
  <c r="BK370" i="9" s="1"/>
  <c r="BJ84" i="9"/>
  <c r="BJ264" i="9"/>
  <c r="BK264" i="9" s="1"/>
  <c r="BJ548" i="9"/>
  <c r="BK548" i="9" s="1"/>
  <c r="BJ284" i="9"/>
  <c r="BK284" i="9" s="1"/>
  <c r="BJ384" i="9"/>
  <c r="BK384" i="9" s="1"/>
  <c r="BJ331" i="9"/>
  <c r="BK331" i="9" s="1"/>
  <c r="BJ427" i="9"/>
  <c r="BK427" i="9" s="1"/>
  <c r="BJ330" i="9"/>
  <c r="BK330" i="9" s="1"/>
  <c r="BJ220" i="9"/>
  <c r="BJ97" i="9"/>
  <c r="BJ196" i="9"/>
  <c r="AY112" i="9"/>
  <c r="BJ57" i="9"/>
  <c r="BJ192" i="9"/>
  <c r="AY107" i="9"/>
  <c r="BJ281" i="9"/>
  <c r="BK281" i="9" s="1"/>
  <c r="BJ466" i="9"/>
  <c r="BK466" i="9" s="1"/>
  <c r="BJ538" i="9"/>
  <c r="BK538" i="9" s="1"/>
  <c r="BJ126" i="9"/>
  <c r="BJ229" i="9"/>
  <c r="BJ123" i="9"/>
  <c r="BJ52" i="9"/>
  <c r="BJ61" i="9"/>
  <c r="AY109" i="9"/>
  <c r="AY182" i="9"/>
  <c r="AR74" i="9"/>
  <c r="AX69" i="9"/>
  <c r="BJ223" i="9"/>
  <c r="BJ407" i="9"/>
  <c r="BK407" i="9" s="1"/>
  <c r="BJ441" i="9"/>
  <c r="BK441" i="9" s="1"/>
  <c r="BJ496" i="9"/>
  <c r="BK496" i="9" s="1"/>
  <c r="BJ143" i="9"/>
  <c r="BJ471" i="9"/>
  <c r="BK471" i="9" s="1"/>
  <c r="BJ247" i="9"/>
  <c r="BK247" i="9" s="1"/>
  <c r="BJ155" i="9"/>
  <c r="BJ59" i="9"/>
  <c r="BJ487" i="9"/>
  <c r="BK487" i="9" s="1"/>
  <c r="BJ211" i="9"/>
  <c r="BJ116" i="9"/>
  <c r="BJ520" i="9"/>
  <c r="BK520" i="9" s="1"/>
  <c r="BJ425" i="9"/>
  <c r="BK425" i="9" s="1"/>
  <c r="BJ381" i="9"/>
  <c r="BK381" i="9" s="1"/>
  <c r="BJ456" i="9"/>
  <c r="BK456" i="9" s="1"/>
  <c r="BJ429" i="9"/>
  <c r="BK429" i="9" s="1"/>
  <c r="BJ513" i="9"/>
  <c r="BK513" i="9" s="1"/>
  <c r="BJ506" i="9"/>
  <c r="BK506" i="9" s="1"/>
  <c r="BJ531" i="9"/>
  <c r="BK531" i="9" s="1"/>
  <c r="BJ406" i="9"/>
  <c r="BK406" i="9" s="1"/>
  <c r="BJ413" i="9"/>
  <c r="BK413" i="9" s="1"/>
  <c r="BJ390" i="9"/>
  <c r="BK390" i="9" s="1"/>
  <c r="BJ90" i="9"/>
  <c r="BJ69" i="9"/>
  <c r="BJ179" i="9"/>
  <c r="BJ349" i="9"/>
  <c r="BK349" i="9" s="1"/>
  <c r="BJ453" i="9"/>
  <c r="BK453" i="9" s="1"/>
  <c r="BJ473" i="9"/>
  <c r="BK473" i="9" s="1"/>
  <c r="BJ528" i="9"/>
  <c r="BK528" i="9" s="1"/>
  <c r="BJ287" i="9"/>
  <c r="BK287" i="9" s="1"/>
  <c r="BJ497" i="9"/>
  <c r="BK497" i="9" s="1"/>
  <c r="BJ489" i="9"/>
  <c r="BK489" i="9" s="1"/>
  <c r="BJ129" i="9"/>
  <c r="BJ490" i="9"/>
  <c r="BK490" i="9" s="1"/>
  <c r="BJ458" i="9"/>
  <c r="BK458" i="9" s="1"/>
  <c r="BJ373" i="9"/>
  <c r="BK373" i="9" s="1"/>
  <c r="BJ304" i="9"/>
  <c r="BK304" i="9" s="1"/>
  <c r="BJ428" i="9"/>
  <c r="BK428" i="9" s="1"/>
  <c r="BJ492" i="9"/>
  <c r="BK492" i="9" s="1"/>
  <c r="BJ469" i="9"/>
  <c r="BK469" i="9" s="1"/>
  <c r="BJ317" i="9"/>
  <c r="BK317" i="9" s="1"/>
  <c r="BJ411" i="9"/>
  <c r="BK411" i="9" s="1"/>
  <c r="BJ261" i="9"/>
  <c r="BK261" i="9" s="1"/>
  <c r="BJ234" i="9"/>
  <c r="BJ217" i="9"/>
  <c r="BJ221" i="9"/>
  <c r="BJ75" i="9"/>
  <c r="BJ98" i="9"/>
  <c r="BJ285" i="9"/>
  <c r="BK285" i="9" s="1"/>
  <c r="BJ476" i="9"/>
  <c r="BK476" i="9" s="1"/>
  <c r="BJ522" i="9"/>
  <c r="BK522" i="9" s="1"/>
  <c r="BJ412" i="9"/>
  <c r="BK412" i="9" s="1"/>
  <c r="BJ389" i="9"/>
  <c r="BK389" i="9" s="1"/>
  <c r="BJ524" i="9"/>
  <c r="BK524" i="9" s="1"/>
  <c r="BJ459" i="9"/>
  <c r="BK459" i="9" s="1"/>
  <c r="BJ276" i="9"/>
  <c r="BK276" i="9" s="1"/>
  <c r="BJ139" i="9"/>
  <c r="BJ555" i="9"/>
  <c r="BK555" i="9" s="1"/>
  <c r="BJ563" i="9"/>
  <c r="BK563" i="9" s="1"/>
  <c r="BJ132" i="9"/>
  <c r="BJ444" i="9"/>
  <c r="BK444" i="9" s="1"/>
  <c r="BJ416" i="9"/>
  <c r="BK416" i="9" s="1"/>
  <c r="BJ364" i="9"/>
  <c r="BK364" i="9" s="1"/>
  <c r="BJ259" i="9"/>
  <c r="BK259" i="9" s="1"/>
  <c r="BJ463" i="9"/>
  <c r="BK463" i="9" s="1"/>
  <c r="BJ198" i="9"/>
  <c r="BJ470" i="9"/>
  <c r="BK470" i="9" s="1"/>
  <c r="BJ313" i="9"/>
  <c r="BK313" i="9" s="1"/>
  <c r="BJ546" i="9"/>
  <c r="BK546" i="9" s="1"/>
  <c r="BJ350" i="9"/>
  <c r="BK350" i="9" s="1"/>
  <c r="BJ448" i="9"/>
  <c r="BK448" i="9" s="1"/>
  <c r="BJ158" i="9"/>
  <c r="BJ191" i="9"/>
  <c r="BJ262" i="9"/>
  <c r="BK262" i="9" s="1"/>
  <c r="BJ260" i="9"/>
  <c r="BK260" i="9" s="1"/>
  <c r="BJ244" i="9"/>
  <c r="BJ182" i="9"/>
  <c r="BJ201" i="9"/>
  <c r="BJ210" i="9"/>
  <c r="BJ280" i="9"/>
  <c r="BK280" i="9" s="1"/>
  <c r="BJ71" i="9"/>
  <c r="BJ336" i="9"/>
  <c r="BK336" i="9" s="1"/>
  <c r="BJ493" i="9"/>
  <c r="BK493" i="9" s="1"/>
  <c r="BJ418" i="9"/>
  <c r="BK418" i="9" s="1"/>
  <c r="BJ296" i="9"/>
  <c r="BK296" i="9" s="1"/>
  <c r="BJ322" i="9"/>
  <c r="BK322" i="9" s="1"/>
  <c r="BJ168" i="9"/>
  <c r="BJ147" i="9"/>
  <c r="BJ76" i="9"/>
  <c r="BJ110" i="9"/>
  <c r="BJ65" i="9"/>
  <c r="BJ130" i="9"/>
  <c r="BJ363" i="9"/>
  <c r="BK363" i="9" s="1"/>
  <c r="BJ482" i="9"/>
  <c r="BK482" i="9" s="1"/>
  <c r="BJ334" i="9"/>
  <c r="BK334" i="9" s="1"/>
  <c r="BJ539" i="9"/>
  <c r="BK539" i="9" s="1"/>
  <c r="BJ378" i="9"/>
  <c r="BK378" i="9" s="1"/>
  <c r="BJ450" i="9"/>
  <c r="BK450" i="9" s="1"/>
  <c r="BJ77" i="9"/>
  <c r="BJ332" i="9"/>
  <c r="BK332" i="9" s="1"/>
  <c r="BJ293" i="9"/>
  <c r="BK293" i="9" s="1"/>
  <c r="BJ474" i="9"/>
  <c r="BK474" i="9" s="1"/>
  <c r="BJ455" i="9"/>
  <c r="BK455" i="9" s="1"/>
  <c r="BJ354" i="9"/>
  <c r="BK354" i="9" s="1"/>
  <c r="BJ83" i="9"/>
  <c r="BJ60" i="9"/>
  <c r="BJ161" i="9"/>
  <c r="BJ156" i="9"/>
  <c r="BJ138" i="9"/>
  <c r="BJ144" i="9"/>
  <c r="BJ543" i="9"/>
  <c r="BK543" i="9" s="1"/>
  <c r="BJ398" i="9"/>
  <c r="BK398" i="9" s="1"/>
  <c r="BJ514" i="9"/>
  <c r="BK514" i="9" s="1"/>
  <c r="BJ396" i="9"/>
  <c r="BK396" i="9" s="1"/>
  <c r="BJ153" i="9"/>
  <c r="BJ408" i="9"/>
  <c r="BK408" i="9" s="1"/>
  <c r="BJ169" i="9"/>
  <c r="BJ46" i="9"/>
  <c r="BJ521" i="9"/>
  <c r="BK521" i="9" s="1"/>
  <c r="BJ235" i="9"/>
  <c r="BJ552" i="9"/>
  <c r="BK552" i="9" s="1"/>
  <c r="BJ356" i="9"/>
  <c r="BK356" i="9" s="1"/>
  <c r="BJ48" i="9"/>
  <c r="BJ62" i="9"/>
  <c r="BJ199" i="9"/>
  <c r="BJ233" i="9"/>
  <c r="BJ251" i="9"/>
  <c r="BK251" i="9" s="1"/>
  <c r="BJ203" i="9"/>
  <c r="BJ228" i="9"/>
  <c r="BJ82" i="9"/>
  <c r="BJ103" i="9"/>
  <c r="BJ393" i="9"/>
  <c r="BK393" i="9" s="1"/>
  <c r="BJ547" i="9"/>
  <c r="BK547" i="9" s="1"/>
  <c r="BJ530" i="9"/>
  <c r="BK530" i="9" s="1"/>
  <c r="BJ424" i="9"/>
  <c r="BK424" i="9" s="1"/>
  <c r="BJ415" i="9"/>
  <c r="BK415" i="9" s="1"/>
  <c r="BJ419" i="9"/>
  <c r="BK419" i="9" s="1"/>
  <c r="BJ318" i="9"/>
  <c r="BK318" i="9" s="1"/>
  <c r="BJ218" i="9"/>
  <c r="BJ125" i="9"/>
  <c r="BJ491" i="9"/>
  <c r="BK491" i="9" s="1"/>
  <c r="BJ488" i="9"/>
  <c r="BK488" i="9" s="1"/>
  <c r="BJ446" i="9"/>
  <c r="BK446" i="9" s="1"/>
  <c r="BJ335" i="9"/>
  <c r="BK335" i="9" s="1"/>
  <c r="BJ202" i="9"/>
  <c r="BJ298" i="9"/>
  <c r="BK298" i="9" s="1"/>
  <c r="BJ72" i="9"/>
  <c r="BJ376" i="9"/>
  <c r="BK376" i="9" s="1"/>
  <c r="BJ472" i="9"/>
  <c r="BK472" i="9" s="1"/>
  <c r="BJ341" i="9"/>
  <c r="BK341" i="9" s="1"/>
  <c r="BJ534" i="9"/>
  <c r="BK534" i="9" s="1"/>
  <c r="BJ325" i="9"/>
  <c r="BK325" i="9" s="1"/>
  <c r="BJ535" i="9"/>
  <c r="BK535" i="9" s="1"/>
  <c r="BJ326" i="9"/>
  <c r="BK326" i="9" s="1"/>
  <c r="BJ189" i="9"/>
  <c r="BJ89" i="9"/>
  <c r="BJ145" i="9"/>
  <c r="BJ177" i="9"/>
  <c r="BJ227" i="9"/>
  <c r="BJ152" i="9"/>
  <c r="BJ224" i="9"/>
  <c r="C37" i="8"/>
  <c r="C38" i="8" s="1"/>
  <c r="C39" i="8" s="1"/>
  <c r="BJ277" i="9"/>
  <c r="BK277" i="9" s="1"/>
  <c r="BJ106" i="9"/>
  <c r="BJ423" i="9"/>
  <c r="BK423" i="9" s="1"/>
  <c r="BJ558" i="9"/>
  <c r="BK558" i="9" s="1"/>
  <c r="BJ305" i="9"/>
  <c r="BK305" i="9" s="1"/>
  <c r="BJ549" i="9"/>
  <c r="BK549" i="9" s="1"/>
  <c r="BJ324" i="9"/>
  <c r="BK324" i="9" s="1"/>
  <c r="BJ388" i="9"/>
  <c r="BK388" i="9" s="1"/>
  <c r="BJ387" i="9"/>
  <c r="BK387" i="9" s="1"/>
  <c r="BJ271" i="9"/>
  <c r="BK271" i="9" s="1"/>
  <c r="BJ134" i="9"/>
  <c r="BJ360" i="9"/>
  <c r="BK360" i="9" s="1"/>
  <c r="BJ333" i="9"/>
  <c r="BK333" i="9" s="1"/>
  <c r="BJ122" i="9"/>
  <c r="BJ542" i="9"/>
  <c r="BK542" i="9" s="1"/>
  <c r="BJ541" i="9"/>
  <c r="BK541" i="9" s="1"/>
  <c r="BJ358" i="9"/>
  <c r="BK358" i="9" s="1"/>
  <c r="BJ246" i="9"/>
  <c r="BK246" i="9" s="1"/>
  <c r="BJ292" i="9"/>
  <c r="BK292" i="9" s="1"/>
  <c r="BJ124" i="9"/>
  <c r="BJ339" i="9"/>
  <c r="BK339" i="9" s="1"/>
  <c r="BJ352" i="9"/>
  <c r="BK352" i="9" s="1"/>
  <c r="BJ510" i="9"/>
  <c r="BK510" i="9" s="1"/>
  <c r="BJ164" i="9"/>
  <c r="BJ385" i="9"/>
  <c r="BK385" i="9" s="1"/>
  <c r="BJ184" i="9"/>
  <c r="BJ149" i="9"/>
  <c r="BJ131" i="9"/>
  <c r="BJ137" i="9"/>
  <c r="BJ117" i="9"/>
  <c r="BJ504" i="9"/>
  <c r="BK504" i="9" s="1"/>
  <c r="BJ438" i="9"/>
  <c r="BK438" i="9" s="1"/>
  <c r="BJ447" i="9"/>
  <c r="BK447" i="9" s="1"/>
  <c r="BJ544" i="9"/>
  <c r="BK544" i="9" s="1"/>
  <c r="BJ480" i="9"/>
  <c r="BK480" i="9" s="1"/>
  <c r="BJ431" i="9"/>
  <c r="BK431" i="9" s="1"/>
  <c r="BJ320" i="9"/>
  <c r="BK320" i="9" s="1"/>
  <c r="BJ190" i="9"/>
  <c r="BJ111" i="9"/>
  <c r="BJ454" i="9"/>
  <c r="BK454" i="9" s="1"/>
  <c r="BJ197" i="9"/>
  <c r="BJ483" i="9"/>
  <c r="BK483" i="9" s="1"/>
  <c r="BJ275" i="9"/>
  <c r="BK275" i="9" s="1"/>
  <c r="BJ486" i="9"/>
  <c r="BK486" i="9" s="1"/>
  <c r="BJ392" i="9"/>
  <c r="BK392" i="9" s="1"/>
  <c r="BJ391" i="9"/>
  <c r="BK391" i="9" s="1"/>
  <c r="BJ380" i="9"/>
  <c r="BK380" i="9" s="1"/>
  <c r="BJ87" i="9"/>
  <c r="BJ114" i="9"/>
  <c r="BJ67" i="9"/>
  <c r="BJ193" i="9"/>
  <c r="BJ47" i="9"/>
  <c r="BJ56" i="9"/>
  <c r="BJ557" i="9"/>
  <c r="BK557" i="9" s="1"/>
  <c r="BJ440" i="9"/>
  <c r="BK440" i="9" s="1"/>
  <c r="BJ442" i="9"/>
  <c r="BK442" i="9" s="1"/>
  <c r="BJ323" i="9"/>
  <c r="BK323" i="9" s="1"/>
  <c r="BJ515" i="9"/>
  <c r="BK515" i="9" s="1"/>
  <c r="BJ337" i="9"/>
  <c r="BK337" i="9" s="1"/>
  <c r="BJ525" i="9"/>
  <c r="BK525" i="9" s="1"/>
  <c r="BJ209" i="9"/>
  <c r="BJ120" i="9"/>
  <c r="BJ477" i="9"/>
  <c r="BK477" i="9" s="1"/>
  <c r="BJ321" i="9"/>
  <c r="BK321" i="9" s="1"/>
  <c r="BJ58" i="9"/>
  <c r="BJ516" i="9"/>
  <c r="BK516" i="9" s="1"/>
  <c r="BJ240" i="9"/>
  <c r="BJ402" i="9"/>
  <c r="BK402" i="9" s="1"/>
  <c r="BJ136" i="9"/>
  <c r="BJ300" i="9"/>
  <c r="BK300" i="9" s="1"/>
  <c r="BJ368" i="9"/>
  <c r="BK368" i="9" s="1"/>
  <c r="BJ329" i="9"/>
  <c r="BK329" i="9" s="1"/>
  <c r="BJ394" i="9"/>
  <c r="BK394" i="9" s="1"/>
  <c r="BJ183" i="9"/>
  <c r="BJ410" i="9"/>
  <c r="BK410" i="9" s="1"/>
  <c r="BJ278" i="9"/>
  <c r="BK278" i="9" s="1"/>
  <c r="BJ267" i="9"/>
  <c r="BK267" i="9" s="1"/>
  <c r="BJ78" i="9"/>
  <c r="BJ51" i="9"/>
  <c r="BJ249" i="9"/>
  <c r="BK249" i="9" s="1"/>
  <c r="BJ186" i="9"/>
  <c r="BJ279" i="9"/>
  <c r="BK279" i="9" s="1"/>
  <c r="BJ170" i="9"/>
  <c r="BJ397" i="9"/>
  <c r="BK397" i="9" s="1"/>
  <c r="BJ297" i="9"/>
  <c r="BK297" i="9" s="1"/>
  <c r="BJ518" i="9"/>
  <c r="BK518" i="9" s="1"/>
  <c r="BJ420" i="9"/>
  <c r="BK420" i="9" s="1"/>
  <c r="BJ443" i="9"/>
  <c r="BK443" i="9" s="1"/>
  <c r="BJ236" i="9"/>
  <c r="BJ102" i="9"/>
  <c r="BJ150" i="9"/>
  <c r="BJ53" i="9"/>
  <c r="AW6" i="9"/>
  <c r="BA6" i="9"/>
  <c r="AZ6" i="9"/>
  <c r="BC6" i="9" s="1"/>
  <c r="B40" i="8"/>
  <c r="B39" i="8"/>
  <c r="A40" i="8"/>
  <c r="BK10" i="9"/>
  <c r="BI11" i="9"/>
  <c r="AR80" i="9" l="1"/>
  <c r="AR88" i="9"/>
  <c r="AX85" i="9"/>
  <c r="AR87" i="9"/>
  <c r="AX86" i="9"/>
  <c r="AX89" i="9"/>
  <c r="AR81" i="9"/>
  <c r="AX79" i="9"/>
  <c r="X13" i="9"/>
  <c r="AX78" i="9"/>
  <c r="AR78" i="9"/>
  <c r="AR83" i="9"/>
  <c r="AR79" i="9"/>
  <c r="AR86" i="9"/>
  <c r="AR84" i="9"/>
  <c r="AX84" i="9"/>
  <c r="AX80" i="9"/>
  <c r="AR85" i="9"/>
  <c r="AX81" i="9"/>
  <c r="AX82" i="9"/>
  <c r="AX83" i="9"/>
  <c r="AX87" i="9"/>
  <c r="AR82" i="9"/>
  <c r="AX88" i="9"/>
  <c r="AR89" i="9"/>
  <c r="J40" i="8"/>
  <c r="BK11" i="9"/>
  <c r="BI12" i="9"/>
  <c r="B41" i="8"/>
  <c r="C40" i="8"/>
  <c r="BB6" i="9"/>
  <c r="BF6" i="9"/>
  <c r="A41" i="8"/>
  <c r="AR94" i="9" l="1"/>
  <c r="AX101" i="9"/>
  <c r="AX96" i="9"/>
  <c r="AX97" i="9"/>
  <c r="AR92" i="9"/>
  <c r="AR98" i="9"/>
  <c r="AR96" i="9"/>
  <c r="AR97" i="9"/>
  <c r="AR99" i="9"/>
  <c r="AX92" i="9"/>
  <c r="AX90" i="9"/>
  <c r="AX94" i="9"/>
  <c r="AX93" i="9"/>
  <c r="AX100" i="9"/>
  <c r="AR90" i="9"/>
  <c r="AR100" i="9"/>
  <c r="AX98" i="9"/>
  <c r="AX91" i="9"/>
  <c r="AR101" i="9"/>
  <c r="AX99" i="9"/>
  <c r="AR93" i="9"/>
  <c r="X14" i="9"/>
  <c r="AR91" i="9"/>
  <c r="AR95" i="9"/>
  <c r="AX95" i="9"/>
  <c r="BK12" i="9"/>
  <c r="BI13" i="9"/>
  <c r="BD6" i="9"/>
  <c r="B42" i="8"/>
  <c r="C41" i="8"/>
  <c r="A42" i="8"/>
  <c r="J41" i="8"/>
  <c r="AR110" i="9" l="1"/>
  <c r="AR105" i="9"/>
  <c r="AX102" i="9"/>
  <c r="AR113" i="9"/>
  <c r="AX113" i="9"/>
  <c r="AR111" i="9"/>
  <c r="AR107" i="9"/>
  <c r="AR106" i="9"/>
  <c r="AR112" i="9"/>
  <c r="AR109" i="9"/>
  <c r="AR102" i="9"/>
  <c r="X15" i="9"/>
  <c r="AX111" i="9"/>
  <c r="AX108" i="9"/>
  <c r="AR104" i="9"/>
  <c r="AX104" i="9"/>
  <c r="AR103" i="9"/>
  <c r="AX109" i="9"/>
  <c r="AX112" i="9"/>
  <c r="AX103" i="9"/>
  <c r="AX107" i="9"/>
  <c r="AX106" i="9"/>
  <c r="AX105" i="9"/>
  <c r="AR108" i="9"/>
  <c r="AX110" i="9"/>
  <c r="J42" i="8"/>
  <c r="B43" i="8"/>
  <c r="C42" i="8"/>
  <c r="A43" i="8"/>
  <c r="BI14" i="9"/>
  <c r="BK13" i="9"/>
  <c r="AU6" i="9"/>
  <c r="BG6" i="9"/>
  <c r="BE6" i="9"/>
  <c r="J43" i="8" l="1"/>
  <c r="AR121" i="9"/>
  <c r="AR118" i="9"/>
  <c r="AX114" i="9"/>
  <c r="AX124" i="9"/>
  <c r="AX119" i="9"/>
  <c r="AR114" i="9"/>
  <c r="AR124" i="9"/>
  <c r="AR115" i="9"/>
  <c r="AX125" i="9"/>
  <c r="AX123" i="9"/>
  <c r="AX117" i="9"/>
  <c r="AX122" i="9"/>
  <c r="X16" i="9"/>
  <c r="AR120" i="9"/>
  <c r="AX118" i="9"/>
  <c r="AR123" i="9"/>
  <c r="AX115" i="9"/>
  <c r="AX121" i="9"/>
  <c r="AR117" i="9"/>
  <c r="AR125" i="9"/>
  <c r="AR122" i="9"/>
  <c r="AR116" i="9"/>
  <c r="AR119" i="9"/>
  <c r="AX116" i="9"/>
  <c r="AX120" i="9"/>
  <c r="A44" i="8"/>
  <c r="AZ7" i="9"/>
  <c r="BC7" i="9" s="1"/>
  <c r="BK14" i="9"/>
  <c r="BI15" i="9"/>
  <c r="B44" i="8"/>
  <c r="C43" i="8"/>
  <c r="BA5" i="9"/>
  <c r="AV6" i="9"/>
  <c r="J44" i="8" l="1"/>
  <c r="C44" i="8"/>
  <c r="AR131" i="9"/>
  <c r="AR126" i="9"/>
  <c r="AR127" i="9"/>
  <c r="AX135" i="9"/>
  <c r="AX131" i="9"/>
  <c r="AX129" i="9"/>
  <c r="AR132" i="9"/>
  <c r="AR136" i="9"/>
  <c r="AX126" i="9"/>
  <c r="AR128" i="9"/>
  <c r="AR134" i="9"/>
  <c r="AR135" i="9"/>
  <c r="AX134" i="9"/>
  <c r="AX133" i="9"/>
  <c r="AX130" i="9"/>
  <c r="AR133" i="9"/>
  <c r="AR137" i="9"/>
  <c r="X17" i="9"/>
  <c r="AR130" i="9"/>
  <c r="AX127" i="9"/>
  <c r="AX137" i="9"/>
  <c r="AX136" i="9"/>
  <c r="AR129" i="9"/>
  <c r="AX132" i="9"/>
  <c r="AX128" i="9"/>
  <c r="A45" i="8"/>
  <c r="A46" i="8" s="1"/>
  <c r="B45" i="8"/>
  <c r="AS7" i="9"/>
  <c r="AT7" i="9" s="1"/>
  <c r="BK15" i="9"/>
  <c r="BI16" i="9"/>
  <c r="BF7" i="9"/>
  <c r="BB7" i="9"/>
  <c r="C45" i="8" l="1"/>
  <c r="C46" i="8" s="1"/>
  <c r="X18" i="9"/>
  <c r="AR141" i="9"/>
  <c r="AX140" i="9"/>
  <c r="AX143" i="9"/>
  <c r="AX144" i="9"/>
  <c r="AX142" i="9"/>
  <c r="AR139" i="9"/>
  <c r="AR140" i="9"/>
  <c r="AR143" i="9"/>
  <c r="AX138" i="9"/>
  <c r="AR142" i="9"/>
  <c r="AX141" i="9"/>
  <c r="AX147" i="9"/>
  <c r="AR148" i="9"/>
  <c r="AR149" i="9"/>
  <c r="AR146" i="9"/>
  <c r="AX146" i="9"/>
  <c r="AX139" i="9"/>
  <c r="AR144" i="9"/>
  <c r="AR147" i="9"/>
  <c r="AR145" i="9"/>
  <c r="AX148" i="9"/>
  <c r="AR138" i="9"/>
  <c r="AX149" i="9"/>
  <c r="AX145" i="9"/>
  <c r="J45" i="8"/>
  <c r="J46" i="8" s="1"/>
  <c r="B46" i="8"/>
  <c r="B47" i="8"/>
  <c r="A47" i="8"/>
  <c r="AW7" i="9"/>
  <c r="BA7" i="9"/>
  <c r="BK16" i="9"/>
  <c r="BI17" i="9"/>
  <c r="AR161" i="9" l="1"/>
  <c r="AR159" i="9"/>
  <c r="AX156" i="9"/>
  <c r="AR152" i="9"/>
  <c r="AX152" i="9"/>
  <c r="AX157" i="9"/>
  <c r="AR155" i="9"/>
  <c r="AX160" i="9"/>
  <c r="AX154" i="9"/>
  <c r="AR158" i="9"/>
  <c r="AR150" i="9"/>
  <c r="AX151" i="9"/>
  <c r="AR160" i="9"/>
  <c r="AR151" i="9"/>
  <c r="AX158" i="9"/>
  <c r="AR153" i="9"/>
  <c r="AR157" i="9"/>
  <c r="AX155" i="9"/>
  <c r="AX150" i="9"/>
  <c r="X19" i="9"/>
  <c r="AR154" i="9"/>
  <c r="AX153" i="9"/>
  <c r="AX159" i="9"/>
  <c r="AR156" i="9"/>
  <c r="AX161" i="9"/>
  <c r="J47" i="8"/>
  <c r="BI18" i="9"/>
  <c r="BK17" i="9"/>
  <c r="B48" i="8"/>
  <c r="C47" i="8"/>
  <c r="A48" i="8"/>
  <c r="BD7" i="9"/>
  <c r="AR171" i="9" l="1"/>
  <c r="AR163" i="9"/>
  <c r="AR165" i="9"/>
  <c r="AX171" i="9"/>
  <c r="AX168" i="9"/>
  <c r="AX162" i="9"/>
  <c r="AR168" i="9"/>
  <c r="AR172" i="9"/>
  <c r="AR164" i="9"/>
  <c r="AX163" i="9"/>
  <c r="AX164" i="9"/>
  <c r="AR166" i="9"/>
  <c r="AX172" i="9"/>
  <c r="X20" i="9"/>
  <c r="AR169" i="9"/>
  <c r="AX165" i="9"/>
  <c r="AX170" i="9"/>
  <c r="AR167" i="9"/>
  <c r="AX173" i="9"/>
  <c r="AR170" i="9"/>
  <c r="AR173" i="9"/>
  <c r="AR162" i="9"/>
  <c r="AX166" i="9"/>
  <c r="AX169" i="9"/>
  <c r="AX167" i="9"/>
  <c r="AU7" i="9"/>
  <c r="AV7" i="9" s="1"/>
  <c r="BG7" i="9"/>
  <c r="BK18" i="9"/>
  <c r="BI19" i="9"/>
  <c r="BE7" i="9"/>
  <c r="B49" i="8"/>
  <c r="C48" i="8"/>
  <c r="A49" i="8"/>
  <c r="J48" i="8"/>
  <c r="AR176" i="9" l="1"/>
  <c r="AR178" i="9"/>
  <c r="AX181" i="9"/>
  <c r="AX177" i="9"/>
  <c r="AX178" i="9"/>
  <c r="AX175" i="9"/>
  <c r="AR184" i="9"/>
  <c r="AR177" i="9"/>
  <c r="AX180" i="9"/>
  <c r="AX184" i="9"/>
  <c r="AR179" i="9"/>
  <c r="AX182" i="9"/>
  <c r="AR182" i="9"/>
  <c r="AR175" i="9"/>
  <c r="AX179" i="9"/>
  <c r="AR181" i="9"/>
  <c r="AX176" i="9"/>
  <c r="AX174" i="9"/>
  <c r="AR183" i="9"/>
  <c r="X21" i="9"/>
  <c r="AR185" i="9"/>
  <c r="AR174" i="9"/>
  <c r="AX185" i="9"/>
  <c r="AR180" i="9"/>
  <c r="AX183" i="9"/>
  <c r="J49" i="8"/>
  <c r="AZ8" i="9"/>
  <c r="BC8" i="9" s="1"/>
  <c r="AS8" i="9"/>
  <c r="AT8" i="9" s="1"/>
  <c r="B50" i="8"/>
  <c r="C49" i="8"/>
  <c r="A50" i="8"/>
  <c r="BK19" i="9"/>
  <c r="BI20" i="9"/>
  <c r="AR186" i="9" l="1"/>
  <c r="X22" i="9"/>
  <c r="AX191" i="9"/>
  <c r="AR197" i="9"/>
  <c r="AX195" i="9"/>
  <c r="AX193" i="9"/>
  <c r="AX197" i="9"/>
  <c r="AR193" i="9"/>
  <c r="AR194" i="9"/>
  <c r="AR190" i="9"/>
  <c r="AX194" i="9"/>
  <c r="AX186" i="9"/>
  <c r="AX189" i="9"/>
  <c r="AX188" i="9"/>
  <c r="AR191" i="9"/>
  <c r="AR189" i="9"/>
  <c r="AX187" i="9"/>
  <c r="AR195" i="9"/>
  <c r="AX196" i="9"/>
  <c r="AR192" i="9"/>
  <c r="AR188" i="9"/>
  <c r="AR196" i="9"/>
  <c r="AX190" i="9"/>
  <c r="AR187" i="9"/>
  <c r="AX192" i="9"/>
  <c r="BF8" i="9"/>
  <c r="BB8" i="9"/>
  <c r="BA8" i="9"/>
  <c r="AW8" i="9"/>
  <c r="B51" i="8"/>
  <c r="C50" i="8"/>
  <c r="A51" i="8"/>
  <c r="BK20" i="9"/>
  <c r="BI21" i="9"/>
  <c r="J50" i="8"/>
  <c r="AR202" i="9" l="1"/>
  <c r="AR208" i="9"/>
  <c r="AX198" i="9"/>
  <c r="AX202" i="9"/>
  <c r="AX199" i="9"/>
  <c r="AX205" i="9"/>
  <c r="AR201" i="9"/>
  <c r="AR205" i="9"/>
  <c r="AR209" i="9"/>
  <c r="AR207" i="9"/>
  <c r="AR204" i="9"/>
  <c r="AR203" i="9"/>
  <c r="AX204" i="9"/>
  <c r="AX209" i="9"/>
  <c r="AR206" i="9"/>
  <c r="AR199" i="9"/>
  <c r="AR200" i="9"/>
  <c r="AX201" i="9"/>
  <c r="AX207" i="9"/>
  <c r="AR198" i="9"/>
  <c r="AX203" i="9"/>
  <c r="X23" i="9"/>
  <c r="AX208" i="9"/>
  <c r="AX206" i="9"/>
  <c r="AX200" i="9"/>
  <c r="J51" i="8"/>
  <c r="BD8" i="9"/>
  <c r="BK21" i="9"/>
  <c r="BI22" i="9"/>
  <c r="C51" i="8"/>
  <c r="A52" i="8"/>
  <c r="AR216" i="9" l="1"/>
  <c r="AR217" i="9"/>
  <c r="AX219" i="9"/>
  <c r="AX221" i="9"/>
  <c r="AX215" i="9"/>
  <c r="AX212" i="9"/>
  <c r="AR214" i="9"/>
  <c r="X24" i="9"/>
  <c r="AX217" i="9"/>
  <c r="AX214" i="9"/>
  <c r="AX213" i="9"/>
  <c r="AR215" i="9"/>
  <c r="AR212" i="9"/>
  <c r="AR220" i="9"/>
  <c r="AR218" i="9"/>
  <c r="AX216" i="9"/>
  <c r="AX211" i="9"/>
  <c r="AX210" i="9"/>
  <c r="AR219" i="9"/>
  <c r="AR213" i="9"/>
  <c r="AR221" i="9"/>
  <c r="AR210" i="9"/>
  <c r="AR211" i="9"/>
  <c r="AX218" i="9"/>
  <c r="AX220" i="9"/>
  <c r="J52" i="8"/>
  <c r="AU8" i="9"/>
  <c r="AV8" i="9" s="1"/>
  <c r="BG8" i="9"/>
  <c r="C52" i="8"/>
  <c r="A53" i="8"/>
  <c r="BK22" i="9"/>
  <c r="BI23" i="9"/>
  <c r="BE8" i="9"/>
  <c r="AR224" i="9" l="1"/>
  <c r="AR227" i="9"/>
  <c r="AR232" i="9"/>
  <c r="AX225" i="9"/>
  <c r="AX233" i="9"/>
  <c r="AR230" i="9"/>
  <c r="AR233" i="9"/>
  <c r="AX232" i="9"/>
  <c r="AX227" i="9"/>
  <c r="AX224" i="9"/>
  <c r="X25" i="9"/>
  <c r="AX231" i="9"/>
  <c r="AX229" i="9"/>
  <c r="AX230" i="9"/>
  <c r="AR228" i="9"/>
  <c r="AR229" i="9"/>
  <c r="AR222" i="9"/>
  <c r="AX223" i="9"/>
  <c r="AX228" i="9"/>
  <c r="AX226" i="9"/>
  <c r="AR225" i="9"/>
  <c r="AR226" i="9"/>
  <c r="AR223" i="9"/>
  <c r="AR231" i="9"/>
  <c r="AX222" i="9"/>
  <c r="AS9" i="9"/>
  <c r="AT9" i="9" s="1"/>
  <c r="C53" i="8"/>
  <c r="A54" i="8"/>
  <c r="AZ9" i="9"/>
  <c r="BC9" i="9" s="1"/>
  <c r="BK23" i="9"/>
  <c r="BI24" i="9"/>
  <c r="J53" i="8"/>
  <c r="J54" i="8" s="1"/>
  <c r="AR237" i="9" l="1"/>
  <c r="AR239" i="9"/>
  <c r="AX234" i="9"/>
  <c r="AX239" i="9"/>
  <c r="AX243" i="9"/>
  <c r="AX237" i="9"/>
  <c r="AR238" i="9"/>
  <c r="AR235" i="9"/>
  <c r="AR240" i="9"/>
  <c r="AX244" i="9"/>
  <c r="AR244" i="9"/>
  <c r="AR243" i="9"/>
  <c r="AX241" i="9"/>
  <c r="AX245" i="9"/>
  <c r="AR236" i="9"/>
  <c r="AX238" i="9"/>
  <c r="AR242" i="9"/>
  <c r="AR241" i="9"/>
  <c r="AR245" i="9"/>
  <c r="AX242" i="9"/>
  <c r="AX235" i="9"/>
  <c r="AR234" i="9"/>
  <c r="AX236" i="9"/>
  <c r="AX240" i="9"/>
  <c r="BF9" i="9"/>
  <c r="BB9" i="9"/>
  <c r="BK24" i="9"/>
  <c r="BI25" i="9"/>
  <c r="C54" i="8"/>
  <c r="A55" i="8"/>
  <c r="BA9" i="9"/>
  <c r="AW9" i="9"/>
  <c r="BD9" i="9" l="1"/>
  <c r="BE9" i="9" s="1"/>
  <c r="C55" i="8"/>
  <c r="A56" i="8"/>
  <c r="BK25" i="9"/>
  <c r="BI26" i="9"/>
  <c r="J55" i="8"/>
  <c r="J56" i="8" l="1"/>
  <c r="BK26" i="9"/>
  <c r="BI27" i="9"/>
  <c r="C56" i="8"/>
  <c r="A57" i="8"/>
  <c r="AU9" i="9"/>
  <c r="AV9" i="9" s="1"/>
  <c r="BG9" i="9"/>
  <c r="AZ10" i="9"/>
  <c r="BC10" i="9" s="1"/>
  <c r="J57" i="8" l="1"/>
  <c r="BF10" i="9"/>
  <c r="BB10" i="9"/>
  <c r="AS10" i="9"/>
  <c r="AT10" i="9" s="1"/>
  <c r="C57" i="8"/>
  <c r="A58" i="8"/>
  <c r="BK27" i="9"/>
  <c r="BI28" i="9"/>
  <c r="AW10" i="9" l="1"/>
  <c r="BA10" i="9"/>
  <c r="BD10" i="9" s="1"/>
  <c r="BK28" i="9"/>
  <c r="BI29" i="9"/>
  <c r="C58" i="8"/>
  <c r="A59" i="8"/>
  <c r="J58" i="8"/>
  <c r="J59" i="8" s="1"/>
  <c r="BE10" i="9" l="1"/>
  <c r="C59" i="8"/>
  <c r="A60" i="8"/>
  <c r="BI30" i="9"/>
  <c r="BK29" i="9"/>
  <c r="AU10" i="9"/>
  <c r="AV10" i="9" s="1"/>
  <c r="BG10" i="9"/>
  <c r="C60" i="8" l="1"/>
  <c r="A61" i="8"/>
  <c r="AZ11" i="9"/>
  <c r="BC11" i="9" s="1"/>
  <c r="BK30" i="9"/>
  <c r="BI31" i="9"/>
  <c r="AS11" i="9"/>
  <c r="AT11" i="9" s="1"/>
  <c r="J60" i="8"/>
  <c r="J61" i="8" l="1"/>
  <c r="AW11" i="9"/>
  <c r="BA11" i="9"/>
  <c r="BK31" i="9"/>
  <c r="BI32" i="9"/>
  <c r="C61" i="8"/>
  <c r="A62" i="8"/>
  <c r="BF11" i="9"/>
  <c r="BB11" i="9"/>
  <c r="J62" i="8" l="1"/>
  <c r="BD11" i="9"/>
  <c r="C62" i="8"/>
  <c r="A63" i="8"/>
  <c r="BI33" i="9"/>
  <c r="BK32" i="9"/>
  <c r="C63" i="8" l="1"/>
  <c r="A64" i="8"/>
  <c r="AU11" i="9"/>
  <c r="AV11" i="9" s="1"/>
  <c r="BG11" i="9"/>
  <c r="J63" i="8"/>
  <c r="J64" i="8" s="1"/>
  <c r="BK33" i="9"/>
  <c r="BI34" i="9"/>
  <c r="BE11" i="9"/>
  <c r="C64" i="8" l="1"/>
  <c r="A65" i="8"/>
  <c r="AZ12" i="9"/>
  <c r="BC12" i="9" s="1"/>
  <c r="BK34" i="9"/>
  <c r="BI35" i="9"/>
  <c r="AS12" i="9"/>
  <c r="AT12" i="9" s="1"/>
  <c r="BA12" i="9" l="1"/>
  <c r="AW12" i="9"/>
  <c r="BB12" i="9"/>
  <c r="BF12" i="9"/>
  <c r="BK35" i="9"/>
  <c r="BI36" i="9"/>
  <c r="C65" i="8"/>
  <c r="A66" i="8"/>
  <c r="J65" i="8"/>
  <c r="J66" i="8" s="1"/>
  <c r="BD12" i="9" l="1"/>
  <c r="BE12" i="9" s="1"/>
  <c r="C66" i="8"/>
  <c r="A67" i="8"/>
  <c r="BI37" i="9"/>
  <c r="BK36" i="9"/>
  <c r="BG12" i="9" l="1"/>
  <c r="AU12" i="9"/>
  <c r="AV12" i="9" s="1"/>
  <c r="AS13" i="9" s="1"/>
  <c r="AT13" i="9" s="1"/>
  <c r="BK37" i="9"/>
  <c r="BI38" i="9"/>
  <c r="C67" i="8"/>
  <c r="A68" i="8"/>
  <c r="J67" i="8"/>
  <c r="J68" i="8" s="1"/>
  <c r="AZ13" i="9"/>
  <c r="BC13" i="9" s="1"/>
  <c r="BB13" i="9" l="1"/>
  <c r="BF13" i="9"/>
  <c r="BA13" i="9"/>
  <c r="AW13" i="9"/>
  <c r="C68" i="8"/>
  <c r="A69" i="8"/>
  <c r="BK38" i="9"/>
  <c r="BI39" i="9"/>
  <c r="BK39" i="9" l="1"/>
  <c r="BI40" i="9"/>
  <c r="C69" i="8"/>
  <c r="A70" i="8"/>
  <c r="J69" i="8"/>
  <c r="J70" i="8" s="1"/>
  <c r="BD13" i="9"/>
  <c r="C70" i="8" l="1"/>
  <c r="A71" i="8"/>
  <c r="BK40" i="9"/>
  <c r="BI41" i="9"/>
  <c r="AU13" i="9"/>
  <c r="AV13" i="9" s="1"/>
  <c r="BG13" i="9"/>
  <c r="BE13" i="9"/>
  <c r="AS14" i="9" l="1"/>
  <c r="AT14" i="9" s="1"/>
  <c r="BK41" i="9"/>
  <c r="BI42" i="9"/>
  <c r="AZ14" i="9"/>
  <c r="BC14" i="9" s="1"/>
  <c r="C71" i="8"/>
  <c r="A72" i="8"/>
  <c r="J71" i="8"/>
  <c r="J72" i="8" s="1"/>
  <c r="BF14" i="9" l="1"/>
  <c r="BB14" i="9"/>
  <c r="AW14" i="9"/>
  <c r="BA14" i="9"/>
  <c r="BK42" i="9"/>
  <c r="BI43" i="9"/>
  <c r="C72" i="8"/>
  <c r="A73" i="8"/>
  <c r="J73" i="8" s="1"/>
  <c r="BD14" i="9" l="1"/>
  <c r="BE14" i="9" s="1"/>
  <c r="C73" i="8"/>
  <c r="A74" i="8"/>
  <c r="BK43" i="9"/>
  <c r="BI44" i="9"/>
  <c r="BG14" i="9" l="1"/>
  <c r="AU14" i="9"/>
  <c r="AV14" i="9" s="1"/>
  <c r="AS15" i="9" s="1"/>
  <c r="AT15" i="9" s="1"/>
  <c r="C74" i="8"/>
  <c r="A75" i="8"/>
  <c r="AZ15" i="9"/>
  <c r="BC15" i="9" s="1"/>
  <c r="BK44" i="9"/>
  <c r="BI45" i="9"/>
  <c r="J74" i="8"/>
  <c r="J75" i="8" s="1"/>
  <c r="BF15" i="9" l="1"/>
  <c r="BB15" i="9"/>
  <c r="BK45" i="9"/>
  <c r="BI46" i="9"/>
  <c r="C75" i="8"/>
  <c r="A76" i="8"/>
  <c r="AW15" i="9"/>
  <c r="BA15" i="9"/>
  <c r="BD15" i="9" l="1"/>
  <c r="AU15" i="9" s="1"/>
  <c r="AV15" i="9" s="1"/>
  <c r="C76" i="8"/>
  <c r="A77" i="8"/>
  <c r="BK46" i="9"/>
  <c r="BI47" i="9"/>
  <c r="J76" i="8"/>
  <c r="J77" i="8" s="1"/>
  <c r="BE15" i="9" l="1"/>
  <c r="AZ16" i="9" s="1"/>
  <c r="BC16" i="9" s="1"/>
  <c r="BG15" i="9"/>
  <c r="BK47" i="9"/>
  <c r="BI48" i="9"/>
  <c r="C77" i="8"/>
  <c r="A78" i="8"/>
  <c r="AS16" i="9"/>
  <c r="AT16" i="9" s="1"/>
  <c r="BF16" i="9" l="1"/>
  <c r="BB16" i="9"/>
  <c r="BA16" i="9"/>
  <c r="AW16" i="9"/>
  <c r="BK48" i="9"/>
  <c r="BI49" i="9"/>
  <c r="C78" i="8"/>
  <c r="A79" i="8"/>
  <c r="J78" i="8"/>
  <c r="J79" i="8" s="1"/>
  <c r="J80" i="8" s="1"/>
  <c r="BD16" i="9" l="1"/>
  <c r="BE16" i="9" s="1"/>
  <c r="C79" i="8"/>
  <c r="BI50" i="9"/>
  <c r="BK49" i="9"/>
  <c r="BK50" i="9" l="1"/>
  <c r="BI51" i="9"/>
  <c r="AU16" i="9"/>
  <c r="AV16" i="9" s="1"/>
  <c r="BG16" i="9"/>
  <c r="AZ17" i="9"/>
  <c r="BC17" i="9" s="1"/>
  <c r="BF17" i="9" l="1"/>
  <c r="BB17" i="9"/>
  <c r="AS17" i="9"/>
  <c r="AT17" i="9" s="1"/>
  <c r="BK51" i="9"/>
  <c r="BI52" i="9"/>
  <c r="BA17" i="9" l="1"/>
  <c r="AW17" i="9"/>
  <c r="BI53" i="9"/>
  <c r="BK52" i="9"/>
  <c r="BD17" i="9" l="1"/>
  <c r="BE17" i="9" s="1"/>
  <c r="BI54" i="9"/>
  <c r="BK53" i="9"/>
  <c r="AZ18" i="9" l="1"/>
  <c r="BC18" i="9" s="1"/>
  <c r="E33" i="8"/>
  <c r="BK54" i="9"/>
  <c r="BI55" i="9"/>
  <c r="AU17" i="9"/>
  <c r="AV17" i="9" s="1"/>
  <c r="BG17" i="9"/>
  <c r="BF18" i="9" l="1"/>
  <c r="BB18" i="9"/>
  <c r="AS18" i="9"/>
  <c r="AT18" i="9" s="1"/>
  <c r="D33" i="8"/>
  <c r="BK55" i="9"/>
  <c r="BI56" i="9"/>
  <c r="AW18" i="9" l="1"/>
  <c r="BA18" i="9"/>
  <c r="H33" i="8"/>
  <c r="G33" i="8"/>
  <c r="BK56" i="9"/>
  <c r="BI57" i="9"/>
  <c r="BD18" i="9" l="1"/>
  <c r="BK57" i="9"/>
  <c r="BI58" i="9"/>
  <c r="AU18" i="9" l="1"/>
  <c r="AV18" i="9" s="1"/>
  <c r="BG18" i="9"/>
  <c r="BK58" i="9"/>
  <c r="BI59" i="9"/>
  <c r="BE18" i="9"/>
  <c r="AZ19" i="9" l="1"/>
  <c r="BC19" i="9" s="1"/>
  <c r="AS19" i="9"/>
  <c r="AT19" i="9" s="1"/>
  <c r="BK59" i="9"/>
  <c r="BI60" i="9"/>
  <c r="BF19" i="9" l="1"/>
  <c r="BB19" i="9"/>
  <c r="AW19" i="9"/>
  <c r="BA19" i="9"/>
  <c r="BI61" i="9"/>
  <c r="BK60" i="9"/>
  <c r="BD19" i="9" l="1"/>
  <c r="AU19" i="9" s="1"/>
  <c r="AV19" i="9" s="1"/>
  <c r="BK61" i="9"/>
  <c r="BI62" i="9"/>
  <c r="BG19" i="9" l="1"/>
  <c r="BE19" i="9"/>
  <c r="AZ20" i="9" s="1"/>
  <c r="BC20" i="9" s="1"/>
  <c r="BK62" i="9"/>
  <c r="BI63" i="9"/>
  <c r="AS20" i="9"/>
  <c r="AT20" i="9" s="1"/>
  <c r="BF20" i="9" l="1"/>
  <c r="BB20" i="9"/>
  <c r="BA20" i="9"/>
  <c r="AW20" i="9"/>
  <c r="BK63" i="9"/>
  <c r="BI64" i="9"/>
  <c r="BD20" i="9" l="1"/>
  <c r="BE20" i="9" s="1"/>
  <c r="BK64" i="9"/>
  <c r="BI65" i="9"/>
  <c r="BG20" i="9" l="1"/>
  <c r="AU20" i="9"/>
  <c r="AV20" i="9" s="1"/>
  <c r="AS21" i="9" s="1"/>
  <c r="AT21" i="9" s="1"/>
  <c r="BK65" i="9"/>
  <c r="BI66" i="9"/>
  <c r="AZ21" i="9"/>
  <c r="BC21" i="9" s="1"/>
  <c r="BF21" i="9" l="1"/>
  <c r="BB21" i="9"/>
  <c r="BA21" i="9"/>
  <c r="AW21" i="9"/>
  <c r="BK66" i="9"/>
  <c r="BI67" i="9"/>
  <c r="BD21" i="9" l="1"/>
  <c r="AU21" i="9" s="1"/>
  <c r="AV21" i="9" s="1"/>
  <c r="BK67" i="9"/>
  <c r="BI68" i="9"/>
  <c r="BE21" i="9" l="1"/>
  <c r="AZ22" i="9" s="1"/>
  <c r="BC22" i="9" s="1"/>
  <c r="BG21" i="9"/>
  <c r="AS22" i="9"/>
  <c r="AT22" i="9" s="1"/>
  <c r="BK68" i="9"/>
  <c r="BI69" i="9"/>
  <c r="BF22" i="9" l="1"/>
  <c r="BB22" i="9"/>
  <c r="AW22" i="9"/>
  <c r="BA22" i="9"/>
  <c r="BI70" i="9"/>
  <c r="BK69" i="9"/>
  <c r="BD22" i="9" l="1"/>
  <c r="AU22" i="9" s="1"/>
  <c r="AV22" i="9" s="1"/>
  <c r="BK70" i="9"/>
  <c r="BI71" i="9"/>
  <c r="BG22" i="9" l="1"/>
  <c r="BE22" i="9"/>
  <c r="AZ23" i="9" s="1"/>
  <c r="BC23" i="9" s="1"/>
  <c r="AS23" i="9"/>
  <c r="AT23" i="9" s="1"/>
  <c r="BK71" i="9"/>
  <c r="BI72" i="9"/>
  <c r="BA23" i="9" l="1"/>
  <c r="AW23" i="9"/>
  <c r="BF23" i="9"/>
  <c r="BB23" i="9"/>
  <c r="BK72" i="9"/>
  <c r="BI73" i="9"/>
  <c r="BD23" i="9" l="1"/>
  <c r="BE23" i="9" s="1"/>
  <c r="BK73" i="9"/>
  <c r="BI74" i="9"/>
  <c r="BG23" i="9" l="1"/>
  <c r="AU23" i="9"/>
  <c r="AV23" i="9" s="1"/>
  <c r="AS24" i="9" s="1"/>
  <c r="AT24" i="9" s="1"/>
  <c r="BK74" i="9"/>
  <c r="BI75" i="9"/>
  <c r="AZ24" i="9"/>
  <c r="BC24" i="9" s="1"/>
  <c r="BF24" i="9" l="1"/>
  <c r="BB24" i="9"/>
  <c r="AW24" i="9"/>
  <c r="BA24" i="9"/>
  <c r="BK75" i="9"/>
  <c r="BI76" i="9"/>
  <c r="BD24" i="9" l="1"/>
  <c r="BE24" i="9" s="1"/>
  <c r="BK76" i="9"/>
  <c r="BI77" i="9"/>
  <c r="BG24" i="9" l="1"/>
  <c r="AU24" i="9"/>
  <c r="AV24" i="9" s="1"/>
  <c r="AS25" i="9" s="1"/>
  <c r="AT25" i="9" s="1"/>
  <c r="AZ25" i="9"/>
  <c r="BC25" i="9" s="1"/>
  <c r="BK77" i="9"/>
  <c r="BI78" i="9"/>
  <c r="BB25" i="9" l="1"/>
  <c r="BF25" i="9"/>
  <c r="BA25" i="9"/>
  <c r="AW25" i="9"/>
  <c r="BK78" i="9"/>
  <c r="BI79" i="9"/>
  <c r="BD25" i="9" l="1"/>
  <c r="AU25" i="9" s="1"/>
  <c r="AV25" i="9" s="1"/>
  <c r="BK79" i="9"/>
  <c r="BI80" i="9"/>
  <c r="BG25" i="9" l="1"/>
  <c r="BE25" i="9"/>
  <c r="AZ26" i="9" s="1"/>
  <c r="BC26" i="9" s="1"/>
  <c r="BB26" i="9" s="1"/>
  <c r="AS26" i="9"/>
  <c r="AT26" i="9" s="1"/>
  <c r="BK80" i="9"/>
  <c r="BI81" i="9"/>
  <c r="BF26" i="9" l="1"/>
  <c r="AW26" i="9"/>
  <c r="BA26" i="9"/>
  <c r="BI82" i="9"/>
  <c r="BK81" i="9"/>
  <c r="BD26" i="9" l="1"/>
  <c r="BG26" i="9" s="1"/>
  <c r="BK82" i="9"/>
  <c r="BI83" i="9"/>
  <c r="AU26" i="9" l="1"/>
  <c r="AV26" i="9" s="1"/>
  <c r="AS27" i="9" s="1"/>
  <c r="AT27" i="9" s="1"/>
  <c r="BE26" i="9"/>
  <c r="BK83" i="9"/>
  <c r="BI84" i="9"/>
  <c r="AZ27" i="9" l="1"/>
  <c r="BC27" i="9" s="1"/>
  <c r="AW27" i="9"/>
  <c r="BA27" i="9"/>
  <c r="BK84" i="9"/>
  <c r="BI85" i="9"/>
  <c r="BB27" i="9" l="1"/>
  <c r="BF27" i="9"/>
  <c r="BI86" i="9"/>
  <c r="BK85" i="9"/>
  <c r="BD27" i="9" l="1"/>
  <c r="BE27" i="9" s="1"/>
  <c r="AZ28" i="9" s="1"/>
  <c r="BC28" i="9" s="1"/>
  <c r="BK86" i="9"/>
  <c r="BI87" i="9"/>
  <c r="AU27" i="9" l="1"/>
  <c r="AV27" i="9" s="1"/>
  <c r="AS28" i="9" s="1"/>
  <c r="AT28" i="9" s="1"/>
  <c r="BG27" i="9"/>
  <c r="BB28" i="9"/>
  <c r="BF28" i="9"/>
  <c r="BK87" i="9"/>
  <c r="BI88" i="9"/>
  <c r="BA28" i="9" l="1"/>
  <c r="BD28" i="9" s="1"/>
  <c r="AW28" i="9"/>
  <c r="BI89" i="9"/>
  <c r="BK88" i="9"/>
  <c r="BE28" i="9" l="1"/>
  <c r="AZ29" i="9" s="1"/>
  <c r="BC29" i="9" s="1"/>
  <c r="AU28" i="9"/>
  <c r="AV28" i="9" s="1"/>
  <c r="BG28" i="9"/>
  <c r="BK89" i="9"/>
  <c r="BI90" i="9"/>
  <c r="BF29" i="9" l="1"/>
  <c r="BB29" i="9"/>
  <c r="AS29" i="9"/>
  <c r="AT29" i="9" s="1"/>
  <c r="BK90" i="9"/>
  <c r="BI91" i="9"/>
  <c r="AW29" i="9" l="1"/>
  <c r="BA29" i="9"/>
  <c r="BD29" i="9" s="1"/>
  <c r="BK91" i="9"/>
  <c r="BI92" i="9"/>
  <c r="AU29" i="9" l="1"/>
  <c r="AV29" i="9" s="1"/>
  <c r="BG29" i="9"/>
  <c r="BE29" i="9"/>
  <c r="BK92" i="9"/>
  <c r="BI93" i="9"/>
  <c r="BI94" i="9" l="1"/>
  <c r="BK93" i="9"/>
  <c r="AS30" i="9"/>
  <c r="AT30" i="9" s="1"/>
  <c r="D34" i="8"/>
  <c r="AZ30" i="9"/>
  <c r="BC30" i="9" s="1"/>
  <c r="E34" i="8"/>
  <c r="BF30" i="9" l="1"/>
  <c r="BB30" i="9"/>
  <c r="AW30" i="9"/>
  <c r="BA30" i="9"/>
  <c r="G34" i="8"/>
  <c r="H34" i="8"/>
  <c r="BK94" i="9"/>
  <c r="BI95" i="9"/>
  <c r="BD30" i="9" l="1"/>
  <c r="BE30" i="9" s="1"/>
  <c r="BK95" i="9"/>
  <c r="BI96" i="9"/>
  <c r="BG30" i="9" l="1"/>
  <c r="AU30" i="9"/>
  <c r="AV30" i="9" s="1"/>
  <c r="AS31" i="9" s="1"/>
  <c r="AT31" i="9" s="1"/>
  <c r="BK96" i="9"/>
  <c r="BI97" i="9"/>
  <c r="AZ31" i="9"/>
  <c r="BC31" i="9" s="1"/>
  <c r="BF31" i="9" l="1"/>
  <c r="BB31" i="9"/>
  <c r="BA31" i="9"/>
  <c r="AW31" i="9"/>
  <c r="BK97" i="9"/>
  <c r="BI98" i="9"/>
  <c r="BD31" i="9" l="1"/>
  <c r="AU31" i="9" s="1"/>
  <c r="AV31" i="9" s="1"/>
  <c r="BK98" i="9"/>
  <c r="BI99" i="9"/>
  <c r="BG31" i="9" l="1"/>
  <c r="BE31" i="9"/>
  <c r="AZ32" i="9" s="1"/>
  <c r="BC32" i="9" s="1"/>
  <c r="AS32" i="9"/>
  <c r="AT32" i="9" s="1"/>
  <c r="BK99" i="9"/>
  <c r="BI100" i="9"/>
  <c r="BB32" i="9" l="1"/>
  <c r="BF32" i="9"/>
  <c r="BA32" i="9"/>
  <c r="AW32" i="9"/>
  <c r="BI101" i="9"/>
  <c r="BK100" i="9"/>
  <c r="BK101" i="9" l="1"/>
  <c r="BI102" i="9"/>
  <c r="BD32" i="9"/>
  <c r="BE32" i="9" s="1"/>
  <c r="AZ33" i="9" l="1"/>
  <c r="BC33" i="9" s="1"/>
  <c r="AU32" i="9"/>
  <c r="AV32" i="9" s="1"/>
  <c r="BG32" i="9"/>
  <c r="BK102" i="9"/>
  <c r="BI103" i="9"/>
  <c r="BF33" i="9" l="1"/>
  <c r="BB33" i="9"/>
  <c r="AS33" i="9"/>
  <c r="AT33" i="9" s="1"/>
  <c r="BK103" i="9"/>
  <c r="BI104" i="9"/>
  <c r="AW33" i="9" l="1"/>
  <c r="BA33" i="9"/>
  <c r="BD33" i="9" s="1"/>
  <c r="BK104" i="9"/>
  <c r="BI105" i="9"/>
  <c r="AU33" i="9" l="1"/>
  <c r="AV33" i="9" s="1"/>
  <c r="BG33" i="9"/>
  <c r="BI106" i="9"/>
  <c r="BK105" i="9"/>
  <c r="BE33" i="9"/>
  <c r="AZ34" i="9" l="1"/>
  <c r="BC34" i="9" s="1"/>
  <c r="AS34" i="9"/>
  <c r="AT34" i="9" s="1"/>
  <c r="BK106" i="9"/>
  <c r="BI107" i="9"/>
  <c r="BB34" i="9" l="1"/>
  <c r="BF34" i="9"/>
  <c r="BA34" i="9"/>
  <c r="AW34" i="9"/>
  <c r="BK107" i="9"/>
  <c r="BI108" i="9"/>
  <c r="BD34" i="9" l="1"/>
  <c r="AU34" i="9" s="1"/>
  <c r="AV34" i="9" s="1"/>
  <c r="BK108" i="9"/>
  <c r="BI109" i="9"/>
  <c r="BE34" i="9" l="1"/>
  <c r="AZ35" i="9" s="1"/>
  <c r="BC35" i="9" s="1"/>
  <c r="BG34" i="9"/>
  <c r="BK109" i="9"/>
  <c r="BI110" i="9"/>
  <c r="AS35" i="9"/>
  <c r="AT35" i="9" s="1"/>
  <c r="BF35" i="9" l="1"/>
  <c r="BB35" i="9"/>
  <c r="AW35" i="9"/>
  <c r="BA35" i="9"/>
  <c r="BK110" i="9"/>
  <c r="BI111" i="9"/>
  <c r="BD35" i="9" l="1"/>
  <c r="AU35" i="9" s="1"/>
  <c r="AV35" i="9" s="1"/>
  <c r="BK111" i="9"/>
  <c r="BI112" i="9"/>
  <c r="BE35" i="9" l="1"/>
  <c r="AZ36" i="9" s="1"/>
  <c r="BC36" i="9" s="1"/>
  <c r="BG35" i="9"/>
  <c r="AS36" i="9"/>
  <c r="AT36" i="9" s="1"/>
  <c r="BK112" i="9"/>
  <c r="BI113" i="9"/>
  <c r="BA36" i="9" l="1"/>
  <c r="AW36" i="9"/>
  <c r="BF36" i="9"/>
  <c r="BB36" i="9"/>
  <c r="BK113" i="9"/>
  <c r="BI114" i="9"/>
  <c r="BD36" i="9" l="1"/>
  <c r="AU36" i="9" s="1"/>
  <c r="AV36" i="9" s="1"/>
  <c r="BK114" i="9"/>
  <c r="BI115" i="9"/>
  <c r="BE36" i="9" l="1"/>
  <c r="AZ37" i="9" s="1"/>
  <c r="BC37" i="9" s="1"/>
  <c r="BG36" i="9"/>
  <c r="BK115" i="9"/>
  <c r="BI116" i="9"/>
  <c r="AS37" i="9"/>
  <c r="AT37" i="9" s="1"/>
  <c r="BF37" i="9" l="1"/>
  <c r="BB37" i="9"/>
  <c r="BA37" i="9"/>
  <c r="AW37" i="9"/>
  <c r="BK116" i="9"/>
  <c r="BI117" i="9"/>
  <c r="BI118" i="9" l="1"/>
  <c r="BK117" i="9"/>
  <c r="BD37" i="9"/>
  <c r="BE37" i="9" s="1"/>
  <c r="AZ38" i="9" l="1"/>
  <c r="BC38" i="9" s="1"/>
  <c r="AU37" i="9"/>
  <c r="AV37" i="9" s="1"/>
  <c r="BG37" i="9"/>
  <c r="BK118" i="9"/>
  <c r="BI119" i="9"/>
  <c r="BF38" i="9" l="1"/>
  <c r="BB38" i="9"/>
  <c r="AS38" i="9"/>
  <c r="AT38" i="9" s="1"/>
  <c r="BK119" i="9"/>
  <c r="BI120" i="9"/>
  <c r="AW38" i="9" l="1"/>
  <c r="BA38" i="9"/>
  <c r="BK120" i="9"/>
  <c r="BI121" i="9"/>
  <c r="BD38" i="9" l="1"/>
  <c r="BE38" i="9" s="1"/>
  <c r="BK121" i="9"/>
  <c r="BI122" i="9"/>
  <c r="BG38" i="9" l="1"/>
  <c r="AZ39" i="9"/>
  <c r="BC39" i="9" s="1"/>
  <c r="BF39" i="9" s="1"/>
  <c r="AU38" i="9"/>
  <c r="AV38" i="9" s="1"/>
  <c r="AS39" i="9" s="1"/>
  <c r="AT39" i="9" s="1"/>
  <c r="BK122" i="9"/>
  <c r="BI123" i="9"/>
  <c r="BB39" i="9" l="1"/>
  <c r="AW39" i="9"/>
  <c r="BA39" i="9"/>
  <c r="BK123" i="9"/>
  <c r="BI124" i="9"/>
  <c r="BK124" i="9" l="1"/>
  <c r="BI125" i="9"/>
  <c r="BD39" i="9"/>
  <c r="AU39" i="9" l="1"/>
  <c r="AV39" i="9" s="1"/>
  <c r="BG39" i="9"/>
  <c r="BE39" i="9"/>
  <c r="BK125" i="9"/>
  <c r="BI126" i="9"/>
  <c r="BK126" i="9" l="1"/>
  <c r="BI127" i="9"/>
  <c r="AS40" i="9"/>
  <c r="AT40" i="9" s="1"/>
  <c r="AZ40" i="9"/>
  <c r="BC40" i="9" s="1"/>
  <c r="BF40" i="9" l="1"/>
  <c r="BB40" i="9"/>
  <c r="AW40" i="9"/>
  <c r="BA40" i="9"/>
  <c r="BK127" i="9"/>
  <c r="BI128" i="9"/>
  <c r="BD40" i="9" l="1"/>
  <c r="BE40" i="9" s="1"/>
  <c r="BK128" i="9"/>
  <c r="BI129" i="9"/>
  <c r="BG40" i="9" l="1"/>
  <c r="AU40" i="9"/>
  <c r="AV40" i="9" s="1"/>
  <c r="AS41" i="9" s="1"/>
  <c r="AT41" i="9" s="1"/>
  <c r="AZ41" i="9"/>
  <c r="BC41" i="9" s="1"/>
  <c r="BI130" i="9"/>
  <c r="BK129" i="9"/>
  <c r="BA41" i="9" l="1"/>
  <c r="AW41" i="9"/>
  <c r="BF41" i="9"/>
  <c r="BB41" i="9"/>
  <c r="BK130" i="9"/>
  <c r="BI131" i="9"/>
  <c r="BD41" i="9" l="1"/>
  <c r="BE41" i="9" s="1"/>
  <c r="BK131" i="9"/>
  <c r="BI132" i="9"/>
  <c r="BG41" i="9" l="1"/>
  <c r="AZ42" i="9"/>
  <c r="BC42" i="9" s="1"/>
  <c r="BB42" i="9" s="1"/>
  <c r="E35" i="8"/>
  <c r="AU41" i="9"/>
  <c r="AV41" i="9" s="1"/>
  <c r="AS42" i="9" s="1"/>
  <c r="AT42" i="9" s="1"/>
  <c r="BK132" i="9"/>
  <c r="BI133" i="9"/>
  <c r="BF42" i="9" l="1"/>
  <c r="D35" i="8"/>
  <c r="H35" i="8" s="1"/>
  <c r="BI134" i="9"/>
  <c r="BK133" i="9"/>
  <c r="BA42" i="9"/>
  <c r="AW42" i="9"/>
  <c r="G35" i="8" l="1"/>
  <c r="BK134" i="9"/>
  <c r="BI135" i="9"/>
  <c r="BD42" i="9"/>
  <c r="AU42" i="9" l="1"/>
  <c r="AV42" i="9" s="1"/>
  <c r="BG42" i="9"/>
  <c r="BE42" i="9"/>
  <c r="BK135" i="9"/>
  <c r="BI136" i="9"/>
  <c r="BI137" i="9" l="1"/>
  <c r="BK136" i="9"/>
  <c r="AS43" i="9"/>
  <c r="AT43" i="9" s="1"/>
  <c r="AZ43" i="9"/>
  <c r="BC43" i="9" s="1"/>
  <c r="BA43" i="9" l="1"/>
  <c r="AW43" i="9"/>
  <c r="BB43" i="9"/>
  <c r="BF43" i="9"/>
  <c r="BK137" i="9"/>
  <c r="BI138" i="9"/>
  <c r="BD43" i="9" l="1"/>
  <c r="BG43" i="9" s="1"/>
  <c r="BK138" i="9"/>
  <c r="BI139" i="9"/>
  <c r="AU43" i="9" l="1"/>
  <c r="AV43" i="9" s="1"/>
  <c r="AS44" i="9" s="1"/>
  <c r="AT44" i="9" s="1"/>
  <c r="BE43" i="9"/>
  <c r="AZ44" i="9" s="1"/>
  <c r="BC44" i="9" s="1"/>
  <c r="BK139" i="9"/>
  <c r="BI140" i="9"/>
  <c r="BF44" i="9" l="1"/>
  <c r="BB44" i="9"/>
  <c r="AW44" i="9"/>
  <c r="BA44" i="9"/>
  <c r="BK140" i="9"/>
  <c r="BI141" i="9"/>
  <c r="BI142" i="9" l="1"/>
  <c r="BK141" i="9"/>
  <c r="BD44" i="9"/>
  <c r="AU44" i="9" l="1"/>
  <c r="AV44" i="9" s="1"/>
  <c r="BG44" i="9"/>
  <c r="BE44" i="9"/>
  <c r="BK142" i="9"/>
  <c r="BI143" i="9"/>
  <c r="BK143" i="9" l="1"/>
  <c r="BI144" i="9"/>
  <c r="AS45" i="9"/>
  <c r="AT45" i="9" s="1"/>
  <c r="AZ45" i="9"/>
  <c r="BC45" i="9" s="1"/>
  <c r="BF45" i="9" l="1"/>
  <c r="BB45" i="9"/>
  <c r="AW45" i="9"/>
  <c r="BA45" i="9"/>
  <c r="BK144" i="9"/>
  <c r="BI145" i="9"/>
  <c r="BD45" i="9" l="1"/>
  <c r="BE45" i="9" s="1"/>
  <c r="AZ46" i="9" s="1"/>
  <c r="BI146" i="9"/>
  <c r="BK145" i="9"/>
  <c r="BG45" i="9" l="1"/>
  <c r="AU45" i="9"/>
  <c r="AV45" i="9" s="1"/>
  <c r="AS46" i="9" s="1"/>
  <c r="AT46" i="9" s="1"/>
  <c r="BC46" i="9"/>
  <c r="BB46" i="9" s="1"/>
  <c r="BK146" i="9"/>
  <c r="BI147" i="9"/>
  <c r="BF46" i="9" l="1"/>
  <c r="BA46" i="9"/>
  <c r="AW46" i="9"/>
  <c r="BK147" i="9"/>
  <c r="BI148" i="9"/>
  <c r="BK148" i="9" l="1"/>
  <c r="BI149" i="9"/>
  <c r="BD46" i="9"/>
  <c r="BE46" i="9" s="1"/>
  <c r="AZ47" i="9" l="1"/>
  <c r="BC47" i="9" s="1"/>
  <c r="AU46" i="9"/>
  <c r="AV46" i="9" s="1"/>
  <c r="BG46" i="9"/>
  <c r="BK149" i="9"/>
  <c r="BI150" i="9"/>
  <c r="BB47" i="9" l="1"/>
  <c r="BF47" i="9"/>
  <c r="AS47" i="9"/>
  <c r="AT47" i="9" s="1"/>
  <c r="BK150" i="9"/>
  <c r="BI151" i="9"/>
  <c r="BA47" i="9" l="1"/>
  <c r="AW47" i="9"/>
  <c r="BK151" i="9"/>
  <c r="BI152" i="9"/>
  <c r="BI153" i="9" l="1"/>
  <c r="BK152" i="9"/>
  <c r="BD47" i="9"/>
  <c r="AU47" i="9" l="1"/>
  <c r="AV47" i="9" s="1"/>
  <c r="BG47" i="9"/>
  <c r="BE47" i="9"/>
  <c r="BK153" i="9"/>
  <c r="BI154" i="9"/>
  <c r="AZ48" i="9" l="1"/>
  <c r="BC48" i="9" s="1"/>
  <c r="BK154" i="9"/>
  <c r="BI155" i="9"/>
  <c r="AS48" i="9"/>
  <c r="AT48" i="9" s="1"/>
  <c r="AW48" i="9" l="1"/>
  <c r="BA48" i="9"/>
  <c r="BF48" i="9"/>
  <c r="BB48" i="9"/>
  <c r="BK155" i="9"/>
  <c r="BI156" i="9"/>
  <c r="BD48" i="9" l="1"/>
  <c r="AU48" i="9" s="1"/>
  <c r="AV48" i="9" s="1"/>
  <c r="BK156" i="9"/>
  <c r="BI157" i="9"/>
  <c r="BE48" i="9" l="1"/>
  <c r="AZ49" i="9" s="1"/>
  <c r="BC49" i="9" s="1"/>
  <c r="BG48" i="9"/>
  <c r="BI158" i="9"/>
  <c r="BK157" i="9"/>
  <c r="AS49" i="9"/>
  <c r="AT49" i="9" s="1"/>
  <c r="BB49" i="9" l="1"/>
  <c r="BF49" i="9"/>
  <c r="BA49" i="9"/>
  <c r="AW49" i="9"/>
  <c r="BK158" i="9"/>
  <c r="BI159" i="9"/>
  <c r="BD49" i="9" l="1"/>
  <c r="AU49" i="9" s="1"/>
  <c r="AV49" i="9" s="1"/>
  <c r="BK159" i="9"/>
  <c r="BI160" i="9"/>
  <c r="BE49" i="9" l="1"/>
  <c r="AZ50" i="9" s="1"/>
  <c r="BC50" i="9" s="1"/>
  <c r="BG49" i="9"/>
  <c r="BK160" i="9"/>
  <c r="BI161" i="9"/>
  <c r="AS50" i="9"/>
  <c r="AT50" i="9" s="1"/>
  <c r="BF50" i="9" l="1"/>
  <c r="BB50" i="9"/>
  <c r="AW50" i="9"/>
  <c r="BA50" i="9"/>
  <c r="BI162" i="9"/>
  <c r="BK161" i="9"/>
  <c r="BD50" i="9" l="1"/>
  <c r="AU50" i="9" s="1"/>
  <c r="AV50" i="9" s="1"/>
  <c r="BK162" i="9"/>
  <c r="BI163" i="9"/>
  <c r="BE50" i="9" l="1"/>
  <c r="AZ51" i="9" s="1"/>
  <c r="BC51" i="9" s="1"/>
  <c r="BG50" i="9"/>
  <c r="AS51" i="9"/>
  <c r="AT51" i="9" s="1"/>
  <c r="BK163" i="9"/>
  <c r="BI164" i="9"/>
  <c r="BF51" i="9" l="1"/>
  <c r="BB51" i="9"/>
  <c r="BA51" i="9"/>
  <c r="AW51" i="9"/>
  <c r="BK164" i="9"/>
  <c r="BI165" i="9"/>
  <c r="BK165" i="9" l="1"/>
  <c r="BI166" i="9"/>
  <c r="BD51" i="9"/>
  <c r="BE51" i="9" s="1"/>
  <c r="AZ52" i="9" l="1"/>
  <c r="BC52" i="9" s="1"/>
  <c r="AU51" i="9"/>
  <c r="AV51" i="9" s="1"/>
  <c r="BG51" i="9"/>
  <c r="BK166" i="9"/>
  <c r="BI167" i="9"/>
  <c r="BF52" i="9" l="1"/>
  <c r="BB52" i="9"/>
  <c r="AS52" i="9"/>
  <c r="AT52" i="9" s="1"/>
  <c r="BK167" i="9"/>
  <c r="BI168" i="9"/>
  <c r="AW52" i="9" l="1"/>
  <c r="BA52" i="9"/>
  <c r="BI169" i="9"/>
  <c r="BK168" i="9"/>
  <c r="BD52" i="9" l="1"/>
  <c r="BG52" i="9" s="1"/>
  <c r="BK169" i="9"/>
  <c r="BI170" i="9"/>
  <c r="AU52" i="9" l="1"/>
  <c r="AV52" i="9" s="1"/>
  <c r="AS53" i="9" s="1"/>
  <c r="AT53" i="9" s="1"/>
  <c r="BE52" i="9"/>
  <c r="BK170" i="9"/>
  <c r="BI171" i="9"/>
  <c r="AZ53" i="9" l="1"/>
  <c r="BC53" i="9" s="1"/>
  <c r="AW53" i="9"/>
  <c r="BA53" i="9"/>
  <c r="BK171" i="9"/>
  <c r="BI172" i="9"/>
  <c r="BB53" i="9" l="1"/>
  <c r="BF53" i="9"/>
  <c r="BK172" i="9"/>
  <c r="BI173" i="9"/>
  <c r="BD53" i="9" l="1"/>
  <c r="BE53" i="9" s="1"/>
  <c r="BI174" i="9"/>
  <c r="BK173" i="9"/>
  <c r="AU53" i="9" l="1"/>
  <c r="AV53" i="9" s="1"/>
  <c r="AS54" i="9" s="1"/>
  <c r="AT54" i="9" s="1"/>
  <c r="AW54" i="9" s="1"/>
  <c r="BG53" i="9"/>
  <c r="AZ54" i="9"/>
  <c r="BC54" i="9" s="1"/>
  <c r="E36" i="8"/>
  <c r="BK174" i="9"/>
  <c r="BI175" i="9"/>
  <c r="D36" i="8" l="1"/>
  <c r="H36" i="8" s="1"/>
  <c r="BA54" i="9"/>
  <c r="BF54" i="9"/>
  <c r="BB54" i="9"/>
  <c r="BK175" i="9"/>
  <c r="BI176" i="9"/>
  <c r="G36" i="8" l="1"/>
  <c r="BD54" i="9"/>
  <c r="BG54" i="9" s="1"/>
  <c r="BK176" i="9"/>
  <c r="BI177" i="9"/>
  <c r="AU54" i="9" l="1"/>
  <c r="AV54" i="9" s="1"/>
  <c r="AS55" i="9" s="1"/>
  <c r="AT55" i="9" s="1"/>
  <c r="BE54" i="9"/>
  <c r="AZ55" i="9" s="1"/>
  <c r="BC55" i="9" s="1"/>
  <c r="BB55" i="9" s="1"/>
  <c r="BK177" i="9"/>
  <c r="BI178" i="9"/>
  <c r="BF55" i="9" l="1"/>
  <c r="AW55" i="9"/>
  <c r="BA55" i="9"/>
  <c r="BK178" i="9"/>
  <c r="BI179" i="9"/>
  <c r="BD55" i="9" l="1"/>
  <c r="BE55" i="9" s="1"/>
  <c r="AZ56" i="9" s="1"/>
  <c r="BC56" i="9" s="1"/>
  <c r="BK179" i="9"/>
  <c r="BI180" i="9"/>
  <c r="AU55" i="9" l="1"/>
  <c r="AV55" i="9" s="1"/>
  <c r="BG55" i="9"/>
  <c r="BI181" i="9"/>
  <c r="BK180" i="9"/>
  <c r="AS56" i="9"/>
  <c r="AT56" i="9" s="1"/>
  <c r="BF56" i="9"/>
  <c r="BB56" i="9"/>
  <c r="AW56" i="9" l="1"/>
  <c r="BA56" i="9"/>
  <c r="BK181" i="9"/>
  <c r="BI182" i="9"/>
  <c r="BK182" i="9" l="1"/>
  <c r="BI183" i="9"/>
  <c r="BD56" i="9"/>
  <c r="BE56" i="9" s="1"/>
  <c r="AZ57" i="9" l="1"/>
  <c r="BC57" i="9" s="1"/>
  <c r="AU56" i="9"/>
  <c r="AV56" i="9" s="1"/>
  <c r="BG56" i="9"/>
  <c r="BK183" i="9"/>
  <c r="BI184" i="9"/>
  <c r="BF57" i="9" l="1"/>
  <c r="BB57" i="9"/>
  <c r="AS57" i="9"/>
  <c r="AT57" i="9" s="1"/>
  <c r="BK184" i="9"/>
  <c r="BI185" i="9"/>
  <c r="BA57" i="9" l="1"/>
  <c r="BD57" i="9" s="1"/>
  <c r="AW57" i="9"/>
  <c r="BI186" i="9"/>
  <c r="BK185" i="9"/>
  <c r="BE57" i="9" l="1"/>
  <c r="AZ58" i="9" s="1"/>
  <c r="BC58" i="9" s="1"/>
  <c r="BK186" i="9"/>
  <c r="BI187" i="9"/>
  <c r="AU57" i="9"/>
  <c r="AV57" i="9" s="1"/>
  <c r="BG57" i="9"/>
  <c r="BF58" i="9" l="1"/>
  <c r="BB58" i="9"/>
  <c r="AS58" i="9"/>
  <c r="AT58" i="9" s="1"/>
  <c r="BK187" i="9"/>
  <c r="BI188" i="9"/>
  <c r="AW58" i="9" l="1"/>
  <c r="BA58" i="9"/>
  <c r="BK188" i="9"/>
  <c r="BI189" i="9"/>
  <c r="BD58" i="9" l="1"/>
  <c r="AU58" i="9" s="1"/>
  <c r="AV58" i="9" s="1"/>
  <c r="BI190" i="9"/>
  <c r="BK189" i="9"/>
  <c r="BG58" i="9" l="1"/>
  <c r="BE58" i="9"/>
  <c r="AZ59" i="9" s="1"/>
  <c r="BC59" i="9" s="1"/>
  <c r="BF59" i="9" s="1"/>
  <c r="BK190" i="9"/>
  <c r="BI191" i="9"/>
  <c r="AS59" i="9"/>
  <c r="AT59" i="9" s="1"/>
  <c r="BB59" i="9" l="1"/>
  <c r="BA59" i="9"/>
  <c r="AW59" i="9"/>
  <c r="BK191" i="9"/>
  <c r="BI192" i="9"/>
  <c r="BD59" i="9" l="1"/>
  <c r="AU59" i="9" s="1"/>
  <c r="AV59" i="9" s="1"/>
  <c r="BI193" i="9"/>
  <c r="BK192" i="9"/>
  <c r="BE59" i="9" l="1"/>
  <c r="AZ60" i="9" s="1"/>
  <c r="BC60" i="9" s="1"/>
  <c r="BG59" i="9"/>
  <c r="BK193" i="9"/>
  <c r="BI194" i="9"/>
  <c r="AS60" i="9"/>
  <c r="AT60" i="9" s="1"/>
  <c r="BA60" i="9" l="1"/>
  <c r="AW60" i="9"/>
  <c r="BB60" i="9"/>
  <c r="BF60" i="9"/>
  <c r="BK194" i="9"/>
  <c r="BI195" i="9"/>
  <c r="BD60" i="9" l="1"/>
  <c r="BE60" i="9" s="1"/>
  <c r="AZ61" i="9" s="1"/>
  <c r="BC61" i="9" s="1"/>
  <c r="BK195" i="9"/>
  <c r="BI196" i="9"/>
  <c r="BG60" i="9" l="1"/>
  <c r="AU60" i="9"/>
  <c r="AV60" i="9" s="1"/>
  <c r="AS61" i="9" s="1"/>
  <c r="AT61" i="9" s="1"/>
  <c r="BF61" i="9"/>
  <c r="BB61" i="9"/>
  <c r="BK196" i="9"/>
  <c r="BI197" i="9"/>
  <c r="BA61" i="9" l="1"/>
  <c r="AW61" i="9"/>
  <c r="BI198" i="9"/>
  <c r="BK197" i="9"/>
  <c r="BD61" i="9" l="1"/>
  <c r="BE61" i="9" s="1"/>
  <c r="BK198" i="9"/>
  <c r="BI199" i="9"/>
  <c r="AZ62" i="9" l="1"/>
  <c r="BC62" i="9" s="1"/>
  <c r="BK199" i="9"/>
  <c r="BI200" i="9"/>
  <c r="AU61" i="9"/>
  <c r="AV61" i="9" s="1"/>
  <c r="BG61" i="9"/>
  <c r="AS62" i="9" l="1"/>
  <c r="AT62" i="9" s="1"/>
  <c r="BF62" i="9"/>
  <c r="BB62" i="9"/>
  <c r="BK200" i="9"/>
  <c r="BI201" i="9"/>
  <c r="AW62" i="9" l="1"/>
  <c r="BA62" i="9"/>
  <c r="BD62" i="9" s="1"/>
  <c r="BK201" i="9"/>
  <c r="BI202" i="9"/>
  <c r="AU62" i="9" l="1"/>
  <c r="AV62" i="9" s="1"/>
  <c r="BG62" i="9"/>
  <c r="BE62" i="9"/>
  <c r="BK202" i="9"/>
  <c r="BI203" i="9"/>
  <c r="BK203" i="9" l="1"/>
  <c r="BI204" i="9"/>
  <c r="AZ63" i="9"/>
  <c r="BC63" i="9" s="1"/>
  <c r="AS63" i="9"/>
  <c r="AT63" i="9" s="1"/>
  <c r="BA63" i="9" l="1"/>
  <c r="AW63" i="9"/>
  <c r="BF63" i="9"/>
  <c r="BB63" i="9"/>
  <c r="BK204" i="9"/>
  <c r="BI205" i="9"/>
  <c r="BK205" i="9" l="1"/>
  <c r="BI206" i="9"/>
  <c r="BD63" i="9"/>
  <c r="BE63" i="9" s="1"/>
  <c r="AZ64" i="9" l="1"/>
  <c r="BC64" i="9" s="1"/>
  <c r="AU63" i="9"/>
  <c r="AV63" i="9" s="1"/>
  <c r="BG63" i="9"/>
  <c r="BK206" i="9"/>
  <c r="BI207" i="9"/>
  <c r="BB64" i="9" l="1"/>
  <c r="BF64" i="9"/>
  <c r="AS64" i="9"/>
  <c r="AT64" i="9" s="1"/>
  <c r="BK207" i="9"/>
  <c r="BI208" i="9"/>
  <c r="BA64" i="9" l="1"/>
  <c r="AW64" i="9"/>
  <c r="BI209" i="9"/>
  <c r="BK208" i="9"/>
  <c r="BK209" i="9" l="1"/>
  <c r="BI210" i="9"/>
  <c r="BD64" i="9"/>
  <c r="BE64" i="9" s="1"/>
  <c r="AZ65" i="9" l="1"/>
  <c r="BC65" i="9" s="1"/>
  <c r="AU64" i="9"/>
  <c r="AV64" i="9" s="1"/>
  <c r="BG64" i="9"/>
  <c r="BK210" i="9"/>
  <c r="BI211" i="9"/>
  <c r="BF65" i="9" l="1"/>
  <c r="BB65" i="9"/>
  <c r="BK211" i="9"/>
  <c r="BI212" i="9"/>
  <c r="AS65" i="9"/>
  <c r="AT65" i="9" s="1"/>
  <c r="BA65" i="9" l="1"/>
  <c r="AW65" i="9"/>
  <c r="BK212" i="9"/>
  <c r="BI213" i="9"/>
  <c r="BD65" i="9" l="1"/>
  <c r="BE65" i="9" s="1"/>
  <c r="BI214" i="9"/>
  <c r="BK213" i="9"/>
  <c r="AZ66" i="9" l="1"/>
  <c r="BC66" i="9" s="1"/>
  <c r="E37" i="8"/>
  <c r="BK214" i="9"/>
  <c r="BI215" i="9"/>
  <c r="AU65" i="9"/>
  <c r="AV65" i="9" s="1"/>
  <c r="BG65" i="9"/>
  <c r="BB66" i="9" l="1"/>
  <c r="BF66" i="9"/>
  <c r="AS66" i="9"/>
  <c r="AT66" i="9" s="1"/>
  <c r="D37" i="8"/>
  <c r="BK215" i="9"/>
  <c r="BI216" i="9"/>
  <c r="AW66" i="9" l="1"/>
  <c r="BA66" i="9"/>
  <c r="G37" i="8"/>
  <c r="H37" i="8"/>
  <c r="BK216" i="9"/>
  <c r="BI217" i="9"/>
  <c r="BD66" i="9" l="1"/>
  <c r="BK217" i="9"/>
  <c r="BI218" i="9"/>
  <c r="BK218" i="9" l="1"/>
  <c r="BI219" i="9"/>
  <c r="AU66" i="9"/>
  <c r="AV66" i="9" s="1"/>
  <c r="BG66" i="9"/>
  <c r="BE66" i="9"/>
  <c r="AZ67" i="9" l="1"/>
  <c r="BC67" i="9" s="1"/>
  <c r="AS67" i="9"/>
  <c r="AT67" i="9" s="1"/>
  <c r="BK219" i="9"/>
  <c r="BI220" i="9"/>
  <c r="BB67" i="9" l="1"/>
  <c r="BF67" i="9"/>
  <c r="BA67" i="9"/>
  <c r="AW67" i="9"/>
  <c r="BI221" i="9"/>
  <c r="BK220" i="9"/>
  <c r="BD67" i="9" l="1"/>
  <c r="BE67" i="9" s="1"/>
  <c r="BK221" i="9"/>
  <c r="BI222" i="9"/>
  <c r="BG67" i="9" l="1"/>
  <c r="AZ68" i="9"/>
  <c r="BC68" i="9" s="1"/>
  <c r="BB68" i="9" s="1"/>
  <c r="AU67" i="9"/>
  <c r="AV67" i="9" s="1"/>
  <c r="AS68" i="9" s="1"/>
  <c r="BK222" i="9"/>
  <c r="BI223" i="9"/>
  <c r="AT68" i="9" l="1"/>
  <c r="BA68" i="9" s="1"/>
  <c r="BF68" i="9"/>
  <c r="BK223" i="9"/>
  <c r="BI224" i="9"/>
  <c r="BD68" i="9" l="1"/>
  <c r="BG68" i="9" s="1"/>
  <c r="AW68" i="9"/>
  <c r="BK224" i="9"/>
  <c r="BI225" i="9"/>
  <c r="AU68" i="9" l="1"/>
  <c r="AV68" i="9" s="1"/>
  <c r="AS69" i="9" s="1"/>
  <c r="AT69" i="9" s="1"/>
  <c r="BE68" i="9"/>
  <c r="AZ69" i="9" s="1"/>
  <c r="BC69" i="9" s="1"/>
  <c r="BK225" i="9"/>
  <c r="BI226" i="9"/>
  <c r="AW69" i="9" l="1"/>
  <c r="BA69" i="9"/>
  <c r="BF69" i="9"/>
  <c r="BB69" i="9"/>
  <c r="BK226" i="9"/>
  <c r="BI227" i="9"/>
  <c r="BK227" i="9" l="1"/>
  <c r="BI228" i="9"/>
  <c r="BD69" i="9"/>
  <c r="AU69" i="9" l="1"/>
  <c r="AV69" i="9" s="1"/>
  <c r="BG69" i="9"/>
  <c r="BK228" i="9"/>
  <c r="BI229" i="9"/>
  <c r="BE69" i="9"/>
  <c r="AZ70" i="9" l="1"/>
  <c r="BC70" i="9" s="1"/>
  <c r="AS70" i="9"/>
  <c r="AT70" i="9" s="1"/>
  <c r="BK229" i="9"/>
  <c r="BI230" i="9"/>
  <c r="BF70" i="9" l="1"/>
  <c r="BB70" i="9"/>
  <c r="AW70" i="9"/>
  <c r="BA70" i="9"/>
  <c r="BK230" i="9"/>
  <c r="BI231" i="9"/>
  <c r="BD70" i="9" l="1"/>
  <c r="BG70" i="9" s="1"/>
  <c r="BK231" i="9"/>
  <c r="BI232" i="9"/>
  <c r="AU70" i="9" l="1"/>
  <c r="AV70" i="9" s="1"/>
  <c r="AS71" i="9" s="1"/>
  <c r="AT71" i="9" s="1"/>
  <c r="BE70" i="9"/>
  <c r="AZ71" i="9" s="1"/>
  <c r="BC71" i="9" s="1"/>
  <c r="BI233" i="9"/>
  <c r="BK232" i="9"/>
  <c r="AW71" i="9" l="1"/>
  <c r="BA71" i="9"/>
  <c r="BF71" i="9"/>
  <c r="BB71" i="9"/>
  <c r="BK233" i="9"/>
  <c r="BI234" i="9"/>
  <c r="BD71" i="9" l="1"/>
  <c r="BE71" i="9" s="1"/>
  <c r="BK234" i="9"/>
  <c r="BI235" i="9"/>
  <c r="BG71" i="9" l="1"/>
  <c r="AU71" i="9"/>
  <c r="AV71" i="9" s="1"/>
  <c r="AS72" i="9" s="1"/>
  <c r="AT72" i="9" s="1"/>
  <c r="BK235" i="9"/>
  <c r="BI236" i="9"/>
  <c r="AZ72" i="9"/>
  <c r="BC72" i="9" s="1"/>
  <c r="BF72" i="9" l="1"/>
  <c r="BB72" i="9"/>
  <c r="BA72" i="9"/>
  <c r="AW72" i="9"/>
  <c r="BK236" i="9"/>
  <c r="BI237" i="9"/>
  <c r="BD72" i="9" l="1"/>
  <c r="BE72" i="9" s="1"/>
  <c r="BI238" i="9"/>
  <c r="BK237" i="9"/>
  <c r="BG72" i="9" l="1"/>
  <c r="AU72" i="9"/>
  <c r="AV72" i="9" s="1"/>
  <c r="AS73" i="9" s="1"/>
  <c r="AT73" i="9" s="1"/>
  <c r="BK238" i="9"/>
  <c r="BI239" i="9"/>
  <c r="AZ73" i="9"/>
  <c r="BC73" i="9" s="1"/>
  <c r="AW73" i="9" l="1"/>
  <c r="BA73" i="9"/>
  <c r="BF73" i="9"/>
  <c r="BB73" i="9"/>
  <c r="BK239" i="9"/>
  <c r="BI240" i="9"/>
  <c r="BK240" i="9" l="1"/>
  <c r="BI241" i="9"/>
  <c r="BD73" i="9"/>
  <c r="AU73" i="9" l="1"/>
  <c r="AV73" i="9" s="1"/>
  <c r="BG73" i="9"/>
  <c r="BI242" i="9"/>
  <c r="BK241" i="9"/>
  <c r="BE73" i="9"/>
  <c r="AZ74" i="9" l="1"/>
  <c r="BC74" i="9" s="1"/>
  <c r="AS74" i="9"/>
  <c r="AT74" i="9" s="1"/>
  <c r="BK242" i="9"/>
  <c r="BI243" i="9"/>
  <c r="BF74" i="9" l="1"/>
  <c r="BB74" i="9"/>
  <c r="AW74" i="9"/>
  <c r="BA74" i="9"/>
  <c r="BK243" i="9"/>
  <c r="BI244" i="9"/>
  <c r="BD74" i="9" l="1"/>
  <c r="BG74" i="9" s="1"/>
  <c r="BI245" i="9"/>
  <c r="BK245" i="9" s="1"/>
  <c r="BK244" i="9"/>
  <c r="AU74" i="9" l="1"/>
  <c r="AV74" i="9" s="1"/>
  <c r="AS75" i="9" s="1"/>
  <c r="AT75" i="9" s="1"/>
  <c r="BE74" i="9"/>
  <c r="AZ75" i="9" s="1"/>
  <c r="BC75" i="9" s="1"/>
  <c r="AW75" i="9" l="1"/>
  <c r="BA75" i="9"/>
  <c r="BF75" i="9"/>
  <c r="BB75" i="9"/>
  <c r="BD75" i="9" l="1"/>
  <c r="AU75" i="9" s="1"/>
  <c r="AV75" i="9" s="1"/>
  <c r="BG75" i="9" l="1"/>
  <c r="BE75" i="9"/>
  <c r="AZ76" i="9" s="1"/>
  <c r="BC76" i="9" s="1"/>
  <c r="AS76" i="9"/>
  <c r="AT76" i="9" s="1"/>
  <c r="BF76" i="9" l="1"/>
  <c r="BB76" i="9"/>
  <c r="BA76" i="9"/>
  <c r="AW76" i="9"/>
  <c r="BD76" i="9" l="1"/>
  <c r="AU76" i="9" s="1"/>
  <c r="AV76" i="9" s="1"/>
  <c r="BG76" i="9" l="1"/>
  <c r="BE76" i="9"/>
  <c r="AZ77" i="9" s="1"/>
  <c r="BC77" i="9" s="1"/>
  <c r="AS77" i="9"/>
  <c r="AT77" i="9" s="1"/>
  <c r="BF77" i="9" l="1"/>
  <c r="BB77" i="9"/>
  <c r="BA77" i="9"/>
  <c r="AW77" i="9"/>
  <c r="BD77" i="9" l="1"/>
  <c r="BE77" i="9" s="1"/>
  <c r="AZ78" i="9" l="1"/>
  <c r="BC78" i="9" s="1"/>
  <c r="E38" i="8"/>
  <c r="AU77" i="9"/>
  <c r="AV77" i="9" s="1"/>
  <c r="BG77" i="9"/>
  <c r="AS78" i="9" l="1"/>
  <c r="AT78" i="9" s="1"/>
  <c r="D38" i="8"/>
  <c r="BB78" i="9"/>
  <c r="BF78" i="9"/>
  <c r="AW78" i="9" l="1"/>
  <c r="BA78" i="9"/>
  <c r="G38" i="8"/>
  <c r="H38" i="8"/>
  <c r="BD78" i="9" l="1"/>
  <c r="AU78" i="9" l="1"/>
  <c r="AV78" i="9" s="1"/>
  <c r="BG78" i="9"/>
  <c r="BE78" i="9"/>
  <c r="AS79" i="9" l="1"/>
  <c r="AT79" i="9" s="1"/>
  <c r="AZ79" i="9"/>
  <c r="BC79" i="9" s="1"/>
  <c r="BF79" i="9" l="1"/>
  <c r="BB79" i="9"/>
  <c r="BA79" i="9"/>
  <c r="AW79" i="9"/>
  <c r="BD79" i="9" l="1"/>
  <c r="BE79" i="9" s="1"/>
  <c r="BG79" i="9" l="1"/>
  <c r="AU79" i="9"/>
  <c r="AV79" i="9" s="1"/>
  <c r="AS80" i="9" s="1"/>
  <c r="AT80" i="9" s="1"/>
  <c r="AZ80" i="9"/>
  <c r="BC80" i="9" s="1"/>
  <c r="BA80" i="9" l="1"/>
  <c r="AW80" i="9"/>
  <c r="BF80" i="9"/>
  <c r="BB80" i="9"/>
  <c r="BD80" i="9" l="1"/>
  <c r="AU80" i="9" s="1"/>
  <c r="AV80" i="9" s="1"/>
  <c r="BG80" i="9" l="1"/>
  <c r="BE80" i="9"/>
  <c r="AZ81" i="9" s="1"/>
  <c r="BC81" i="9" s="1"/>
  <c r="AS81" i="9"/>
  <c r="AT81" i="9" s="1"/>
  <c r="BF81" i="9" l="1"/>
  <c r="BB81" i="9"/>
  <c r="AW81" i="9"/>
  <c r="BA81" i="9"/>
  <c r="BD81" i="9" l="1"/>
  <c r="BE81" i="9" s="1"/>
  <c r="AZ82" i="9" l="1"/>
  <c r="BC82" i="9" s="1"/>
  <c r="AU81" i="9"/>
  <c r="AV81" i="9" s="1"/>
  <c r="BG81" i="9"/>
  <c r="BB82" i="9" l="1"/>
  <c r="BF82" i="9"/>
  <c r="AS82" i="9"/>
  <c r="AT82" i="9" s="1"/>
  <c r="BA82" i="9" l="1"/>
  <c r="BD82" i="9" s="1"/>
  <c r="AW82" i="9"/>
  <c r="AU82" i="9" l="1"/>
  <c r="AV82" i="9" s="1"/>
  <c r="BG82" i="9"/>
  <c r="BE82" i="9"/>
  <c r="AZ83" i="9" l="1"/>
  <c r="BC83" i="9" s="1"/>
  <c r="AS83" i="9"/>
  <c r="AT83" i="9" s="1"/>
  <c r="AW83" i="9" l="1"/>
  <c r="BA83" i="9"/>
  <c r="BB83" i="9"/>
  <c r="BF83" i="9"/>
  <c r="BD83" i="9" l="1"/>
  <c r="AU83" i="9" s="1"/>
  <c r="AV83" i="9" s="1"/>
  <c r="BE83" i="9" l="1"/>
  <c r="AZ84" i="9" s="1"/>
  <c r="BC84" i="9" s="1"/>
  <c r="BG83" i="9"/>
  <c r="AS84" i="9"/>
  <c r="AT84" i="9" s="1"/>
  <c r="BA84" i="9" l="1"/>
  <c r="AW84" i="9"/>
  <c r="BF84" i="9"/>
  <c r="BB84" i="9"/>
  <c r="BD84" i="9" l="1"/>
  <c r="AU84" i="9" s="1"/>
  <c r="AV84" i="9" s="1"/>
  <c r="BG84" i="9" l="1"/>
  <c r="BE84" i="9"/>
  <c r="AZ85" i="9" s="1"/>
  <c r="BC85" i="9" s="1"/>
  <c r="AS85" i="9"/>
  <c r="AT85" i="9" s="1"/>
  <c r="AW85" i="9" l="1"/>
  <c r="BA85" i="9"/>
  <c r="BF85" i="9"/>
  <c r="BB85" i="9"/>
  <c r="BD85" i="9" l="1"/>
  <c r="AU85" i="9" l="1"/>
  <c r="AV85" i="9" s="1"/>
  <c r="BG85" i="9"/>
  <c r="BE85" i="9"/>
  <c r="AZ86" i="9" l="1"/>
  <c r="BC86" i="9" s="1"/>
  <c r="AS86" i="9"/>
  <c r="AT86" i="9" s="1"/>
  <c r="BA86" i="9" l="1"/>
  <c r="AW86" i="9"/>
  <c r="BF86" i="9"/>
  <c r="BB86" i="9"/>
  <c r="BD86" i="9" l="1"/>
  <c r="BE86" i="9" s="1"/>
  <c r="AZ87" i="9" s="1"/>
  <c r="BG86" i="9" l="1"/>
  <c r="AU86" i="9"/>
  <c r="AV86" i="9" s="1"/>
  <c r="AS87" i="9" s="1"/>
  <c r="AT87" i="9" s="1"/>
  <c r="BC87" i="9"/>
  <c r="BF87" i="9" s="1"/>
  <c r="BB87" i="9" l="1"/>
  <c r="BA87" i="9"/>
  <c r="AW87" i="9"/>
  <c r="BD87" i="9" l="1"/>
  <c r="BE87" i="9" s="1"/>
  <c r="AZ88" i="9" l="1"/>
  <c r="BC88" i="9" s="1"/>
  <c r="AU87" i="9"/>
  <c r="AV87" i="9" s="1"/>
  <c r="BG87" i="9"/>
  <c r="BB88" i="9" l="1"/>
  <c r="BF88" i="9"/>
  <c r="AS88" i="9"/>
  <c r="AT88" i="9" s="1"/>
  <c r="BA88" i="9" l="1"/>
  <c r="AW88" i="9"/>
  <c r="BD88" i="9" l="1"/>
  <c r="AU88" i="9" l="1"/>
  <c r="AV88" i="9" s="1"/>
  <c r="BG88" i="9"/>
  <c r="BE88" i="9"/>
  <c r="AZ89" i="9" l="1"/>
  <c r="BC89" i="9" s="1"/>
  <c r="AS89" i="9"/>
  <c r="AT89" i="9" s="1"/>
  <c r="BF89" i="9" l="1"/>
  <c r="BB89" i="9"/>
  <c r="BA89" i="9"/>
  <c r="AW89" i="9"/>
  <c r="BD89" i="9" l="1"/>
  <c r="BE89" i="9" s="1"/>
  <c r="AZ90" i="9" s="1"/>
  <c r="BC90" i="9" s="1"/>
  <c r="E39" i="8"/>
  <c r="AU89" i="9" l="1"/>
  <c r="AV89" i="9" s="1"/>
  <c r="AS90" i="9" s="1"/>
  <c r="AT90" i="9" s="1"/>
  <c r="BG89" i="9"/>
  <c r="BF90" i="9"/>
  <c r="BB90" i="9"/>
  <c r="D39" i="8"/>
  <c r="G39" i="8" l="1"/>
  <c r="H39" i="8"/>
  <c r="BA90" i="9"/>
  <c r="BD90" i="9" s="1"/>
  <c r="AW90" i="9"/>
  <c r="AU90" i="9" l="1"/>
  <c r="AV90" i="9" s="1"/>
  <c r="BG90" i="9"/>
  <c r="BE90" i="9"/>
  <c r="AZ91" i="9" l="1"/>
  <c r="BC91" i="9" s="1"/>
  <c r="AS91" i="9"/>
  <c r="AT91" i="9" s="1"/>
  <c r="BA91" i="9" l="1"/>
  <c r="AW91" i="9"/>
  <c r="BF91" i="9"/>
  <c r="BB91" i="9"/>
  <c r="BD91" i="9" l="1"/>
  <c r="BE91" i="9" s="1"/>
  <c r="BG91" i="9" l="1"/>
  <c r="AU91" i="9"/>
  <c r="AV91" i="9" s="1"/>
  <c r="AS92" i="9" s="1"/>
  <c r="AT92" i="9" s="1"/>
  <c r="AZ92" i="9"/>
  <c r="BC92" i="9" s="1"/>
  <c r="BF92" i="9" l="1"/>
  <c r="BB92" i="9"/>
  <c r="AW92" i="9"/>
  <c r="BA92" i="9"/>
  <c r="BD92" i="9" l="1"/>
  <c r="AU92" i="9" s="1"/>
  <c r="AV92" i="9" s="1"/>
  <c r="BG92" i="9" l="1"/>
  <c r="BE92" i="9"/>
  <c r="AZ93" i="9" s="1"/>
  <c r="BC93" i="9" s="1"/>
  <c r="AS93" i="9"/>
  <c r="AT93" i="9" s="1"/>
  <c r="BF93" i="9" l="1"/>
  <c r="BB93" i="9"/>
  <c r="BA93" i="9"/>
  <c r="AW93" i="9"/>
  <c r="BD93" i="9" l="1"/>
  <c r="BE93" i="9" s="1"/>
  <c r="BG93" i="9" l="1"/>
  <c r="AU93" i="9"/>
  <c r="AV93" i="9" s="1"/>
  <c r="AS94" i="9" s="1"/>
  <c r="AT94" i="9" s="1"/>
  <c r="AZ94" i="9"/>
  <c r="BC94" i="9" s="1"/>
  <c r="BA94" i="9" l="1"/>
  <c r="AW94" i="9"/>
  <c r="BB94" i="9"/>
  <c r="BF94" i="9"/>
  <c r="BD94" i="9" l="1"/>
  <c r="BE94" i="9" s="1"/>
  <c r="AZ95" i="9" s="1"/>
  <c r="BC95" i="9" s="1"/>
  <c r="AU94" i="9" l="1"/>
  <c r="AV94" i="9" s="1"/>
  <c r="AS95" i="9" s="1"/>
  <c r="AT95" i="9" s="1"/>
  <c r="BG94" i="9"/>
  <c r="BB95" i="9"/>
  <c r="BF95" i="9"/>
  <c r="BA95" i="9" l="1"/>
  <c r="AW95" i="9"/>
  <c r="BD95" i="9" l="1"/>
  <c r="BE95" i="9" s="1"/>
  <c r="AZ96" i="9" l="1"/>
  <c r="BC96" i="9" s="1"/>
  <c r="AU95" i="9"/>
  <c r="AV95" i="9" s="1"/>
  <c r="BG95" i="9"/>
  <c r="AS96" i="9" l="1"/>
  <c r="AT96" i="9" s="1"/>
  <c r="BF96" i="9"/>
  <c r="BB96" i="9"/>
  <c r="AW96" i="9" l="1"/>
  <c r="BA96" i="9"/>
  <c r="BD96" i="9" s="1"/>
  <c r="AU96" i="9" l="1"/>
  <c r="AV96" i="9" s="1"/>
  <c r="BG96" i="9"/>
  <c r="BE96" i="9"/>
  <c r="AS97" i="9" l="1"/>
  <c r="AT97" i="9" s="1"/>
  <c r="AZ97" i="9"/>
  <c r="BC97" i="9" s="1"/>
  <c r="AW97" i="9" l="1"/>
  <c r="BA97" i="9"/>
  <c r="BF97" i="9"/>
  <c r="BB97" i="9"/>
  <c r="BD97" i="9" l="1"/>
  <c r="BE97" i="9" s="1"/>
  <c r="AZ98" i="9" l="1"/>
  <c r="BC98" i="9" s="1"/>
  <c r="AU97" i="9"/>
  <c r="AV97" i="9" s="1"/>
  <c r="BG97" i="9"/>
  <c r="BF98" i="9" l="1"/>
  <c r="BB98" i="9"/>
  <c r="AS98" i="9"/>
  <c r="AT98" i="9" s="1"/>
  <c r="BA98" i="9" l="1"/>
  <c r="AW98" i="9"/>
  <c r="BD98" i="9" l="1"/>
  <c r="BE98" i="9" s="1"/>
  <c r="AZ99" i="9" l="1"/>
  <c r="BC99" i="9" s="1"/>
  <c r="AU98" i="9"/>
  <c r="AV98" i="9" s="1"/>
  <c r="BG98" i="9"/>
  <c r="BB99" i="9" l="1"/>
  <c r="BF99" i="9"/>
  <c r="AS99" i="9"/>
  <c r="AT99" i="9" s="1"/>
  <c r="BA99" i="9" l="1"/>
  <c r="BD99" i="9" s="1"/>
  <c r="AW99" i="9"/>
  <c r="AU99" i="9" l="1"/>
  <c r="AV99" i="9" s="1"/>
  <c r="BG99" i="9"/>
  <c r="BE99" i="9"/>
  <c r="AS100" i="9" l="1"/>
  <c r="AT100" i="9" s="1"/>
  <c r="AZ100" i="9"/>
  <c r="BC100" i="9" s="1"/>
  <c r="BF100" i="9" l="1"/>
  <c r="BB100" i="9"/>
  <c r="AW100" i="9"/>
  <c r="BA100" i="9"/>
  <c r="BD100" i="9" l="1"/>
  <c r="BE100" i="9" s="1"/>
  <c r="AZ101" i="9" s="1"/>
  <c r="BC101" i="9" s="1"/>
  <c r="BG100" i="9" l="1"/>
  <c r="AU100" i="9"/>
  <c r="AV100" i="9" s="1"/>
  <c r="AS101" i="9" s="1"/>
  <c r="AT101" i="9" s="1"/>
  <c r="BB101" i="9"/>
  <c r="BF101" i="9"/>
  <c r="AW101" i="9" l="1"/>
  <c r="BA101" i="9"/>
  <c r="BD101" i="9" s="1"/>
  <c r="AU101" i="9" l="1"/>
  <c r="AV101" i="9" s="1"/>
  <c r="BG101" i="9"/>
  <c r="BE101" i="9"/>
  <c r="AS102" i="9" l="1"/>
  <c r="AT102" i="9" s="1"/>
  <c r="D40" i="8"/>
  <c r="AZ102" i="9"/>
  <c r="BC102" i="9" s="1"/>
  <c r="E40" i="8"/>
  <c r="BF102" i="9" l="1"/>
  <c r="BB102" i="9"/>
  <c r="H40" i="8"/>
  <c r="G40" i="8"/>
  <c r="BA102" i="9"/>
  <c r="AW102" i="9"/>
  <c r="BD102" i="9" l="1"/>
  <c r="BE102" i="9" s="1"/>
  <c r="BG102" i="9" l="1"/>
  <c r="AU102" i="9"/>
  <c r="AV102" i="9" s="1"/>
  <c r="AS103" i="9" s="1"/>
  <c r="AT103" i="9" s="1"/>
  <c r="AZ103" i="9"/>
  <c r="BC103" i="9" s="1"/>
  <c r="BF103" i="9" l="1"/>
  <c r="BB103" i="9"/>
  <c r="AW103" i="9"/>
  <c r="BA103" i="9"/>
  <c r="BD103" i="9" l="1"/>
  <c r="BE103" i="9" s="1"/>
  <c r="BG103" i="9" l="1"/>
  <c r="AU103" i="9"/>
  <c r="AV103" i="9" s="1"/>
  <c r="AS104" i="9" s="1"/>
  <c r="AT104" i="9" s="1"/>
  <c r="AZ104" i="9"/>
  <c r="BC104" i="9" s="1"/>
  <c r="BF104" i="9" l="1"/>
  <c r="BB104" i="9"/>
  <c r="AW104" i="9"/>
  <c r="BA104" i="9"/>
  <c r="BD104" i="9" l="1"/>
  <c r="AU104" i="9" s="1"/>
  <c r="AV104" i="9" s="1"/>
  <c r="BE104" i="9" l="1"/>
  <c r="AZ105" i="9" s="1"/>
  <c r="BC105" i="9" s="1"/>
  <c r="BG104" i="9"/>
  <c r="AS105" i="9"/>
  <c r="AT105" i="9" s="1"/>
  <c r="BA105" i="9" l="1"/>
  <c r="AW105" i="9"/>
  <c r="BF105" i="9"/>
  <c r="BB105" i="9"/>
  <c r="BD105" i="9" l="1"/>
  <c r="AU105" i="9" s="1"/>
  <c r="AV105" i="9" s="1"/>
  <c r="BG105" i="9" l="1"/>
  <c r="BE105" i="9"/>
  <c r="AZ106" i="9" s="1"/>
  <c r="BC106" i="9" s="1"/>
  <c r="AS106" i="9"/>
  <c r="AT106" i="9" s="1"/>
  <c r="BB106" i="9" l="1"/>
  <c r="BF106" i="9"/>
  <c r="BA106" i="9"/>
  <c r="AW106" i="9"/>
  <c r="BD106" i="9" l="1"/>
  <c r="BE106" i="9" s="1"/>
  <c r="BG106" i="9" l="1"/>
  <c r="AU106" i="9"/>
  <c r="AV106" i="9" s="1"/>
  <c r="AS107" i="9" s="1"/>
  <c r="AT107" i="9" s="1"/>
  <c r="AZ107" i="9"/>
  <c r="BC107" i="9" s="1"/>
  <c r="AW107" i="9" l="1"/>
  <c r="BA107" i="9"/>
  <c r="BF107" i="9"/>
  <c r="BB107" i="9"/>
  <c r="BD107" i="9" l="1"/>
  <c r="BE107" i="9" s="1"/>
  <c r="BG107" i="9" l="1"/>
  <c r="AU107" i="9"/>
  <c r="AV107" i="9" s="1"/>
  <c r="AS108" i="9" s="1"/>
  <c r="AT108" i="9" s="1"/>
  <c r="AZ108" i="9"/>
  <c r="BC108" i="9" s="1"/>
  <c r="BA108" i="9" l="1"/>
  <c r="AW108" i="9"/>
  <c r="BB108" i="9"/>
  <c r="BF108" i="9"/>
  <c r="BD108" i="9" l="1"/>
  <c r="BE108" i="9" s="1"/>
  <c r="BG108" i="9" l="1"/>
  <c r="AU108" i="9"/>
  <c r="AV108" i="9" s="1"/>
  <c r="AS109" i="9" s="1"/>
  <c r="AT109" i="9" s="1"/>
  <c r="AZ109" i="9"/>
  <c r="BC109" i="9" s="1"/>
  <c r="AW109" i="9" l="1"/>
  <c r="BA109" i="9"/>
  <c r="BF109" i="9"/>
  <c r="BB109" i="9"/>
  <c r="BD109" i="9" l="1"/>
  <c r="AU109" i="9" s="1"/>
  <c r="AV109" i="9" s="1"/>
  <c r="BG109" i="9" l="1"/>
  <c r="BE109" i="9"/>
  <c r="AZ110" i="9" s="1"/>
  <c r="BC110" i="9" s="1"/>
  <c r="BB110" i="9" s="1"/>
  <c r="AS110" i="9"/>
  <c r="AT110" i="9" s="1"/>
  <c r="BF110" i="9" l="1"/>
  <c r="AW110" i="9"/>
  <c r="BA110" i="9"/>
  <c r="BD110" i="9" l="1"/>
  <c r="AU110" i="9" l="1"/>
  <c r="AV110" i="9" s="1"/>
  <c r="BG110" i="9"/>
  <c r="BE110" i="9"/>
  <c r="AZ111" i="9" l="1"/>
  <c r="BC111" i="9" s="1"/>
  <c r="AS111" i="9"/>
  <c r="AT111" i="9" s="1"/>
  <c r="BF111" i="9" l="1"/>
  <c r="BB111" i="9"/>
  <c r="AW111" i="9"/>
  <c r="BA111" i="9"/>
  <c r="BD111" i="9" l="1"/>
  <c r="AU111" i="9" l="1"/>
  <c r="AV111" i="9" s="1"/>
  <c r="BG111" i="9"/>
  <c r="BE111" i="9"/>
  <c r="AZ112" i="9" l="1"/>
  <c r="BC112" i="9" s="1"/>
  <c r="AS112" i="9"/>
  <c r="AT112" i="9" s="1"/>
  <c r="AW112" i="9" l="1"/>
  <c r="BA112" i="9"/>
  <c r="BF112" i="9"/>
  <c r="BB112" i="9"/>
  <c r="BD112" i="9" l="1"/>
  <c r="AU112" i="9" l="1"/>
  <c r="AV112" i="9" s="1"/>
  <c r="BG112" i="9"/>
  <c r="BE112" i="9"/>
  <c r="AZ113" i="9" l="1"/>
  <c r="BC113" i="9" s="1"/>
  <c r="AS113" i="9"/>
  <c r="AT113" i="9" s="1"/>
  <c r="BA113" i="9" l="1"/>
  <c r="AW113" i="9"/>
  <c r="BF113" i="9"/>
  <c r="BB113" i="9"/>
  <c r="BD113" i="9" l="1"/>
  <c r="AU113" i="9" l="1"/>
  <c r="AV113" i="9" s="1"/>
  <c r="BG113" i="9"/>
  <c r="BE113" i="9"/>
  <c r="AZ114" i="9" l="1"/>
  <c r="BC114" i="9" s="1"/>
  <c r="E41" i="8"/>
  <c r="AS114" i="9"/>
  <c r="AT114" i="9" s="1"/>
  <c r="D41" i="8"/>
  <c r="H41" i="8" l="1"/>
  <c r="G41" i="8"/>
  <c r="BB114" i="9"/>
  <c r="BF114" i="9"/>
  <c r="AW114" i="9"/>
  <c r="BA114" i="9"/>
  <c r="BD114" i="9" l="1"/>
  <c r="BE114" i="9" s="1"/>
  <c r="BG114" i="9" l="1"/>
  <c r="AU114" i="9"/>
  <c r="AV114" i="9" s="1"/>
  <c r="AS115" i="9" s="1"/>
  <c r="AT115" i="9" s="1"/>
  <c r="AZ115" i="9"/>
  <c r="BC115" i="9" s="1"/>
  <c r="BF115" i="9" l="1"/>
  <c r="BB115" i="9"/>
  <c r="AW115" i="9"/>
  <c r="BA115" i="9"/>
  <c r="BD115" i="9" l="1"/>
  <c r="AU115" i="9" l="1"/>
  <c r="AV115" i="9" s="1"/>
  <c r="BG115" i="9"/>
  <c r="BE115" i="9"/>
  <c r="AZ116" i="9" l="1"/>
  <c r="BC116" i="9" s="1"/>
  <c r="AS116" i="9"/>
  <c r="AT116" i="9" s="1"/>
  <c r="BA116" i="9" l="1"/>
  <c r="AW116" i="9"/>
  <c r="BF116" i="9"/>
  <c r="BB116" i="9"/>
  <c r="BD116" i="9" l="1"/>
  <c r="AU116" i="9" s="1"/>
  <c r="AV116" i="9" s="1"/>
  <c r="BG116" i="9" l="1"/>
  <c r="BE116" i="9"/>
  <c r="AZ117" i="9" s="1"/>
  <c r="BC117" i="9" s="1"/>
  <c r="BB117" i="9" s="1"/>
  <c r="AS117" i="9"/>
  <c r="AT117" i="9" s="1"/>
  <c r="BF117" i="9" l="1"/>
  <c r="AW117" i="9"/>
  <c r="BA117" i="9"/>
  <c r="BD117" i="9" l="1"/>
  <c r="AU117" i="9" l="1"/>
  <c r="AV117" i="9" s="1"/>
  <c r="BG117" i="9"/>
  <c r="BE117" i="9"/>
  <c r="AZ118" i="9" l="1"/>
  <c r="BC118" i="9" s="1"/>
  <c r="AS118" i="9"/>
  <c r="AT118" i="9" s="1"/>
  <c r="BF118" i="9" l="1"/>
  <c r="BB118" i="9"/>
  <c r="AW118" i="9"/>
  <c r="BA118" i="9"/>
  <c r="BD118" i="9" l="1"/>
  <c r="AU118" i="9" l="1"/>
  <c r="AV118" i="9" s="1"/>
  <c r="BG118" i="9"/>
  <c r="BE118" i="9"/>
  <c r="AZ119" i="9" l="1"/>
  <c r="BC119" i="9" s="1"/>
  <c r="AS119" i="9"/>
  <c r="AT119" i="9" s="1"/>
  <c r="AW119" i="9" l="1"/>
  <c r="BA119" i="9"/>
  <c r="BF119" i="9"/>
  <c r="BB119" i="9"/>
  <c r="BD119" i="9" l="1"/>
  <c r="AU119" i="9" l="1"/>
  <c r="AV119" i="9" s="1"/>
  <c r="BG119" i="9"/>
  <c r="BE119" i="9"/>
  <c r="AZ120" i="9" l="1"/>
  <c r="BC120" i="9" s="1"/>
  <c r="AS120" i="9"/>
  <c r="AT120" i="9" s="1"/>
  <c r="BA120" i="9" l="1"/>
  <c r="AW120" i="9"/>
  <c r="BF120" i="9"/>
  <c r="BB120" i="9"/>
  <c r="BD120" i="9" l="1"/>
  <c r="AU120" i="9" l="1"/>
  <c r="AV120" i="9" s="1"/>
  <c r="BG120" i="9"/>
  <c r="BE120" i="9"/>
  <c r="AZ121" i="9" l="1"/>
  <c r="BC121" i="9" s="1"/>
  <c r="AS121" i="9"/>
  <c r="AT121" i="9" s="1"/>
  <c r="AW121" i="9" l="1"/>
  <c r="BA121" i="9"/>
  <c r="BF121" i="9"/>
  <c r="BB121" i="9"/>
  <c r="BD121" i="9" l="1"/>
  <c r="AU121" i="9" s="1"/>
  <c r="AV121" i="9" s="1"/>
  <c r="BG121" i="9" l="1"/>
  <c r="BE121" i="9"/>
  <c r="AZ122" i="9" s="1"/>
  <c r="BC122" i="9" s="1"/>
  <c r="AS122" i="9"/>
  <c r="AT122" i="9" s="1"/>
  <c r="BF122" i="9" l="1"/>
  <c r="BB122" i="9"/>
  <c r="AW122" i="9"/>
  <c r="BA122" i="9"/>
  <c r="BD122" i="9" l="1"/>
  <c r="AU122" i="9" l="1"/>
  <c r="AV122" i="9" s="1"/>
  <c r="BG122" i="9"/>
  <c r="BE122" i="9"/>
  <c r="AZ123" i="9" l="1"/>
  <c r="BC123" i="9" s="1"/>
  <c r="AS123" i="9"/>
  <c r="AT123" i="9" s="1"/>
  <c r="BA123" i="9" l="1"/>
  <c r="AW123" i="9"/>
  <c r="BB123" i="9"/>
  <c r="BF123" i="9"/>
  <c r="BD123" i="9" l="1"/>
  <c r="AU123" i="9" l="1"/>
  <c r="AV123" i="9" s="1"/>
  <c r="BG123" i="9"/>
  <c r="BE123" i="9"/>
  <c r="AZ124" i="9" l="1"/>
  <c r="BC124" i="9" s="1"/>
  <c r="AS124" i="9"/>
  <c r="AT124" i="9" s="1"/>
  <c r="BB124" i="9" l="1"/>
  <c r="BF124" i="9"/>
  <c r="BA124" i="9"/>
  <c r="AW124" i="9"/>
  <c r="BD124" i="9" l="1"/>
  <c r="AU124" i="9" s="1"/>
  <c r="AV124" i="9" s="1"/>
  <c r="BG124" i="9" l="1"/>
  <c r="BE124" i="9"/>
  <c r="AZ125" i="9" s="1"/>
  <c r="BC125" i="9" s="1"/>
  <c r="BB125" i="9" s="1"/>
  <c r="AS125" i="9"/>
  <c r="AT125" i="9" s="1"/>
  <c r="BF125" i="9" l="1"/>
  <c r="BA125" i="9"/>
  <c r="AW125" i="9"/>
  <c r="BD125" i="9" l="1"/>
  <c r="AU125" i="9" l="1"/>
  <c r="AV125" i="9" s="1"/>
  <c r="BG125" i="9"/>
  <c r="BE125" i="9"/>
  <c r="AZ126" i="9" l="1"/>
  <c r="BC126" i="9" s="1"/>
  <c r="E42" i="8"/>
  <c r="AS126" i="9"/>
  <c r="AT126" i="9" s="1"/>
  <c r="D42" i="8"/>
  <c r="AW126" i="9" l="1"/>
  <c r="BA126" i="9"/>
  <c r="BB126" i="9"/>
  <c r="BF126" i="9"/>
  <c r="H42" i="8"/>
  <c r="G42" i="8"/>
  <c r="BD126" i="9" l="1"/>
  <c r="AU126" i="9" l="1"/>
  <c r="AV126" i="9" s="1"/>
  <c r="BG126" i="9"/>
  <c r="BE126" i="9"/>
  <c r="AZ127" i="9" l="1"/>
  <c r="BC127" i="9" s="1"/>
  <c r="AS127" i="9"/>
  <c r="AT127" i="9" s="1"/>
  <c r="BF127" i="9" l="1"/>
  <c r="BB127" i="9"/>
  <c r="BA127" i="9"/>
  <c r="AW127" i="9"/>
  <c r="BD127" i="9" l="1"/>
  <c r="AU127" i="9" l="1"/>
  <c r="AV127" i="9" s="1"/>
  <c r="BG127" i="9"/>
  <c r="BE127" i="9"/>
  <c r="AZ128" i="9" l="1"/>
  <c r="BC128" i="9" s="1"/>
  <c r="AS128" i="9"/>
  <c r="AT128" i="9" s="1"/>
  <c r="BF128" i="9" l="1"/>
  <c r="BB128" i="9"/>
  <c r="AW128" i="9"/>
  <c r="BA128" i="9"/>
  <c r="BD128" i="9" l="1"/>
  <c r="BE128" i="9" s="1"/>
  <c r="BG128" i="9" l="1"/>
  <c r="AU128" i="9"/>
  <c r="AV128" i="9" s="1"/>
  <c r="AS129" i="9" s="1"/>
  <c r="AT129" i="9" s="1"/>
  <c r="AZ129" i="9"/>
  <c r="BC129" i="9" s="1"/>
  <c r="BF129" i="9" l="1"/>
  <c r="BB129" i="9"/>
  <c r="AW129" i="9"/>
  <c r="BA129" i="9"/>
  <c r="BD129" i="9" l="1"/>
  <c r="AU129" i="9" l="1"/>
  <c r="AV129" i="9" s="1"/>
  <c r="BG129" i="9"/>
  <c r="BE129" i="9"/>
  <c r="AZ130" i="9" l="1"/>
  <c r="BC130" i="9" s="1"/>
  <c r="AS130" i="9"/>
  <c r="AT130" i="9" s="1"/>
  <c r="BA130" i="9" l="1"/>
  <c r="AW130" i="9"/>
  <c r="BB130" i="9"/>
  <c r="BF130" i="9"/>
  <c r="BD130" i="9" l="1"/>
  <c r="AU130" i="9" l="1"/>
  <c r="AV130" i="9" s="1"/>
  <c r="BG130" i="9"/>
  <c r="BE130" i="9"/>
  <c r="AZ131" i="9" l="1"/>
  <c r="BC131" i="9" s="1"/>
  <c r="AS131" i="9"/>
  <c r="AT131" i="9" s="1"/>
  <c r="BB131" i="9" l="1"/>
  <c r="BF131" i="9"/>
  <c r="BA131" i="9"/>
  <c r="AW131" i="9"/>
  <c r="BD131" i="9" l="1"/>
  <c r="AU131" i="9" s="1"/>
  <c r="AV131" i="9" s="1"/>
  <c r="BG131" i="9" l="1"/>
  <c r="BE131" i="9"/>
  <c r="AZ132" i="9" s="1"/>
  <c r="BC132" i="9" s="1"/>
  <c r="BB132" i="9" s="1"/>
  <c r="AS132" i="9"/>
  <c r="AT132" i="9" s="1"/>
  <c r="BF132" i="9" l="1"/>
  <c r="AW132" i="9"/>
  <c r="BA132" i="9"/>
  <c r="BD132" i="9" l="1"/>
  <c r="AU132" i="9" l="1"/>
  <c r="AV132" i="9" s="1"/>
  <c r="BG132" i="9"/>
  <c r="BE132" i="9"/>
  <c r="AZ133" i="9" l="1"/>
  <c r="BC133" i="9" s="1"/>
  <c r="AS133" i="9"/>
  <c r="AT133" i="9" s="1"/>
  <c r="AW133" i="9" l="1"/>
  <c r="BA133" i="9"/>
  <c r="BF133" i="9"/>
  <c r="BB133" i="9"/>
  <c r="BD133" i="9" l="1"/>
  <c r="AU133" i="9" s="1"/>
  <c r="AV133" i="9" s="1"/>
  <c r="BE133" i="9" l="1"/>
  <c r="AZ134" i="9" s="1"/>
  <c r="BC134" i="9" s="1"/>
  <c r="BG133" i="9"/>
  <c r="AS134" i="9"/>
  <c r="AT134" i="9" s="1"/>
  <c r="AW134" i="9" l="1"/>
  <c r="BA134" i="9"/>
  <c r="BF134" i="9"/>
  <c r="BB134" i="9"/>
  <c r="BD134" i="9" l="1"/>
  <c r="AU134" i="9" l="1"/>
  <c r="AV134" i="9" s="1"/>
  <c r="BG134" i="9"/>
  <c r="BE134" i="9"/>
  <c r="AZ135" i="9" l="1"/>
  <c r="BC135" i="9" s="1"/>
  <c r="AS135" i="9"/>
  <c r="AT135" i="9" s="1"/>
  <c r="BF135" i="9" l="1"/>
  <c r="BB135" i="9"/>
  <c r="BA135" i="9"/>
  <c r="AW135" i="9"/>
  <c r="BD135" i="9" l="1"/>
  <c r="AU135" i="9" l="1"/>
  <c r="AV135" i="9" s="1"/>
  <c r="BG135" i="9"/>
  <c r="BE135" i="9"/>
  <c r="AZ136" i="9" l="1"/>
  <c r="BC136" i="9" s="1"/>
  <c r="AS136" i="9"/>
  <c r="AT136" i="9" s="1"/>
  <c r="AW136" i="9" l="1"/>
  <c r="BA136" i="9"/>
  <c r="BF136" i="9"/>
  <c r="BB136" i="9"/>
  <c r="BD136" i="9" l="1"/>
  <c r="AU136" i="9" s="1"/>
  <c r="AV136" i="9" s="1"/>
  <c r="BG136" i="9" l="1"/>
  <c r="BE136" i="9"/>
  <c r="AZ137" i="9" s="1"/>
  <c r="BC137" i="9" s="1"/>
  <c r="AS137" i="9"/>
  <c r="AT137" i="9" s="1"/>
  <c r="BA137" i="9" l="1"/>
  <c r="AW137" i="9"/>
  <c r="BF137" i="9"/>
  <c r="BB137" i="9"/>
  <c r="BD137" i="9" l="1"/>
  <c r="AU137" i="9" s="1"/>
  <c r="AV137" i="9" s="1"/>
  <c r="BE137" i="9" l="1"/>
  <c r="AZ138" i="9" s="1"/>
  <c r="BC138" i="9" s="1"/>
  <c r="BG137" i="9"/>
  <c r="AS138" i="9"/>
  <c r="AT138" i="9" s="1"/>
  <c r="D43" i="8"/>
  <c r="E43" i="8" l="1"/>
  <c r="G43" i="8" s="1"/>
  <c r="BF138" i="9"/>
  <c r="BB138" i="9"/>
  <c r="H43" i="8"/>
  <c r="BA138" i="9"/>
  <c r="AW138" i="9"/>
  <c r="BD138" i="9" l="1"/>
  <c r="AU138" i="9" l="1"/>
  <c r="AV138" i="9" s="1"/>
  <c r="BG138" i="9"/>
  <c r="BE138" i="9"/>
  <c r="AZ139" i="9" l="1"/>
  <c r="BC139" i="9" s="1"/>
  <c r="AS139" i="9"/>
  <c r="AT139" i="9" s="1"/>
  <c r="AW139" i="9" l="1"/>
  <c r="BA139" i="9"/>
  <c r="BF139" i="9"/>
  <c r="BB139" i="9"/>
  <c r="BD139" i="9" l="1"/>
  <c r="AU139" i="9" s="1"/>
  <c r="AV139" i="9" s="1"/>
  <c r="BE139" i="9" l="1"/>
  <c r="AZ140" i="9" s="1"/>
  <c r="BC140" i="9" s="1"/>
  <c r="BG139" i="9"/>
  <c r="AS140" i="9"/>
  <c r="AT140" i="9" s="1"/>
  <c r="BF140" i="9" l="1"/>
  <c r="BB140" i="9"/>
  <c r="AW140" i="9"/>
  <c r="BA140" i="9"/>
  <c r="BD140" i="9" l="1"/>
  <c r="BE140" i="9" s="1"/>
  <c r="BG140" i="9" l="1"/>
  <c r="AU140" i="9"/>
  <c r="AV140" i="9" s="1"/>
  <c r="AS141" i="9" s="1"/>
  <c r="AZ141" i="9"/>
  <c r="BC141" i="9" s="1"/>
  <c r="AT141" i="9" l="1"/>
  <c r="BA141" i="9" s="1"/>
  <c r="BB141" i="9"/>
  <c r="BF141" i="9"/>
  <c r="AW141" i="9" l="1"/>
  <c r="BD141" i="9"/>
  <c r="BE141" i="9" s="1"/>
  <c r="BG141" i="9" l="1"/>
  <c r="AU141" i="9"/>
  <c r="AV141" i="9" s="1"/>
  <c r="AS142" i="9" s="1"/>
  <c r="AT142" i="9" s="1"/>
  <c r="AZ142" i="9"/>
  <c r="BC142" i="9" s="1"/>
  <c r="BA142" i="9" l="1"/>
  <c r="AW142" i="9"/>
  <c r="BB142" i="9"/>
  <c r="BF142" i="9"/>
  <c r="BD142" i="9" l="1"/>
  <c r="AU142" i="9" l="1"/>
  <c r="AV142" i="9" s="1"/>
  <c r="BG142" i="9"/>
  <c r="BE142" i="9"/>
  <c r="AZ143" i="9" l="1"/>
  <c r="BC143" i="9" s="1"/>
  <c r="AS143" i="9"/>
  <c r="AT143" i="9" s="1"/>
  <c r="BA143" i="9" l="1"/>
  <c r="AW143" i="9"/>
  <c r="BF143" i="9"/>
  <c r="BB143" i="9"/>
  <c r="BD143" i="9" l="1"/>
  <c r="AU143" i="9" l="1"/>
  <c r="AV143" i="9" s="1"/>
  <c r="BG143" i="9"/>
  <c r="BE143" i="9"/>
  <c r="AZ144" i="9" l="1"/>
  <c r="BC144" i="9" s="1"/>
  <c r="AS144" i="9"/>
  <c r="AT144" i="9" s="1"/>
  <c r="AW144" i="9" l="1"/>
  <c r="BA144" i="9"/>
  <c r="BF144" i="9"/>
  <c r="BB144" i="9"/>
  <c r="BD144" i="9" l="1"/>
  <c r="AU144" i="9" s="1"/>
  <c r="AV144" i="9" s="1"/>
  <c r="BG144" i="9" l="1"/>
  <c r="BE144" i="9"/>
  <c r="AZ145" i="9" s="1"/>
  <c r="BC145" i="9" s="1"/>
  <c r="AS145" i="9"/>
  <c r="AT145" i="9" s="1"/>
  <c r="BA145" i="9" l="1"/>
  <c r="AW145" i="9"/>
  <c r="BF145" i="9"/>
  <c r="BB145" i="9"/>
  <c r="BD145" i="9" l="1"/>
  <c r="AU145" i="9" s="1"/>
  <c r="AV145" i="9" s="1"/>
  <c r="BE145" i="9" l="1"/>
  <c r="AZ146" i="9" s="1"/>
  <c r="BC146" i="9" s="1"/>
  <c r="BG145" i="9"/>
  <c r="AS146" i="9"/>
  <c r="AT146" i="9" s="1"/>
  <c r="BA146" i="9" l="1"/>
  <c r="AW146" i="9"/>
  <c r="BB146" i="9"/>
  <c r="BF146" i="9"/>
  <c r="BD146" i="9" l="1"/>
  <c r="AU146" i="9" l="1"/>
  <c r="AV146" i="9" s="1"/>
  <c r="BG146" i="9"/>
  <c r="BE146" i="9"/>
  <c r="AZ147" i="9" l="1"/>
  <c r="BC147" i="9" s="1"/>
  <c r="AS147" i="9"/>
  <c r="AT147" i="9" s="1"/>
  <c r="BA147" i="9" l="1"/>
  <c r="AW147" i="9"/>
  <c r="BB147" i="9"/>
  <c r="BF147" i="9"/>
  <c r="BD147" i="9" l="1"/>
  <c r="BE147" i="9" s="1"/>
  <c r="AU147" i="9" l="1"/>
  <c r="AV147" i="9" s="1"/>
  <c r="AS148" i="9" s="1"/>
  <c r="AT148" i="9" s="1"/>
  <c r="BG147" i="9"/>
  <c r="AZ148" i="9"/>
  <c r="BC148" i="9" s="1"/>
  <c r="AW148" i="9" l="1"/>
  <c r="BA148" i="9"/>
  <c r="BF148" i="9"/>
  <c r="BB148" i="9"/>
  <c r="BD148" i="9" l="1"/>
  <c r="AU148" i="9" s="1"/>
  <c r="AV148" i="9" s="1"/>
  <c r="BG148" i="9" l="1"/>
  <c r="BE148" i="9"/>
  <c r="AZ149" i="9" s="1"/>
  <c r="BC149" i="9" s="1"/>
  <c r="AS149" i="9"/>
  <c r="AT149" i="9" s="1"/>
  <c r="BF149" i="9" l="1"/>
  <c r="BB149" i="9"/>
  <c r="AW149" i="9"/>
  <c r="BA149" i="9"/>
  <c r="BD149" i="9" l="1"/>
  <c r="BE149" i="9" s="1"/>
  <c r="AZ150" i="9" l="1"/>
  <c r="BC150" i="9" s="1"/>
  <c r="BB150" i="9" s="1"/>
  <c r="E44" i="8"/>
  <c r="AU149" i="9"/>
  <c r="AV149" i="9" s="1"/>
  <c r="D44" i="8" s="1"/>
  <c r="BG149" i="9"/>
  <c r="BF150" i="9" l="1"/>
  <c r="AS150" i="9"/>
  <c r="AT150" i="9" s="1"/>
  <c r="BA150" i="9" s="1"/>
  <c r="G44" i="8"/>
  <c r="H44" i="8"/>
  <c r="AW150" i="9" l="1"/>
  <c r="BD150" i="9"/>
  <c r="AU150" i="9" l="1"/>
  <c r="AV150" i="9" s="1"/>
  <c r="BG150" i="9"/>
  <c r="BE150" i="9"/>
  <c r="AZ151" i="9" l="1"/>
  <c r="BC151" i="9" s="1"/>
  <c r="AS151" i="9"/>
  <c r="AT151" i="9" s="1"/>
  <c r="AW151" i="9" l="1"/>
  <c r="BA151" i="9"/>
  <c r="BF151" i="9"/>
  <c r="BB151" i="9"/>
  <c r="BD151" i="9" l="1"/>
  <c r="AU151" i="9" s="1"/>
  <c r="AV151" i="9" s="1"/>
  <c r="BG151" i="9" l="1"/>
  <c r="BE151" i="9"/>
  <c r="AZ152" i="9" s="1"/>
  <c r="BC152" i="9" s="1"/>
  <c r="AS152" i="9"/>
  <c r="AT152" i="9" s="1"/>
  <c r="BF152" i="9" l="1"/>
  <c r="BB152" i="9"/>
  <c r="BA152" i="9"/>
  <c r="AW152" i="9"/>
  <c r="BD152" i="9" l="1"/>
  <c r="BG152" i="9" s="1"/>
  <c r="AU152" i="9" l="1"/>
  <c r="AV152" i="9" s="1"/>
  <c r="AS153" i="9" s="1"/>
  <c r="AT153" i="9" s="1"/>
  <c r="BE152" i="9"/>
  <c r="AZ153" i="9" s="1"/>
  <c r="BC153" i="9" s="1"/>
  <c r="BA153" i="9" l="1"/>
  <c r="AW153" i="9"/>
  <c r="BB153" i="9"/>
  <c r="BF153" i="9"/>
  <c r="BD153" i="9" l="1"/>
  <c r="BE153" i="9" s="1"/>
  <c r="BG153" i="9" l="1"/>
  <c r="AZ154" i="9"/>
  <c r="BC154" i="9" s="1"/>
  <c r="AU153" i="9"/>
  <c r="AV153" i="9" s="1"/>
  <c r="AS154" i="9" s="1"/>
  <c r="AT154" i="9" s="1"/>
  <c r="BB154" i="9" l="1"/>
  <c r="BF154" i="9"/>
  <c r="BA154" i="9"/>
  <c r="AW154" i="9"/>
  <c r="BD154" i="9" l="1"/>
  <c r="AU154" i="9" l="1"/>
  <c r="AV154" i="9" s="1"/>
  <c r="BG154" i="9"/>
  <c r="BE154" i="9"/>
  <c r="AZ155" i="9" l="1"/>
  <c r="BC155" i="9" s="1"/>
  <c r="AS155" i="9"/>
  <c r="AT155" i="9" s="1"/>
  <c r="BB155" i="9" l="1"/>
  <c r="BF155" i="9"/>
  <c r="BA155" i="9"/>
  <c r="AW155" i="9"/>
  <c r="BD155" i="9" l="1"/>
  <c r="AU155" i="9" s="1"/>
  <c r="AV155" i="9" s="1"/>
  <c r="BG155" i="9" l="1"/>
  <c r="BE155" i="9"/>
  <c r="AZ156" i="9" s="1"/>
  <c r="BC156" i="9" s="1"/>
  <c r="BB156" i="9" s="1"/>
  <c r="AS156" i="9"/>
  <c r="AT156" i="9" s="1"/>
  <c r="BF156" i="9" l="1"/>
  <c r="AW156" i="9"/>
  <c r="BA156" i="9"/>
  <c r="BD156" i="9" l="1"/>
  <c r="BG156" i="9" l="1"/>
  <c r="AU156" i="9"/>
  <c r="AV156" i="9" s="1"/>
  <c r="BE156" i="9"/>
  <c r="AZ157" i="9" l="1"/>
  <c r="BC157" i="9" s="1"/>
  <c r="AS157" i="9"/>
  <c r="AT157" i="9" s="1"/>
  <c r="AW157" i="9" l="1"/>
  <c r="BA157" i="9"/>
  <c r="BF157" i="9"/>
  <c r="BB157" i="9"/>
  <c r="BD157" i="9" l="1"/>
  <c r="AU157" i="9" s="1"/>
  <c r="AV157" i="9" s="1"/>
  <c r="BG157" i="9" l="1"/>
  <c r="BE157" i="9"/>
  <c r="AZ158" i="9" s="1"/>
  <c r="BC158" i="9" s="1"/>
  <c r="AS158" i="9"/>
  <c r="AT158" i="9" s="1"/>
  <c r="AW158" i="9" l="1"/>
  <c r="BA158" i="9"/>
  <c r="BF158" i="9"/>
  <c r="BB158" i="9"/>
  <c r="BD158" i="9" l="1"/>
  <c r="AU158" i="9" l="1"/>
  <c r="AV158" i="9" s="1"/>
  <c r="BG158" i="9"/>
  <c r="BE158" i="9"/>
  <c r="AZ159" i="9" l="1"/>
  <c r="BC159" i="9" s="1"/>
  <c r="AS159" i="9"/>
  <c r="AT159" i="9" s="1"/>
  <c r="BF159" i="9" l="1"/>
  <c r="BB159" i="9"/>
  <c r="BA159" i="9"/>
  <c r="AW159" i="9"/>
  <c r="BD159" i="9" l="1"/>
  <c r="AU159" i="9" l="1"/>
  <c r="AV159" i="9" s="1"/>
  <c r="BG159" i="9"/>
  <c r="BE159" i="9"/>
  <c r="AZ160" i="9" l="1"/>
  <c r="BC160" i="9" s="1"/>
  <c r="AS160" i="9"/>
  <c r="AT160" i="9" s="1"/>
  <c r="BF160" i="9" l="1"/>
  <c r="BB160" i="9"/>
  <c r="AW160" i="9"/>
  <c r="BA160" i="9"/>
  <c r="BD160" i="9" l="1"/>
  <c r="BE160" i="9" s="1"/>
  <c r="BG160" i="9" l="1"/>
  <c r="AU160" i="9"/>
  <c r="AV160" i="9" s="1"/>
  <c r="AS161" i="9" s="1"/>
  <c r="AT161" i="9" s="1"/>
  <c r="AZ161" i="9"/>
  <c r="BC161" i="9" s="1"/>
  <c r="BF161" i="9" l="1"/>
  <c r="BB161" i="9"/>
  <c r="BA161" i="9"/>
  <c r="AW161" i="9"/>
  <c r="BD161" i="9" l="1"/>
  <c r="BE161" i="9" s="1"/>
  <c r="BG161" i="9" l="1"/>
  <c r="AU161" i="9"/>
  <c r="AV161" i="9" s="1"/>
  <c r="AS162" i="9" s="1"/>
  <c r="AT162" i="9" s="1"/>
  <c r="AZ162" i="9"/>
  <c r="BC162" i="9" s="1"/>
  <c r="E45" i="8"/>
  <c r="D45" i="8" l="1"/>
  <c r="H45" i="8" s="1"/>
  <c r="BF162" i="9"/>
  <c r="BB162" i="9"/>
  <c r="BA162" i="9"/>
  <c r="AW162" i="9"/>
  <c r="G45" i="8" l="1"/>
  <c r="BD162" i="9"/>
  <c r="AU162" i="9" l="1"/>
  <c r="AV162" i="9" s="1"/>
  <c r="BG162" i="9"/>
  <c r="BE162" i="9"/>
  <c r="AZ163" i="9" l="1"/>
  <c r="BC163" i="9" s="1"/>
  <c r="AS163" i="9"/>
  <c r="AT163" i="9" s="1"/>
  <c r="AW163" i="9" l="1"/>
  <c r="BA163" i="9"/>
  <c r="BF163" i="9"/>
  <c r="BB163" i="9"/>
  <c r="BD163" i="9" l="1"/>
  <c r="AU163" i="9" s="1"/>
  <c r="AV163" i="9" s="1"/>
  <c r="BE163" i="9" l="1"/>
  <c r="AZ164" i="9" s="1"/>
  <c r="BC164" i="9" s="1"/>
  <c r="BG163" i="9"/>
  <c r="AS164" i="9"/>
  <c r="AT164" i="9" s="1"/>
  <c r="AW164" i="9" l="1"/>
  <c r="BA164" i="9"/>
  <c r="BF164" i="9"/>
  <c r="BB164" i="9"/>
  <c r="BD164" i="9" l="1"/>
  <c r="AU164" i="9" s="1"/>
  <c r="AV164" i="9" s="1"/>
  <c r="BE164" i="9" l="1"/>
  <c r="AZ165" i="9" s="1"/>
  <c r="BC165" i="9" s="1"/>
  <c r="BG164" i="9"/>
  <c r="AS165" i="9"/>
  <c r="AT165" i="9" s="1"/>
  <c r="AW165" i="9" l="1"/>
  <c r="BA165" i="9"/>
  <c r="BF165" i="9"/>
  <c r="BB165" i="9"/>
  <c r="BD165" i="9" l="1"/>
  <c r="AU165" i="9" l="1"/>
  <c r="AV165" i="9" s="1"/>
  <c r="BG165" i="9"/>
  <c r="BE165" i="9"/>
  <c r="AZ166" i="9" l="1"/>
  <c r="BC166" i="9" s="1"/>
  <c r="AS166" i="9"/>
  <c r="AT166" i="9" s="1"/>
  <c r="BF166" i="9" l="1"/>
  <c r="BB166" i="9"/>
  <c r="BA166" i="9"/>
  <c r="AW166" i="9"/>
  <c r="BD166" i="9" l="1"/>
  <c r="AU166" i="9" l="1"/>
  <c r="AV166" i="9" s="1"/>
  <c r="BG166" i="9"/>
  <c r="BE166" i="9"/>
  <c r="AZ167" i="9" l="1"/>
  <c r="BC167" i="9" s="1"/>
  <c r="AS167" i="9"/>
  <c r="AT167" i="9" s="1"/>
  <c r="BF167" i="9" l="1"/>
  <c r="BB167" i="9"/>
  <c r="AW167" i="9"/>
  <c r="BA167" i="9"/>
  <c r="BD167" i="9" l="1"/>
  <c r="BE167" i="9" s="1"/>
  <c r="BG167" i="9" l="1"/>
  <c r="AU167" i="9"/>
  <c r="AV167" i="9" s="1"/>
  <c r="AS168" i="9" s="1"/>
  <c r="AT168" i="9" s="1"/>
  <c r="AZ168" i="9"/>
  <c r="BC168" i="9" s="1"/>
  <c r="AW168" i="9" l="1"/>
  <c r="BA168" i="9"/>
  <c r="BF168" i="9"/>
  <c r="BB168" i="9"/>
  <c r="BD168" i="9" l="1"/>
  <c r="AU168" i="9" s="1"/>
  <c r="AV168" i="9" s="1"/>
  <c r="BE168" i="9" l="1"/>
  <c r="AZ169" i="9" s="1"/>
  <c r="BC169" i="9" s="1"/>
  <c r="BG168" i="9"/>
  <c r="AS169" i="9"/>
  <c r="AT169" i="9" s="1"/>
  <c r="AW169" i="9" l="1"/>
  <c r="BA169" i="9"/>
  <c r="BF169" i="9"/>
  <c r="BB169" i="9"/>
  <c r="BD169" i="9" l="1"/>
  <c r="AU169" i="9" l="1"/>
  <c r="AV169" i="9" s="1"/>
  <c r="BG169" i="9"/>
  <c r="BE169" i="9"/>
  <c r="AZ170" i="9" l="1"/>
  <c r="BC170" i="9" s="1"/>
  <c r="AS170" i="9"/>
  <c r="AT170" i="9" s="1"/>
  <c r="BF170" i="9" l="1"/>
  <c r="BB170" i="9"/>
  <c r="BA170" i="9"/>
  <c r="AW170" i="9"/>
  <c r="BD170" i="9" l="1"/>
  <c r="BE170" i="9" s="1"/>
  <c r="AZ171" i="9" s="1"/>
  <c r="BC171" i="9" s="1"/>
  <c r="BG170" i="9" l="1"/>
  <c r="AU170" i="9"/>
  <c r="AV170" i="9" s="1"/>
  <c r="AS171" i="9" s="1"/>
  <c r="AT171" i="9" s="1"/>
  <c r="BF171" i="9"/>
  <c r="BB171" i="9"/>
  <c r="AW171" i="9" l="1"/>
  <c r="BA171" i="9"/>
  <c r="BD171" i="9" l="1"/>
  <c r="AU171" i="9" l="1"/>
  <c r="AV171" i="9" s="1"/>
  <c r="BG171" i="9"/>
  <c r="BE171" i="9"/>
  <c r="AZ172" i="9" l="1"/>
  <c r="BC172" i="9" s="1"/>
  <c r="AS172" i="9"/>
  <c r="AT172" i="9" s="1"/>
  <c r="AW172" i="9" l="1"/>
  <c r="BA172" i="9"/>
  <c r="BF172" i="9"/>
  <c r="BB172" i="9"/>
  <c r="BD172" i="9" l="1"/>
  <c r="AU172" i="9" s="1"/>
  <c r="AV172" i="9" s="1"/>
  <c r="BE172" i="9" l="1"/>
  <c r="AZ173" i="9" s="1"/>
  <c r="BC173" i="9" s="1"/>
  <c r="BG172" i="9"/>
  <c r="AS173" i="9"/>
  <c r="AT173" i="9" s="1"/>
  <c r="BF173" i="9" l="1"/>
  <c r="BB173" i="9"/>
  <c r="AW173" i="9"/>
  <c r="BA173" i="9"/>
  <c r="BD173" i="9" l="1"/>
  <c r="BE173" i="9" s="1"/>
  <c r="BG173" i="9" l="1"/>
  <c r="AU173" i="9"/>
  <c r="AV173" i="9" s="1"/>
  <c r="AS174" i="9" s="1"/>
  <c r="AT174" i="9" s="1"/>
  <c r="AZ174" i="9"/>
  <c r="BC174" i="9" s="1"/>
  <c r="E46" i="8"/>
  <c r="D46" i="8" l="1"/>
  <c r="G46" i="8" s="1"/>
  <c r="AW174" i="9"/>
  <c r="BA174" i="9"/>
  <c r="BB174" i="9"/>
  <c r="BF174" i="9"/>
  <c r="H46" i="8" l="1"/>
  <c r="BD174" i="9"/>
  <c r="AU174" i="9" l="1"/>
  <c r="AV174" i="9" s="1"/>
  <c r="BG174" i="9"/>
  <c r="BE174" i="9"/>
  <c r="AZ175" i="9" l="1"/>
  <c r="BC175" i="9" s="1"/>
  <c r="AS175" i="9"/>
  <c r="AT175" i="9" s="1"/>
  <c r="AW175" i="9" l="1"/>
  <c r="BA175" i="9"/>
  <c r="BF175" i="9"/>
  <c r="BB175" i="9"/>
  <c r="BD175" i="9" l="1"/>
  <c r="BE175" i="9" s="1"/>
  <c r="AZ176" i="9" s="1"/>
  <c r="BC176" i="9" s="1"/>
  <c r="BG175" i="9" l="1"/>
  <c r="AU175" i="9"/>
  <c r="AV175" i="9" s="1"/>
  <c r="AS176" i="9" s="1"/>
  <c r="AT176" i="9" s="1"/>
  <c r="BF176" i="9"/>
  <c r="BB176" i="9"/>
  <c r="AW176" i="9" l="1"/>
  <c r="BA176" i="9"/>
  <c r="BD176" i="9" l="1"/>
  <c r="AU176" i="9" l="1"/>
  <c r="AV176" i="9" s="1"/>
  <c r="BG176" i="9"/>
  <c r="BE176" i="9"/>
  <c r="AZ177" i="9" l="1"/>
  <c r="BC177" i="9" s="1"/>
  <c r="AS177" i="9"/>
  <c r="AT177" i="9" s="1"/>
  <c r="BA177" i="9" l="1"/>
  <c r="AW177" i="9"/>
  <c r="BF177" i="9"/>
  <c r="BB177" i="9"/>
  <c r="BD177" i="9" l="1"/>
  <c r="BE177" i="9" s="1"/>
  <c r="BG177" i="9" l="1"/>
  <c r="AU177" i="9"/>
  <c r="AV177" i="9" s="1"/>
  <c r="AS178" i="9" s="1"/>
  <c r="AT178" i="9" s="1"/>
  <c r="AZ178" i="9"/>
  <c r="BC178" i="9" s="1"/>
  <c r="AW178" i="9" l="1"/>
  <c r="BA178" i="9"/>
  <c r="BF178" i="9"/>
  <c r="BB178" i="9"/>
  <c r="BD178" i="9" l="1"/>
  <c r="AU178" i="9" l="1"/>
  <c r="AV178" i="9" s="1"/>
  <c r="BG178" i="9"/>
  <c r="BE178" i="9"/>
  <c r="AZ179" i="9" l="1"/>
  <c r="BC179" i="9" s="1"/>
  <c r="AS179" i="9"/>
  <c r="AT179" i="9" s="1"/>
  <c r="AW179" i="9" l="1"/>
  <c r="BA179" i="9"/>
  <c r="BF179" i="9"/>
  <c r="BB179" i="9"/>
  <c r="BD179" i="9" l="1"/>
  <c r="BE179" i="9" s="1"/>
  <c r="AZ180" i="9" s="1"/>
  <c r="BC180" i="9" s="1"/>
  <c r="BG179" i="9" l="1"/>
  <c r="AU179" i="9"/>
  <c r="AV179" i="9" s="1"/>
  <c r="AS180" i="9" s="1"/>
  <c r="AT180" i="9" s="1"/>
  <c r="BF180" i="9"/>
  <c r="BB180" i="9"/>
  <c r="AW180" i="9" l="1"/>
  <c r="BA180" i="9"/>
  <c r="BD180" i="9" l="1"/>
  <c r="AU180" i="9" l="1"/>
  <c r="AV180" i="9" s="1"/>
  <c r="BG180" i="9"/>
  <c r="BE180" i="9"/>
  <c r="AZ181" i="9" l="1"/>
  <c r="BC181" i="9" s="1"/>
  <c r="AS181" i="9"/>
  <c r="AT181" i="9" s="1"/>
  <c r="BA181" i="9" l="1"/>
  <c r="AW181" i="9"/>
  <c r="BF181" i="9"/>
  <c r="BB181" i="9"/>
  <c r="BD181" i="9" l="1"/>
  <c r="AU181" i="9" l="1"/>
  <c r="AV181" i="9" s="1"/>
  <c r="BG181" i="9"/>
  <c r="BE181" i="9"/>
  <c r="AZ182" i="9" l="1"/>
  <c r="BC182" i="9" s="1"/>
  <c r="AS182" i="9"/>
  <c r="AT182" i="9" s="1"/>
  <c r="BF182" i="9" l="1"/>
  <c r="BB182" i="9"/>
  <c r="AW182" i="9"/>
  <c r="BA182" i="9"/>
  <c r="BD182" i="9" l="1"/>
  <c r="BE182" i="9" s="1"/>
  <c r="BG182" i="9" l="1"/>
  <c r="AU182" i="9"/>
  <c r="AV182" i="9" s="1"/>
  <c r="AS183" i="9" s="1"/>
  <c r="AT183" i="9" s="1"/>
  <c r="AZ183" i="9"/>
  <c r="BC183" i="9" s="1"/>
  <c r="AW183" i="9" l="1"/>
  <c r="BA183" i="9"/>
  <c r="BF183" i="9"/>
  <c r="BB183" i="9"/>
  <c r="BD183" i="9" l="1"/>
  <c r="AU183" i="9" s="1"/>
  <c r="AV183" i="9" s="1"/>
  <c r="BE183" i="9" l="1"/>
  <c r="AZ184" i="9" s="1"/>
  <c r="BC184" i="9" s="1"/>
  <c r="BG183" i="9"/>
  <c r="AS184" i="9"/>
  <c r="AT184" i="9" s="1"/>
  <c r="BA184" i="9" l="1"/>
  <c r="AW184" i="9"/>
  <c r="BB184" i="9"/>
  <c r="BF184" i="9"/>
  <c r="BD184" i="9" l="1"/>
  <c r="AU184" i="9" l="1"/>
  <c r="AV184" i="9" s="1"/>
  <c r="BG184" i="9"/>
  <c r="BE184" i="9"/>
  <c r="AZ185" i="9" l="1"/>
  <c r="BC185" i="9" s="1"/>
  <c r="AS185" i="9"/>
  <c r="AT185" i="9" s="1"/>
  <c r="BB185" i="9" l="1"/>
  <c r="BF185" i="9"/>
  <c r="BA185" i="9"/>
  <c r="AW185" i="9"/>
  <c r="BD185" i="9" l="1"/>
  <c r="BE185" i="9" s="1"/>
  <c r="BG185" i="9" l="1"/>
  <c r="AU185" i="9"/>
  <c r="AV185" i="9" s="1"/>
  <c r="AS186" i="9" s="1"/>
  <c r="AT186" i="9" s="1"/>
  <c r="AZ186" i="9"/>
  <c r="BC186" i="9" s="1"/>
  <c r="BB186" i="9" s="1"/>
  <c r="E47" i="8"/>
  <c r="D47" i="8" l="1"/>
  <c r="H47" i="8" s="1"/>
  <c r="BF186" i="9"/>
  <c r="AW186" i="9"/>
  <c r="BA186" i="9"/>
  <c r="G47" i="8" l="1"/>
  <c r="BD186" i="9"/>
  <c r="AU186" i="9" l="1"/>
  <c r="AV186" i="9" s="1"/>
  <c r="BG186" i="9"/>
  <c r="BE186" i="9"/>
  <c r="AZ187" i="9" l="1"/>
  <c r="BC187" i="9" s="1"/>
  <c r="AS187" i="9"/>
  <c r="AT187" i="9" s="1"/>
  <c r="AW187" i="9" l="1"/>
  <c r="BA187" i="9"/>
  <c r="BF187" i="9"/>
  <c r="BB187" i="9"/>
  <c r="BD187" i="9" l="1"/>
  <c r="AU187" i="9" l="1"/>
  <c r="AV187" i="9" s="1"/>
  <c r="BG187" i="9"/>
  <c r="BE187" i="9"/>
  <c r="AZ188" i="9" l="1"/>
  <c r="BC188" i="9" s="1"/>
  <c r="AS188" i="9"/>
  <c r="AT188" i="9" s="1"/>
  <c r="BA188" i="9" l="1"/>
  <c r="AW188" i="9"/>
  <c r="BF188" i="9"/>
  <c r="BB188" i="9"/>
  <c r="BD188" i="9" l="1"/>
  <c r="AU188" i="9" l="1"/>
  <c r="AV188" i="9" s="1"/>
  <c r="BG188" i="9"/>
  <c r="BE188" i="9"/>
  <c r="AZ189" i="9" l="1"/>
  <c r="BC189" i="9" s="1"/>
  <c r="AS189" i="9"/>
  <c r="AT189" i="9" s="1"/>
  <c r="BF189" i="9" l="1"/>
  <c r="BB189" i="9"/>
  <c r="AW189" i="9"/>
  <c r="BA189" i="9"/>
  <c r="BD189" i="9" l="1"/>
  <c r="BE189" i="9" s="1"/>
  <c r="BG189" i="9" l="1"/>
  <c r="AU189" i="9"/>
  <c r="AV189" i="9" s="1"/>
  <c r="AS190" i="9" s="1"/>
  <c r="AT190" i="9" s="1"/>
  <c r="AZ190" i="9"/>
  <c r="BC190" i="9" s="1"/>
  <c r="BF190" i="9" l="1"/>
  <c r="BB190" i="9"/>
  <c r="AW190" i="9"/>
  <c r="BA190" i="9"/>
  <c r="BD190" i="9" l="1"/>
  <c r="AU190" i="9" l="1"/>
  <c r="AV190" i="9" s="1"/>
  <c r="BG190" i="9"/>
  <c r="BE190" i="9"/>
  <c r="AZ191" i="9" l="1"/>
  <c r="BC191" i="9" s="1"/>
  <c r="AS191" i="9"/>
  <c r="AT191" i="9" s="1"/>
  <c r="BA191" i="9" l="1"/>
  <c r="AW191" i="9"/>
  <c r="BB191" i="9"/>
  <c r="BF191" i="9"/>
  <c r="BD191" i="9" l="1"/>
  <c r="AU191" i="9" l="1"/>
  <c r="AV191" i="9" s="1"/>
  <c r="BG191" i="9"/>
  <c r="BE191" i="9"/>
  <c r="AZ192" i="9" l="1"/>
  <c r="BC192" i="9" s="1"/>
  <c r="AS192" i="9"/>
  <c r="AT192" i="9" s="1"/>
  <c r="BB192" i="9" l="1"/>
  <c r="BF192" i="9"/>
  <c r="BA192" i="9"/>
  <c r="AW192" i="9"/>
  <c r="BD192" i="9" l="1"/>
  <c r="BG192" i="9" s="1"/>
  <c r="AU192" i="9" l="1"/>
  <c r="AV192" i="9" s="1"/>
  <c r="AS193" i="9" s="1"/>
  <c r="AT193" i="9" s="1"/>
  <c r="BE192" i="9"/>
  <c r="AZ193" i="9" s="1"/>
  <c r="BC193" i="9" s="1"/>
  <c r="BB193" i="9" s="1"/>
  <c r="BF193" i="9" l="1"/>
  <c r="AW193" i="9"/>
  <c r="BA193" i="9"/>
  <c r="BD193" i="9" l="1"/>
  <c r="AU193" i="9" l="1"/>
  <c r="AV193" i="9" s="1"/>
  <c r="BG193" i="9"/>
  <c r="BE193" i="9"/>
  <c r="AZ194" i="9" l="1"/>
  <c r="BC194" i="9" s="1"/>
  <c r="AS194" i="9"/>
  <c r="AT194" i="9" s="1"/>
  <c r="AW194" i="9" l="1"/>
  <c r="BA194" i="9"/>
  <c r="BF194" i="9"/>
  <c r="BB194" i="9"/>
  <c r="BD194" i="9" l="1"/>
  <c r="BG194" i="9" s="1"/>
  <c r="AU194" i="9" l="1"/>
  <c r="AV194" i="9" s="1"/>
  <c r="AS195" i="9" s="1"/>
  <c r="AT195" i="9" s="1"/>
  <c r="BE194" i="9"/>
  <c r="AZ195" i="9" s="1"/>
  <c r="BC195" i="9" s="1"/>
  <c r="BA195" i="9" l="1"/>
  <c r="AW195" i="9"/>
  <c r="BB195" i="9"/>
  <c r="BF195" i="9"/>
  <c r="BD195" i="9" l="1"/>
  <c r="BE195" i="9" s="1"/>
  <c r="BG195" i="9" l="1"/>
  <c r="AU195" i="9"/>
  <c r="AV195" i="9" s="1"/>
  <c r="AS196" i="9" s="1"/>
  <c r="AT196" i="9" s="1"/>
  <c r="AZ196" i="9"/>
  <c r="BC196" i="9" s="1"/>
  <c r="AW196" i="9" l="1"/>
  <c r="BA196" i="9"/>
  <c r="BB196" i="9"/>
  <c r="BF196" i="9"/>
  <c r="BD196" i="9" l="1"/>
  <c r="AU196" i="9" l="1"/>
  <c r="AV196" i="9" s="1"/>
  <c r="BG196" i="9"/>
  <c r="BE196" i="9"/>
  <c r="AZ197" i="9" l="1"/>
  <c r="BC197" i="9" s="1"/>
  <c r="AS197" i="9"/>
  <c r="AT197" i="9" s="1"/>
  <c r="BA197" i="9" l="1"/>
  <c r="AW197" i="9"/>
  <c r="BF197" i="9"/>
  <c r="BB197" i="9"/>
  <c r="BD197" i="9" l="1"/>
  <c r="BE197" i="9" s="1"/>
  <c r="BG197" i="9" l="1"/>
  <c r="AU197" i="9"/>
  <c r="AV197" i="9" s="1"/>
  <c r="AS198" i="9" s="1"/>
  <c r="AT198" i="9" s="1"/>
  <c r="AZ198" i="9"/>
  <c r="BC198" i="9" s="1"/>
  <c r="E48" i="8"/>
  <c r="D48" i="8" l="1"/>
  <c r="H48" i="8" s="1"/>
  <c r="BF198" i="9"/>
  <c r="BB198" i="9"/>
  <c r="BA198" i="9"/>
  <c r="AW198" i="9"/>
  <c r="G48" i="8" l="1"/>
  <c r="BD198" i="9"/>
  <c r="AU198" i="9" s="1"/>
  <c r="AV198" i="9" s="1"/>
  <c r="BE198" i="9" l="1"/>
  <c r="AZ199" i="9" s="1"/>
  <c r="BC199" i="9" s="1"/>
  <c r="BG198" i="9"/>
  <c r="AS199" i="9"/>
  <c r="AT199" i="9" s="1"/>
  <c r="BF199" i="9" l="1"/>
  <c r="BB199" i="9"/>
  <c r="AW199" i="9"/>
  <c r="BA199" i="9"/>
  <c r="BD199" i="9" l="1"/>
  <c r="BE199" i="9" s="1"/>
  <c r="AZ200" i="9" s="1"/>
  <c r="BC200" i="9" s="1"/>
  <c r="AU199" i="9" l="1"/>
  <c r="AV199" i="9" s="1"/>
  <c r="AS200" i="9" s="1"/>
  <c r="AT200" i="9" s="1"/>
  <c r="BG199" i="9"/>
  <c r="BF200" i="9"/>
  <c r="BB200" i="9"/>
  <c r="BA200" i="9" l="1"/>
  <c r="AW200" i="9"/>
  <c r="BD200" i="9" l="1"/>
  <c r="AU200" i="9" l="1"/>
  <c r="AV200" i="9" s="1"/>
  <c r="BG200" i="9"/>
  <c r="BE200" i="9"/>
  <c r="AZ201" i="9" l="1"/>
  <c r="BC201" i="9" s="1"/>
  <c r="AS201" i="9"/>
  <c r="AT201" i="9" s="1"/>
  <c r="AW201" i="9" l="1"/>
  <c r="BA201" i="9"/>
  <c r="BF201" i="9"/>
  <c r="BB201" i="9"/>
  <c r="BD201" i="9" l="1"/>
  <c r="BE201" i="9" s="1"/>
  <c r="AZ202" i="9" s="1"/>
  <c r="BG201" i="9" l="1"/>
  <c r="AU201" i="9"/>
  <c r="AV201" i="9" s="1"/>
  <c r="AS202" i="9" s="1"/>
  <c r="AT202" i="9" s="1"/>
  <c r="BC202" i="9"/>
  <c r="BF202" i="9" s="1"/>
  <c r="BB202" i="9" l="1"/>
  <c r="BA202" i="9"/>
  <c r="AW202" i="9"/>
  <c r="BD202" i="9" l="1"/>
  <c r="AU202" i="9" l="1"/>
  <c r="AV202" i="9" s="1"/>
  <c r="BG202" i="9"/>
  <c r="BE202" i="9"/>
  <c r="AZ203" i="9" l="1"/>
  <c r="BC203" i="9" s="1"/>
  <c r="AS203" i="9"/>
  <c r="AT203" i="9" s="1"/>
  <c r="BA203" i="9" l="1"/>
  <c r="AW203" i="9"/>
  <c r="BB203" i="9"/>
  <c r="BF203" i="9"/>
  <c r="BD203" i="9" l="1"/>
  <c r="AU203" i="9" l="1"/>
  <c r="AV203" i="9" s="1"/>
  <c r="BG203" i="9"/>
  <c r="BE203" i="9"/>
  <c r="AZ204" i="9" l="1"/>
  <c r="BC204" i="9" s="1"/>
  <c r="AS204" i="9"/>
  <c r="AT204" i="9" s="1"/>
  <c r="BF204" i="9" l="1"/>
  <c r="BB204" i="9"/>
  <c r="BA204" i="9"/>
  <c r="AW204" i="9"/>
  <c r="BD204" i="9" l="1"/>
  <c r="BG204" i="9" s="1"/>
  <c r="AU204" i="9" l="1"/>
  <c r="AV204" i="9" s="1"/>
  <c r="AS205" i="9" s="1"/>
  <c r="AT205" i="9" s="1"/>
  <c r="BE204" i="9"/>
  <c r="AZ205" i="9" s="1"/>
  <c r="BC205" i="9" s="1"/>
  <c r="BF205" i="9" l="1"/>
  <c r="BB205" i="9"/>
  <c r="AW205" i="9"/>
  <c r="BA205" i="9"/>
  <c r="BD205" i="9" l="1"/>
  <c r="BE205" i="9" s="1"/>
  <c r="BG205" i="9" l="1"/>
  <c r="AU205" i="9"/>
  <c r="AV205" i="9" s="1"/>
  <c r="AS206" i="9" s="1"/>
  <c r="AT206" i="9" s="1"/>
  <c r="AZ206" i="9"/>
  <c r="BC206" i="9" s="1"/>
  <c r="BA206" i="9" l="1"/>
  <c r="AW206" i="9"/>
  <c r="BF206" i="9"/>
  <c r="BB206" i="9"/>
  <c r="BD206" i="9" l="1"/>
  <c r="AU206" i="9" s="1"/>
  <c r="AV206" i="9" s="1"/>
  <c r="BE206" i="9" l="1"/>
  <c r="AZ207" i="9" s="1"/>
  <c r="BC207" i="9" s="1"/>
  <c r="BG206" i="9"/>
  <c r="AS207" i="9"/>
  <c r="AT207" i="9" s="1"/>
  <c r="BA207" i="9" l="1"/>
  <c r="AW207" i="9"/>
  <c r="BB207" i="9"/>
  <c r="BF207" i="9"/>
  <c r="BD207" i="9" l="1"/>
  <c r="BE207" i="9" s="1"/>
  <c r="AZ208" i="9" s="1"/>
  <c r="BC208" i="9" s="1"/>
  <c r="BG207" i="9" l="1"/>
  <c r="AU207" i="9"/>
  <c r="AV207" i="9" s="1"/>
  <c r="AS208" i="9" s="1"/>
  <c r="AT208" i="9" s="1"/>
  <c r="BB208" i="9"/>
  <c r="BF208" i="9"/>
  <c r="BA208" i="9" l="1"/>
  <c r="AW208" i="9"/>
  <c r="BD208" i="9" l="1"/>
  <c r="AU208" i="9" l="1"/>
  <c r="AV208" i="9" s="1"/>
  <c r="BG208" i="9"/>
  <c r="BE208" i="9"/>
  <c r="AZ209" i="9" l="1"/>
  <c r="BC209" i="9" s="1"/>
  <c r="AS209" i="9"/>
  <c r="AT209" i="9" s="1"/>
  <c r="AW209" i="9" l="1"/>
  <c r="BA209" i="9"/>
  <c r="BF209" i="9"/>
  <c r="BB209" i="9"/>
  <c r="BD209" i="9" l="1"/>
  <c r="BE209" i="9" s="1"/>
  <c r="BG209" i="9" l="1"/>
  <c r="AU209" i="9"/>
  <c r="AV209" i="9" s="1"/>
  <c r="AS210" i="9" s="1"/>
  <c r="AZ210" i="9"/>
  <c r="BC210" i="9" s="1"/>
  <c r="BB210" i="9" s="1"/>
  <c r="E49" i="8"/>
  <c r="D49" i="8" l="1"/>
  <c r="G49" i="8" s="1"/>
  <c r="AT210" i="9"/>
  <c r="BA210" i="9" s="1"/>
  <c r="BF210" i="9"/>
  <c r="AW210" i="9" l="1"/>
  <c r="H49" i="8"/>
  <c r="BD210" i="9"/>
  <c r="AU210" i="9" l="1"/>
  <c r="AV210" i="9" s="1"/>
  <c r="BG210" i="9"/>
  <c r="BE210" i="9"/>
  <c r="AZ211" i="9" l="1"/>
  <c r="BC211" i="9" s="1"/>
  <c r="AS211" i="9"/>
  <c r="AT211" i="9" s="1"/>
  <c r="BA211" i="9" l="1"/>
  <c r="AW211" i="9"/>
  <c r="BF211" i="9"/>
  <c r="BB211" i="9"/>
  <c r="BD211" i="9" l="1"/>
  <c r="AU211" i="9" l="1"/>
  <c r="AV211" i="9" s="1"/>
  <c r="BG211" i="9"/>
  <c r="BE211" i="9"/>
  <c r="AZ212" i="9" l="1"/>
  <c r="BC212" i="9" s="1"/>
  <c r="AS212" i="9"/>
  <c r="AT212" i="9" s="1"/>
  <c r="BF212" i="9" l="1"/>
  <c r="BB212" i="9"/>
  <c r="AW212" i="9"/>
  <c r="BA212" i="9"/>
  <c r="BD212" i="9" l="1"/>
  <c r="BE212" i="9" s="1"/>
  <c r="BG212" i="9" l="1"/>
  <c r="AU212" i="9"/>
  <c r="AV212" i="9" s="1"/>
  <c r="AS213" i="9" s="1"/>
  <c r="AT213" i="9" s="1"/>
  <c r="AZ213" i="9"/>
  <c r="BC213" i="9" s="1"/>
  <c r="BF213" i="9" l="1"/>
  <c r="BB213" i="9"/>
  <c r="AW213" i="9"/>
  <c r="BA213" i="9"/>
  <c r="BD213" i="9" l="1"/>
  <c r="AU213" i="9" l="1"/>
  <c r="AV213" i="9" s="1"/>
  <c r="BG213" i="9"/>
  <c r="BE213" i="9"/>
  <c r="AZ214" i="9" l="1"/>
  <c r="BC214" i="9" s="1"/>
  <c r="AS214" i="9"/>
  <c r="AT214" i="9" s="1"/>
  <c r="BA214" i="9" l="1"/>
  <c r="AW214" i="9"/>
  <c r="BB214" i="9"/>
  <c r="BF214" i="9"/>
  <c r="BD214" i="9" l="1"/>
  <c r="AU214" i="9" l="1"/>
  <c r="AV214" i="9" s="1"/>
  <c r="BG214" i="9"/>
  <c r="BE214" i="9"/>
  <c r="AZ215" i="9" l="1"/>
  <c r="BC215" i="9" s="1"/>
  <c r="AS215" i="9"/>
  <c r="AT215" i="9" s="1"/>
  <c r="BB215" i="9" l="1"/>
  <c r="BF215" i="9"/>
  <c r="BA215" i="9"/>
  <c r="AW215" i="9"/>
  <c r="BD215" i="9" l="1"/>
  <c r="BG215" i="9" s="1"/>
  <c r="AU215" i="9" l="1"/>
  <c r="AV215" i="9" s="1"/>
  <c r="AS216" i="9" s="1"/>
  <c r="AT216" i="9" s="1"/>
  <c r="BE215" i="9"/>
  <c r="AZ216" i="9" s="1"/>
  <c r="BC216" i="9" s="1"/>
  <c r="BB216" i="9" s="1"/>
  <c r="BF216" i="9" l="1"/>
  <c r="AW216" i="9"/>
  <c r="BA216" i="9"/>
  <c r="BD216" i="9" l="1"/>
  <c r="BG216" i="9" l="1"/>
  <c r="AU216" i="9"/>
  <c r="AV216" i="9" s="1"/>
  <c r="BE216" i="9"/>
  <c r="AZ217" i="9" l="1"/>
  <c r="BC217" i="9" s="1"/>
  <c r="AS217" i="9"/>
  <c r="AT217" i="9" s="1"/>
  <c r="BF217" i="9" l="1"/>
  <c r="BB217" i="9"/>
  <c r="AW217" i="9"/>
  <c r="BA217" i="9"/>
  <c r="BD217" i="9" l="1"/>
  <c r="AU217" i="9" l="1"/>
  <c r="AV217" i="9" s="1"/>
  <c r="BG217" i="9"/>
  <c r="BE217" i="9"/>
  <c r="AZ218" i="9" l="1"/>
  <c r="BC218" i="9" s="1"/>
  <c r="AS218" i="9"/>
  <c r="AT218" i="9" s="1"/>
  <c r="AW218" i="9" l="1"/>
  <c r="BA218" i="9"/>
  <c r="BF218" i="9"/>
  <c r="BB218" i="9"/>
  <c r="BD218" i="9" l="1"/>
  <c r="AU218" i="9" l="1"/>
  <c r="AV218" i="9" s="1"/>
  <c r="BG218" i="9"/>
  <c r="BE218" i="9"/>
  <c r="AZ219" i="9" l="1"/>
  <c r="BC219" i="9" s="1"/>
  <c r="AS219" i="9"/>
  <c r="AT219" i="9" s="1"/>
  <c r="BA219" i="9" l="1"/>
  <c r="AW219" i="9"/>
  <c r="BF219" i="9"/>
  <c r="BB219" i="9"/>
  <c r="BD219" i="9" l="1"/>
  <c r="AU219" i="9" l="1"/>
  <c r="AV219" i="9" s="1"/>
  <c r="BG219" i="9"/>
  <c r="BE219" i="9"/>
  <c r="AZ220" i="9" l="1"/>
  <c r="BC220" i="9" s="1"/>
  <c r="AS220" i="9"/>
  <c r="AT220" i="9" s="1"/>
  <c r="BF220" i="9" l="1"/>
  <c r="BB220" i="9"/>
  <c r="AW220" i="9"/>
  <c r="BA220" i="9"/>
  <c r="BD220" i="9" l="1"/>
  <c r="BE220" i="9" s="1"/>
  <c r="AU220" i="9" l="1"/>
  <c r="AV220" i="9" s="1"/>
  <c r="AS221" i="9" s="1"/>
  <c r="AT221" i="9" s="1"/>
  <c r="BG220" i="9"/>
  <c r="AZ221" i="9"/>
  <c r="BC221" i="9" s="1"/>
  <c r="BF221" i="9" l="1"/>
  <c r="BB221" i="9"/>
  <c r="BA221" i="9"/>
  <c r="AW221" i="9"/>
  <c r="BD221" i="9" l="1"/>
  <c r="BE221" i="9" s="1"/>
  <c r="BG221" i="9" l="1"/>
  <c r="AU221" i="9"/>
  <c r="AV221" i="9" s="1"/>
  <c r="AS222" i="9" s="1"/>
  <c r="AT222" i="9" s="1"/>
  <c r="AZ222" i="9"/>
  <c r="BC222" i="9" s="1"/>
  <c r="E50" i="8"/>
  <c r="D50" i="8" l="1"/>
  <c r="H50" i="8" s="1"/>
  <c r="BA222" i="9"/>
  <c r="AW222" i="9"/>
  <c r="BF222" i="9"/>
  <c r="BB222" i="9"/>
  <c r="G50" i="8" l="1"/>
  <c r="BD222" i="9"/>
  <c r="AU222" i="9" l="1"/>
  <c r="AV222" i="9" s="1"/>
  <c r="BG222" i="9"/>
  <c r="BE222" i="9"/>
  <c r="AZ223" i="9" l="1"/>
  <c r="BC223" i="9" s="1"/>
  <c r="AS223" i="9"/>
  <c r="AT223" i="9" s="1"/>
  <c r="AW223" i="9" l="1"/>
  <c r="BA223" i="9"/>
  <c r="BF223" i="9"/>
  <c r="BB223" i="9"/>
  <c r="BD223" i="9" l="1"/>
  <c r="BG223" i="9" l="1"/>
  <c r="AU223" i="9"/>
  <c r="AV223" i="9" s="1"/>
  <c r="BE223" i="9"/>
  <c r="AZ224" i="9" l="1"/>
  <c r="BC224" i="9" s="1"/>
  <c r="AS224" i="9"/>
  <c r="AT224" i="9" s="1"/>
  <c r="AW224" i="9" l="1"/>
  <c r="BA224" i="9"/>
  <c r="BF224" i="9"/>
  <c r="BB224" i="9"/>
  <c r="BD224" i="9" l="1"/>
  <c r="AU224" i="9" s="1"/>
  <c r="AV224" i="9" s="1"/>
  <c r="BE224" i="9" l="1"/>
  <c r="AZ225" i="9" s="1"/>
  <c r="BC225" i="9" s="1"/>
  <c r="BG224" i="9"/>
  <c r="AS225" i="9"/>
  <c r="AT225" i="9" s="1"/>
  <c r="AW225" i="9" l="1"/>
  <c r="BA225" i="9"/>
  <c r="BF225" i="9"/>
  <c r="BB225" i="9"/>
  <c r="BD225" i="9" l="1"/>
  <c r="BE225" i="9" s="1"/>
  <c r="BG225" i="9" l="1"/>
  <c r="AU225" i="9"/>
  <c r="AV225" i="9" s="1"/>
  <c r="AS226" i="9" s="1"/>
  <c r="AT226" i="9" s="1"/>
  <c r="AZ226" i="9"/>
  <c r="BC226" i="9" s="1"/>
  <c r="BA226" i="9" l="1"/>
  <c r="AW226" i="9"/>
  <c r="BF226" i="9"/>
  <c r="BB226" i="9"/>
  <c r="BD226" i="9" l="1"/>
  <c r="AU226" i="9" s="1"/>
  <c r="AV226" i="9" s="1"/>
  <c r="BE226" i="9" l="1"/>
  <c r="AZ227" i="9" s="1"/>
  <c r="BC227" i="9" s="1"/>
  <c r="BG226" i="9"/>
  <c r="AS227" i="9"/>
  <c r="AT227" i="9" s="1"/>
  <c r="AW227" i="9" l="1"/>
  <c r="BA227" i="9"/>
  <c r="BF227" i="9"/>
  <c r="BB227" i="9"/>
  <c r="BD227" i="9" l="1"/>
  <c r="AU227" i="9" l="1"/>
  <c r="AV227" i="9" s="1"/>
  <c r="BG227" i="9"/>
  <c r="BE227" i="9"/>
  <c r="AZ228" i="9" l="1"/>
  <c r="BC228" i="9" s="1"/>
  <c r="AS228" i="9"/>
  <c r="AT228" i="9" s="1"/>
  <c r="AW228" i="9" l="1"/>
  <c r="BA228" i="9"/>
  <c r="BF228" i="9"/>
  <c r="BB228" i="9"/>
  <c r="BD228" i="9" l="1"/>
  <c r="AU228" i="9" s="1"/>
  <c r="AV228" i="9" s="1"/>
  <c r="BG228" i="9" l="1"/>
  <c r="BE228" i="9"/>
  <c r="AZ229" i="9" s="1"/>
  <c r="BC229" i="9" s="1"/>
  <c r="AS229" i="9"/>
  <c r="AT229" i="9" s="1"/>
  <c r="BF229" i="9" l="1"/>
  <c r="BB229" i="9"/>
  <c r="AW229" i="9"/>
  <c r="BA229" i="9"/>
  <c r="BD229" i="9" l="1"/>
  <c r="AU229" i="9" l="1"/>
  <c r="AV229" i="9" s="1"/>
  <c r="BG229" i="9"/>
  <c r="BE229" i="9"/>
  <c r="AZ230" i="9" l="1"/>
  <c r="BC230" i="9" s="1"/>
  <c r="AS230" i="9"/>
  <c r="AT230" i="9" s="1"/>
  <c r="BA230" i="9" l="1"/>
  <c r="AW230" i="9"/>
  <c r="BF230" i="9"/>
  <c r="BB230" i="9"/>
  <c r="BD230" i="9" l="1"/>
  <c r="BE230" i="9" s="1"/>
  <c r="AZ231" i="9" s="1"/>
  <c r="BC231" i="9" s="1"/>
  <c r="BG230" i="9" l="1"/>
  <c r="AU230" i="9"/>
  <c r="AV230" i="9" s="1"/>
  <c r="AS231" i="9" s="1"/>
  <c r="AT231" i="9" s="1"/>
  <c r="BF231" i="9"/>
  <c r="BB231" i="9"/>
  <c r="AW231" i="9" l="1"/>
  <c r="BA231" i="9"/>
  <c r="BD231" i="9" l="1"/>
  <c r="BG231" i="9" l="1"/>
  <c r="AU231" i="9"/>
  <c r="AV231" i="9" s="1"/>
  <c r="BE231" i="9"/>
  <c r="AZ232" i="9" l="1"/>
  <c r="BC232" i="9" s="1"/>
  <c r="AS232" i="9"/>
  <c r="AT232" i="9" s="1"/>
  <c r="AW232" i="9" l="1"/>
  <c r="BA232" i="9"/>
  <c r="BF232" i="9"/>
  <c r="BB232" i="9"/>
  <c r="BD232" i="9" l="1"/>
  <c r="BE232" i="9" s="1"/>
  <c r="AZ233" i="9" s="1"/>
  <c r="BC233" i="9" s="1"/>
  <c r="AU232" i="9" l="1"/>
  <c r="AV232" i="9" s="1"/>
  <c r="AS233" i="9" s="1"/>
  <c r="AT233" i="9" s="1"/>
  <c r="BG232" i="9"/>
  <c r="BF233" i="9"/>
  <c r="BB233" i="9"/>
  <c r="AW233" i="9" l="1"/>
  <c r="BA233" i="9"/>
  <c r="BD233" i="9" s="1"/>
  <c r="AU233" i="9" l="1"/>
  <c r="AV233" i="9" s="1"/>
  <c r="BG233" i="9"/>
  <c r="BE233" i="9"/>
  <c r="AZ234" i="9" l="1"/>
  <c r="BC234" i="9" s="1"/>
  <c r="E51" i="8"/>
  <c r="AS234" i="9"/>
  <c r="AT234" i="9" s="1"/>
  <c r="D51" i="8"/>
  <c r="BB234" i="9" l="1"/>
  <c r="BF234" i="9"/>
  <c r="AW234" i="9"/>
  <c r="BA234" i="9"/>
  <c r="G51" i="8"/>
  <c r="H51" i="8"/>
  <c r="BD234" i="9" l="1"/>
  <c r="AU234" i="9" s="1"/>
  <c r="AV234" i="9" s="1"/>
  <c r="BE234" i="9" l="1"/>
  <c r="AZ235" i="9" s="1"/>
  <c r="BC235" i="9" s="1"/>
  <c r="BG234" i="9"/>
  <c r="AS235" i="9"/>
  <c r="AT235" i="9" s="1"/>
  <c r="AW235" i="9" l="1"/>
  <c r="BA235" i="9"/>
  <c r="BF235" i="9"/>
  <c r="BB235" i="9"/>
  <c r="BD235" i="9" l="1"/>
  <c r="AU235" i="9" s="1"/>
  <c r="AV235" i="9" s="1"/>
  <c r="BE235" i="9" l="1"/>
  <c r="AZ236" i="9" s="1"/>
  <c r="BC236" i="9" s="1"/>
  <c r="BG235" i="9"/>
  <c r="AS236" i="9"/>
  <c r="AT236" i="9" s="1"/>
  <c r="AW236" i="9" l="1"/>
  <c r="BA236" i="9"/>
  <c r="BF236" i="9"/>
  <c r="BB236" i="9"/>
  <c r="BD236" i="9" l="1"/>
  <c r="AU236" i="9" s="1"/>
  <c r="AV236" i="9" s="1"/>
  <c r="BE236" i="9" l="1"/>
  <c r="AZ237" i="9" s="1"/>
  <c r="BC237" i="9" s="1"/>
  <c r="BG236" i="9"/>
  <c r="AS237" i="9"/>
  <c r="AT237" i="9" s="1"/>
  <c r="BA237" i="9" l="1"/>
  <c r="AW237" i="9"/>
  <c r="BF237" i="9"/>
  <c r="BB237" i="9"/>
  <c r="BD237" i="9" l="1"/>
  <c r="BE237" i="9" s="1"/>
  <c r="BG237" i="9" l="1"/>
  <c r="AU237" i="9"/>
  <c r="AV237" i="9" s="1"/>
  <c r="AS238" i="9" s="1"/>
  <c r="AT238" i="9" s="1"/>
  <c r="AZ238" i="9"/>
  <c r="BC238" i="9" s="1"/>
  <c r="BF238" i="9" l="1"/>
  <c r="BB238" i="9"/>
  <c r="AW238" i="9"/>
  <c r="BA238" i="9"/>
  <c r="BD238" i="9" l="1"/>
  <c r="BE238" i="9" s="1"/>
  <c r="AZ239" i="9" s="1"/>
  <c r="BC239" i="9" s="1"/>
  <c r="BG238" i="9" l="1"/>
  <c r="AU238" i="9"/>
  <c r="AV238" i="9" s="1"/>
  <c r="AS239" i="9" s="1"/>
  <c r="AT239" i="9" s="1"/>
  <c r="BF239" i="9"/>
  <c r="BB239" i="9"/>
  <c r="AW239" i="9" l="1"/>
  <c r="BA239" i="9"/>
  <c r="BD239" i="9" l="1"/>
  <c r="AU239" i="9" l="1"/>
  <c r="AV239" i="9" s="1"/>
  <c r="BG239" i="9"/>
  <c r="BE239" i="9"/>
  <c r="AZ240" i="9" l="1"/>
  <c r="BC240" i="9" s="1"/>
  <c r="AS240" i="9"/>
  <c r="AT240" i="9" s="1"/>
  <c r="AW240" i="9" l="1"/>
  <c r="BA240" i="9"/>
  <c r="BF240" i="9"/>
  <c r="BB240" i="9"/>
  <c r="BD240" i="9" l="1"/>
  <c r="AU240" i="9" l="1"/>
  <c r="AV240" i="9" s="1"/>
  <c r="BG240" i="9"/>
  <c r="BE240" i="9"/>
  <c r="AZ241" i="9" l="1"/>
  <c r="BC241" i="9" s="1"/>
  <c r="AS241" i="9"/>
  <c r="AT241" i="9" s="1"/>
  <c r="BA241" i="9" l="1"/>
  <c r="AW241" i="9"/>
  <c r="BF241" i="9"/>
  <c r="BB241" i="9"/>
  <c r="BD241" i="9" l="1"/>
  <c r="AU241" i="9" l="1"/>
  <c r="AV241" i="9" s="1"/>
  <c r="BG241" i="9"/>
  <c r="BE241" i="9"/>
  <c r="AZ242" i="9" l="1"/>
  <c r="BC242" i="9" s="1"/>
  <c r="AS242" i="9"/>
  <c r="AT242" i="9" s="1"/>
  <c r="AW242" i="9" l="1"/>
  <c r="BA242" i="9"/>
  <c r="BF242" i="9"/>
  <c r="BB242" i="9"/>
  <c r="BD242" i="9" l="1"/>
  <c r="AU242" i="9" s="1"/>
  <c r="AV242" i="9" s="1"/>
  <c r="BE242" i="9" l="1"/>
  <c r="AZ243" i="9" s="1"/>
  <c r="BG242" i="9"/>
  <c r="AS243" i="9"/>
  <c r="AT243" i="9" s="1"/>
  <c r="BC243" i="9" l="1"/>
  <c r="BF243" i="9" s="1"/>
  <c r="AW243" i="9"/>
  <c r="BA243" i="9"/>
  <c r="BB243" i="9" l="1"/>
  <c r="BD243" i="9" s="1"/>
  <c r="AU243" i="9" l="1"/>
  <c r="AV243" i="9" s="1"/>
  <c r="AS244" i="9" s="1"/>
  <c r="AT244" i="9" s="1"/>
  <c r="BG243" i="9"/>
  <c r="BE243" i="9"/>
  <c r="AZ244" i="9" s="1"/>
  <c r="BC244" i="9" s="1"/>
  <c r="BA244" i="9" l="1"/>
  <c r="AW244" i="9"/>
  <c r="BB244" i="9"/>
  <c r="BF244" i="9"/>
  <c r="BD244" i="9" l="1"/>
  <c r="AU244" i="9" l="1"/>
  <c r="AV244" i="9" s="1"/>
  <c r="BG244" i="9"/>
  <c r="BE244" i="9"/>
  <c r="AZ245" i="9" l="1"/>
  <c r="BC245" i="9" s="1"/>
  <c r="AS245" i="9"/>
  <c r="AT245" i="9" s="1"/>
  <c r="BB245" i="9" l="1"/>
  <c r="BF245" i="9"/>
  <c r="BA245" i="9"/>
  <c r="AW245" i="9"/>
  <c r="BD245" i="9" l="1"/>
  <c r="BE245" i="9" s="1"/>
  <c r="E53" i="8" l="1"/>
  <c r="E57" i="8"/>
  <c r="E61" i="8"/>
  <c r="E65" i="8"/>
  <c r="E69" i="8"/>
  <c r="E73" i="8"/>
  <c r="E77" i="8"/>
  <c r="E58" i="8"/>
  <c r="E66" i="8"/>
  <c r="E74" i="8"/>
  <c r="AZ246" i="9"/>
  <c r="BC246" i="9" s="1"/>
  <c r="BF246" i="9" s="1"/>
  <c r="E55" i="8"/>
  <c r="E63" i="8"/>
  <c r="E71" i="8"/>
  <c r="E79" i="8"/>
  <c r="E52" i="8"/>
  <c r="E56" i="8"/>
  <c r="E60" i="8"/>
  <c r="E64" i="8"/>
  <c r="E68" i="8"/>
  <c r="E72" i="8"/>
  <c r="E76" i="8"/>
  <c r="E54" i="8"/>
  <c r="E62" i="8"/>
  <c r="E70" i="8"/>
  <c r="E78" i="8"/>
  <c r="E59" i="8"/>
  <c r="E67" i="8"/>
  <c r="E75" i="8"/>
  <c r="AU245" i="9"/>
  <c r="AV245" i="9" s="1"/>
  <c r="D55" i="8" s="1"/>
  <c r="BG245" i="9"/>
  <c r="D72" i="8" l="1"/>
  <c r="H72" i="8" s="1"/>
  <c r="D77" i="8"/>
  <c r="H77" i="8" s="1"/>
  <c r="D68" i="8"/>
  <c r="H68" i="8" s="1"/>
  <c r="D52" i="8"/>
  <c r="G52" i="8" s="1"/>
  <c r="D61" i="8"/>
  <c r="G61" i="8" s="1"/>
  <c r="D60" i="8"/>
  <c r="H60" i="8" s="1"/>
  <c r="D69" i="8"/>
  <c r="G69" i="8" s="1"/>
  <c r="D56" i="8"/>
  <c r="G56" i="8" s="1"/>
  <c r="D76" i="8"/>
  <c r="H76" i="8" s="1"/>
  <c r="D64" i="8"/>
  <c r="G64" i="8" s="1"/>
  <c r="D53" i="8"/>
  <c r="G53" i="8" s="1"/>
  <c r="D73" i="8"/>
  <c r="H73" i="8" s="1"/>
  <c r="D65" i="8"/>
  <c r="G65" i="8" s="1"/>
  <c r="D57" i="8"/>
  <c r="G57" i="8" s="1"/>
  <c r="D75" i="8"/>
  <c r="G75" i="8" s="1"/>
  <c r="D78" i="8"/>
  <c r="H78" i="8" s="1"/>
  <c r="D74" i="8"/>
  <c r="H74" i="8" s="1"/>
  <c r="D70" i="8"/>
  <c r="H70" i="8" s="1"/>
  <c r="D66" i="8"/>
  <c r="H66" i="8" s="1"/>
  <c r="D62" i="8"/>
  <c r="H62" i="8" s="1"/>
  <c r="D58" i="8"/>
  <c r="H58" i="8" s="1"/>
  <c r="D54" i="8"/>
  <c r="H54" i="8" s="1"/>
  <c r="BB246" i="9"/>
  <c r="BD246" i="9" s="1"/>
  <c r="D79" i="8"/>
  <c r="H79" i="8" s="1"/>
  <c r="D71" i="8"/>
  <c r="H71" i="8" s="1"/>
  <c r="D67" i="8"/>
  <c r="G67" i="8" s="1"/>
  <c r="D63" i="8"/>
  <c r="H63" i="8" s="1"/>
  <c r="D59" i="8"/>
  <c r="G59" i="8" s="1"/>
  <c r="G55" i="8"/>
  <c r="H55" i="8"/>
  <c r="G72" i="8" l="1"/>
  <c r="H65" i="8"/>
  <c r="G77" i="8"/>
  <c r="G54" i="8"/>
  <c r="H64" i="8"/>
  <c r="H52" i="8"/>
  <c r="G68" i="8"/>
  <c r="H56" i="8"/>
  <c r="G60" i="8"/>
  <c r="H61" i="8"/>
  <c r="H69" i="8"/>
  <c r="G73" i="8"/>
  <c r="H53" i="8"/>
  <c r="G76" i="8"/>
  <c r="H57" i="8"/>
  <c r="H67" i="8"/>
  <c r="G70" i="8"/>
  <c r="G79" i="8"/>
  <c r="H75" i="8"/>
  <c r="G66" i="8"/>
  <c r="G63" i="8"/>
  <c r="H59" i="8"/>
  <c r="BG246" i="9"/>
  <c r="BE246" i="9"/>
  <c r="AZ247" i="9" s="1"/>
  <c r="BC247" i="9" s="1"/>
  <c r="AU246" i="9"/>
  <c r="G71" i="8"/>
  <c r="G58" i="8"/>
  <c r="G74" i="8"/>
  <c r="G62" i="8"/>
  <c r="G78" i="8"/>
  <c r="BF247" i="9" l="1"/>
  <c r="BB247" i="9"/>
  <c r="BD247" i="9" l="1"/>
  <c r="BE247" i="9" s="1"/>
  <c r="AZ248" i="9" s="1"/>
  <c r="BC248" i="9" s="1"/>
  <c r="AU247" i="9" l="1"/>
  <c r="BG247" i="9"/>
  <c r="BB248" i="9"/>
  <c r="BF248" i="9"/>
  <c r="BD248" i="9" l="1"/>
  <c r="AU248" i="9" s="1"/>
  <c r="BE248" i="9" l="1"/>
  <c r="AZ249" i="9" s="1"/>
  <c r="BC249" i="9" s="1"/>
  <c r="BG248" i="9"/>
  <c r="BF249" i="9" l="1"/>
  <c r="BB249" i="9"/>
  <c r="BD249" i="9" l="1"/>
  <c r="BE249" i="9" s="1"/>
  <c r="AZ250" i="9" s="1"/>
  <c r="BC250" i="9" s="1"/>
  <c r="BG249" i="9" l="1"/>
  <c r="AU249" i="9"/>
  <c r="BB250" i="9"/>
  <c r="BF250" i="9"/>
  <c r="BD250" i="9" l="1"/>
  <c r="AU250" i="9" s="1"/>
  <c r="BE250" i="9" l="1"/>
  <c r="AZ251" i="9" s="1"/>
  <c r="BG250" i="9"/>
  <c r="BC251" i="9" l="1"/>
  <c r="BF251" i="9" s="1"/>
  <c r="BB251" i="9" l="1"/>
  <c r="BD251" i="9" s="1"/>
  <c r="AU251" i="9" s="1"/>
  <c r="BG251" i="9" l="1"/>
  <c r="BE251" i="9"/>
  <c r="AZ252" i="9" s="1"/>
  <c r="BC252" i="9" s="1"/>
  <c r="BB252" i="9" s="1"/>
  <c r="BF252" i="9" l="1"/>
  <c r="BD252" i="9" s="1"/>
  <c r="AU252" i="9" s="1"/>
  <c r="BG252" i="9" l="1"/>
  <c r="BE252" i="9"/>
  <c r="AZ253" i="9" s="1"/>
  <c r="BC253" i="9" s="1"/>
  <c r="BF253" i="9" l="1"/>
  <c r="BB253" i="9"/>
  <c r="BD253" i="9" l="1"/>
  <c r="BE253" i="9" s="1"/>
  <c r="AZ254" i="9" s="1"/>
  <c r="BC254" i="9" s="1"/>
  <c r="AU253" i="9" l="1"/>
  <c r="BG253" i="9"/>
  <c r="BB254" i="9"/>
  <c r="BF254" i="9"/>
  <c r="BD254" i="9" l="1"/>
  <c r="BE254" i="9" s="1"/>
  <c r="AU254" i="9" l="1"/>
  <c r="BG254" i="9"/>
  <c r="AZ255" i="9"/>
  <c r="BC255" i="9" s="1"/>
  <c r="BF255" i="9" l="1"/>
  <c r="BB255" i="9"/>
  <c r="BD255" i="9" l="1"/>
  <c r="BE255" i="9" s="1"/>
  <c r="AZ256" i="9" s="1"/>
  <c r="BC256" i="9" s="1"/>
  <c r="BG255" i="9" l="1"/>
  <c r="AU255" i="9"/>
  <c r="BB256" i="9"/>
  <c r="BF256" i="9"/>
  <c r="BD256" i="9" l="1"/>
  <c r="BE256" i="9" s="1"/>
  <c r="BG256" i="9" l="1"/>
  <c r="AU256" i="9"/>
  <c r="AZ257" i="9"/>
  <c r="BC257" i="9" s="1"/>
  <c r="BF257" i="9" l="1"/>
  <c r="BB257" i="9"/>
  <c r="BD257" i="9" l="1"/>
  <c r="BE257" i="9" s="1"/>
  <c r="AU257" i="9" l="1"/>
  <c r="BG257" i="9"/>
  <c r="AZ258" i="9"/>
  <c r="BC258" i="9" s="1"/>
  <c r="BB258" i="9" l="1"/>
  <c r="BF258" i="9"/>
  <c r="BD258" i="9" l="1"/>
  <c r="BG258" i="9" l="1"/>
  <c r="AU258" i="9"/>
  <c r="BE258" i="9"/>
  <c r="AZ259" i="9" l="1"/>
  <c r="BC259" i="9" s="1"/>
  <c r="BF259" i="9" l="1"/>
  <c r="BB259" i="9"/>
  <c r="BD259" i="9" l="1"/>
  <c r="BG259" i="9" s="1"/>
  <c r="BE259" i="9" l="1"/>
  <c r="AZ260" i="9" s="1"/>
  <c r="BC260" i="9" s="1"/>
  <c r="AU259" i="9"/>
  <c r="BF260" i="9" l="1"/>
  <c r="BB260" i="9"/>
  <c r="BD260" i="9" l="1"/>
  <c r="BE260" i="9" s="1"/>
  <c r="BG260" i="9" l="1"/>
  <c r="AU260" i="9"/>
  <c r="AZ261" i="9"/>
  <c r="BC261" i="9" s="1"/>
  <c r="BF261" i="9" l="1"/>
  <c r="BB261" i="9"/>
  <c r="BD261" i="9" l="1"/>
  <c r="AU261" i="9" s="1"/>
  <c r="BE261" i="9" l="1"/>
  <c r="AZ262" i="9" s="1"/>
  <c r="BC262" i="9" s="1"/>
  <c r="BG261" i="9"/>
  <c r="BB262" i="9" l="1"/>
  <c r="BF262" i="9"/>
  <c r="BD262" i="9" l="1"/>
  <c r="AU262" i="9" l="1"/>
  <c r="BG262" i="9"/>
  <c r="BE262" i="9"/>
  <c r="AZ263" i="9" l="1"/>
  <c r="BC263" i="9" s="1"/>
  <c r="BF263" i="9" l="1"/>
  <c r="BB263" i="9"/>
  <c r="BD263" i="9" l="1"/>
  <c r="AU263" i="9" s="1"/>
  <c r="BE263" i="9" l="1"/>
  <c r="AZ264" i="9" s="1"/>
  <c r="BC264" i="9" s="1"/>
  <c r="BG263" i="9"/>
  <c r="BF264" i="9" l="1"/>
  <c r="BB264" i="9"/>
  <c r="BD264" i="9" l="1"/>
  <c r="BG264" i="9" s="1"/>
  <c r="AU264" i="9" l="1"/>
  <c r="BE264" i="9"/>
  <c r="AZ265" i="9" s="1"/>
  <c r="BC265" i="9" s="1"/>
  <c r="BF265" i="9" s="1"/>
  <c r="BB265" i="9" l="1"/>
  <c r="BD265" i="9" s="1"/>
  <c r="AU265" i="9" s="1"/>
  <c r="BE265" i="9" l="1"/>
  <c r="AZ266" i="9" s="1"/>
  <c r="BC266" i="9" s="1"/>
  <c r="BG265" i="9"/>
  <c r="BB266" i="9" l="1"/>
  <c r="BF266" i="9"/>
  <c r="BD266" i="9" l="1"/>
  <c r="AU266" i="9" l="1"/>
  <c r="BG266" i="9"/>
  <c r="BE266" i="9"/>
  <c r="AZ267" i="9" l="1"/>
  <c r="BC267" i="9" s="1"/>
  <c r="BF267" i="9" l="1"/>
  <c r="BB267" i="9"/>
  <c r="BD267" i="9" l="1"/>
  <c r="AU267" i="9" s="1"/>
  <c r="BE267" i="9" l="1"/>
  <c r="AZ268" i="9" s="1"/>
  <c r="BC268" i="9" s="1"/>
  <c r="BG267" i="9"/>
  <c r="BF268" i="9" l="1"/>
  <c r="BB268" i="9"/>
  <c r="BD268" i="9" l="1"/>
  <c r="BE268" i="9" s="1"/>
  <c r="AZ269" i="9" s="1"/>
  <c r="BC269" i="9" s="1"/>
  <c r="BG268" i="9" l="1"/>
  <c r="AU268" i="9"/>
  <c r="BF269" i="9"/>
  <c r="BB269" i="9"/>
  <c r="BD269" i="9" l="1"/>
  <c r="BE269" i="9" s="1"/>
  <c r="AU269" i="9" l="1"/>
  <c r="BG269" i="9"/>
  <c r="AZ270" i="9"/>
  <c r="BC270" i="9" s="1"/>
  <c r="BF270" i="9" l="1"/>
  <c r="BB270" i="9"/>
  <c r="BD270" i="9" l="1"/>
  <c r="BE270" i="9" s="1"/>
  <c r="AZ271" i="9" s="1"/>
  <c r="BC271" i="9" s="1"/>
  <c r="BG270" i="9" l="1"/>
  <c r="AU270" i="9"/>
  <c r="BB271" i="9"/>
  <c r="BF271" i="9"/>
  <c r="BD271" i="9" l="1"/>
  <c r="BE271" i="9" s="1"/>
  <c r="BG271" i="9" l="1"/>
  <c r="AU271" i="9"/>
  <c r="AZ272" i="9"/>
  <c r="BC272" i="9" s="1"/>
  <c r="BF272" i="9" l="1"/>
  <c r="BB272" i="9"/>
  <c r="BD272" i="9" l="1"/>
  <c r="BE272" i="9" s="1"/>
  <c r="AZ273" i="9" s="1"/>
  <c r="BC273" i="9" s="1"/>
  <c r="BG272" i="9" l="1"/>
  <c r="AU272" i="9"/>
  <c r="BB273" i="9"/>
  <c r="BF273" i="9"/>
  <c r="BD273" i="9" l="1"/>
  <c r="AU273" i="9" s="1"/>
  <c r="BE273" i="9" l="1"/>
  <c r="AZ274" i="9" s="1"/>
  <c r="BC274" i="9" s="1"/>
  <c r="BG273" i="9"/>
  <c r="BF274" i="9" l="1"/>
  <c r="BB274" i="9"/>
  <c r="BD274" i="9" l="1"/>
  <c r="BE274" i="9" s="1"/>
  <c r="AZ275" i="9" s="1"/>
  <c r="BC275" i="9" s="1"/>
  <c r="BG274" i="9" l="1"/>
  <c r="AU274" i="9"/>
  <c r="BB275" i="9"/>
  <c r="BF275" i="9"/>
  <c r="BD275" i="9" l="1"/>
  <c r="AU275" i="9" s="1"/>
  <c r="BE275" i="9" l="1"/>
  <c r="AZ276" i="9" s="1"/>
  <c r="BC276" i="9" s="1"/>
  <c r="BG275" i="9"/>
  <c r="BF276" i="9" l="1"/>
  <c r="BB276" i="9"/>
  <c r="BD276" i="9" l="1"/>
  <c r="AU276" i="9" s="1"/>
  <c r="BG276" i="9" l="1"/>
  <c r="BE276" i="9"/>
  <c r="AZ277" i="9" s="1"/>
  <c r="BC277" i="9" s="1"/>
  <c r="BB277" i="9" s="1"/>
  <c r="BF277" i="9" l="1"/>
  <c r="BD277" i="9" s="1"/>
  <c r="AU277" i="9" s="1"/>
  <c r="BE277" i="9" l="1"/>
  <c r="AZ278" i="9" s="1"/>
  <c r="BC278" i="9" s="1"/>
  <c r="BG277" i="9"/>
  <c r="BF278" i="9" l="1"/>
  <c r="BB278" i="9"/>
  <c r="BD278" i="9" l="1"/>
  <c r="BE278" i="9" s="1"/>
  <c r="AZ279" i="9" s="1"/>
  <c r="BC279" i="9" s="1"/>
  <c r="BG278" i="9" l="1"/>
  <c r="AU278" i="9"/>
  <c r="BB279" i="9"/>
  <c r="BF279" i="9"/>
  <c r="BD279" i="9" l="1"/>
  <c r="BE279" i="9" s="1"/>
  <c r="AZ280" i="9" s="1"/>
  <c r="BC280" i="9" s="1"/>
  <c r="BG279" i="9" l="1"/>
  <c r="AU279" i="9"/>
  <c r="BF280" i="9"/>
  <c r="BB280" i="9"/>
  <c r="BD280" i="9" l="1"/>
  <c r="BE280" i="9" s="1"/>
  <c r="AZ281" i="9" s="1"/>
  <c r="BC281" i="9" s="1"/>
  <c r="BG280" i="9" l="1"/>
  <c r="AU280" i="9"/>
  <c r="BB281" i="9"/>
  <c r="BF281" i="9"/>
  <c r="BD281" i="9" l="1"/>
  <c r="AU281" i="9" s="1"/>
  <c r="BG281" i="9" l="1"/>
  <c r="BE281" i="9"/>
  <c r="AZ282" i="9" s="1"/>
  <c r="BC282" i="9" s="1"/>
  <c r="BF282" i="9" l="1"/>
  <c r="BB282" i="9"/>
  <c r="BD282" i="9" l="1"/>
  <c r="BG282" i="9" s="1"/>
  <c r="BE282" i="9" l="1"/>
  <c r="AZ283" i="9" s="1"/>
  <c r="BC283" i="9" s="1"/>
  <c r="AU282" i="9"/>
  <c r="BF283" i="9" l="1"/>
  <c r="BB283" i="9"/>
  <c r="BD283" i="9" l="1"/>
  <c r="BE283" i="9" s="1"/>
  <c r="AZ284" i="9" s="1"/>
  <c r="BC284" i="9" s="1"/>
  <c r="BG283" i="9" l="1"/>
  <c r="AU283" i="9"/>
  <c r="BF284" i="9"/>
  <c r="BB284" i="9"/>
  <c r="BD284" i="9" l="1"/>
  <c r="BG284" i="9" s="1"/>
  <c r="BE284" i="9" l="1"/>
  <c r="AZ285" i="9" s="1"/>
  <c r="BC285" i="9" s="1"/>
  <c r="AU284" i="9"/>
  <c r="BB285" i="9" l="1"/>
  <c r="BF285" i="9"/>
  <c r="BD285" i="9" l="1"/>
  <c r="BG285" i="9" l="1"/>
  <c r="AU285" i="9"/>
  <c r="BE285" i="9"/>
  <c r="AZ286" i="9" l="1"/>
  <c r="BC286" i="9" s="1"/>
  <c r="BF286" i="9" l="1"/>
  <c r="BB286" i="9"/>
  <c r="BD286" i="9" l="1"/>
  <c r="BG286" i="9" s="1"/>
  <c r="BE286" i="9" l="1"/>
  <c r="AZ287" i="9" s="1"/>
  <c r="BC287" i="9" s="1"/>
  <c r="AU286" i="9"/>
  <c r="BF287" i="9" l="1"/>
  <c r="BB287" i="9"/>
  <c r="BD287" i="9" l="1"/>
  <c r="BE287" i="9" s="1"/>
  <c r="AZ288" i="9" s="1"/>
  <c r="BC288" i="9" s="1"/>
  <c r="AU287" i="9" l="1"/>
  <c r="BG287" i="9"/>
  <c r="BF288" i="9"/>
  <c r="BB288" i="9"/>
  <c r="BD288" i="9" l="1"/>
  <c r="BG288" i="9" s="1"/>
  <c r="BE288" i="9" l="1"/>
  <c r="AZ289" i="9" s="1"/>
  <c r="BC289" i="9" s="1"/>
  <c r="AU288" i="9"/>
  <c r="BB289" i="9" l="1"/>
  <c r="BF289" i="9"/>
  <c r="BD289" i="9" l="1"/>
  <c r="AU289" i="9" l="1"/>
  <c r="BG289" i="9"/>
  <c r="BE289" i="9"/>
  <c r="AZ290" i="9" l="1"/>
  <c r="BC290" i="9" s="1"/>
  <c r="BF290" i="9" l="1"/>
  <c r="BB290" i="9"/>
  <c r="BD290" i="9" l="1"/>
  <c r="BG290" i="9" s="1"/>
  <c r="BE290" i="9" l="1"/>
  <c r="AZ291" i="9" s="1"/>
  <c r="BC291" i="9" s="1"/>
  <c r="AU290" i="9"/>
  <c r="BF291" i="9" l="1"/>
  <c r="BB291" i="9"/>
  <c r="BD291" i="9" l="1"/>
  <c r="BE291" i="9" s="1"/>
  <c r="AZ292" i="9" s="1"/>
  <c r="BC292" i="9" s="1"/>
  <c r="AU291" i="9" l="1"/>
  <c r="BG291" i="9"/>
  <c r="BF292" i="9"/>
  <c r="BB292" i="9"/>
  <c r="BD292" i="9" l="1"/>
  <c r="BE292" i="9" s="1"/>
  <c r="BG292" i="9" l="1"/>
  <c r="AU292" i="9"/>
  <c r="AZ293" i="9"/>
  <c r="BC293" i="9" s="1"/>
  <c r="BB293" i="9" l="1"/>
  <c r="BF293" i="9"/>
  <c r="BD293" i="9" l="1"/>
  <c r="AU293" i="9" l="1"/>
  <c r="BG293" i="9"/>
  <c r="BE293" i="9"/>
  <c r="AZ294" i="9" l="1"/>
  <c r="BC294" i="9" s="1"/>
  <c r="BB294" i="9" l="1"/>
  <c r="BF294" i="9"/>
  <c r="BD294" i="9" l="1"/>
  <c r="BG294" i="9" s="1"/>
  <c r="BE294" i="9" l="1"/>
  <c r="AZ295" i="9" s="1"/>
  <c r="BC295" i="9" s="1"/>
  <c r="AU294" i="9"/>
  <c r="BF295" i="9" l="1"/>
  <c r="BB295" i="9"/>
  <c r="BD295" i="9" l="1"/>
  <c r="BE295" i="9" s="1"/>
  <c r="AZ296" i="9" s="1"/>
  <c r="BC296" i="9" s="1"/>
  <c r="BG295" i="9" l="1"/>
  <c r="AU295" i="9"/>
  <c r="BB296" i="9"/>
  <c r="BF296" i="9"/>
  <c r="BD296" i="9" l="1"/>
  <c r="BG296" i="9" l="1"/>
  <c r="AU296" i="9"/>
  <c r="BE296" i="9"/>
  <c r="AZ297" i="9" l="1"/>
  <c r="BC297" i="9" s="1"/>
  <c r="BF297" i="9" l="1"/>
  <c r="BB297" i="9"/>
  <c r="BD297" i="9" l="1"/>
  <c r="BE297" i="9" s="1"/>
  <c r="AZ298" i="9" s="1"/>
  <c r="BC298" i="9" s="1"/>
  <c r="AU297" i="9" l="1"/>
  <c r="BG297" i="9"/>
  <c r="BB298" i="9"/>
  <c r="BF298" i="9"/>
  <c r="BD298" i="9" l="1"/>
  <c r="AU298" i="9" s="1"/>
  <c r="BG298" i="9" l="1"/>
  <c r="BE298" i="9"/>
  <c r="AZ299" i="9" s="1"/>
  <c r="BC299" i="9" s="1"/>
  <c r="BF299" i="9" s="1"/>
  <c r="BB299" i="9" l="1"/>
  <c r="BD299" i="9" s="1"/>
  <c r="BE299" i="9" s="1"/>
  <c r="AZ300" i="9" s="1"/>
  <c r="BC300" i="9" s="1"/>
  <c r="AU299" i="9" l="1"/>
  <c r="BG299" i="9"/>
  <c r="BB300" i="9"/>
  <c r="BF300" i="9"/>
  <c r="BD300" i="9" l="1"/>
  <c r="BG300" i="9" s="1"/>
  <c r="BE300" i="9" l="1"/>
  <c r="AZ301" i="9" s="1"/>
  <c r="BC301" i="9" s="1"/>
  <c r="AU300" i="9"/>
  <c r="BF301" i="9" l="1"/>
  <c r="BB301" i="9"/>
  <c r="BD301" i="9" l="1"/>
  <c r="BE301" i="9" s="1"/>
  <c r="AZ302" i="9" s="1"/>
  <c r="BC302" i="9" s="1"/>
  <c r="BG301" i="9" l="1"/>
  <c r="AU301" i="9"/>
  <c r="BB302" i="9"/>
  <c r="BF302" i="9"/>
  <c r="BD302" i="9" l="1"/>
  <c r="BE302" i="9" s="1"/>
  <c r="BG302" i="9" l="1"/>
  <c r="AU302" i="9"/>
  <c r="AZ303" i="9"/>
  <c r="BC303" i="9" s="1"/>
  <c r="BF303" i="9" l="1"/>
  <c r="BB303" i="9"/>
  <c r="BD303" i="9" l="1"/>
  <c r="BE303" i="9" s="1"/>
  <c r="AZ304" i="9" s="1"/>
  <c r="BC304" i="9" s="1"/>
  <c r="AU303" i="9" l="1"/>
  <c r="BG303" i="9"/>
  <c r="BB304" i="9"/>
  <c r="BF304" i="9"/>
  <c r="BD304" i="9" l="1"/>
  <c r="BE304" i="9" s="1"/>
  <c r="BG304" i="9" l="1"/>
  <c r="AU304" i="9"/>
  <c r="AZ305" i="9"/>
  <c r="BC305" i="9" s="1"/>
  <c r="BF305" i="9" l="1"/>
  <c r="BB305" i="9"/>
  <c r="BD305" i="9" l="1"/>
  <c r="AU305" i="9" l="1"/>
  <c r="BG305" i="9"/>
  <c r="BE305" i="9"/>
  <c r="AZ306" i="9" l="1"/>
  <c r="BC306" i="9" s="1"/>
  <c r="BF306" i="9" l="1"/>
  <c r="BB306" i="9"/>
  <c r="BD306" i="9" l="1"/>
  <c r="BE306" i="9" s="1"/>
  <c r="AZ307" i="9" s="1"/>
  <c r="BC307" i="9" s="1"/>
  <c r="AU306" i="9" l="1"/>
  <c r="BG306" i="9"/>
  <c r="BF307" i="9"/>
  <c r="BB307" i="9"/>
  <c r="BD307" i="9" l="1"/>
  <c r="BG307" i="9" s="1"/>
  <c r="BE307" i="9" l="1"/>
  <c r="AZ308" i="9" s="1"/>
  <c r="BC308" i="9" s="1"/>
  <c r="AU307" i="9"/>
  <c r="BB308" i="9" l="1"/>
  <c r="BF308" i="9"/>
  <c r="BD308" i="9" l="1"/>
  <c r="AU308" i="9" l="1"/>
  <c r="BG308" i="9"/>
  <c r="BE308" i="9"/>
  <c r="AZ309" i="9" l="1"/>
  <c r="BC309" i="9" s="1"/>
  <c r="BF309" i="9" l="1"/>
  <c r="BB309" i="9"/>
  <c r="BD309" i="9" l="1"/>
  <c r="BG309" i="9" s="1"/>
  <c r="BE309" i="9" l="1"/>
  <c r="AZ310" i="9" s="1"/>
  <c r="BC310" i="9" s="1"/>
  <c r="AU309" i="9"/>
  <c r="BF310" i="9" l="1"/>
  <c r="BB310" i="9"/>
  <c r="BD310" i="9" l="1"/>
  <c r="BE310" i="9" s="1"/>
  <c r="AZ311" i="9" s="1"/>
  <c r="BC311" i="9" s="1"/>
  <c r="BG310" i="9" l="1"/>
  <c r="AU310" i="9"/>
  <c r="BF311" i="9"/>
  <c r="BB311" i="9"/>
  <c r="BD311" i="9" l="1"/>
  <c r="BG311" i="9" s="1"/>
  <c r="AU311" i="9" l="1"/>
  <c r="BE311" i="9"/>
  <c r="AZ312" i="9" s="1"/>
  <c r="BC312" i="9" s="1"/>
  <c r="BB312" i="9" l="1"/>
  <c r="BF312" i="9"/>
  <c r="BD312" i="9" l="1"/>
  <c r="BG312" i="9" l="1"/>
  <c r="AU312" i="9"/>
  <c r="BE312" i="9"/>
  <c r="AZ313" i="9" l="1"/>
  <c r="BC313" i="9" s="1"/>
  <c r="BF313" i="9" l="1"/>
  <c r="BB313" i="9"/>
  <c r="BD313" i="9" l="1"/>
  <c r="BE313" i="9" s="1"/>
  <c r="AU313" i="9" l="1"/>
  <c r="BG313" i="9"/>
  <c r="AZ314" i="9"/>
  <c r="BC314" i="9" s="1"/>
  <c r="BF314" i="9" l="1"/>
  <c r="BB314" i="9"/>
  <c r="BD314" i="9" l="1"/>
  <c r="BE314" i="9" s="1"/>
  <c r="BG314" i="9" l="1"/>
  <c r="AU314" i="9"/>
  <c r="AZ315" i="9"/>
  <c r="BC315" i="9" s="1"/>
  <c r="BF315" i="9" l="1"/>
  <c r="BB315" i="9"/>
  <c r="BD315" i="9" l="1"/>
  <c r="BG315" i="9" s="1"/>
  <c r="BE315" i="9" l="1"/>
  <c r="AZ316" i="9" s="1"/>
  <c r="AU315" i="9"/>
  <c r="BC316" i="9" l="1"/>
  <c r="BB316" i="9" s="1"/>
  <c r="BF316" i="9" l="1"/>
  <c r="BD316" i="9" s="1"/>
  <c r="AU316" i="9" l="1"/>
  <c r="BG316" i="9"/>
  <c r="BE316" i="9"/>
  <c r="AZ317" i="9" l="1"/>
  <c r="BC317" i="9" s="1"/>
  <c r="BF317" i="9" l="1"/>
  <c r="BB317" i="9"/>
  <c r="BD317" i="9" l="1"/>
  <c r="BE317" i="9" s="1"/>
  <c r="AZ318" i="9" s="1"/>
  <c r="BC318" i="9" s="1"/>
  <c r="AU317" i="9" l="1"/>
  <c r="BG317" i="9"/>
  <c r="BF318" i="9"/>
  <c r="BB318" i="9"/>
  <c r="BD318" i="9" l="1"/>
  <c r="BG318" i="9" s="1"/>
  <c r="BE318" i="9" l="1"/>
  <c r="AZ319" i="9" s="1"/>
  <c r="BC319" i="9" s="1"/>
  <c r="BB319" i="9" s="1"/>
  <c r="AU318" i="9"/>
  <c r="BF319" i="9" l="1"/>
  <c r="BD319" i="9" s="1"/>
  <c r="BG319" i="9" s="1"/>
  <c r="BE319" i="9" l="1"/>
  <c r="AZ320" i="9" s="1"/>
  <c r="BC320" i="9" s="1"/>
  <c r="AU319" i="9"/>
  <c r="BF320" i="9" l="1"/>
  <c r="BB320" i="9"/>
  <c r="BD320" i="9" l="1"/>
  <c r="BE320" i="9" s="1"/>
  <c r="AZ321" i="9" s="1"/>
  <c r="BC321" i="9" s="1"/>
  <c r="AU320" i="9" l="1"/>
  <c r="BG320" i="9"/>
  <c r="BB321" i="9"/>
  <c r="BF321" i="9"/>
  <c r="BD321" i="9" l="1"/>
  <c r="BE321" i="9" s="1"/>
  <c r="BG321" i="9" l="1"/>
  <c r="AU321" i="9"/>
  <c r="AZ322" i="9"/>
  <c r="BC322" i="9" s="1"/>
  <c r="BF322" i="9" l="1"/>
  <c r="BB322" i="9"/>
  <c r="BD322" i="9" l="1"/>
  <c r="BE322" i="9" s="1"/>
  <c r="AZ323" i="9" s="1"/>
  <c r="BC323" i="9" s="1"/>
  <c r="BG322" i="9" l="1"/>
  <c r="AU322" i="9"/>
  <c r="BB323" i="9"/>
  <c r="BF323" i="9"/>
  <c r="BD323" i="9" l="1"/>
  <c r="BE323" i="9" s="1"/>
  <c r="BG323" i="9" l="1"/>
  <c r="AU323" i="9"/>
  <c r="AZ324" i="9"/>
  <c r="BC324" i="9" s="1"/>
  <c r="BF324" i="9" l="1"/>
  <c r="BB324" i="9"/>
  <c r="BD324" i="9" l="1"/>
  <c r="BE324" i="9" s="1"/>
  <c r="AZ325" i="9" s="1"/>
  <c r="BC325" i="9" s="1"/>
  <c r="BG324" i="9" l="1"/>
  <c r="AU324" i="9"/>
  <c r="BB325" i="9"/>
  <c r="BF325" i="9"/>
  <c r="BD325" i="9" l="1"/>
  <c r="BE325" i="9" s="1"/>
  <c r="AU325" i="9" l="1"/>
  <c r="BG325" i="9"/>
  <c r="AZ326" i="9"/>
  <c r="BC326" i="9" s="1"/>
  <c r="BF326" i="9" l="1"/>
  <c r="BB326" i="9"/>
  <c r="BD326" i="9" l="1"/>
  <c r="BE326" i="9" s="1"/>
  <c r="AZ327" i="9" s="1"/>
  <c r="BC327" i="9" s="1"/>
  <c r="AU326" i="9" l="1"/>
  <c r="BG326" i="9"/>
  <c r="BB327" i="9"/>
  <c r="BF327" i="9"/>
  <c r="BD327" i="9" l="1"/>
  <c r="BE327" i="9" s="1"/>
  <c r="BG327" i="9" l="1"/>
  <c r="AU327" i="9"/>
  <c r="AZ328" i="9"/>
  <c r="BC328" i="9" s="1"/>
  <c r="BF328" i="9" l="1"/>
  <c r="BB328" i="9"/>
  <c r="BD328" i="9" l="1"/>
  <c r="BE328" i="9" s="1"/>
  <c r="AZ329" i="9" s="1"/>
  <c r="BC329" i="9" s="1"/>
  <c r="AU328" i="9" l="1"/>
  <c r="BG328" i="9"/>
  <c r="BB329" i="9"/>
  <c r="BF329" i="9"/>
  <c r="BD329" i="9" l="1"/>
  <c r="BG329" i="9" s="1"/>
  <c r="BE329" i="9" l="1"/>
  <c r="AZ330" i="9" s="1"/>
  <c r="BC330" i="9" s="1"/>
  <c r="AU329" i="9"/>
  <c r="BF330" i="9" l="1"/>
  <c r="BB330" i="9"/>
  <c r="BD330" i="9" l="1"/>
  <c r="BG330" i="9" s="1"/>
  <c r="BE330" i="9" l="1"/>
  <c r="AZ331" i="9" s="1"/>
  <c r="BC331" i="9" s="1"/>
  <c r="AU330" i="9"/>
  <c r="BB331" i="9" l="1"/>
  <c r="BF331" i="9"/>
  <c r="BD331" i="9" l="1"/>
  <c r="AU331" i="9" l="1"/>
  <c r="BG331" i="9"/>
  <c r="BE331" i="9"/>
  <c r="AZ332" i="9" l="1"/>
  <c r="BC332" i="9" s="1"/>
  <c r="BF332" i="9" l="1"/>
  <c r="BB332" i="9"/>
  <c r="BD332" i="9" l="1"/>
  <c r="BE332" i="9" s="1"/>
  <c r="BG332" i="9" l="1"/>
  <c r="AU332" i="9"/>
  <c r="AZ333" i="9"/>
  <c r="BC333" i="9" s="1"/>
  <c r="BF333" i="9" l="1"/>
  <c r="BB333" i="9"/>
  <c r="BD333" i="9" l="1"/>
  <c r="AU333" i="9" s="1"/>
  <c r="BE333" i="9" l="1"/>
  <c r="AZ334" i="9" s="1"/>
  <c r="BC334" i="9" s="1"/>
  <c r="BG333" i="9"/>
  <c r="BF334" i="9" l="1"/>
  <c r="BB334" i="9"/>
  <c r="BD334" i="9" l="1"/>
  <c r="BG334" i="9" s="1"/>
  <c r="BE334" i="9" l="1"/>
  <c r="AZ335" i="9" s="1"/>
  <c r="AU334" i="9"/>
  <c r="BC335" i="9" l="1"/>
  <c r="BB335" i="9" s="1"/>
  <c r="BF335" i="9" l="1"/>
  <c r="BD335" i="9" s="1"/>
  <c r="AU335" i="9" l="1"/>
  <c r="BG335" i="9"/>
  <c r="BE335" i="9"/>
  <c r="AZ336" i="9" l="1"/>
  <c r="BC336" i="9" s="1"/>
  <c r="BF336" i="9" l="1"/>
  <c r="BB336" i="9"/>
  <c r="BD336" i="9" l="1"/>
  <c r="BG336" i="9" s="1"/>
  <c r="BE336" i="9" l="1"/>
  <c r="AZ337" i="9" s="1"/>
  <c r="AU336" i="9"/>
  <c r="BC337" i="9" l="1"/>
  <c r="BF337" i="9" s="1"/>
  <c r="BB337" i="9" l="1"/>
  <c r="BD337" i="9" l="1"/>
  <c r="BG337" i="9" l="1"/>
  <c r="AU337" i="9"/>
  <c r="BE337" i="9"/>
  <c r="AZ338" i="9" s="1"/>
  <c r="BC338" i="9" s="1"/>
  <c r="BF338" i="9" l="1"/>
  <c r="BB338" i="9"/>
  <c r="BD338" i="9" l="1"/>
  <c r="BE338" i="9" s="1"/>
  <c r="AZ339" i="9" s="1"/>
  <c r="AU338" i="9" l="1"/>
  <c r="BG338" i="9"/>
  <c r="BC339" i="9"/>
  <c r="BB339" i="9" s="1"/>
  <c r="BF339" i="9" l="1"/>
  <c r="BD339" i="9" s="1"/>
  <c r="AU339" i="9" s="1"/>
  <c r="BG339" i="9" l="1"/>
  <c r="BE339" i="9"/>
  <c r="AZ340" i="9" s="1"/>
  <c r="BC340" i="9" s="1"/>
  <c r="BF340" i="9" l="1"/>
  <c r="BB340" i="9"/>
  <c r="BD340" i="9" l="1"/>
  <c r="BG340" i="9" s="1"/>
  <c r="BE340" i="9" l="1"/>
  <c r="AZ341" i="9" s="1"/>
  <c r="AU340" i="9"/>
  <c r="BC341" i="9" l="1"/>
  <c r="BF341" i="9" s="1"/>
  <c r="BB341" i="9" l="1"/>
  <c r="BD341" i="9" s="1"/>
  <c r="BG341" i="9" l="1"/>
  <c r="AU341" i="9"/>
  <c r="BE341" i="9"/>
  <c r="AZ342" i="9" l="1"/>
  <c r="BC342" i="9" s="1"/>
  <c r="BB342" i="9" l="1"/>
  <c r="BF342" i="9"/>
  <c r="BD342" i="9" l="1"/>
  <c r="AU342" i="9" s="1"/>
  <c r="BE342" i="9" l="1"/>
  <c r="AZ343" i="9" s="1"/>
  <c r="BC343" i="9" s="1"/>
  <c r="BG342" i="9"/>
  <c r="BF343" i="9" l="1"/>
  <c r="BB343" i="9"/>
  <c r="BD343" i="9" l="1"/>
  <c r="BE343" i="9" s="1"/>
  <c r="AZ344" i="9" s="1"/>
  <c r="BC344" i="9" s="1"/>
  <c r="AU343" i="9" l="1"/>
  <c r="BG343" i="9"/>
  <c r="BB344" i="9"/>
  <c r="BF344" i="9"/>
  <c r="BD344" i="9" l="1"/>
  <c r="BE344" i="9" s="1"/>
  <c r="AU344" i="9" l="1"/>
  <c r="BG344" i="9"/>
  <c r="AZ345" i="9"/>
  <c r="BC345" i="9" s="1"/>
  <c r="BF345" i="9" l="1"/>
  <c r="BB345" i="9"/>
  <c r="BD345" i="9" l="1"/>
  <c r="BE345" i="9" s="1"/>
  <c r="AZ346" i="9" s="1"/>
  <c r="BC346" i="9" s="1"/>
  <c r="AU345" i="9" l="1"/>
  <c r="BG345" i="9"/>
  <c r="BB346" i="9"/>
  <c r="BF346" i="9"/>
  <c r="BD346" i="9" l="1"/>
  <c r="BE346" i="9" s="1"/>
  <c r="AU346" i="9" l="1"/>
  <c r="BG346" i="9"/>
  <c r="AZ347" i="9"/>
  <c r="BC347" i="9" s="1"/>
  <c r="BF347" i="9" l="1"/>
  <c r="BB347" i="9"/>
  <c r="BD347" i="9" l="1"/>
  <c r="AU347" i="9" s="1"/>
  <c r="BG347" i="9" l="1"/>
  <c r="BE347" i="9"/>
  <c r="AZ348" i="9" s="1"/>
  <c r="BC348" i="9" s="1"/>
  <c r="BB348" i="9" s="1"/>
  <c r="BF348" i="9" l="1"/>
  <c r="BD348" i="9" s="1"/>
  <c r="AU348" i="9" s="1"/>
  <c r="BE348" i="9" l="1"/>
  <c r="AZ349" i="9" s="1"/>
  <c r="BC349" i="9" s="1"/>
  <c r="BG348" i="9"/>
  <c r="BF349" i="9" l="1"/>
  <c r="BB349" i="9"/>
  <c r="BD349" i="9" l="1"/>
  <c r="BE349" i="9" s="1"/>
  <c r="AZ350" i="9" s="1"/>
  <c r="BC350" i="9" s="1"/>
  <c r="BG349" i="9" l="1"/>
  <c r="AU349" i="9"/>
  <c r="BB350" i="9"/>
  <c r="BF350" i="9"/>
  <c r="BD350" i="9" l="1"/>
  <c r="BE350" i="9" s="1"/>
  <c r="AU350" i="9" l="1"/>
  <c r="BG350" i="9"/>
  <c r="AZ351" i="9"/>
  <c r="BC351" i="9" s="1"/>
  <c r="BF351" i="9" l="1"/>
  <c r="BB351" i="9"/>
  <c r="BD351" i="9" l="1"/>
  <c r="AU351" i="9" s="1"/>
  <c r="BE351" i="9" l="1"/>
  <c r="AZ352" i="9" s="1"/>
  <c r="BG351" i="9"/>
  <c r="BC352" i="9" l="1"/>
  <c r="BF352" i="9" s="1"/>
  <c r="BB352" i="9" l="1"/>
  <c r="BD352" i="9" s="1"/>
  <c r="BG352" i="9" l="1"/>
  <c r="AU352" i="9"/>
  <c r="BE352" i="9"/>
  <c r="AZ353" i="9" s="1"/>
  <c r="BC353" i="9" s="1"/>
  <c r="BF353" i="9" l="1"/>
  <c r="BB353" i="9"/>
  <c r="BD353" i="9" l="1"/>
  <c r="BG353" i="9" s="1"/>
  <c r="BE353" i="9" l="1"/>
  <c r="AZ354" i="9" s="1"/>
  <c r="BC354" i="9" s="1"/>
  <c r="AU353" i="9"/>
  <c r="BB354" i="9" l="1"/>
  <c r="BF354" i="9"/>
  <c r="BD354" i="9" l="1"/>
  <c r="BG354" i="9" l="1"/>
  <c r="AU354" i="9"/>
  <c r="BE354" i="9"/>
  <c r="AZ355" i="9" l="1"/>
  <c r="BC355" i="9" s="1"/>
  <c r="BB355" i="9" l="1"/>
  <c r="BF355" i="9"/>
  <c r="BD355" i="9" l="1"/>
  <c r="AU355" i="9" s="1"/>
  <c r="BE355" i="9" l="1"/>
  <c r="AZ356" i="9" s="1"/>
  <c r="BC356" i="9" s="1"/>
  <c r="BG355" i="9"/>
  <c r="BF356" i="9" l="1"/>
  <c r="BB356" i="9"/>
  <c r="BD356" i="9" l="1"/>
  <c r="BE356" i="9" s="1"/>
  <c r="AZ357" i="9" s="1"/>
  <c r="BC357" i="9" s="1"/>
  <c r="BG356" i="9" l="1"/>
  <c r="AU356" i="9"/>
  <c r="BB357" i="9"/>
  <c r="BF357" i="9"/>
  <c r="BD357" i="9" l="1"/>
  <c r="BE357" i="9" s="1"/>
  <c r="AU357" i="9" l="1"/>
  <c r="BG357" i="9"/>
  <c r="AZ358" i="9"/>
  <c r="BC358" i="9" s="1"/>
  <c r="BF358" i="9" l="1"/>
  <c r="BB358" i="9"/>
  <c r="BD358" i="9" l="1"/>
  <c r="BE358" i="9" s="1"/>
  <c r="BG358" i="9" l="1"/>
  <c r="AU358" i="9"/>
  <c r="AZ359" i="9"/>
  <c r="BC359" i="9" s="1"/>
  <c r="BB359" i="9" l="1"/>
  <c r="BF359" i="9"/>
  <c r="BD359" i="9" l="1"/>
  <c r="AU359" i="9" s="1"/>
  <c r="BG359" i="9" l="1"/>
  <c r="BE359" i="9"/>
  <c r="AZ360" i="9" s="1"/>
  <c r="BC360" i="9" s="1"/>
  <c r="BB360" i="9" l="1"/>
  <c r="BF360" i="9"/>
  <c r="BD360" i="9" l="1"/>
  <c r="BG360" i="9" s="1"/>
  <c r="BE360" i="9" l="1"/>
  <c r="AZ361" i="9" s="1"/>
  <c r="BC361" i="9" s="1"/>
  <c r="AU360" i="9"/>
  <c r="BB361" i="9" l="1"/>
  <c r="BF361" i="9"/>
  <c r="BD361" i="9" l="1"/>
  <c r="AU361" i="9" l="1"/>
  <c r="BG361" i="9"/>
  <c r="BE361" i="9"/>
  <c r="AZ362" i="9" l="1"/>
  <c r="BC362" i="9" s="1"/>
  <c r="BB362" i="9" l="1"/>
  <c r="BF362" i="9"/>
  <c r="BD362" i="9" l="1"/>
  <c r="BG362" i="9" l="1"/>
  <c r="AU362" i="9"/>
  <c r="BE362" i="9"/>
  <c r="AZ363" i="9" l="1"/>
  <c r="BC363" i="9" s="1"/>
  <c r="BB363" i="9" l="1"/>
  <c r="BF363" i="9"/>
  <c r="BD363" i="9" l="1"/>
  <c r="AU363" i="9" s="1"/>
  <c r="BE363" i="9" l="1"/>
  <c r="AZ364" i="9" s="1"/>
  <c r="BC364" i="9" s="1"/>
  <c r="BG363" i="9"/>
  <c r="BF364" i="9" l="1"/>
  <c r="BB364" i="9"/>
  <c r="BD364" i="9" l="1"/>
  <c r="AU364" i="9" s="1"/>
  <c r="BE364" i="9" l="1"/>
  <c r="AZ365" i="9" s="1"/>
  <c r="BC365" i="9" s="1"/>
  <c r="BG364" i="9"/>
  <c r="BB365" i="9" l="1"/>
  <c r="BF365" i="9"/>
  <c r="BD365" i="9" l="1"/>
  <c r="AU365" i="9" l="1"/>
  <c r="BG365" i="9"/>
  <c r="BE365" i="9"/>
  <c r="AZ366" i="9" l="1"/>
  <c r="BC366" i="9" s="1"/>
  <c r="BF366" i="9" l="1"/>
  <c r="BB366" i="9"/>
  <c r="BD366" i="9" l="1"/>
  <c r="BE366" i="9" s="1"/>
  <c r="AU366" i="9" l="1"/>
  <c r="AZ367" i="9"/>
  <c r="BC367" i="9" s="1"/>
  <c r="BG366" i="9"/>
  <c r="BF367" i="9" l="1"/>
  <c r="BB367" i="9"/>
  <c r="BD367" i="9" l="1"/>
  <c r="AU367" i="9" l="1"/>
  <c r="BG367" i="9"/>
  <c r="BE367" i="9"/>
  <c r="AZ368" i="9" s="1"/>
  <c r="BC368" i="9" s="1"/>
  <c r="BB368" i="9" s="1"/>
  <c r="BF368" i="9" l="1"/>
  <c r="BD368" i="9" l="1"/>
  <c r="BE368" i="9" s="1"/>
  <c r="AZ369" i="9" s="1"/>
  <c r="BC369" i="9" s="1"/>
  <c r="BB369" i="9" s="1"/>
  <c r="BF369" i="9" l="1"/>
  <c r="BD369" i="9" s="1"/>
  <c r="BG369" i="9" s="1"/>
  <c r="AU368" i="9"/>
  <c r="BG368" i="9"/>
  <c r="BE369" i="9" l="1"/>
  <c r="AZ370" i="9" s="1"/>
  <c r="AU369" i="9"/>
  <c r="BC370" i="9" l="1"/>
  <c r="BF370" i="9" s="1"/>
  <c r="BB370" i="9" l="1"/>
  <c r="BD370" i="9" s="1"/>
  <c r="AU370" i="9" s="1"/>
  <c r="BE370" i="9" l="1"/>
  <c r="AZ371" i="9" s="1"/>
  <c r="BG370" i="9"/>
  <c r="BC371" i="9" l="1"/>
  <c r="BB371" i="9" s="1"/>
  <c r="BF371" i="9" l="1"/>
  <c r="BD371" i="9" s="1"/>
  <c r="BE371" i="9" l="1"/>
  <c r="AZ372" i="9" s="1"/>
  <c r="BC372" i="9" s="1"/>
  <c r="BG371" i="9"/>
  <c r="AU371" i="9"/>
  <c r="BF372" i="9" l="1"/>
  <c r="BB372" i="9"/>
  <c r="BD372" i="9" l="1"/>
  <c r="BE372" i="9" s="1"/>
  <c r="AZ373" i="9" s="1"/>
  <c r="AU372" i="9" l="1"/>
  <c r="BG372" i="9"/>
  <c r="BC373" i="9"/>
  <c r="BF373" i="9" s="1"/>
  <c r="BB373" i="9" l="1"/>
  <c r="BD373" i="9" s="1"/>
  <c r="AU373" i="9" s="1"/>
  <c r="BG373" i="9" l="1"/>
  <c r="BE373" i="9"/>
  <c r="AZ374" i="9" s="1"/>
  <c r="BC374" i="9" s="1"/>
  <c r="BF374" i="9" l="1"/>
  <c r="BB374" i="9"/>
  <c r="BD374" i="9" l="1"/>
  <c r="BG374" i="9" s="1"/>
  <c r="AU374" i="9" l="1"/>
  <c r="BE374" i="9"/>
  <c r="AZ375" i="9" s="1"/>
  <c r="BC375" i="9" s="1"/>
  <c r="BF375" i="9" s="1"/>
  <c r="BB375" i="9" l="1"/>
  <c r="BD375" i="9" s="1"/>
  <c r="BG375" i="9" s="1"/>
  <c r="AU375" i="9" l="1"/>
  <c r="BE375" i="9"/>
  <c r="AZ376" i="9" s="1"/>
  <c r="BC376" i="9" s="1"/>
  <c r="BF376" i="9" l="1"/>
  <c r="BB376" i="9"/>
  <c r="BD376" i="9" l="1"/>
  <c r="AU376" i="9" s="1"/>
  <c r="BG376" i="9" l="1"/>
  <c r="BE376" i="9"/>
  <c r="AZ377" i="9" s="1"/>
  <c r="BC377" i="9" s="1"/>
  <c r="BB377" i="9" l="1"/>
  <c r="BF377" i="9"/>
  <c r="BD377" i="9" l="1"/>
  <c r="BG377" i="9" l="1"/>
  <c r="AU377" i="9"/>
  <c r="BE377" i="9"/>
  <c r="AZ378" i="9" l="1"/>
  <c r="BC378" i="9" s="1"/>
  <c r="BB378" i="9" l="1"/>
  <c r="BF378" i="9"/>
  <c r="BD378" i="9" l="1"/>
  <c r="BG378" i="9" s="1"/>
  <c r="AU378" i="9" l="1"/>
  <c r="BE378" i="9"/>
  <c r="AZ379" i="9" s="1"/>
  <c r="BC379" i="9" s="1"/>
  <c r="BF379" i="9" s="1"/>
  <c r="BB379" i="9" l="1"/>
  <c r="BD379" i="9" s="1"/>
  <c r="BE379" i="9" s="1"/>
  <c r="AZ380" i="9" s="1"/>
  <c r="BC380" i="9" s="1"/>
  <c r="AU379" i="9" l="1"/>
  <c r="BG379" i="9"/>
  <c r="BB380" i="9"/>
  <c r="BF380" i="9"/>
  <c r="BD380" i="9" l="1"/>
  <c r="BG380" i="9" s="1"/>
  <c r="BE380" i="9" l="1"/>
  <c r="AZ381" i="9" s="1"/>
  <c r="BC381" i="9" s="1"/>
  <c r="AU380" i="9"/>
  <c r="BF381" i="9" l="1"/>
  <c r="BB381" i="9"/>
  <c r="BD381" i="9" l="1"/>
  <c r="BE381" i="9" s="1"/>
  <c r="AZ382" i="9" s="1"/>
  <c r="BC382" i="9" s="1"/>
  <c r="BG381" i="9" l="1"/>
  <c r="AU381" i="9"/>
  <c r="BB382" i="9"/>
  <c r="BF382" i="9"/>
  <c r="BD382" i="9" l="1"/>
  <c r="BE382" i="9" s="1"/>
  <c r="AU382" i="9" l="1"/>
  <c r="BG382" i="9"/>
  <c r="AZ383" i="9"/>
  <c r="BC383" i="9" s="1"/>
  <c r="BF383" i="9" l="1"/>
  <c r="BB383" i="9"/>
  <c r="BD383" i="9" l="1"/>
  <c r="BE383" i="9" s="1"/>
  <c r="AZ384" i="9" s="1"/>
  <c r="BC384" i="9" s="1"/>
  <c r="AU383" i="9" l="1"/>
  <c r="BG383" i="9"/>
  <c r="BB384" i="9"/>
  <c r="BF384" i="9"/>
  <c r="BD384" i="9" l="1"/>
  <c r="BE384" i="9" s="1"/>
  <c r="AU384" i="9" l="1"/>
  <c r="BG384" i="9"/>
  <c r="AZ385" i="9"/>
  <c r="BC385" i="9" s="1"/>
  <c r="BF385" i="9" l="1"/>
  <c r="BB385" i="9"/>
  <c r="BD385" i="9" l="1"/>
  <c r="BE385" i="9" s="1"/>
  <c r="AZ386" i="9" s="1"/>
  <c r="BC386" i="9" s="1"/>
  <c r="BG385" i="9" l="1"/>
  <c r="AU385" i="9"/>
  <c r="BB386" i="9"/>
  <c r="BF386" i="9"/>
  <c r="BD386" i="9" l="1"/>
  <c r="AU386" i="9" s="1"/>
  <c r="BG386" i="9" l="1"/>
  <c r="BE386" i="9"/>
  <c r="AZ387" i="9" s="1"/>
  <c r="BC387" i="9" s="1"/>
  <c r="BF387" i="9" s="1"/>
  <c r="BB387" i="9" l="1"/>
  <c r="BD387" i="9" s="1"/>
  <c r="BE387" i="9" s="1"/>
  <c r="AZ388" i="9" s="1"/>
  <c r="BC388" i="9" s="1"/>
  <c r="BG387" i="9" l="1"/>
  <c r="AU387" i="9"/>
  <c r="BB388" i="9"/>
  <c r="BF388" i="9"/>
  <c r="BD388" i="9" l="1"/>
  <c r="BE388" i="9" s="1"/>
  <c r="BG388" i="9" l="1"/>
  <c r="AU388" i="9"/>
  <c r="AZ389" i="9"/>
  <c r="BC389" i="9" s="1"/>
  <c r="BF389" i="9" l="1"/>
  <c r="BB389" i="9"/>
  <c r="BD389" i="9" l="1"/>
  <c r="BG389" i="9" l="1"/>
  <c r="AU389" i="9"/>
  <c r="BE389" i="9"/>
  <c r="AZ390" i="9" l="1"/>
  <c r="BC390" i="9" s="1"/>
  <c r="BF390" i="9" l="1"/>
  <c r="BB390" i="9"/>
  <c r="BD390" i="9" l="1"/>
  <c r="BE390" i="9" s="1"/>
  <c r="AZ391" i="9" s="1"/>
  <c r="BC391" i="9" s="1"/>
  <c r="AU390" i="9" l="1"/>
  <c r="BG390" i="9"/>
  <c r="BF391" i="9"/>
  <c r="BB391" i="9"/>
  <c r="BD391" i="9" l="1"/>
  <c r="BE391" i="9" s="1"/>
  <c r="AU391" i="9" l="1"/>
  <c r="BG391" i="9"/>
  <c r="AZ392" i="9"/>
  <c r="BC392" i="9" s="1"/>
  <c r="BB392" i="9" l="1"/>
  <c r="BF392" i="9"/>
  <c r="BD392" i="9" l="1"/>
  <c r="BG392" i="9" l="1"/>
  <c r="AU392" i="9"/>
  <c r="BE392" i="9"/>
  <c r="AZ393" i="9" l="1"/>
  <c r="BC393" i="9" s="1"/>
  <c r="BF393" i="9" l="1"/>
  <c r="BB393" i="9"/>
  <c r="BD393" i="9" l="1"/>
  <c r="BG393" i="9" s="1"/>
  <c r="AU393" i="9" l="1"/>
  <c r="BE393" i="9"/>
  <c r="AZ394" i="9" s="1"/>
  <c r="BC394" i="9" s="1"/>
  <c r="BF394" i="9" l="1"/>
  <c r="BB394" i="9"/>
  <c r="BD394" i="9" l="1"/>
  <c r="BE394" i="9" s="1"/>
  <c r="AZ395" i="9" s="1"/>
  <c r="BC395" i="9" s="1"/>
  <c r="AU394" i="9" l="1"/>
  <c r="BG394" i="9"/>
  <c r="BF395" i="9"/>
  <c r="BB395" i="9"/>
  <c r="BD395" i="9" l="1"/>
  <c r="BE395" i="9" s="1"/>
  <c r="BG395" i="9" l="1"/>
  <c r="AU395" i="9"/>
  <c r="AZ396" i="9"/>
  <c r="BC396" i="9" s="1"/>
  <c r="BB396" i="9" l="1"/>
  <c r="BF396" i="9"/>
  <c r="BD396" i="9" l="1"/>
  <c r="AU396" i="9" l="1"/>
  <c r="BG396" i="9"/>
  <c r="BE396" i="9"/>
  <c r="AZ397" i="9" l="1"/>
  <c r="BC397" i="9" s="1"/>
  <c r="BF397" i="9" l="1"/>
  <c r="BB397" i="9"/>
  <c r="BD397" i="9" l="1"/>
  <c r="BG397" i="9" s="1"/>
  <c r="BE397" i="9" l="1"/>
  <c r="AZ398" i="9" s="1"/>
  <c r="BC398" i="9" s="1"/>
  <c r="AU397" i="9"/>
  <c r="BF398" i="9" l="1"/>
  <c r="BB398" i="9"/>
  <c r="BD398" i="9" l="1"/>
  <c r="BE398" i="9" s="1"/>
  <c r="AZ399" i="9" s="1"/>
  <c r="BC399" i="9" s="1"/>
  <c r="BG398" i="9" l="1"/>
  <c r="AU398" i="9"/>
  <c r="BF399" i="9"/>
  <c r="BB399" i="9"/>
  <c r="BD399" i="9" l="1"/>
  <c r="BE399" i="9" s="1"/>
  <c r="BG399" i="9" l="1"/>
  <c r="AU399" i="9"/>
  <c r="AZ400" i="9"/>
  <c r="BC400" i="9" s="1"/>
  <c r="BB400" i="9" l="1"/>
  <c r="BF400" i="9"/>
  <c r="BD400" i="9" l="1"/>
  <c r="AU400" i="9" l="1"/>
  <c r="BG400" i="9"/>
  <c r="BE400" i="9"/>
  <c r="AZ401" i="9" l="1"/>
  <c r="BC401" i="9" s="1"/>
  <c r="BF401" i="9" l="1"/>
  <c r="BB401" i="9"/>
  <c r="BD401" i="9" l="1"/>
  <c r="BE401" i="9" s="1"/>
  <c r="BG401" i="9" l="1"/>
  <c r="AU401" i="9"/>
  <c r="AZ402" i="9"/>
  <c r="BC402" i="9" s="1"/>
  <c r="BF402" i="9" l="1"/>
  <c r="BB402" i="9"/>
  <c r="BD402" i="9" l="1"/>
  <c r="BE402" i="9" s="1"/>
  <c r="AZ403" i="9" s="1"/>
  <c r="BC403" i="9" s="1"/>
  <c r="AU402" i="9" l="1"/>
  <c r="BG402" i="9"/>
  <c r="BB403" i="9"/>
  <c r="BF403" i="9"/>
  <c r="BD403" i="9" l="1"/>
  <c r="BG403" i="9" s="1"/>
  <c r="BE403" i="9" l="1"/>
  <c r="AZ404" i="9" s="1"/>
  <c r="BC404" i="9" s="1"/>
  <c r="AU403" i="9"/>
  <c r="BF404" i="9" l="1"/>
  <c r="BB404" i="9"/>
  <c r="BD404" i="9" l="1"/>
  <c r="BE404" i="9" s="1"/>
  <c r="AZ405" i="9" s="1"/>
  <c r="BC405" i="9" s="1"/>
  <c r="AU404" i="9" l="1"/>
  <c r="BG404" i="9"/>
  <c r="BB405" i="9"/>
  <c r="BF405" i="9"/>
  <c r="BD405" i="9" l="1"/>
  <c r="AU405" i="9" s="1"/>
  <c r="BG405" i="9" l="1"/>
  <c r="BE405" i="9"/>
  <c r="AZ406" i="9" s="1"/>
  <c r="BC406" i="9" s="1"/>
  <c r="BF406" i="9" s="1"/>
  <c r="BB406" i="9" l="1"/>
  <c r="BD406" i="9" s="1"/>
  <c r="BE406" i="9" s="1"/>
  <c r="AZ407" i="9" s="1"/>
  <c r="BC407" i="9" s="1"/>
  <c r="AU406" i="9" l="1"/>
  <c r="BG406" i="9"/>
  <c r="BB407" i="9"/>
  <c r="BF407" i="9"/>
  <c r="BD407" i="9" l="1"/>
  <c r="BG407" i="9" s="1"/>
  <c r="AU407" i="9" l="1"/>
  <c r="BE407" i="9"/>
  <c r="AZ408" i="9" s="1"/>
  <c r="BC408" i="9" s="1"/>
  <c r="BF408" i="9" l="1"/>
  <c r="BB408" i="9"/>
  <c r="BD408" i="9" l="1"/>
  <c r="BG408" i="9" s="1"/>
  <c r="BE408" i="9" l="1"/>
  <c r="AZ409" i="9" s="1"/>
  <c r="BC409" i="9" s="1"/>
  <c r="BB409" i="9" s="1"/>
  <c r="AU408" i="9"/>
  <c r="BF409" i="9" l="1"/>
  <c r="BD409" i="9" s="1"/>
  <c r="BG409" i="9" s="1"/>
  <c r="AU409" i="9" l="1"/>
  <c r="BE409" i="9"/>
  <c r="AZ410" i="9" s="1"/>
  <c r="BC410" i="9" s="1"/>
  <c r="BF410" i="9" l="1"/>
  <c r="BB410" i="9"/>
  <c r="BD410" i="9" l="1"/>
  <c r="BE410" i="9" s="1"/>
  <c r="AZ411" i="9" s="1"/>
  <c r="BC411" i="9" s="1"/>
  <c r="BG410" i="9" l="1"/>
  <c r="AU410" i="9"/>
  <c r="BB411" i="9"/>
  <c r="BF411" i="9"/>
  <c r="BD411" i="9" l="1"/>
  <c r="BE411" i="9" s="1"/>
  <c r="AU411" i="9" l="1"/>
  <c r="BG411" i="9"/>
  <c r="AZ412" i="9"/>
  <c r="BC412" i="9" s="1"/>
  <c r="BF412" i="9" l="1"/>
  <c r="BB412" i="9"/>
  <c r="BD412" i="9" l="1"/>
  <c r="BE412" i="9" s="1"/>
  <c r="AZ413" i="9" s="1"/>
  <c r="BC413" i="9" s="1"/>
  <c r="BG412" i="9" l="1"/>
  <c r="AU412" i="9"/>
  <c r="BB413" i="9"/>
  <c r="BF413" i="9"/>
  <c r="BD413" i="9" l="1"/>
  <c r="BE413" i="9" s="1"/>
  <c r="BG413" i="9" l="1"/>
  <c r="AU413" i="9"/>
  <c r="AZ414" i="9"/>
  <c r="BC414" i="9" s="1"/>
  <c r="BF414" i="9" l="1"/>
  <c r="BB414" i="9"/>
  <c r="BD414" i="9" l="1"/>
  <c r="AU414" i="9" s="1"/>
  <c r="BG414" i="9" l="1"/>
  <c r="BE414" i="9"/>
  <c r="AZ415" i="9" s="1"/>
  <c r="BC415" i="9" s="1"/>
  <c r="BB415" i="9" l="1"/>
  <c r="BF415" i="9"/>
  <c r="BD415" i="9" l="1"/>
  <c r="BG415" i="9" l="1"/>
  <c r="AU415" i="9"/>
  <c r="BE415" i="9"/>
  <c r="AZ416" i="9" l="1"/>
  <c r="BC416" i="9" s="1"/>
  <c r="BF416" i="9" l="1"/>
  <c r="BB416" i="9"/>
  <c r="BD416" i="9" l="1"/>
  <c r="AU416" i="9" s="1"/>
  <c r="BG416" i="9" l="1"/>
  <c r="BE416" i="9"/>
  <c r="AZ417" i="9" s="1"/>
  <c r="BC417" i="9" s="1"/>
  <c r="BF417" i="9" l="1"/>
  <c r="BB417" i="9"/>
  <c r="BD417" i="9" l="1"/>
  <c r="BE417" i="9" s="1"/>
  <c r="AZ418" i="9" s="1"/>
  <c r="BC418" i="9" s="1"/>
  <c r="BG417" i="9" l="1"/>
  <c r="AU417" i="9"/>
  <c r="BF418" i="9"/>
  <c r="BB418" i="9"/>
  <c r="BD418" i="9" l="1"/>
  <c r="AU418" i="9" s="1"/>
  <c r="BG418" i="9" l="1"/>
  <c r="BE418" i="9"/>
  <c r="AZ419" i="9" s="1"/>
  <c r="BC419" i="9" s="1"/>
  <c r="BB419" i="9" l="1"/>
  <c r="BF419" i="9"/>
  <c r="BD419" i="9" l="1"/>
  <c r="BG419" i="9" l="1"/>
  <c r="AU419" i="9"/>
  <c r="BE419" i="9"/>
  <c r="AZ420" i="9" l="1"/>
  <c r="BC420" i="9" s="1"/>
  <c r="BF420" i="9" l="1"/>
  <c r="BB420" i="9"/>
  <c r="BD420" i="9" l="1"/>
  <c r="AU420" i="9" s="1"/>
  <c r="BG420" i="9" l="1"/>
  <c r="BE420" i="9"/>
  <c r="AZ421" i="9" s="1"/>
  <c r="BC421" i="9" s="1"/>
  <c r="BF421" i="9" l="1"/>
  <c r="BB421" i="9"/>
  <c r="BD421" i="9" l="1"/>
  <c r="BE421" i="9" s="1"/>
  <c r="AU421" i="9" l="1"/>
  <c r="BG421" i="9"/>
  <c r="AZ422" i="9"/>
  <c r="BC422" i="9" s="1"/>
  <c r="BF422" i="9" l="1"/>
  <c r="BB422" i="9"/>
  <c r="BD422" i="9" l="1"/>
  <c r="BG422" i="9" s="1"/>
  <c r="BE422" i="9" l="1"/>
  <c r="AZ423" i="9" s="1"/>
  <c r="AU422" i="9"/>
  <c r="BC423" i="9" l="1"/>
  <c r="BB423" i="9" s="1"/>
  <c r="BF423" i="9" l="1"/>
  <c r="BD423" i="9" s="1"/>
  <c r="BG423" i="9" l="1"/>
  <c r="AU423" i="9"/>
  <c r="BE423" i="9"/>
  <c r="AZ424" i="9" l="1"/>
  <c r="BC424" i="9" s="1"/>
  <c r="BF424" i="9" l="1"/>
  <c r="BB424" i="9"/>
  <c r="BD424" i="9" l="1"/>
  <c r="AU424" i="9" s="1"/>
  <c r="BG424" i="9" l="1"/>
  <c r="BE424" i="9"/>
  <c r="AZ425" i="9" s="1"/>
  <c r="BC425" i="9" s="1"/>
  <c r="BF425" i="9" l="1"/>
  <c r="BB425" i="9"/>
  <c r="BD425" i="9" l="1"/>
  <c r="BG425" i="9" l="1"/>
  <c r="AU425" i="9"/>
  <c r="BE425" i="9"/>
  <c r="AZ426" i="9" l="1"/>
  <c r="BC426" i="9" s="1"/>
  <c r="BB426" i="9" l="1"/>
  <c r="BF426" i="9"/>
  <c r="BD426" i="9" l="1"/>
  <c r="BG426" i="9" s="1"/>
  <c r="BE426" i="9" l="1"/>
  <c r="AZ427" i="9" s="1"/>
  <c r="BC427" i="9" s="1"/>
  <c r="AU426" i="9"/>
  <c r="BF427" i="9" l="1"/>
  <c r="BB427" i="9"/>
  <c r="BD427" i="9" l="1"/>
  <c r="BE427" i="9" s="1"/>
  <c r="AZ428" i="9" s="1"/>
  <c r="BC428" i="9" s="1"/>
  <c r="BG427" i="9" l="1"/>
  <c r="AU427" i="9"/>
  <c r="BB428" i="9"/>
  <c r="BF428" i="9"/>
  <c r="BD428" i="9" l="1"/>
  <c r="BE428" i="9" s="1"/>
  <c r="AU428" i="9" l="1"/>
  <c r="BG428" i="9"/>
  <c r="AZ429" i="9"/>
  <c r="BC429" i="9" s="1"/>
  <c r="BF429" i="9" l="1"/>
  <c r="BB429" i="9"/>
  <c r="BD429" i="9" l="1"/>
  <c r="BE429" i="9" s="1"/>
  <c r="AZ430" i="9" s="1"/>
  <c r="BC430" i="9" s="1"/>
  <c r="AU429" i="9" l="1"/>
  <c r="BG429" i="9"/>
  <c r="BB430" i="9"/>
  <c r="BF430" i="9"/>
  <c r="BD430" i="9" l="1"/>
  <c r="AU430" i="9" s="1"/>
  <c r="BE430" i="9" l="1"/>
  <c r="AZ431" i="9" s="1"/>
  <c r="BC431" i="9" s="1"/>
  <c r="BG430" i="9"/>
  <c r="BF431" i="9" l="1"/>
  <c r="BB431" i="9"/>
  <c r="BD431" i="9" l="1"/>
  <c r="BE431" i="9" s="1"/>
  <c r="AZ432" i="9" s="1"/>
  <c r="BC432" i="9" s="1"/>
  <c r="AU431" i="9" l="1"/>
  <c r="BG431" i="9"/>
  <c r="BB432" i="9"/>
  <c r="BF432" i="9"/>
  <c r="BD432" i="9" l="1"/>
  <c r="BG432" i="9" s="1"/>
  <c r="BE432" i="9" l="1"/>
  <c r="AZ433" i="9" s="1"/>
  <c r="BC433" i="9" s="1"/>
  <c r="AU432" i="9"/>
  <c r="BF433" i="9" l="1"/>
  <c r="BB433" i="9"/>
  <c r="BD433" i="9" l="1"/>
  <c r="BE433" i="9" s="1"/>
  <c r="AZ434" i="9" s="1"/>
  <c r="BC434" i="9" s="1"/>
  <c r="AU433" i="9" l="1"/>
  <c r="BG433" i="9"/>
  <c r="BB434" i="9"/>
  <c r="BF434" i="9"/>
  <c r="BD434" i="9" l="1"/>
  <c r="BG434" i="9" s="1"/>
  <c r="BE434" i="9" l="1"/>
  <c r="AZ435" i="9" s="1"/>
  <c r="BC435" i="9" s="1"/>
  <c r="AU434" i="9"/>
  <c r="BF435" i="9" l="1"/>
  <c r="BB435" i="9"/>
  <c r="BD435" i="9" l="1"/>
  <c r="BE435" i="9" s="1"/>
  <c r="AZ436" i="9" s="1"/>
  <c r="BC436" i="9" s="1"/>
  <c r="AU435" i="9" l="1"/>
  <c r="BG435" i="9"/>
  <c r="BB436" i="9"/>
  <c r="BF436" i="9"/>
  <c r="BD436" i="9" l="1"/>
  <c r="BE436" i="9" s="1"/>
  <c r="BG436" i="9" l="1"/>
  <c r="AU436" i="9"/>
  <c r="AZ437" i="9"/>
  <c r="BC437" i="9" s="1"/>
  <c r="BF437" i="9" l="1"/>
  <c r="BB437" i="9"/>
  <c r="BD437" i="9" l="1"/>
  <c r="BE437" i="9" s="1"/>
  <c r="BG437" i="9" l="1"/>
  <c r="AU437" i="9"/>
  <c r="AZ438" i="9"/>
  <c r="BC438" i="9" s="1"/>
  <c r="BB438" i="9" l="1"/>
  <c r="BF438" i="9"/>
  <c r="BD438" i="9" l="1"/>
  <c r="BG438" i="9" l="1"/>
  <c r="AU438" i="9"/>
  <c r="BE438" i="9"/>
  <c r="AZ439" i="9" l="1"/>
  <c r="BC439" i="9" s="1"/>
  <c r="BF439" i="9" l="1"/>
  <c r="BB439" i="9"/>
  <c r="BD439" i="9" l="1"/>
  <c r="BG439" i="9" s="1"/>
  <c r="BE439" i="9" l="1"/>
  <c r="AZ440" i="9" s="1"/>
  <c r="AU439" i="9"/>
  <c r="BC440" i="9" l="1"/>
  <c r="BB440" i="9" s="1"/>
  <c r="BF440" i="9" l="1"/>
  <c r="BD440" i="9" s="1"/>
  <c r="BE440" i="9" l="1"/>
  <c r="AZ441" i="9" s="1"/>
  <c r="BC441" i="9" s="1"/>
  <c r="BG440" i="9"/>
  <c r="AU440" i="9"/>
  <c r="BF441" i="9" l="1"/>
  <c r="BB441" i="9"/>
  <c r="BD441" i="9" l="1"/>
  <c r="AU441" i="9" s="1"/>
  <c r="BE441" i="9" l="1"/>
  <c r="AZ442" i="9" s="1"/>
  <c r="BG441" i="9"/>
  <c r="BC442" i="9" l="1"/>
  <c r="BF442" i="9" s="1"/>
  <c r="BB442" i="9" l="1"/>
  <c r="BD442" i="9" s="1"/>
  <c r="BG442" i="9" l="1"/>
  <c r="AU442" i="9"/>
  <c r="BE442" i="9"/>
  <c r="AZ443" i="9" l="1"/>
  <c r="BC443" i="9" s="1"/>
  <c r="BF443" i="9" l="1"/>
  <c r="BB443" i="9"/>
  <c r="BD443" i="9" l="1"/>
  <c r="BG443" i="9" s="1"/>
  <c r="BE443" i="9" l="1"/>
  <c r="AZ444" i="9" s="1"/>
  <c r="BC444" i="9" s="1"/>
  <c r="AU443" i="9"/>
  <c r="BF444" i="9" l="1"/>
  <c r="BB444" i="9"/>
  <c r="BD444" i="9" l="1"/>
  <c r="BE444" i="9" s="1"/>
  <c r="AZ445" i="9" s="1"/>
  <c r="BC445" i="9" s="1"/>
  <c r="AU444" i="9" l="1"/>
  <c r="BG444" i="9"/>
  <c r="BF445" i="9"/>
  <c r="BB445" i="9"/>
  <c r="BD445" i="9" l="1"/>
  <c r="BE445" i="9" s="1"/>
  <c r="BG445" i="9" l="1"/>
  <c r="AU445" i="9"/>
  <c r="AZ446" i="9"/>
  <c r="BC446" i="9" s="1"/>
  <c r="BB446" i="9" l="1"/>
  <c r="BF446" i="9"/>
  <c r="BD446" i="9" l="1"/>
  <c r="BG446" i="9" l="1"/>
  <c r="AU446" i="9"/>
  <c r="BE446" i="9"/>
  <c r="AZ447" i="9" l="1"/>
  <c r="BC447" i="9" s="1"/>
  <c r="BF447" i="9" l="1"/>
  <c r="BB447" i="9"/>
  <c r="BD447" i="9" l="1"/>
  <c r="BE447" i="9" s="1"/>
  <c r="AU447" i="9" l="1"/>
  <c r="BG447" i="9"/>
  <c r="AZ448" i="9"/>
  <c r="BC448" i="9" s="1"/>
  <c r="BF448" i="9" l="1"/>
  <c r="BB448" i="9"/>
  <c r="BD448" i="9" l="1"/>
  <c r="BE448" i="9" s="1"/>
  <c r="AU448" i="9" l="1"/>
  <c r="BG448" i="9"/>
  <c r="AZ449" i="9"/>
  <c r="BC449" i="9" s="1"/>
  <c r="BF449" i="9" l="1"/>
  <c r="BB449" i="9"/>
  <c r="BD449" i="9" l="1"/>
  <c r="BE449" i="9" s="1"/>
  <c r="BG449" i="9" l="1"/>
  <c r="AU449" i="9"/>
  <c r="AZ450" i="9"/>
  <c r="BC450" i="9" s="1"/>
  <c r="BF450" i="9" l="1"/>
  <c r="BB450" i="9"/>
  <c r="BD450" i="9" l="1"/>
  <c r="BE450" i="9" s="1"/>
  <c r="AZ451" i="9" s="1"/>
  <c r="BC451" i="9" s="1"/>
  <c r="BG450" i="9" l="1"/>
  <c r="AU450" i="9"/>
  <c r="BB451" i="9"/>
  <c r="BF451" i="9"/>
  <c r="BD451" i="9" l="1"/>
  <c r="BE451" i="9" s="1"/>
  <c r="BG451" i="9" l="1"/>
  <c r="AU451" i="9"/>
  <c r="AZ452" i="9"/>
  <c r="BC452" i="9" s="1"/>
  <c r="BF452" i="9" l="1"/>
  <c r="BB452" i="9"/>
  <c r="BD452" i="9" l="1"/>
  <c r="BG452" i="9" l="1"/>
  <c r="AU452" i="9"/>
  <c r="BE452" i="9"/>
  <c r="AZ453" i="9" l="1"/>
  <c r="BC453" i="9" s="1"/>
  <c r="BB453" i="9" l="1"/>
  <c r="BF453" i="9"/>
  <c r="BD453" i="9" l="1"/>
  <c r="BG453" i="9" l="1"/>
  <c r="AU453" i="9"/>
  <c r="BE453" i="9"/>
  <c r="AZ454" i="9" l="1"/>
  <c r="BC454" i="9" s="1"/>
  <c r="BF454" i="9" l="1"/>
  <c r="BB454" i="9"/>
  <c r="BD454" i="9" l="1"/>
  <c r="BE454" i="9" s="1"/>
  <c r="BG454" i="9" l="1"/>
  <c r="AU454" i="9"/>
  <c r="AZ455" i="9"/>
  <c r="BC455" i="9" s="1"/>
  <c r="BB455" i="9" l="1"/>
  <c r="BF455" i="9"/>
  <c r="BD455" i="9" l="1"/>
  <c r="BE455" i="9" s="1"/>
  <c r="AZ456" i="9" s="1"/>
  <c r="BC456" i="9" s="1"/>
  <c r="BG455" i="9" l="1"/>
  <c r="AU455" i="9"/>
  <c r="BF456" i="9"/>
  <c r="BB456" i="9"/>
  <c r="BD456" i="9" l="1"/>
  <c r="BG456" i="9" s="1"/>
  <c r="AU456" i="9" l="1"/>
  <c r="BE456" i="9"/>
  <c r="AZ457" i="9" s="1"/>
  <c r="BC457" i="9" s="1"/>
  <c r="BB457" i="9" l="1"/>
  <c r="BF457" i="9"/>
  <c r="BD457" i="9" l="1"/>
  <c r="BG457" i="9" l="1"/>
  <c r="AU457" i="9"/>
  <c r="BE457" i="9"/>
  <c r="AZ458" i="9" l="1"/>
  <c r="BC458" i="9" s="1"/>
  <c r="BF458" i="9" l="1"/>
  <c r="BB458" i="9"/>
  <c r="BD458" i="9" l="1"/>
  <c r="BE458" i="9" s="1"/>
  <c r="AZ459" i="9" s="1"/>
  <c r="BC459" i="9" s="1"/>
  <c r="BG458" i="9" l="1"/>
  <c r="AU458" i="9"/>
  <c r="BB459" i="9"/>
  <c r="BF459" i="9"/>
  <c r="BD459" i="9" l="1"/>
  <c r="AU459" i="9" s="1"/>
  <c r="BG459" i="9" l="1"/>
  <c r="BE459" i="9"/>
  <c r="AZ460" i="9" s="1"/>
  <c r="BC460" i="9" s="1"/>
  <c r="BF460" i="9" s="1"/>
  <c r="BB460" i="9" l="1"/>
  <c r="BD460" i="9" s="1"/>
  <c r="BE460" i="9" s="1"/>
  <c r="AZ461" i="9" s="1"/>
  <c r="BC461" i="9" s="1"/>
  <c r="AU460" i="9" l="1"/>
  <c r="BG460" i="9"/>
  <c r="BB461" i="9"/>
  <c r="BF461" i="9"/>
  <c r="BD461" i="9" l="1"/>
  <c r="BE461" i="9" s="1"/>
  <c r="AU461" i="9" l="1"/>
  <c r="BG461" i="9"/>
  <c r="AZ462" i="9"/>
  <c r="BC462" i="9" s="1"/>
  <c r="BF462" i="9" l="1"/>
  <c r="BB462" i="9"/>
  <c r="BD462" i="9" l="1"/>
  <c r="BG462" i="9" s="1"/>
  <c r="AU462" i="9" l="1"/>
  <c r="BE462" i="9"/>
  <c r="AZ463" i="9" s="1"/>
  <c r="BC463" i="9" s="1"/>
  <c r="BF463" i="9" l="1"/>
  <c r="BB463" i="9"/>
  <c r="BD463" i="9" l="1"/>
  <c r="BE463" i="9" s="1"/>
  <c r="AZ464" i="9" s="1"/>
  <c r="BC464" i="9" s="1"/>
  <c r="BG463" i="9" l="1"/>
  <c r="AU463" i="9"/>
  <c r="BF464" i="9"/>
  <c r="BB464" i="9"/>
  <c r="BD464" i="9" l="1"/>
  <c r="BG464" i="9" s="1"/>
  <c r="BE464" i="9" l="1"/>
  <c r="AZ465" i="9" s="1"/>
  <c r="BC465" i="9" s="1"/>
  <c r="AU464" i="9"/>
  <c r="BB465" i="9" l="1"/>
  <c r="BF465" i="9"/>
  <c r="BD465" i="9" l="1"/>
  <c r="BG465" i="9" l="1"/>
  <c r="AU465" i="9"/>
  <c r="BE465" i="9"/>
  <c r="AZ466" i="9" l="1"/>
  <c r="BC466" i="9" s="1"/>
  <c r="BF466" i="9" l="1"/>
  <c r="BB466" i="9"/>
  <c r="BD466" i="9" l="1"/>
  <c r="BG466" i="9" s="1"/>
  <c r="BE466" i="9" l="1"/>
  <c r="AZ467" i="9" s="1"/>
  <c r="BC467" i="9" s="1"/>
  <c r="AU466" i="9"/>
  <c r="BF467" i="9" l="1"/>
  <c r="BB467" i="9"/>
  <c r="BD467" i="9" l="1"/>
  <c r="BE467" i="9" s="1"/>
  <c r="BG467" i="9" l="1"/>
  <c r="AU467" i="9"/>
  <c r="AZ468" i="9"/>
  <c r="BC468" i="9" s="1"/>
  <c r="BF468" i="9" l="1"/>
  <c r="BB468" i="9"/>
  <c r="BD468" i="9" l="1"/>
  <c r="AU468" i="9" s="1"/>
  <c r="BE468" i="9" l="1"/>
  <c r="AZ469" i="9" s="1"/>
  <c r="BC469" i="9" s="1"/>
  <c r="BG468" i="9"/>
  <c r="BB469" i="9" l="1"/>
  <c r="BF469" i="9"/>
  <c r="BD469" i="9" l="1"/>
  <c r="AU469" i="9" l="1"/>
  <c r="BG469" i="9"/>
  <c r="BE469" i="9"/>
  <c r="AZ470" i="9" l="1"/>
  <c r="BC470" i="9" s="1"/>
  <c r="BF470" i="9" l="1"/>
  <c r="BB470" i="9"/>
  <c r="BD470" i="9" l="1"/>
  <c r="AU470" i="9" s="1"/>
  <c r="BE470" i="9" l="1"/>
  <c r="AZ471" i="9" s="1"/>
  <c r="BG470" i="9"/>
  <c r="BC471" i="9" l="1"/>
  <c r="BF471" i="9" s="1"/>
  <c r="BB471" i="9" l="1"/>
  <c r="BD471" i="9" s="1"/>
  <c r="BG471" i="9" s="1"/>
  <c r="AU471" i="9" l="1"/>
  <c r="BE471" i="9"/>
  <c r="AZ472" i="9" s="1"/>
  <c r="BC472" i="9" s="1"/>
  <c r="BF472" i="9" s="1"/>
  <c r="BB472" i="9" l="1"/>
  <c r="BD472" i="9" s="1"/>
  <c r="AU472" i="9" s="1"/>
  <c r="BE472" i="9" l="1"/>
  <c r="AZ473" i="9" s="1"/>
  <c r="BG472" i="9"/>
  <c r="BC473" i="9" l="1"/>
  <c r="BB473" i="9" s="1"/>
  <c r="BF473" i="9" l="1"/>
  <c r="BD473" i="9" s="1"/>
  <c r="AU473" i="9" l="1"/>
  <c r="BG473" i="9"/>
  <c r="BE473" i="9"/>
  <c r="AZ474" i="9" l="1"/>
  <c r="BC474" i="9" s="1"/>
  <c r="BB474" i="9" l="1"/>
  <c r="BF474" i="9"/>
  <c r="BD474" i="9" l="1"/>
  <c r="BG474" i="9" s="1"/>
  <c r="AU474" i="9" l="1"/>
  <c r="BE474" i="9"/>
  <c r="AZ475" i="9" s="1"/>
  <c r="BC475" i="9" s="1"/>
  <c r="BF475" i="9" l="1"/>
  <c r="BB475" i="9"/>
  <c r="BD475" i="9" l="1"/>
  <c r="BE475" i="9" s="1"/>
  <c r="AZ476" i="9" s="1"/>
  <c r="BC476" i="9" s="1"/>
  <c r="AU475" i="9" l="1"/>
  <c r="BG475" i="9"/>
  <c r="BB476" i="9"/>
  <c r="BF476" i="9"/>
  <c r="BD476" i="9" l="1"/>
  <c r="BG476" i="9" s="1"/>
  <c r="BE476" i="9" l="1"/>
  <c r="AZ477" i="9" s="1"/>
  <c r="BC477" i="9" s="1"/>
  <c r="AU476" i="9"/>
  <c r="BF477" i="9" l="1"/>
  <c r="BB477" i="9"/>
  <c r="BD477" i="9" l="1"/>
  <c r="BE477" i="9" s="1"/>
  <c r="AZ478" i="9" s="1"/>
  <c r="BC478" i="9" s="1"/>
  <c r="BG477" i="9" l="1"/>
  <c r="AU477" i="9"/>
  <c r="BB478" i="9"/>
  <c r="BF478" i="9"/>
  <c r="BD478" i="9" l="1"/>
  <c r="AU478" i="9" s="1"/>
  <c r="BE478" i="9" l="1"/>
  <c r="AZ479" i="9" s="1"/>
  <c r="BC479" i="9" s="1"/>
  <c r="BF479" i="9" s="1"/>
  <c r="BG478" i="9"/>
  <c r="BB479" i="9" l="1"/>
  <c r="BD479" i="9" s="1"/>
  <c r="BE479" i="9" s="1"/>
  <c r="AZ480" i="9" s="1"/>
  <c r="BC480" i="9" s="1"/>
  <c r="AU479" i="9" l="1"/>
  <c r="BG479" i="9"/>
  <c r="BB480" i="9"/>
  <c r="BF480" i="9"/>
  <c r="BD480" i="9" l="1"/>
  <c r="BE480" i="9" s="1"/>
  <c r="BG480" i="9" l="1"/>
  <c r="AU480" i="9"/>
  <c r="AZ481" i="9"/>
  <c r="BC481" i="9" s="1"/>
  <c r="BF481" i="9" l="1"/>
  <c r="BB481" i="9"/>
  <c r="BD481" i="9" l="1"/>
  <c r="BE481" i="9" s="1"/>
  <c r="AZ482" i="9" s="1"/>
  <c r="BC482" i="9" s="1"/>
  <c r="BG481" i="9" l="1"/>
  <c r="AU481" i="9"/>
  <c r="BB482" i="9"/>
  <c r="BF482" i="9"/>
  <c r="BD482" i="9" l="1"/>
  <c r="BE482" i="9" s="1"/>
  <c r="BG482" i="9" l="1"/>
  <c r="AU482" i="9"/>
  <c r="AZ483" i="9"/>
  <c r="BC483" i="9" s="1"/>
  <c r="BF483" i="9" l="1"/>
  <c r="BB483" i="9"/>
  <c r="BD483" i="9" l="1"/>
  <c r="BE483" i="9" s="1"/>
  <c r="AZ484" i="9" s="1"/>
  <c r="BC484" i="9" s="1"/>
  <c r="AU483" i="9" l="1"/>
  <c r="BG483" i="9"/>
  <c r="BB484" i="9"/>
  <c r="BF484" i="9"/>
  <c r="BD484" i="9" l="1"/>
  <c r="BE484" i="9" s="1"/>
  <c r="AU484" i="9" l="1"/>
  <c r="BG484" i="9"/>
  <c r="AZ485" i="9"/>
  <c r="BC485" i="9" s="1"/>
  <c r="BF485" i="9" l="1"/>
  <c r="BB485" i="9"/>
  <c r="BD485" i="9" l="1"/>
  <c r="BG485" i="9" l="1"/>
  <c r="AU485" i="9"/>
  <c r="BE485" i="9"/>
  <c r="AZ486" i="9" l="1"/>
  <c r="BC486" i="9" s="1"/>
  <c r="BF486" i="9" l="1"/>
  <c r="BB486" i="9"/>
  <c r="BD486" i="9" l="1"/>
  <c r="BE486" i="9" s="1"/>
  <c r="BG486" i="9" l="1"/>
  <c r="AU486" i="9"/>
  <c r="AZ487" i="9"/>
  <c r="BC487" i="9" s="1"/>
  <c r="BF487" i="9" l="1"/>
  <c r="BB487" i="9"/>
  <c r="BD487" i="9" l="1"/>
  <c r="BG487" i="9" s="1"/>
  <c r="BE487" i="9" l="1"/>
  <c r="AZ488" i="9" s="1"/>
  <c r="AU487" i="9"/>
  <c r="BC488" i="9" l="1"/>
  <c r="BB488" i="9" s="1"/>
  <c r="BF488" i="9" l="1"/>
  <c r="BD488" i="9" s="1"/>
  <c r="AU488" i="9" l="1"/>
  <c r="BG488" i="9"/>
  <c r="BE488" i="9"/>
  <c r="AZ489" i="9" l="1"/>
  <c r="BC489" i="9" s="1"/>
  <c r="BF489" i="9" l="1"/>
  <c r="BB489" i="9"/>
  <c r="BD489" i="9" l="1"/>
  <c r="BG489" i="9" s="1"/>
  <c r="BE489" i="9" l="1"/>
  <c r="AZ490" i="9" s="1"/>
  <c r="AU489" i="9"/>
  <c r="BC490" i="9" l="1"/>
  <c r="BF490" i="9" s="1"/>
  <c r="BB490" i="9" l="1"/>
  <c r="BD490" i="9" s="1"/>
  <c r="AU490" i="9" s="1"/>
  <c r="BG490" i="9" l="1"/>
  <c r="BE490" i="9"/>
  <c r="AZ491" i="9" s="1"/>
  <c r="BC491" i="9" s="1"/>
  <c r="BF491" i="9" s="1"/>
  <c r="BB491" i="9" l="1"/>
  <c r="BD491" i="9" s="1"/>
  <c r="BG491" i="9" s="1"/>
  <c r="BE491" i="9" l="1"/>
  <c r="AZ492" i="9" s="1"/>
  <c r="BC492" i="9" s="1"/>
  <c r="AU491" i="9"/>
  <c r="BB492" i="9" l="1"/>
  <c r="BF492" i="9"/>
  <c r="BD492" i="9" l="1"/>
  <c r="BG492" i="9" l="1"/>
  <c r="AU492" i="9"/>
  <c r="BE492" i="9"/>
  <c r="AZ493" i="9" l="1"/>
  <c r="BC493" i="9" s="1"/>
  <c r="BF493" i="9" l="1"/>
  <c r="BB493" i="9"/>
  <c r="BD493" i="9" l="1"/>
  <c r="BG493" i="9" s="1"/>
  <c r="BE493" i="9" l="1"/>
  <c r="AZ494" i="9" s="1"/>
  <c r="BC494" i="9" s="1"/>
  <c r="AU493" i="9"/>
  <c r="BF494" i="9" l="1"/>
  <c r="BB494" i="9"/>
  <c r="BD494" i="9" l="1"/>
  <c r="BE494" i="9" s="1"/>
  <c r="BG494" i="9" l="1"/>
  <c r="AU494" i="9"/>
  <c r="AZ495" i="9"/>
  <c r="BC495" i="9" s="1"/>
  <c r="BF495" i="9" l="1"/>
  <c r="BB495" i="9"/>
  <c r="BD495" i="9" l="1"/>
  <c r="AU495" i="9" s="1"/>
  <c r="BE495" i="9" l="1"/>
  <c r="AZ496" i="9" s="1"/>
  <c r="BG495" i="9"/>
  <c r="BC496" i="9" l="1"/>
  <c r="BB496" i="9" s="1"/>
  <c r="BF496" i="9" l="1"/>
  <c r="BD496" i="9" s="1"/>
  <c r="BG496" i="9" l="1"/>
  <c r="AU496" i="9"/>
  <c r="BE496" i="9"/>
  <c r="AZ497" i="9" l="1"/>
  <c r="BC497" i="9" s="1"/>
  <c r="BF497" i="9" l="1"/>
  <c r="BB497" i="9"/>
  <c r="BD497" i="9" l="1"/>
  <c r="AU497" i="9" s="1"/>
  <c r="BG497" i="9" l="1"/>
  <c r="BE497" i="9"/>
  <c r="AZ498" i="9" s="1"/>
  <c r="BC498" i="9" s="1"/>
  <c r="BF498" i="9" s="1"/>
  <c r="BB498" i="9" l="1"/>
  <c r="BD498" i="9" s="1"/>
  <c r="BE498" i="9" s="1"/>
  <c r="AZ499" i="9" s="1"/>
  <c r="BC499" i="9" s="1"/>
  <c r="AU498" i="9" l="1"/>
  <c r="BG498" i="9"/>
  <c r="BB499" i="9"/>
  <c r="BF499" i="9"/>
  <c r="BD499" i="9" l="1"/>
  <c r="AU499" i="9" s="1"/>
  <c r="BE499" i="9" l="1"/>
  <c r="AZ500" i="9" s="1"/>
  <c r="BC500" i="9" s="1"/>
  <c r="BG499" i="9"/>
  <c r="BF500" i="9" l="1"/>
  <c r="BB500" i="9"/>
  <c r="BD500" i="9" l="1"/>
  <c r="BE500" i="9" s="1"/>
  <c r="AZ501" i="9" s="1"/>
  <c r="BC501" i="9" s="1"/>
  <c r="AU500" i="9" l="1"/>
  <c r="BG500" i="9"/>
  <c r="BB501" i="9"/>
  <c r="BF501" i="9"/>
  <c r="BD501" i="9" l="1"/>
  <c r="BE501" i="9" s="1"/>
  <c r="AU501" i="9" l="1"/>
  <c r="BG501" i="9"/>
  <c r="AZ502" i="9"/>
  <c r="BC502" i="9" s="1"/>
  <c r="BF502" i="9" l="1"/>
  <c r="BB502" i="9"/>
  <c r="BD502" i="9" l="1"/>
  <c r="BE502" i="9" s="1"/>
  <c r="AZ503" i="9" s="1"/>
  <c r="BC503" i="9" s="1"/>
  <c r="BG502" i="9" l="1"/>
  <c r="AU502" i="9"/>
  <c r="BB503" i="9"/>
  <c r="BF503" i="9"/>
  <c r="BD503" i="9" l="1"/>
  <c r="BE503" i="9" s="1"/>
  <c r="BG503" i="9" l="1"/>
  <c r="AU503" i="9"/>
  <c r="AZ504" i="9"/>
  <c r="BC504" i="9" s="1"/>
  <c r="BF504" i="9" l="1"/>
  <c r="BB504" i="9"/>
  <c r="BD504" i="9" l="1"/>
  <c r="BE504" i="9" s="1"/>
  <c r="AZ505" i="9" s="1"/>
  <c r="BC505" i="9" s="1"/>
  <c r="BG504" i="9" l="1"/>
  <c r="AU504" i="9"/>
  <c r="BF505" i="9"/>
  <c r="BB505" i="9"/>
  <c r="BD505" i="9" l="1"/>
  <c r="BG505" i="9" s="1"/>
  <c r="BE505" i="9" l="1"/>
  <c r="AZ506" i="9" s="1"/>
  <c r="BC506" i="9" s="1"/>
  <c r="AU505" i="9"/>
  <c r="BF506" i="9" l="1"/>
  <c r="BB506" i="9"/>
  <c r="BD506" i="9" l="1"/>
  <c r="BG506" i="9" s="1"/>
  <c r="AU506" i="9" l="1"/>
  <c r="BE506" i="9"/>
  <c r="AZ507" i="9" s="1"/>
  <c r="BC507" i="9" s="1"/>
  <c r="BF507" i="9" s="1"/>
  <c r="BB507" i="9" l="1"/>
  <c r="BD507" i="9" s="1"/>
  <c r="AU507" i="9" s="1"/>
  <c r="BG507" i="9" l="1"/>
  <c r="BE507" i="9"/>
  <c r="AZ508" i="9" s="1"/>
  <c r="BC508" i="9" s="1"/>
  <c r="BB508" i="9" s="1"/>
  <c r="BF508" i="9" l="1"/>
  <c r="BD508" i="9" s="1"/>
  <c r="BE508" i="9" l="1"/>
  <c r="AZ509" i="9" s="1"/>
  <c r="BC509" i="9" s="1"/>
  <c r="BG508" i="9"/>
  <c r="AU508" i="9"/>
  <c r="BB509" i="9" l="1"/>
  <c r="BF509" i="9"/>
  <c r="BD509" i="9" l="1"/>
  <c r="BG509" i="9" s="1"/>
  <c r="BE509" i="9" l="1"/>
  <c r="AZ510" i="9" s="1"/>
  <c r="BC510" i="9" s="1"/>
  <c r="AU509" i="9"/>
  <c r="BB510" i="9" l="1"/>
  <c r="BF510" i="9"/>
  <c r="BD510" i="9" l="1"/>
  <c r="BE510" i="9" s="1"/>
  <c r="AZ511" i="9" s="1"/>
  <c r="BC511" i="9" s="1"/>
  <c r="BG510" i="9" l="1"/>
  <c r="AU510" i="9"/>
  <c r="BB511" i="9"/>
  <c r="BF511" i="9"/>
  <c r="BD511" i="9" l="1"/>
  <c r="BE511" i="9" s="1"/>
  <c r="BG511" i="9" l="1"/>
  <c r="AU511" i="9"/>
  <c r="AZ512" i="9"/>
  <c r="BC512" i="9" s="1"/>
  <c r="BB512" i="9" l="1"/>
  <c r="BF512" i="9"/>
  <c r="BD512" i="9" l="1"/>
  <c r="BE512" i="9" s="1"/>
  <c r="AZ513" i="9" s="1"/>
  <c r="BC513" i="9" s="1"/>
  <c r="BG512" i="9" l="1"/>
  <c r="AU512" i="9"/>
  <c r="BB513" i="9"/>
  <c r="BF513" i="9"/>
  <c r="BD513" i="9" l="1"/>
  <c r="BG513" i="9" l="1"/>
  <c r="AU513" i="9"/>
  <c r="BE513" i="9"/>
  <c r="AZ514" i="9" l="1"/>
  <c r="BC514" i="9" s="1"/>
  <c r="BB514" i="9" l="1"/>
  <c r="BF514" i="9"/>
  <c r="BD514" i="9" l="1"/>
  <c r="AU514" i="9" s="1"/>
  <c r="BE514" i="9" l="1"/>
  <c r="AZ515" i="9" s="1"/>
  <c r="BC515" i="9" s="1"/>
  <c r="BG514" i="9"/>
  <c r="BF515" i="9" l="1"/>
  <c r="BB515" i="9"/>
  <c r="BD515" i="9" l="1"/>
  <c r="AU515" i="9" s="1"/>
  <c r="BG515" i="9" l="1"/>
  <c r="BE515" i="9"/>
  <c r="AZ516" i="9" s="1"/>
  <c r="BC516" i="9" s="1"/>
  <c r="BB516" i="9" s="1"/>
  <c r="BF516" i="9" l="1"/>
  <c r="BD516" i="9" s="1"/>
  <c r="AU516" i="9" s="1"/>
  <c r="BE516" i="9" l="1"/>
  <c r="AZ517" i="9" s="1"/>
  <c r="BC517" i="9" s="1"/>
  <c r="BG516" i="9"/>
  <c r="BF517" i="9" l="1"/>
  <c r="BB517" i="9"/>
  <c r="BD517" i="9" l="1"/>
  <c r="BE517" i="9" s="1"/>
  <c r="AZ518" i="9" s="1"/>
  <c r="BC518" i="9" s="1"/>
  <c r="BG517" i="9" l="1"/>
  <c r="AU517" i="9"/>
  <c r="BB518" i="9"/>
  <c r="BF518" i="9"/>
  <c r="BD518" i="9" l="1"/>
  <c r="BE518" i="9" s="1"/>
  <c r="BG518" i="9" l="1"/>
  <c r="AU518" i="9"/>
  <c r="AZ519" i="9"/>
  <c r="BC519" i="9" s="1"/>
  <c r="BB519" i="9" l="1"/>
  <c r="BF519" i="9"/>
  <c r="BD519" i="9" l="1"/>
  <c r="AU519" i="9" s="1"/>
  <c r="BE519" i="9" l="1"/>
  <c r="AZ520" i="9" s="1"/>
  <c r="BC520" i="9" s="1"/>
  <c r="BG519" i="9"/>
  <c r="BB520" i="9" l="1"/>
  <c r="BF520" i="9"/>
  <c r="BD520" i="9" l="1"/>
  <c r="BG520" i="9" l="1"/>
  <c r="AU520" i="9"/>
  <c r="BE520" i="9"/>
  <c r="AZ521" i="9" l="1"/>
  <c r="BC521" i="9" s="1"/>
  <c r="BB521" i="9" l="1"/>
  <c r="BF521" i="9"/>
  <c r="BD521" i="9" l="1"/>
  <c r="BG521" i="9" l="1"/>
  <c r="AU521" i="9"/>
  <c r="BE521" i="9"/>
  <c r="AZ522" i="9" l="1"/>
  <c r="BC522" i="9" s="1"/>
  <c r="BB522" i="9" l="1"/>
  <c r="BF522" i="9"/>
  <c r="BD522" i="9" l="1"/>
  <c r="AU522" i="9" l="1"/>
  <c r="BG522" i="9"/>
  <c r="BE522" i="9"/>
  <c r="AZ523" i="9" l="1"/>
  <c r="BC523" i="9" s="1"/>
  <c r="BF523" i="9" l="1"/>
  <c r="BB523" i="9"/>
  <c r="BD523" i="9" l="1"/>
  <c r="AU523" i="9" s="1"/>
  <c r="BG523" i="9" l="1"/>
  <c r="BE523" i="9"/>
  <c r="AZ524" i="9" s="1"/>
  <c r="BC524" i="9" s="1"/>
  <c r="BF524" i="9" s="1"/>
  <c r="BB524" i="9" l="1"/>
  <c r="BD524" i="9" s="1"/>
  <c r="AU524" i="9" s="1"/>
  <c r="BG524" i="9" l="1"/>
  <c r="BE524" i="9"/>
  <c r="AZ525" i="9" s="1"/>
  <c r="BC525" i="9" s="1"/>
  <c r="BF525" i="9" l="1"/>
  <c r="BB525" i="9"/>
  <c r="BD525" i="9" l="1"/>
  <c r="BE525" i="9" s="1"/>
  <c r="AU525" i="9" l="1"/>
  <c r="AZ526" i="9"/>
  <c r="BC526" i="9" s="1"/>
  <c r="BG525" i="9"/>
  <c r="BF526" i="9" l="1"/>
  <c r="BB526" i="9"/>
  <c r="BD526" i="9" l="1"/>
  <c r="BG526" i="9" s="1"/>
  <c r="BE526" i="9" l="1"/>
  <c r="AZ527" i="9" s="1"/>
  <c r="BC527" i="9" s="1"/>
  <c r="BB527" i="9" s="1"/>
  <c r="AU526" i="9"/>
  <c r="BF527" i="9" l="1"/>
  <c r="BD527" i="9" s="1"/>
  <c r="BG527" i="9" s="1"/>
  <c r="AU527" i="9" l="1"/>
  <c r="BE527" i="9"/>
  <c r="AZ528" i="9" s="1"/>
  <c r="BC528" i="9" s="1"/>
  <c r="BB528" i="9" s="1"/>
  <c r="BF528" i="9" l="1"/>
  <c r="BD528" i="9" s="1"/>
  <c r="AU528" i="9" l="1"/>
  <c r="BG528" i="9"/>
  <c r="BE528" i="9"/>
  <c r="AZ529" i="9" l="1"/>
  <c r="BC529" i="9" s="1"/>
  <c r="BF529" i="9" l="1"/>
  <c r="BB529" i="9"/>
  <c r="BD529" i="9" l="1"/>
  <c r="BG529" i="9" s="1"/>
  <c r="BE529" i="9" l="1"/>
  <c r="AZ530" i="9" s="1"/>
  <c r="BC530" i="9" s="1"/>
  <c r="AU529" i="9"/>
  <c r="BB530" i="9" l="1"/>
  <c r="BF530" i="9"/>
  <c r="BD530" i="9" l="1"/>
  <c r="BE530" i="9" s="1"/>
  <c r="AU530" i="9" l="1"/>
  <c r="BG530" i="9"/>
  <c r="AZ531" i="9"/>
  <c r="BC531" i="9" s="1"/>
  <c r="BF531" i="9" l="1"/>
  <c r="BB531" i="9"/>
  <c r="BD531" i="9" l="1"/>
  <c r="AU531" i="9" s="1"/>
  <c r="BE531" i="9" l="1"/>
  <c r="AZ532" i="9" s="1"/>
  <c r="BC532" i="9" s="1"/>
  <c r="BB532" i="9" s="1"/>
  <c r="BG531" i="9"/>
  <c r="BF532" i="9" l="1"/>
  <c r="BD532" i="9" s="1"/>
  <c r="AU532" i="9" s="1"/>
  <c r="BE532" i="9" l="1"/>
  <c r="AZ533" i="9" s="1"/>
  <c r="BC533" i="9" s="1"/>
  <c r="BG532" i="9"/>
  <c r="BF533" i="9" l="1"/>
  <c r="BB533" i="9"/>
  <c r="BD533" i="9" l="1"/>
  <c r="BG533" i="9" s="1"/>
  <c r="AU533" i="9" l="1"/>
  <c r="BE533" i="9"/>
  <c r="AZ534" i="9" s="1"/>
  <c r="BC534" i="9" s="1"/>
  <c r="BF534" i="9" l="1"/>
  <c r="BB534" i="9"/>
  <c r="BD534" i="9" l="1"/>
  <c r="BG534" i="9" s="1"/>
  <c r="AU534" i="9" l="1"/>
  <c r="BE534" i="9"/>
  <c r="AZ535" i="9" s="1"/>
  <c r="BC535" i="9" s="1"/>
  <c r="BB535" i="9" s="1"/>
  <c r="BF535" i="9" l="1"/>
  <c r="BD535" i="9" s="1"/>
  <c r="BG535" i="9" s="1"/>
  <c r="BE535" i="9" l="1"/>
  <c r="AZ536" i="9" s="1"/>
  <c r="AU535" i="9"/>
  <c r="BC536" i="9" l="1"/>
  <c r="BF536" i="9" s="1"/>
  <c r="BB536" i="9" l="1"/>
  <c r="BD536" i="9" s="1"/>
  <c r="BE536" i="9" l="1"/>
  <c r="AZ537" i="9" s="1"/>
  <c r="BC537" i="9" s="1"/>
  <c r="AU536" i="9"/>
  <c r="BG536" i="9"/>
  <c r="BB537" i="9" l="1"/>
  <c r="BF537" i="9"/>
  <c r="BD537" i="9" l="1"/>
  <c r="BE537" i="9" s="1"/>
  <c r="BG537" i="9" l="1"/>
  <c r="AZ538" i="9"/>
  <c r="BC538" i="9" s="1"/>
  <c r="AU537" i="9"/>
  <c r="BB538" i="9" l="1"/>
  <c r="BF538" i="9"/>
  <c r="BD538" i="9" l="1"/>
  <c r="BE538" i="9" s="1"/>
  <c r="AZ539" i="9" s="1"/>
  <c r="BC539" i="9" s="1"/>
  <c r="BB539" i="9" s="1"/>
  <c r="BF539" i="9" l="1"/>
  <c r="BD539" i="9" s="1"/>
  <c r="BG538" i="9"/>
  <c r="AU538" i="9"/>
  <c r="BG539" i="9" l="1"/>
  <c r="AU539" i="9"/>
  <c r="BE539" i="9"/>
  <c r="AZ540" i="9" l="1"/>
  <c r="BC540" i="9" s="1"/>
  <c r="BB540" i="9" l="1"/>
  <c r="BF540" i="9"/>
  <c r="BD540" i="9" l="1"/>
  <c r="BG540" i="9" l="1"/>
  <c r="AU540" i="9"/>
  <c r="BE540" i="9"/>
  <c r="AZ541" i="9" l="1"/>
  <c r="BC541" i="9" s="1"/>
  <c r="BB541" i="9" l="1"/>
  <c r="BF541" i="9"/>
  <c r="BD541" i="9" l="1"/>
  <c r="AU541" i="9" s="1"/>
  <c r="BE541" i="9" l="1"/>
  <c r="AZ542" i="9" s="1"/>
  <c r="BC542" i="9" s="1"/>
  <c r="BG541" i="9"/>
  <c r="BF542" i="9" l="1"/>
  <c r="BB542" i="9"/>
  <c r="BD542" i="9" l="1"/>
  <c r="AU542" i="9" s="1"/>
  <c r="BE542" i="9" l="1"/>
  <c r="AZ543" i="9" s="1"/>
  <c r="BC543" i="9" s="1"/>
  <c r="BG542" i="9"/>
  <c r="BB543" i="9" l="1"/>
  <c r="BF543" i="9"/>
  <c r="BD543" i="9" l="1"/>
  <c r="AU543" i="9" l="1"/>
  <c r="BG543" i="9"/>
  <c r="BE543" i="9"/>
  <c r="AZ544" i="9" l="1"/>
  <c r="BC544" i="9" s="1"/>
  <c r="BF544" i="9" l="1"/>
  <c r="BB544" i="9"/>
  <c r="BD544" i="9" l="1"/>
  <c r="BE544" i="9" s="1"/>
  <c r="BG544" i="9" l="1"/>
  <c r="AU544" i="9"/>
  <c r="AZ545" i="9"/>
  <c r="BC545" i="9" s="1"/>
  <c r="BB545" i="9" l="1"/>
  <c r="BF545" i="9"/>
  <c r="BD545" i="9" l="1"/>
  <c r="BG545" i="9" s="1"/>
  <c r="BE545" i="9" l="1"/>
  <c r="AZ546" i="9" s="1"/>
  <c r="AU545" i="9"/>
  <c r="BC546" i="9" l="1"/>
  <c r="BF546" i="9" s="1"/>
  <c r="BB546" i="9" l="1"/>
  <c r="BD546" i="9" s="1"/>
  <c r="AU546" i="9" l="1"/>
  <c r="BG546" i="9"/>
  <c r="BE546" i="9"/>
  <c r="AZ547" i="9" s="1"/>
  <c r="BC547" i="9" s="1"/>
  <c r="BB547" i="9" l="1"/>
  <c r="BF547" i="9"/>
  <c r="BD547" i="9" l="1"/>
  <c r="BG547" i="9" l="1"/>
  <c r="AU547" i="9"/>
  <c r="BE547" i="9"/>
  <c r="AZ548" i="9" l="1"/>
  <c r="BC548" i="9" s="1"/>
  <c r="BF548" i="9" l="1"/>
  <c r="BB548" i="9"/>
  <c r="BD548" i="9" l="1"/>
  <c r="AU548" i="9" s="1"/>
  <c r="BE548" i="9" l="1"/>
  <c r="AZ549" i="9" s="1"/>
  <c r="BG548" i="9"/>
  <c r="BC549" i="9" l="1"/>
  <c r="BF549" i="9" s="1"/>
  <c r="BB549" i="9" l="1"/>
  <c r="BD549" i="9" s="1"/>
  <c r="BE549" i="9" l="1"/>
  <c r="AZ550" i="9" s="1"/>
  <c r="BC550" i="9" s="1"/>
  <c r="BG549" i="9"/>
  <c r="AU549" i="9"/>
  <c r="BF550" i="9" l="1"/>
  <c r="BB550" i="9"/>
  <c r="BD550" i="9" l="1"/>
  <c r="BE550" i="9" s="1"/>
  <c r="AZ551" i="9" s="1"/>
  <c r="BC551" i="9" s="1"/>
  <c r="BG550" i="9" l="1"/>
  <c r="AU550" i="9"/>
  <c r="BF551" i="9"/>
  <c r="BB551" i="9"/>
  <c r="BD551" i="9" l="1"/>
  <c r="AU551" i="9" s="1"/>
  <c r="BE551" i="9" l="1"/>
  <c r="AZ552" i="9" s="1"/>
  <c r="BC552" i="9" s="1"/>
  <c r="BG551" i="9"/>
  <c r="BF552" i="9" l="1"/>
  <c r="BB552" i="9"/>
  <c r="BD552" i="9" l="1"/>
  <c r="BE552" i="9" s="1"/>
  <c r="AZ553" i="9" l="1"/>
  <c r="BC553" i="9" s="1"/>
  <c r="BG552" i="9"/>
  <c r="AU552" i="9"/>
  <c r="BF553" i="9" l="1"/>
  <c r="BB553" i="9"/>
  <c r="BD553" i="9" l="1"/>
  <c r="BE553" i="9" s="1"/>
  <c r="AZ554" i="9" s="1"/>
  <c r="BC554" i="9" s="1"/>
  <c r="BG553" i="9" l="1"/>
  <c r="AU553" i="9"/>
  <c r="BF554" i="9"/>
  <c r="BB554" i="9"/>
  <c r="BD554" i="9" l="1"/>
  <c r="AU554" i="9" s="1"/>
  <c r="BE554" i="9" l="1"/>
  <c r="BG554" i="9"/>
  <c r="AZ555" i="9" l="1"/>
  <c r="BC555" i="9" s="1"/>
  <c r="BB555" i="9" l="1"/>
  <c r="BF555" i="9"/>
  <c r="BD555" i="9" l="1"/>
  <c r="BE555" i="9" s="1"/>
  <c r="AZ556" i="9" s="1"/>
  <c r="BC556" i="9" s="1"/>
  <c r="BF556" i="9" s="1"/>
  <c r="BB556" i="9" l="1"/>
  <c r="BD556" i="9" s="1"/>
  <c r="AU556" i="9" s="1"/>
  <c r="BG555" i="9"/>
  <c r="AU555" i="9"/>
  <c r="BG556" i="9" l="1"/>
  <c r="BE556" i="9"/>
  <c r="AZ557" i="9" s="1"/>
  <c r="BC557" i="9" s="1"/>
  <c r="BB557" i="9" l="1"/>
  <c r="BF557" i="9"/>
  <c r="BD557" i="9" l="1"/>
  <c r="BG557" i="9" s="1"/>
  <c r="BE557" i="9" l="1"/>
  <c r="AZ558" i="9" s="1"/>
  <c r="BC558" i="9" s="1"/>
  <c r="AU557" i="9"/>
  <c r="BB558" i="9" l="1"/>
  <c r="BF558" i="9"/>
  <c r="BD558" i="9" l="1"/>
  <c r="AU558" i="9" l="1"/>
  <c r="BG558" i="9"/>
  <c r="BE558" i="9"/>
  <c r="AZ559" i="9" l="1"/>
  <c r="BC559" i="9" s="1"/>
  <c r="BB559" i="9" l="1"/>
  <c r="BF559" i="9"/>
  <c r="BD559" i="9" l="1"/>
  <c r="AU559" i="9" l="1"/>
  <c r="BG559" i="9"/>
  <c r="BE559" i="9"/>
  <c r="AZ560" i="9" l="1"/>
  <c r="BC560" i="9" s="1"/>
  <c r="BB560" i="9" l="1"/>
  <c r="BF560" i="9"/>
  <c r="BD560" i="9" l="1"/>
  <c r="BG560" i="9" s="1"/>
  <c r="BE560" i="9" l="1"/>
  <c r="AZ561" i="9" s="1"/>
  <c r="BC561" i="9" s="1"/>
  <c r="AU560" i="9"/>
  <c r="BF561" i="9" l="1"/>
  <c r="BB561" i="9"/>
  <c r="BD561" i="9" l="1"/>
  <c r="BE561" i="9" s="1"/>
  <c r="AZ562" i="9" s="1"/>
  <c r="BC562" i="9" s="1"/>
  <c r="BG561" i="9" l="1"/>
  <c r="AU561" i="9"/>
  <c r="BB562" i="9"/>
  <c r="BF562" i="9"/>
  <c r="BD562" i="9" l="1"/>
  <c r="BG562" i="9" s="1"/>
  <c r="BE562" i="9" l="1"/>
  <c r="AZ563" i="9" s="1"/>
  <c r="BC563" i="9" s="1"/>
  <c r="AU562" i="9"/>
  <c r="BF563" i="9" l="1"/>
  <c r="BB563" i="9"/>
  <c r="BD563" i="9" l="1"/>
  <c r="BE563" i="9" s="1"/>
  <c r="BG563" i="9" l="1"/>
  <c r="AU563" i="9"/>
  <c r="AZ564" i="9"/>
  <c r="BC564" i="9" s="1"/>
  <c r="BB564" i="9" l="1"/>
  <c r="BF564" i="9"/>
  <c r="BD564" i="9" l="1"/>
  <c r="BE564" i="9" s="1"/>
  <c r="AZ565" i="9" s="1"/>
  <c r="BG564" i="9" l="1"/>
  <c r="AU564" i="9"/>
  <c r="BC565" i="9"/>
  <c r="BF565" i="9" s="1"/>
  <c r="BB565" i="9" l="1"/>
  <c r="BD565" i="9" s="1"/>
  <c r="BG565" i="9" l="1"/>
  <c r="AU565" i="9"/>
  <c r="BE565" i="9"/>
  <c r="AZ566" i="9" s="1"/>
  <c r="BC566" i="9" s="1"/>
  <c r="BB566" i="9" l="1"/>
  <c r="BF566" i="9"/>
  <c r="BD566" i="9" l="1"/>
  <c r="BG566" i="9" l="1"/>
  <c r="AU566" i="9"/>
  <c r="BE566" i="9"/>
  <c r="AZ567" i="9" l="1"/>
  <c r="BC567" i="9" s="1"/>
  <c r="BB567" i="9" l="1"/>
  <c r="BF567" i="9"/>
  <c r="BD567" i="9" l="1"/>
  <c r="BG567" i="9" l="1"/>
  <c r="AU567" i="9"/>
  <c r="BE567" i="9"/>
  <c r="AZ568" i="9" l="1"/>
  <c r="BC568" i="9" s="1"/>
  <c r="BB568" i="9" l="1"/>
  <c r="BF568" i="9"/>
  <c r="BD568" i="9" l="1"/>
  <c r="BG568" i="9" s="1"/>
  <c r="BE568" i="9" l="1"/>
  <c r="AZ569" i="9" s="1"/>
  <c r="BC569" i="9" s="1"/>
  <c r="AU568" i="9"/>
  <c r="BF569" i="9" l="1"/>
  <c r="BB569" i="9"/>
  <c r="BD569" i="9" l="1"/>
  <c r="BE569" i="9" s="1"/>
  <c r="AU569" i="9" l="1"/>
  <c r="BG569" i="9"/>
</calcChain>
</file>

<file path=xl/comments1.xml><?xml version="1.0" encoding="utf-8"?>
<comments xmlns="http://schemas.openxmlformats.org/spreadsheetml/2006/main">
  <authors>
    <author>Supervisor</author>
    <author>Andras JUHOS</author>
    <author>Nyeste Gábor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>Supervisor:</t>
        </r>
        <r>
          <rPr>
            <sz val="9"/>
            <color indexed="81"/>
            <rFont val="Tahoma"/>
            <family val="2"/>
            <charset val="238"/>
          </rPr>
          <t xml:space="preserve">
0 - no
1 - yes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Supervisor:</t>
        </r>
        <r>
          <rPr>
            <sz val="9"/>
            <color indexed="81"/>
            <rFont val="Tahoma"/>
            <family val="2"/>
            <charset val="238"/>
          </rPr>
          <t xml:space="preserve">
0 - no
1 - yes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Andras JUHOS:</t>
        </r>
        <r>
          <rPr>
            <sz val="9"/>
            <color indexed="81"/>
            <rFont val="Tahoma"/>
            <family val="2"/>
            <charset val="238"/>
          </rPr>
          <t xml:space="preserve">
Deducted and immediately added to Bonus Account</t>
        </r>
      </text>
    </comment>
    <comment ref="AQ4" authorId="2">
      <text>
        <r>
          <rPr>
            <b/>
            <sz val="9"/>
            <color indexed="81"/>
            <rFont val="Tahoma"/>
            <family val="2"/>
            <charset val="238"/>
          </rPr>
          <t>Nyeste Gábor:</t>
        </r>
        <r>
          <rPr>
            <sz val="9"/>
            <color indexed="81"/>
            <rFont val="Tahoma"/>
            <family val="2"/>
            <charset val="238"/>
          </rPr>
          <t xml:space="preserve">
Díj</t>
        </r>
      </text>
    </comment>
    <comment ref="AR4" authorId="2">
      <text>
        <r>
          <rPr>
            <b/>
            <sz val="9"/>
            <color indexed="81"/>
            <rFont val="Tahoma"/>
            <family val="2"/>
            <charset val="238"/>
          </rPr>
          <t>Nyeste Gábor:</t>
        </r>
        <r>
          <rPr>
            <sz val="9"/>
            <color indexed="81"/>
            <rFont val="Tahoma"/>
            <family val="2"/>
            <charset val="238"/>
          </rPr>
          <t xml:space="preserve">
Befektetés</t>
        </r>
      </text>
    </comment>
    <comment ref="AS4" authorId="2">
      <text>
        <r>
          <rPr>
            <b/>
            <sz val="9"/>
            <color indexed="81"/>
            <rFont val="Tahoma"/>
            <family val="2"/>
            <charset val="238"/>
          </rPr>
          <t>Nyeste Gábor:</t>
        </r>
        <r>
          <rPr>
            <sz val="9"/>
            <color indexed="81"/>
            <rFont val="Tahoma"/>
            <family val="2"/>
            <charset val="238"/>
          </rPr>
          <t xml:space="preserve">
Hozam</t>
        </r>
      </text>
    </comment>
    <comment ref="AU4" authorId="2">
      <text>
        <r>
          <rPr>
            <b/>
            <sz val="9"/>
            <color indexed="81"/>
            <rFont val="Tahoma"/>
            <family val="2"/>
            <charset val="238"/>
          </rPr>
          <t>Nyeste Gábor:</t>
        </r>
        <r>
          <rPr>
            <sz val="9"/>
            <color indexed="81"/>
            <rFont val="Tahoma"/>
            <family val="2"/>
            <charset val="238"/>
          </rPr>
          <t xml:space="preserve">
Bónusz számláról történő jóváírás</t>
        </r>
      </text>
    </comment>
    <comment ref="O5" authorId="1">
      <text>
        <r>
          <rPr>
            <b/>
            <sz val="9"/>
            <color indexed="81"/>
            <rFont val="Tahoma"/>
            <family val="2"/>
            <charset val="238"/>
          </rPr>
          <t>Andras JUHOS:</t>
        </r>
        <r>
          <rPr>
            <sz val="9"/>
            <color indexed="81"/>
            <rFont val="Tahoma"/>
            <family val="2"/>
            <charset val="238"/>
          </rPr>
          <t xml:space="preserve">
Deductible from Basic B/O after year 20.</t>
        </r>
      </text>
    </comment>
    <comment ref="P5" authorId="1">
      <text>
        <r>
          <rPr>
            <b/>
            <sz val="9"/>
            <color indexed="81"/>
            <rFont val="Tahoma"/>
            <family val="2"/>
            <charset val="238"/>
          </rPr>
          <t>Andras JUHOS:</t>
        </r>
        <r>
          <rPr>
            <sz val="9"/>
            <color indexed="81"/>
            <rFont val="Tahoma"/>
            <family val="2"/>
            <charset val="238"/>
          </rPr>
          <t xml:space="preserve">
Deductible from Basic B/O after year 20.</t>
        </r>
      </text>
    </comment>
    <comment ref="Z5" authorId="0">
      <text>
        <r>
          <rPr>
            <b/>
            <sz val="9"/>
            <color indexed="81"/>
            <rFont val="Tahoma"/>
            <family val="2"/>
            <charset val="238"/>
          </rPr>
          <t>Supervisor:</t>
        </r>
        <r>
          <rPr>
            <sz val="9"/>
            <color indexed="81"/>
            <rFont val="Tahoma"/>
            <family val="2"/>
            <charset val="238"/>
          </rPr>
          <t xml:space="preserve">
Basic asset prop. min. fee on normal investments</t>
        </r>
      </text>
    </comment>
    <comment ref="AA5" authorId="0">
      <text>
        <r>
          <rPr>
            <b/>
            <sz val="9"/>
            <color indexed="81"/>
            <rFont val="Tahoma"/>
            <family val="2"/>
            <charset val="238"/>
          </rPr>
          <t>Supervisor:</t>
        </r>
        <r>
          <rPr>
            <sz val="9"/>
            <color indexed="81"/>
            <rFont val="Tahoma"/>
            <family val="2"/>
            <charset val="238"/>
          </rPr>
          <t xml:space="preserve">
Asset prop. min fee on Loyalty</t>
        </r>
      </text>
    </comment>
    <comment ref="AE5" authorId="0">
      <text>
        <r>
          <rPr>
            <b/>
            <sz val="9"/>
            <color indexed="81"/>
            <rFont val="Tahoma"/>
            <family val="2"/>
            <charset val="238"/>
          </rPr>
          <t>Supervisor:</t>
        </r>
        <r>
          <rPr>
            <sz val="9"/>
            <color indexed="81"/>
            <rFont val="Tahoma"/>
            <family val="2"/>
            <charset val="238"/>
          </rPr>
          <t xml:space="preserve">
Sure that it should be equal to discount yield?</t>
        </r>
      </text>
    </comment>
    <comment ref="AH5" authorId="0">
      <text>
        <r>
          <rPr>
            <b/>
            <sz val="9"/>
            <color indexed="81"/>
            <rFont val="Tahoma"/>
            <family val="2"/>
            <charset val="238"/>
          </rPr>
          <t>Supervisor:</t>
        </r>
        <r>
          <rPr>
            <sz val="9"/>
            <color indexed="81"/>
            <rFont val="Tahoma"/>
            <family val="2"/>
            <charset val="238"/>
          </rPr>
          <t xml:space="preserve">
Should be as "3%" if 3% is the decrease.</t>
        </r>
      </text>
    </comment>
    <comment ref="BA6" authorId="0">
      <text>
        <r>
          <rPr>
            <b/>
            <sz val="9"/>
            <color indexed="81"/>
            <rFont val="Tahoma"/>
            <family val="2"/>
            <charset val="238"/>
          </rPr>
          <t>Supervisor:</t>
        </r>
        <r>
          <rPr>
            <sz val="9"/>
            <color indexed="81"/>
            <rFont val="Tahoma"/>
            <family val="2"/>
            <charset val="238"/>
          </rPr>
          <t xml:space="preserve">
Ref to AF6 not to AG6 !</t>
        </r>
      </text>
    </comment>
    <comment ref="Z9" authorId="0">
      <text>
        <r>
          <rPr>
            <b/>
            <sz val="9"/>
            <color indexed="81"/>
            <rFont val="Tahoma"/>
            <family val="2"/>
            <charset val="238"/>
          </rPr>
          <t>Supervisor:</t>
        </r>
        <r>
          <rPr>
            <sz val="9"/>
            <color indexed="81"/>
            <rFont val="Tahoma"/>
            <family val="2"/>
            <charset val="238"/>
          </rPr>
          <t xml:space="preserve">
For the non-minimal funds this will be higher:
+0.5% for "kick-back" and 
+0.4-0.5% for real fund management expenses.
Thus, most of the cases (say, 90%) will run with a net 0.5% higher loading, i.e. on average with
2.25% + 90%*0.5% = 2.70% loading will be applied.
The fund management expenses from profitability point of view can be forgotten since cash-in / cash out.</t>
        </r>
      </text>
    </comment>
    <comment ref="F13" authorId="2">
      <text>
        <r>
          <rPr>
            <b/>
            <sz val="9"/>
            <color indexed="81"/>
            <rFont val="Tahoma"/>
            <family val="2"/>
            <charset val="238"/>
          </rPr>
          <t>Nyeste Gábor:</t>
        </r>
        <r>
          <rPr>
            <sz val="9"/>
            <color indexed="81"/>
            <rFont val="Tahoma"/>
            <family val="2"/>
            <charset val="238"/>
          </rPr>
          <t xml:space="preserve">
Díjarányos kezdeti költség adójóváírásra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38"/>
          </rPr>
          <t>Supervisor:</t>
        </r>
        <r>
          <rPr>
            <sz val="9"/>
            <color indexed="81"/>
            <rFont val="Tahoma"/>
            <family val="2"/>
            <charset val="238"/>
          </rPr>
          <t xml:space="preserve">
between 4 &amp; 20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38"/>
          </rPr>
          <t>Supervisor:</t>
        </r>
        <r>
          <rPr>
            <sz val="9"/>
            <color indexed="81"/>
            <rFont val="Tahoma"/>
            <family val="2"/>
            <charset val="238"/>
          </rPr>
          <t xml:space="preserve">
with nonchanging bonus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Supervisor:</t>
        </r>
        <r>
          <rPr>
            <sz val="9"/>
            <color indexed="81"/>
            <rFont val="Tahoma"/>
            <family val="2"/>
            <charset val="238"/>
          </rPr>
          <t xml:space="preserve">
max 12% could be nice</t>
        </r>
      </text>
    </comment>
  </commentList>
</comments>
</file>

<file path=xl/sharedStrings.xml><?xml version="1.0" encoding="utf-8"?>
<sst xmlns="http://schemas.openxmlformats.org/spreadsheetml/2006/main" count="456" uniqueCount="355">
  <si>
    <t>Ajánlat aláírása:</t>
  </si>
  <si>
    <t>Év</t>
  </si>
  <si>
    <t>nap</t>
  </si>
  <si>
    <t>TermékLista</t>
  </si>
  <si>
    <t>Kód</t>
  </si>
  <si>
    <t>Típus</t>
  </si>
  <si>
    <t>Termék</t>
  </si>
  <si>
    <t>IndulCeus</t>
  </si>
  <si>
    <t>Ért Vége</t>
  </si>
  <si>
    <t>Tartam</t>
  </si>
  <si>
    <t>WL</t>
  </si>
  <si>
    <t>Fix</t>
  </si>
  <si>
    <t>Tart Min</t>
  </si>
  <si>
    <t>Tart Max</t>
  </si>
  <si>
    <t>Min Díj</t>
  </si>
  <si>
    <t>KorMin</t>
  </si>
  <si>
    <t>KorMax</t>
  </si>
  <si>
    <t>Lejárati kor max</t>
  </si>
  <si>
    <t>Nyugdíj</t>
  </si>
  <si>
    <t>Deviza</t>
  </si>
  <si>
    <t>Értékesítő</t>
  </si>
  <si>
    <t>Eseti HUF min</t>
  </si>
  <si>
    <t>Eseti EUR min</t>
  </si>
  <si>
    <t>Eseti USD min</t>
  </si>
  <si>
    <t>Eszközalap pénzneme</t>
  </si>
  <si>
    <t>Tartamhosszabbítás korhatára</t>
  </si>
  <si>
    <t>DB</t>
  </si>
  <si>
    <t>FIX</t>
  </si>
  <si>
    <t>HUF</t>
  </si>
  <si>
    <t>EUR</t>
  </si>
  <si>
    <t>Foly</t>
  </si>
  <si>
    <t>WL / FIX</t>
  </si>
  <si>
    <t>USD</t>
  </si>
  <si>
    <t>FeltételMappa</t>
  </si>
  <si>
    <t>Pension Invest III.</t>
  </si>
  <si>
    <t>Talon Duo (HUF)</t>
  </si>
  <si>
    <t>Talon Duo VIP (HUF)</t>
  </si>
  <si>
    <t>Talon Duo (EUR)</t>
  </si>
  <si>
    <t>Talon Duo VIP (EUR)</t>
  </si>
  <si>
    <t>Jövőkulcs Bonus</t>
  </si>
  <si>
    <t>Life Planet Bonus</t>
  </si>
  <si>
    <t>Jövőkulcs Classic</t>
  </si>
  <si>
    <t>Díjfizetés típus</t>
  </si>
  <si>
    <t>Terméktípus</t>
  </si>
  <si>
    <t>Született</t>
  </si>
  <si>
    <t>Nyugdíjkorhatár</t>
  </si>
  <si>
    <t>Lejárat / Díjfizetési tartam vége:</t>
  </si>
  <si>
    <t>év</t>
  </si>
  <si>
    <t>Évforduló a lejárat évében:</t>
  </si>
  <si>
    <t>Biztosítás Kezdete</t>
  </si>
  <si>
    <t>Fizgyak</t>
  </si>
  <si>
    <t>éves</t>
  </si>
  <si>
    <t>féléves</t>
  </si>
  <si>
    <t>negyedéves</t>
  </si>
  <si>
    <t>havi</t>
  </si>
  <si>
    <t>Fizmód</t>
  </si>
  <si>
    <t>csekk</t>
  </si>
  <si>
    <t>Pénznem</t>
  </si>
  <si>
    <t>forint</t>
  </si>
  <si>
    <t>euró</t>
  </si>
  <si>
    <t>dollár</t>
  </si>
  <si>
    <t>Minimumdíj (*ezer)</t>
  </si>
  <si>
    <t>Minimumdíj t.f.</t>
  </si>
  <si>
    <t>Díjarányos kezdeti költség</t>
  </si>
  <si>
    <t>%</t>
  </si>
  <si>
    <t>P01</t>
  </si>
  <si>
    <t>Menedzselt konzervatív</t>
  </si>
  <si>
    <t>P02</t>
  </si>
  <si>
    <t xml:space="preserve">Menedzselt kötvénytúlsúlyos </t>
  </si>
  <si>
    <t>P07</t>
  </si>
  <si>
    <t xml:space="preserve">Menedzselt kiegyensúlyozott </t>
  </si>
  <si>
    <t>P03</t>
  </si>
  <si>
    <t xml:space="preserve">Menedzselt részvénytúlsúlyos </t>
  </si>
  <si>
    <t>P13</t>
  </si>
  <si>
    <t>Feltörekvő piaci részvény</t>
  </si>
  <si>
    <t>P11</t>
  </si>
  <si>
    <t>Fejlett piaci részvény</t>
  </si>
  <si>
    <t>N25</t>
  </si>
  <si>
    <t>P04</t>
  </si>
  <si>
    <t>Forint Likviditás</t>
  </si>
  <si>
    <t>N26</t>
  </si>
  <si>
    <t>Magyar államkötvény</t>
  </si>
  <si>
    <t>P12</t>
  </si>
  <si>
    <t>Hazai részvény</t>
  </si>
  <si>
    <t>P06</t>
  </si>
  <si>
    <t>Spektrum abszolút hozam</t>
  </si>
  <si>
    <t>P05</t>
  </si>
  <si>
    <t>Arany</t>
  </si>
  <si>
    <t>P10</t>
  </si>
  <si>
    <t>Globális kötvény</t>
  </si>
  <si>
    <t>P15</t>
  </si>
  <si>
    <t>Nemzetközi Ingatlan</t>
  </si>
  <si>
    <t>P14</t>
  </si>
  <si>
    <t>Új technológiák</t>
  </si>
  <si>
    <t>S16</t>
  </si>
  <si>
    <t>ProtAktív Globális részvény</t>
  </si>
  <si>
    <t>C30</t>
  </si>
  <si>
    <t>EszközalapNév</t>
  </si>
  <si>
    <t>Megtakarítási egység, nem díjmentes, 4-20 év</t>
  </si>
  <si>
    <t>Megtakarítási egység, díjmentes</t>
  </si>
  <si>
    <t>Bónusz egység, 
4-20 év</t>
  </si>
  <si>
    <t>Termékkód</t>
  </si>
  <si>
    <t>Választott termék</t>
  </si>
  <si>
    <t>Választható eszközalap</t>
  </si>
  <si>
    <t>Min-Max</t>
  </si>
  <si>
    <t>Havi</t>
  </si>
  <si>
    <t>Díj index</t>
  </si>
  <si>
    <t>prem.</t>
  </si>
  <si>
    <t>Postal Check Y/N</t>
  </si>
  <si>
    <t>Postal Check bonus</t>
  </si>
  <si>
    <t>max. Ext. A.M.Fee &gt;&gt;</t>
  </si>
  <si>
    <t>extra fee</t>
  </si>
  <si>
    <t>from year</t>
  </si>
  <si>
    <t>to year</t>
  </si>
  <si>
    <t>BASIC INVESTMENT</t>
  </si>
  <si>
    <t>LOYALTY INVESTMENT</t>
  </si>
  <si>
    <t>index</t>
  </si>
  <si>
    <t>1. bonus limit</t>
  </si>
  <si>
    <t>1. bonus</t>
  </si>
  <si>
    <t>BASIC INVESTMENT POOL</t>
  </si>
  <si>
    <t>EXP LOADING</t>
  </si>
  <si>
    <t>EXP L.</t>
  </si>
  <si>
    <t>freq.</t>
  </si>
  <si>
    <t>2. bonus limit</t>
  </si>
  <si>
    <t>2. bonus</t>
  </si>
  <si>
    <t>&lt;&lt; max Ext. AM Fee + KB Loading</t>
  </si>
  <si>
    <t>BoP</t>
  </si>
  <si>
    <t>EoP</t>
  </si>
  <si>
    <t>EOP+</t>
  </si>
  <si>
    <t>EoP++</t>
  </si>
  <si>
    <t>EoP+</t>
  </si>
  <si>
    <t>EOP++</t>
  </si>
  <si>
    <t>EoP+++</t>
  </si>
  <si>
    <t>3. bonus limit</t>
  </si>
  <si>
    <t>3. bonus</t>
  </si>
  <si>
    <t>&lt;&lt; max. TKM calc?</t>
  </si>
  <si>
    <t>BoY</t>
  </si>
  <si>
    <t>BoM</t>
  </si>
  <si>
    <t>&gt; Prem</t>
  </si>
  <si>
    <t>Pr &gt; I</t>
  </si>
  <si>
    <t>&gt; Yield</t>
  </si>
  <si>
    <t>bef Exp: Inv</t>
  </si>
  <si>
    <t>LA &gt; BA</t>
  </si>
  <si>
    <t>aft Exp: Inv</t>
  </si>
  <si>
    <t>Inv &gt; Exp</t>
  </si>
  <si>
    <t>Prem &gt; Exp</t>
  </si>
  <si>
    <t>Pr &gt; L</t>
  </si>
  <si>
    <t>BA &gt; L</t>
  </si>
  <si>
    <t>LA &gt; L</t>
  </si>
  <si>
    <t>term</t>
  </si>
  <si>
    <t>4. bonus limit</t>
  </si>
  <si>
    <t>4. bonus</t>
  </si>
  <si>
    <t>act. prem</t>
  </si>
  <si>
    <t>y</t>
  </si>
  <si>
    <t>og comm</t>
  </si>
  <si>
    <t>yield</t>
  </si>
  <si>
    <t>Infl.</t>
  </si>
  <si>
    <t>Offs</t>
  </si>
  <si>
    <t>Deaths</t>
  </si>
  <si>
    <t>UL Yield</t>
  </si>
  <si>
    <t>UL Y /m</t>
  </si>
  <si>
    <t>* infl/m</t>
  </si>
  <si>
    <t>Exp Decr</t>
  </si>
  <si>
    <t>* ExpDecr/m</t>
  </si>
  <si>
    <t>1+yield /m</t>
  </si>
  <si>
    <t>vs real mort.</t>
  </si>
  <si>
    <t>Prem Change</t>
  </si>
  <si>
    <t>Cum Pr Ch</t>
  </si>
  <si>
    <t>e.age</t>
  </si>
  <si>
    <t>5. bonus limit</t>
  </si>
  <si>
    <t>5. bonus</t>
  </si>
  <si>
    <t>6. bonus limit</t>
  </si>
  <si>
    <t>6. bonus</t>
  </si>
  <si>
    <t>CAP yes</t>
  </si>
  <si>
    <t>Pr lim. for uncond. bonus</t>
  </si>
  <si>
    <t>Basic B/O 1-20 (with Check)</t>
  </si>
  <si>
    <t>in. comm. @10</t>
  </si>
  <si>
    <t>B/O 21+ (with Check)</t>
  </si>
  <si>
    <t>in. comm. @20</t>
  </si>
  <si>
    <t xml:space="preserve">Asset man. fee from 21 - </t>
  </si>
  <si>
    <t>ong. Comm</t>
  </si>
  <si>
    <t>Asset man. fee - BASIC</t>
  </si>
  <si>
    <t>Aver. Asset M. Fee @ NBM</t>
  </si>
  <si>
    <t>first year to Loyalty</t>
  </si>
  <si>
    <t>period length w. fixed loading</t>
  </si>
  <si>
    <t>1st 3 yr: Pr &gt; opExpLoad</t>
  </si>
  <si>
    <t>Init. Exp. (basis of payback)</t>
  </si>
  <si>
    <t>prop @10</t>
  </si>
  <si>
    <t>L&gt;B @5</t>
  </si>
  <si>
    <t>prop @20</t>
  </si>
  <si>
    <t>L&gt;B @10</t>
  </si>
  <si>
    <t>L&gt;B @15</t>
  </si>
  <si>
    <t>Exp of Loy &gt; Bas</t>
  </si>
  <si>
    <t>Éves</t>
  </si>
  <si>
    <t>Féléves</t>
  </si>
  <si>
    <t>Negyedéves</t>
  </si>
  <si>
    <t>biztosítási év</t>
  </si>
  <si>
    <t>Amennyiben a szerződő mindvégig az 
EREDETILEG ELVÁRT DÍJAT fizeti, úgy 
a forintban kifejezett DÍJARÁNYOS KEZDETI KÖLTSÉGNEK
a díjfizetési tartam alatt összesen 
LEGALÁBB AZ ALÁBBI SZÁZALÉKÁT írja jóvá összesen
a biztosító a bónusz számlán:</t>
  </si>
  <si>
    <t>Yearly</t>
  </si>
  <si>
    <t>Yearly for TKM</t>
  </si>
  <si>
    <t>Monthly</t>
  </si>
  <si>
    <t>Monthly for TKM</t>
  </si>
  <si>
    <t>Automatikus díjnövelés</t>
  </si>
  <si>
    <t>Díj</t>
  </si>
  <si>
    <t>Kor</t>
  </si>
  <si>
    <t>Adójóváírás folyamatos díj után</t>
  </si>
  <si>
    <t>Adójóváírás hó</t>
  </si>
  <si>
    <t>Adott évben</t>
  </si>
  <si>
    <t>Beférték</t>
  </si>
  <si>
    <t>DKK 1</t>
  </si>
  <si>
    <t>DKK 2</t>
  </si>
  <si>
    <t>DKK 3</t>
  </si>
  <si>
    <t>DRK 4-20</t>
  </si>
  <si>
    <t>DRK 21</t>
  </si>
  <si>
    <t>DKK A</t>
  </si>
  <si>
    <t>Díjfizetési mód</t>
  </si>
  <si>
    <t>Feltételezett hozam</t>
  </si>
  <si>
    <t>átutalás</t>
  </si>
  <si>
    <t>beszedési megbízás</t>
  </si>
  <si>
    <t>Eszközalap 2</t>
  </si>
  <si>
    <t>Gyakoriság szernti díj</t>
  </si>
  <si>
    <t>Változó</t>
  </si>
  <si>
    <t>Kiválasztott termék</t>
  </si>
  <si>
    <t>Termék 1</t>
  </si>
  <si>
    <t>Termék 2</t>
  </si>
  <si>
    <t>Termék 3</t>
  </si>
  <si>
    <t>Termék 4</t>
  </si>
  <si>
    <t>Termék 5</t>
  </si>
  <si>
    <t>Termék 6</t>
  </si>
  <si>
    <t>Termék 7</t>
  </si>
  <si>
    <t>Termék 8</t>
  </si>
  <si>
    <t>Termék 9</t>
  </si>
  <si>
    <t>Termék 10</t>
  </si>
  <si>
    <t>Termék 11</t>
  </si>
  <si>
    <t>Megnevezés</t>
  </si>
  <si>
    <t>Termék neve</t>
  </si>
  <si>
    <t>Belépési kor minimum</t>
  </si>
  <si>
    <t>Belépési kor maximum</t>
  </si>
  <si>
    <t>Díjarányos kezdeti költség 1. év</t>
  </si>
  <si>
    <t>Díjarányos kezdeti költség 2. év</t>
  </si>
  <si>
    <t>Díjarányos kezdeti költség 3. év</t>
  </si>
  <si>
    <t>Díjarányos kezdeti költség Adójóváírás</t>
  </si>
  <si>
    <t>Díjarányos rendszeres költség 4-20. év</t>
  </si>
  <si>
    <t>Díjarányos rendszeres költség 21. évtől</t>
  </si>
  <si>
    <t>Rövid lejáratú pénzpiaci</t>
  </si>
  <si>
    <t>Megtakarítási egységek</t>
  </si>
  <si>
    <t>Bónusz egységek</t>
  </si>
  <si>
    <t>Összesen</t>
  </si>
  <si>
    <t>Befizetett díj összesen</t>
  </si>
  <si>
    <t>Adójóváíriás összesen</t>
  </si>
  <si>
    <t>Visszafizetendő (+20%)</t>
  </si>
  <si>
    <t>"Adó-bünti" egyenleg</t>
  </si>
  <si>
    <t>Feltételezett éves átlagos hozam</t>
  </si>
  <si>
    <t>évente</t>
  </si>
  <si>
    <t>hozam</t>
  </si>
  <si>
    <t>vagyonktg</t>
  </si>
  <si>
    <t>Befektetés</t>
  </si>
  <si>
    <t>Eszközalap 3</t>
  </si>
  <si>
    <t>Eszközalap 4</t>
  </si>
  <si>
    <t>Befektetési érték az időszak végén</t>
  </si>
  <si>
    <t>Visszavásárlási érték az időszak végén</t>
  </si>
  <si>
    <t>Vagyonarányos ktg. 4-20. év</t>
  </si>
  <si>
    <t>Választott érték vagy %</t>
  </si>
  <si>
    <t>Korok</t>
  </si>
  <si>
    <t>Eszközalapok</t>
  </si>
  <si>
    <t>Lejárati kor maximum</t>
  </si>
  <si>
    <t>Biztosított születési dátum</t>
  </si>
  <si>
    <t>Tartam minimum</t>
  </si>
  <si>
    <t>Tartam maximum</t>
  </si>
  <si>
    <t>Minimumdíj</t>
  </si>
  <si>
    <t>MinDíj</t>
  </si>
  <si>
    <t>Ajánlaton feltüntetendő kerekített %</t>
  </si>
  <si>
    <t>Eszközalap 5</t>
  </si>
  <si>
    <t>Cél 2030</t>
  </si>
  <si>
    <t>C35</t>
  </si>
  <si>
    <t>Cél 2035</t>
  </si>
  <si>
    <t>C40</t>
  </si>
  <si>
    <t>Cél 2040</t>
  </si>
  <si>
    <t>C45</t>
  </si>
  <si>
    <t>Cél 2045</t>
  </si>
  <si>
    <t>C50</t>
  </si>
  <si>
    <t>Cél 2050</t>
  </si>
  <si>
    <t>Ind</t>
  </si>
  <si>
    <t>DRK 420</t>
  </si>
  <si>
    <t>Aktuárius név</t>
  </si>
  <si>
    <t>Bónusz -&gt; Megtakarítási 5. év</t>
  </si>
  <si>
    <t>Bónusz -&gt; Megtakarítási 10. év</t>
  </si>
  <si>
    <t>Bónusz -&gt; Megtakarítási 15. év</t>
  </si>
  <si>
    <t>Fizmód Bónusz - átutalás</t>
  </si>
  <si>
    <t>Fizmód Bónusz - beszedési megbízás</t>
  </si>
  <si>
    <t>Fizmód Bónusz - csekk</t>
  </si>
  <si>
    <t>DRK VB</t>
  </si>
  <si>
    <t>Rendszeres költség visszatérítési bónusz 4-20. év</t>
  </si>
  <si>
    <t>DRK 420 - DRK VB</t>
  </si>
  <si>
    <t>Befektetés aránys költség 21. évtől</t>
  </si>
  <si>
    <t>Befektetés aránys költség alap</t>
  </si>
  <si>
    <t>Ft</t>
  </si>
  <si>
    <t>Díjfizetési gyakoriság és gyakoriság szerinti díj</t>
  </si>
  <si>
    <t>Exkluzív</t>
  </si>
  <si>
    <t>Díj pénzneme szerint</t>
  </si>
  <si>
    <t>KorMaxWL</t>
  </si>
  <si>
    <t>Fix vagy élethosszig szóló</t>
  </si>
  <si>
    <t>Termék tartam</t>
  </si>
  <si>
    <t>Egyszeri díj</t>
  </si>
  <si>
    <t>€</t>
  </si>
  <si>
    <t>$</t>
  </si>
  <si>
    <t>DKK E</t>
  </si>
  <si>
    <t>Díjarányos kezdeti költség Ny Extra</t>
  </si>
  <si>
    <t>DKK NyE</t>
  </si>
  <si>
    <t>Díjarányos kezdeti költség Extra, Kieg Extra</t>
  </si>
  <si>
    <t>Kiválasztott termék kódja</t>
  </si>
  <si>
    <t>2,5% automatikus díjnövelés esetén</t>
  </si>
  <si>
    <t>A biztosítás tartamába foglalt egész éves biztosítási időszakok száma</t>
  </si>
  <si>
    <r>
      <t xml:space="preserve">Kezdeti költség visszatérítési bónusz </t>
    </r>
    <r>
      <rPr>
        <sz val="11"/>
        <rFont val="Calibri"/>
        <family val="2"/>
        <charset val="238"/>
        <scheme val="minor"/>
      </rPr>
      <t>(2C mell./3.) In. Exp. &gt; L (rounded)</t>
    </r>
  </si>
  <si>
    <t xml:space="preserve">Díjarányos rendszeres költség mínusz bónusz 4-20. év </t>
  </si>
  <si>
    <r>
      <t>Rendszeres költség visszatérítési bónusz</t>
    </r>
    <r>
      <rPr>
        <sz val="11"/>
        <rFont val="Calibri"/>
        <family val="2"/>
        <charset val="238"/>
        <scheme val="minor"/>
      </rPr>
      <t xml:space="preserve"> (2C mell/4) Prem. &gt; L</t>
    </r>
  </si>
  <si>
    <t>Díjnagyság Bónusz határa 1</t>
  </si>
  <si>
    <t>Díjnagyság Bónusz határa 2</t>
  </si>
  <si>
    <t>Díjnagyság Bónusz határa 3</t>
  </si>
  <si>
    <t>Díjnagyság Bónusz határa 4</t>
  </si>
  <si>
    <t>Díjnagyság Bónusz határa 5</t>
  </si>
  <si>
    <t>Díjnagyság Bónusz határa 6</t>
  </si>
  <si>
    <t>Díjnagyság Bónusz mértéke 1</t>
  </si>
  <si>
    <t>Díjnagyság Bónusz mértéke 2</t>
  </si>
  <si>
    <t>Díjnagyság Bónusz mértéke 3</t>
  </si>
  <si>
    <t>Díjnagyság Bónusz mértéke 4</t>
  </si>
  <si>
    <t>Díjnagyság Bónusz mértéke 5</t>
  </si>
  <si>
    <t>Díjnagyság Bónusz mértéke 6</t>
  </si>
  <si>
    <t>Díjnagyság bónusz</t>
  </si>
  <si>
    <t>Határ</t>
  </si>
  <si>
    <r>
      <rPr>
        <b/>
        <sz val="11"/>
        <rFont val="Calibri"/>
        <family val="2"/>
        <charset val="238"/>
        <scheme val="minor"/>
      </rPr>
      <t xml:space="preserve">Díjnagyság bónusz </t>
    </r>
    <r>
      <rPr>
        <sz val="11"/>
        <rFont val="Calibri"/>
        <family val="2"/>
        <charset val="238"/>
        <scheme val="minor"/>
      </rPr>
      <t>(2. mell/2.) PremSize &gt; L</t>
    </r>
  </si>
  <si>
    <t>Választott fizetési mód</t>
  </si>
  <si>
    <t>FizMódBonus</t>
  </si>
  <si>
    <t>Díjfizetési mód Bónusz</t>
  </si>
  <si>
    <r>
      <t xml:space="preserve">Díjfizetés mód bónusz </t>
    </r>
    <r>
      <rPr>
        <sz val="11"/>
        <rFont val="Calibri"/>
        <family val="2"/>
        <charset val="238"/>
        <scheme val="minor"/>
      </rPr>
      <t>(2C mell/1)Check &gt; L</t>
    </r>
  </si>
  <si>
    <t>Költséglevonás díjból
Pr &gt; Exp</t>
  </si>
  <si>
    <t>Bónusz jóváírás Díjból
Pr &gt; L</t>
  </si>
  <si>
    <t>Vagyonkezelési költség
BA &gt; Exp</t>
  </si>
  <si>
    <t>Vagyonkezelési költség
LA &gt; Exp</t>
  </si>
  <si>
    <t>Hozam Bónusz 4-20 év
BA &gt; L</t>
  </si>
  <si>
    <t>Hozam Bónusz 4-20 év
LA &gt; L</t>
  </si>
  <si>
    <t>Bónusz számláról átkönyvelés
LA &gt; BA</t>
  </si>
  <si>
    <t>Díjnagyság bónusz Cap</t>
  </si>
  <si>
    <t>Díjnagyság feltétel nélküli bónusz határ</t>
  </si>
  <si>
    <t xml:space="preserve">A modell a választott, a tartam során állandó éves befektetési hozam feltételezésével mutatja a szerződés befektetési értékének alakulását. A számítás az előírt, automatikusan indexálódó díj megfizetését veszi figyelembe. 
</t>
  </si>
  <si>
    <t xml:space="preserve">A hozam mértékére vonatkozóan az UNIQA Biztosító Zrt. semmilyen garanciát nem vállal. </t>
  </si>
  <si>
    <t>fix</t>
  </si>
  <si>
    <t xml:space="preserve">A termék befektetési egységekhez kötött életbiztosítás, melynél a befektetési kockázatot 
teljes egészében a szerződő viseli. </t>
  </si>
  <si>
    <t>Hónap</t>
  </si>
  <si>
    <t>Díj a naptári évben</t>
  </si>
  <si>
    <t>Adójóváírás a naptári évre</t>
  </si>
  <si>
    <t>op. exp</t>
  </si>
  <si>
    <t>in. exp</t>
  </si>
  <si>
    <t>in. Exp for DAC</t>
  </si>
  <si>
    <t>v. 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</si>
</sst>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#,##0\ &quot;Ft&quot;;[Red]\-#,##0\ &quot;Ft&quot;"/>
    <numFmt numFmtId="43" formatCode="_-* #,##0.00\ _F_t_-;\-* #,##0.00\ _F_t_-;_-* &quot;-&quot;??\ _F_t_-;_-@_-"/>
    <numFmt numFmtId="164" formatCode="_-* #,##0\ _-;\-\ #,##0\ _-;_-* &quot;-&quot;??\ _-;_-@_-"/>
    <numFmt numFmtId="165" formatCode="yyyy/mm/dd\ _-;\-\ #,##0\ _-;_-* &quot;-&quot;??\ _-;_-@_-"/>
    <numFmt numFmtId="166" formatCode="&quot;min &quot;#;#;#"/>
    <numFmt numFmtId="167" formatCode="&quot;max &quot;#;#;#"/>
    <numFmt numFmtId="168" formatCode="_-* #,##0.0%;\-\ #,##0.0%;_-* &quot;-&quot;??\ _-;_-@_-"/>
    <numFmt numFmtId="169" formatCode="_-* #,##0.00%;\-\ #,##0.00%;_-* &quot;-&quot;??\ _-;_-@_-"/>
    <numFmt numFmtId="170" formatCode="#&quot; év&quot;"/>
    <numFmt numFmtId="171" formatCode="#&quot; hó&quot;"/>
    <numFmt numFmtId="172" formatCode="#&quot; nap&quot;"/>
    <numFmt numFmtId="173" formatCode="_-* #,##0\ _F_t_-;\-* #,##0\ _F_t_-;_-* &quot;-&quot;??\ _F_t_-;_-@_-"/>
    <numFmt numFmtId="174" formatCode="0.0%"/>
    <numFmt numFmtId="175" formatCode="0.000%"/>
    <numFmt numFmtId="176" formatCode="#,##0.0000"/>
    <numFmt numFmtId="177" formatCode="#,##0.000"/>
    <numFmt numFmtId="178" formatCode="_-* #,##0.00%;[Red]\-\ #,##0.00%;_-* &quot;-&quot;??\ _-;_-@_-"/>
    <numFmt numFmtId="179" formatCode="&quot;min. &quot;#,000"/>
    <numFmt numFmtId="180" formatCode="00&quot; év&quot;"/>
    <numFmt numFmtId="181" formatCode="&quot;Biztosítási év&quot;"/>
    <numFmt numFmtId="182" formatCode="0&quot; év&quot;"/>
    <numFmt numFmtId="183" formatCode="&quot;Kód: &quot;0"/>
    <numFmt numFmtId="184" formatCode="_-* #,##0.00000\ _-;\-\ #,##0.00000\ _-;_-* &quot;-&quot;??\ _-;_-@_-"/>
    <numFmt numFmtId="185" formatCode="_-* #,##0.00000%;\-\ #,##0.00000%;_-* &quot;-&quot;??\ _-;_-@_-"/>
  </numFmts>
  <fonts count="8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 tint="0.249977111117893"/>
      <name val="Arial"/>
      <family val="2"/>
      <charset val="238"/>
    </font>
    <font>
      <sz val="9"/>
      <color theme="1" tint="0.249977111117893"/>
      <name val="Arial"/>
      <family val="2"/>
      <charset val="238"/>
    </font>
    <font>
      <i/>
      <sz val="9"/>
      <color theme="1" tint="0.249977111117893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9"/>
      <color rgb="FFC0000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3399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i/>
      <sz val="11"/>
      <color rgb="FF00339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 tint="-0.1499984740745262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0" tint="-4.9989318521683403E-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sz val="9"/>
      <color theme="0" tint="-0.499984740745262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7"/>
      <color theme="0" tint="-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0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name val="Arial"/>
      <family val="2"/>
      <charset val="238"/>
    </font>
    <font>
      <sz val="8"/>
      <color rgb="FF0070C0"/>
      <name val="Arial"/>
      <family val="2"/>
      <charset val="238"/>
    </font>
    <font>
      <sz val="8"/>
      <color rgb="FF0070C0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0" tint="-4.9989318521683403E-2"/>
      <name val="Arial"/>
      <family val="2"/>
      <charset val="238"/>
    </font>
    <font>
      <b/>
      <sz val="7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0" tint="-4.9989318521683403E-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9"/>
      <color theme="1" tint="0.249977111117893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"/>
      <family val="2"/>
      <charset val="238"/>
    </font>
    <font>
      <sz val="8"/>
      <color theme="2" tint="-0.499984740745262"/>
      <name val="Arial Narrow"/>
      <family val="2"/>
      <charset val="238"/>
    </font>
    <font>
      <b/>
      <sz val="14"/>
      <color rgb="FF0070C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i/>
      <sz val="11"/>
      <color rgb="FF7030A0"/>
      <name val="Calibri"/>
      <family val="2"/>
      <charset val="238"/>
      <scheme val="minor"/>
    </font>
    <font>
      <i/>
      <sz val="11"/>
      <color rgb="FF7030A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0" tint="-4.9989318521683403E-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n">
        <color rgb="FFFF0000"/>
      </left>
      <right/>
      <top style="thick">
        <color rgb="FFFF0000"/>
      </top>
      <bottom style="thick">
        <color rgb="FFFF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rgb="FFFF0000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double">
        <color indexed="64"/>
      </left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rgb="FFFF0000"/>
      </top>
      <bottom/>
      <diagonal/>
    </border>
    <border>
      <left style="thick">
        <color rgb="FFFF0000"/>
      </left>
      <right/>
      <top style="thin">
        <color rgb="FFFF0000"/>
      </top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dashed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dashed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9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"/>
    </xf>
    <xf numFmtId="0" fontId="5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164" fontId="4" fillId="0" borderId="0" xfId="2" applyNumberFormat="1" applyFont="1" applyFill="1"/>
    <xf numFmtId="0" fontId="4" fillId="0" borderId="0" xfId="2" applyFont="1" applyFill="1" applyAlignment="1">
      <alignment horizontal="center"/>
    </xf>
    <xf numFmtId="0" fontId="4" fillId="0" borderId="0" xfId="2" applyFont="1" applyAlignment="1">
      <alignment shrinkToFit="1"/>
    </xf>
    <xf numFmtId="0" fontId="4" fillId="0" borderId="0" xfId="2" applyFont="1" applyAlignment="1"/>
    <xf numFmtId="0" fontId="3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vertical="center" wrapText="1"/>
    </xf>
    <xf numFmtId="169" fontId="0" fillId="0" borderId="11" xfId="0" applyNumberFormat="1" applyFill="1" applyBorder="1"/>
    <xf numFmtId="0" fontId="0" fillId="0" borderId="0" xfId="0" applyFill="1"/>
    <xf numFmtId="169" fontId="0" fillId="0" borderId="3" xfId="0" applyNumberFormat="1" applyFill="1" applyBorder="1"/>
    <xf numFmtId="169" fontId="0" fillId="0" borderId="4" xfId="0" applyNumberFormat="1" applyFill="1" applyBorder="1"/>
    <xf numFmtId="49" fontId="9" fillId="0" borderId="0" xfId="0" applyNumberFormat="1" applyFont="1" applyFill="1" applyBorder="1" applyAlignment="1">
      <alignment horizontal="center" vertical="center" wrapText="1"/>
    </xf>
    <xf numFmtId="173" fontId="0" fillId="0" borderId="0" xfId="3" applyNumberFormat="1" applyFont="1" applyProtection="1">
      <protection hidden="1"/>
    </xf>
    <xf numFmtId="0" fontId="13" fillId="0" borderId="15" xfId="0" applyFont="1" applyBorder="1" applyProtection="1">
      <protection hidden="1"/>
    </xf>
    <xf numFmtId="0" fontId="15" fillId="7" borderId="0" xfId="4" applyFont="1" applyFill="1" applyBorder="1" applyProtection="1">
      <protection hidden="1"/>
    </xf>
    <xf numFmtId="0" fontId="0" fillId="0" borderId="0" xfId="0" applyProtection="1">
      <protection hidden="1"/>
    </xf>
    <xf numFmtId="0" fontId="6" fillId="0" borderId="16" xfId="4" applyFont="1" applyFill="1" applyBorder="1" applyProtection="1">
      <protection hidden="1"/>
    </xf>
    <xf numFmtId="0" fontId="0" fillId="0" borderId="0" xfId="0" applyFill="1" applyAlignment="1" applyProtection="1">
      <alignment horizontal="right"/>
      <protection hidden="1"/>
    </xf>
    <xf numFmtId="3" fontId="16" fillId="0" borderId="0" xfId="0" applyNumberFormat="1" applyFont="1" applyFill="1" applyProtection="1">
      <protection hidden="1"/>
    </xf>
    <xf numFmtId="0" fontId="16" fillId="0" borderId="0" xfId="0" applyFont="1" applyFill="1" applyProtection="1">
      <protection hidden="1"/>
    </xf>
    <xf numFmtId="0" fontId="1" fillId="0" borderId="0" xfId="4" applyProtection="1">
      <protection hidden="1"/>
    </xf>
    <xf numFmtId="3" fontId="0" fillId="0" borderId="0" xfId="0" applyNumberFormat="1" applyProtection="1">
      <protection hidden="1"/>
    </xf>
    <xf numFmtId="0" fontId="1" fillId="0" borderId="0" xfId="4" applyFill="1" applyProtection="1">
      <protection hidden="1"/>
    </xf>
    <xf numFmtId="3" fontId="1" fillId="0" borderId="10" xfId="4" applyNumberFormat="1" applyFill="1" applyBorder="1" applyAlignment="1" applyProtection="1">
      <alignment horizontal="centerContinuous"/>
      <protection hidden="1"/>
    </xf>
    <xf numFmtId="0" fontId="1" fillId="0" borderId="8" xfId="4" applyBorder="1" applyAlignment="1" applyProtection="1">
      <alignment horizontal="centerContinuous"/>
      <protection hidden="1"/>
    </xf>
    <xf numFmtId="0" fontId="1" fillId="0" borderId="9" xfId="4" applyBorder="1" applyAlignment="1" applyProtection="1">
      <alignment horizontal="centerContinuous"/>
      <protection hidden="1"/>
    </xf>
    <xf numFmtId="0" fontId="1" fillId="0" borderId="18" xfId="4" applyBorder="1" applyAlignment="1" applyProtection="1">
      <alignment horizontal="centerContinuous"/>
      <protection hidden="1"/>
    </xf>
    <xf numFmtId="3" fontId="1" fillId="0" borderId="8" xfId="4" applyNumberFormat="1" applyBorder="1" applyAlignment="1" applyProtection="1">
      <alignment horizontal="centerContinuous"/>
      <protection hidden="1"/>
    </xf>
    <xf numFmtId="0" fontId="13" fillId="0" borderId="19" xfId="4" applyFont="1" applyBorder="1" applyProtection="1">
      <protection hidden="1"/>
    </xf>
    <xf numFmtId="0" fontId="6" fillId="0" borderId="14" xfId="4" applyFont="1" applyFill="1" applyBorder="1" applyProtection="1">
      <protection hidden="1"/>
    </xf>
    <xf numFmtId="3" fontId="1" fillId="0" borderId="10" xfId="4" applyNumberFormat="1" applyBorder="1" applyAlignment="1" applyProtection="1">
      <alignment horizontal="centerContinuous"/>
      <protection hidden="1"/>
    </xf>
    <xf numFmtId="0" fontId="1" fillId="0" borderId="10" xfId="4" applyBorder="1" applyAlignment="1" applyProtection="1">
      <alignment horizontal="centerContinuous"/>
      <protection hidden="1"/>
    </xf>
    <xf numFmtId="0" fontId="13" fillId="0" borderId="21" xfId="4" applyFont="1" applyBorder="1" applyProtection="1">
      <protection hidden="1"/>
    </xf>
    <xf numFmtId="0" fontId="6" fillId="0" borderId="15" xfId="4" applyFont="1" applyFill="1" applyBorder="1" applyProtection="1">
      <protection hidden="1"/>
    </xf>
    <xf numFmtId="0" fontId="1" fillId="0" borderId="0" xfId="4" applyAlignment="1" applyProtection="1">
      <alignment horizontal="center"/>
      <protection hidden="1"/>
    </xf>
    <xf numFmtId="3" fontId="1" fillId="0" borderId="3" xfId="4" applyNumberFormat="1" applyBorder="1" applyAlignment="1" applyProtection="1">
      <alignment horizontal="center"/>
      <protection hidden="1"/>
    </xf>
    <xf numFmtId="0" fontId="13" fillId="0" borderId="0" xfId="4" applyFont="1" applyAlignment="1" applyProtection="1">
      <alignment horizontal="center"/>
      <protection hidden="1"/>
    </xf>
    <xf numFmtId="0" fontId="1" fillId="0" borderId="3" xfId="4" applyBorder="1" applyAlignment="1" applyProtection="1">
      <alignment horizontal="center"/>
      <protection hidden="1"/>
    </xf>
    <xf numFmtId="0" fontId="1" fillId="0" borderId="4" xfId="4" applyBorder="1" applyAlignment="1" applyProtection="1">
      <alignment horizontal="center"/>
      <protection hidden="1"/>
    </xf>
    <xf numFmtId="0" fontId="1" fillId="0" borderId="24" xfId="4" applyBorder="1" applyAlignment="1" applyProtection="1">
      <alignment horizontal="center"/>
      <protection hidden="1"/>
    </xf>
    <xf numFmtId="0" fontId="1" fillId="0" borderId="25" xfId="4" applyBorder="1" applyAlignment="1" applyProtection="1">
      <alignment horizontal="center"/>
      <protection hidden="1"/>
    </xf>
    <xf numFmtId="0" fontId="1" fillId="0" borderId="26" xfId="4" applyBorder="1" applyAlignment="1" applyProtection="1">
      <alignment horizontal="center"/>
      <protection hidden="1"/>
    </xf>
    <xf numFmtId="0" fontId="1" fillId="0" borderId="6" xfId="4" applyBorder="1" applyProtection="1">
      <protection hidden="1"/>
    </xf>
    <xf numFmtId="3" fontId="16" fillId="0" borderId="6" xfId="0" applyNumberFormat="1" applyFont="1" applyFill="1" applyBorder="1" applyProtection="1">
      <protection hidden="1"/>
    </xf>
    <xf numFmtId="0" fontId="13" fillId="0" borderId="0" xfId="4" applyFont="1" applyBorder="1" applyProtection="1">
      <protection hidden="1"/>
    </xf>
    <xf numFmtId="0" fontId="1" fillId="2" borderId="13" xfId="4" applyFill="1" applyBorder="1" applyProtection="1">
      <protection hidden="1"/>
    </xf>
    <xf numFmtId="10" fontId="1" fillId="12" borderId="25" xfId="4" applyNumberFormat="1" applyFill="1" applyBorder="1" applyAlignment="1" applyProtection="1">
      <protection hidden="1"/>
    </xf>
    <xf numFmtId="10" fontId="0" fillId="12" borderId="34" xfId="5" applyNumberFormat="1" applyFont="1" applyFill="1" applyBorder="1" applyProtection="1">
      <protection hidden="1"/>
    </xf>
    <xf numFmtId="10" fontId="22" fillId="0" borderId="34" xfId="5" applyNumberFormat="1" applyFont="1" applyFill="1" applyBorder="1" applyProtection="1">
      <protection hidden="1"/>
    </xf>
    <xf numFmtId="10" fontId="0" fillId="12" borderId="26" xfId="5" applyNumberFormat="1" applyFont="1" applyFill="1" applyBorder="1" applyProtection="1">
      <protection hidden="1"/>
    </xf>
    <xf numFmtId="10" fontId="12" fillId="2" borderId="35" xfId="5" applyNumberFormat="1" applyFont="1" applyFill="1" applyBorder="1" applyProtection="1">
      <protection hidden="1"/>
    </xf>
    <xf numFmtId="10" fontId="23" fillId="12" borderId="34" xfId="5" applyNumberFormat="1" applyFont="1" applyFill="1" applyBorder="1" applyProtection="1">
      <protection hidden="1"/>
    </xf>
    <xf numFmtId="176" fontId="0" fillId="12" borderId="26" xfId="5" applyNumberFormat="1" applyFont="1" applyFill="1" applyBorder="1" applyProtection="1">
      <protection hidden="1"/>
    </xf>
    <xf numFmtId="177" fontId="23" fillId="12" borderId="34" xfId="5" applyNumberFormat="1" applyFont="1" applyFill="1" applyBorder="1" applyProtection="1">
      <protection hidden="1"/>
    </xf>
    <xf numFmtId="10" fontId="16" fillId="12" borderId="34" xfId="5" applyNumberFormat="1" applyFont="1" applyFill="1" applyBorder="1" applyProtection="1">
      <protection hidden="1"/>
    </xf>
    <xf numFmtId="9" fontId="1" fillId="12" borderId="4" xfId="4" applyNumberFormat="1" applyFill="1" applyBorder="1" applyProtection="1">
      <protection hidden="1"/>
    </xf>
    <xf numFmtId="0" fontId="1" fillId="0" borderId="0" xfId="4" applyBorder="1" applyProtection="1">
      <protection hidden="1"/>
    </xf>
    <xf numFmtId="3" fontId="1" fillId="0" borderId="3" xfId="4" applyNumberFormat="1" applyBorder="1" applyProtection="1">
      <protection hidden="1"/>
    </xf>
    <xf numFmtId="3" fontId="1" fillId="0" borderId="0" xfId="4" applyNumberFormat="1" applyBorder="1" applyProtection="1">
      <protection hidden="1"/>
    </xf>
    <xf numFmtId="3" fontId="1" fillId="0" borderId="0" xfId="4" applyNumberFormat="1" applyFill="1" applyBorder="1" applyProtection="1">
      <protection hidden="1"/>
    </xf>
    <xf numFmtId="3" fontId="13" fillId="0" borderId="0" xfId="4" applyNumberFormat="1" applyFont="1" applyBorder="1" applyProtection="1">
      <protection hidden="1"/>
    </xf>
    <xf numFmtId="3" fontId="1" fillId="0" borderId="4" xfId="4" applyNumberFormat="1" applyBorder="1" applyProtection="1">
      <protection hidden="1"/>
    </xf>
    <xf numFmtId="3" fontId="1" fillId="0" borderId="24" xfId="4" applyNumberFormat="1" applyBorder="1" applyProtection="1">
      <protection hidden="1"/>
    </xf>
    <xf numFmtId="3" fontId="13" fillId="0" borderId="0" xfId="4" applyNumberFormat="1" applyFont="1" applyProtection="1">
      <protection hidden="1"/>
    </xf>
    <xf numFmtId="3" fontId="1" fillId="2" borderId="11" xfId="4" applyNumberFormat="1" applyFill="1" applyBorder="1" applyProtection="1">
      <protection hidden="1"/>
    </xf>
    <xf numFmtId="10" fontId="12" fillId="0" borderId="3" xfId="4" applyNumberFormat="1" applyFont="1" applyFill="1" applyBorder="1" applyAlignment="1" applyProtection="1">
      <protection hidden="1"/>
    </xf>
    <xf numFmtId="10" fontId="0" fillId="12" borderId="0" xfId="5" applyNumberFormat="1" applyFont="1" applyFill="1" applyBorder="1" applyProtection="1">
      <protection hidden="1"/>
    </xf>
    <xf numFmtId="10" fontId="22" fillId="0" borderId="0" xfId="5" applyNumberFormat="1" applyFont="1" applyFill="1" applyBorder="1" applyProtection="1">
      <protection hidden="1"/>
    </xf>
    <xf numFmtId="10" fontId="0" fillId="12" borderId="4" xfId="5" applyNumberFormat="1" applyFont="1" applyFill="1" applyBorder="1" applyProtection="1">
      <protection hidden="1"/>
    </xf>
    <xf numFmtId="10" fontId="12" fillId="2" borderId="36" xfId="5" applyNumberFormat="1" applyFont="1" applyFill="1" applyBorder="1" applyProtection="1">
      <protection hidden="1"/>
    </xf>
    <xf numFmtId="10" fontId="23" fillId="12" borderId="0" xfId="5" applyNumberFormat="1" applyFont="1" applyFill="1" applyBorder="1" applyProtection="1">
      <protection hidden="1"/>
    </xf>
    <xf numFmtId="176" fontId="0" fillId="12" borderId="4" xfId="5" applyNumberFormat="1" applyFont="1" applyFill="1" applyBorder="1" applyProtection="1">
      <protection hidden="1"/>
    </xf>
    <xf numFmtId="177" fontId="23" fillId="12" borderId="0" xfId="5" applyNumberFormat="1" applyFont="1" applyFill="1" applyBorder="1" applyProtection="1">
      <protection hidden="1"/>
    </xf>
    <xf numFmtId="10" fontId="16" fillId="12" borderId="0" xfId="5" applyNumberFormat="1" applyFont="1" applyFill="1" applyBorder="1" applyProtection="1">
      <protection hidden="1"/>
    </xf>
    <xf numFmtId="0" fontId="16" fillId="0" borderId="17" xfId="4" applyFont="1" applyFill="1" applyBorder="1" applyProtection="1">
      <protection hidden="1"/>
    </xf>
    <xf numFmtId="3" fontId="1" fillId="2" borderId="37" xfId="4" applyNumberFormat="1" applyFill="1" applyBorder="1" applyProtection="1">
      <protection hidden="1"/>
    </xf>
    <xf numFmtId="10" fontId="24" fillId="0" borderId="5" xfId="4" applyNumberFormat="1" applyFont="1" applyFill="1" applyBorder="1" applyAlignment="1" applyProtection="1">
      <protection hidden="1"/>
    </xf>
    <xf numFmtId="10" fontId="0" fillId="12" borderId="6" xfId="5" applyNumberFormat="1" applyFont="1" applyFill="1" applyBorder="1" applyProtection="1">
      <protection hidden="1"/>
    </xf>
    <xf numFmtId="10" fontId="22" fillId="0" borderId="6" xfId="5" applyNumberFormat="1" applyFont="1" applyFill="1" applyBorder="1" applyProtection="1">
      <protection hidden="1"/>
    </xf>
    <xf numFmtId="10" fontId="0" fillId="12" borderId="7" xfId="5" applyNumberFormat="1" applyFont="1" applyFill="1" applyBorder="1" applyProtection="1">
      <protection hidden="1"/>
    </xf>
    <xf numFmtId="10" fontId="12" fillId="2" borderId="38" xfId="5" applyNumberFormat="1" applyFont="1" applyFill="1" applyBorder="1" applyProtection="1">
      <protection hidden="1"/>
    </xf>
    <xf numFmtId="10" fontId="23" fillId="12" borderId="6" xfId="5" applyNumberFormat="1" applyFont="1" applyFill="1" applyBorder="1" applyProtection="1">
      <protection hidden="1"/>
    </xf>
    <xf numFmtId="176" fontId="0" fillId="12" borderId="7" xfId="5" applyNumberFormat="1" applyFont="1" applyFill="1" applyBorder="1" applyProtection="1">
      <protection hidden="1"/>
    </xf>
    <xf numFmtId="177" fontId="23" fillId="12" borderId="6" xfId="5" applyNumberFormat="1" applyFont="1" applyFill="1" applyBorder="1" applyProtection="1">
      <protection hidden="1"/>
    </xf>
    <xf numFmtId="10" fontId="16" fillId="12" borderId="6" xfId="5" applyNumberFormat="1" applyFont="1" applyFill="1" applyBorder="1" applyProtection="1">
      <protection hidden="1"/>
    </xf>
    <xf numFmtId="9" fontId="1" fillId="12" borderId="7" xfId="4" applyNumberFormat="1" applyFill="1" applyBorder="1" applyProtection="1">
      <protection hidden="1"/>
    </xf>
    <xf numFmtId="10" fontId="24" fillId="0" borderId="3" xfId="4" applyNumberFormat="1" applyFont="1" applyFill="1" applyBorder="1" applyAlignment="1" applyProtection="1">
      <protection hidden="1"/>
    </xf>
    <xf numFmtId="9" fontId="12" fillId="0" borderId="4" xfId="4" applyNumberFormat="1" applyFont="1" applyFill="1" applyBorder="1" applyProtection="1">
      <protection hidden="1"/>
    </xf>
    <xf numFmtId="0" fontId="13" fillId="2" borderId="39" xfId="4" applyFont="1" applyFill="1" applyBorder="1" applyProtection="1">
      <protection hidden="1"/>
    </xf>
    <xf numFmtId="9" fontId="12" fillId="0" borderId="7" xfId="4" applyNumberFormat="1" applyFont="1" applyFill="1" applyBorder="1" applyProtection="1">
      <protection hidden="1"/>
    </xf>
    <xf numFmtId="0" fontId="13" fillId="0" borderId="40" xfId="4" applyFont="1" applyBorder="1" applyProtection="1">
      <protection hidden="1"/>
    </xf>
    <xf numFmtId="10" fontId="26" fillId="0" borderId="0" xfId="4" applyNumberFormat="1" applyFont="1" applyFill="1" applyProtection="1">
      <protection hidden="1"/>
    </xf>
    <xf numFmtId="0" fontId="13" fillId="0" borderId="28" xfId="0" applyFont="1" applyBorder="1" applyProtection="1">
      <protection hidden="1"/>
    </xf>
    <xf numFmtId="3" fontId="14" fillId="14" borderId="42" xfId="1" applyNumberFormat="1" applyFont="1" applyFill="1" applyBorder="1" applyProtection="1">
      <protection hidden="1"/>
    </xf>
    <xf numFmtId="0" fontId="6" fillId="0" borderId="0" xfId="4" applyFont="1" applyFill="1" applyProtection="1">
      <protection hidden="1"/>
    </xf>
    <xf numFmtId="3" fontId="6" fillId="0" borderId="0" xfId="4" applyNumberFormat="1" applyFont="1" applyFill="1" applyProtection="1">
      <protection hidden="1"/>
    </xf>
    <xf numFmtId="0" fontId="13" fillId="0" borderId="16" xfId="4" applyFont="1" applyBorder="1" applyProtection="1">
      <protection hidden="1"/>
    </xf>
    <xf numFmtId="3" fontId="16" fillId="0" borderId="43" xfId="0" applyNumberFormat="1" applyFont="1" applyFill="1" applyBorder="1" applyProtection="1">
      <protection hidden="1"/>
    </xf>
    <xf numFmtId="3" fontId="1" fillId="2" borderId="45" xfId="4" applyNumberFormat="1" applyFill="1" applyBorder="1" applyProtection="1">
      <protection hidden="1"/>
    </xf>
    <xf numFmtId="10" fontId="24" fillId="0" borderId="46" xfId="4" applyNumberFormat="1" applyFont="1" applyFill="1" applyBorder="1" applyAlignment="1" applyProtection="1">
      <protection hidden="1"/>
    </xf>
    <xf numFmtId="10" fontId="0" fillId="12" borderId="43" xfId="5" applyNumberFormat="1" applyFont="1" applyFill="1" applyBorder="1" applyProtection="1">
      <protection hidden="1"/>
    </xf>
    <xf numFmtId="10" fontId="22" fillId="0" borderId="43" xfId="5" applyNumberFormat="1" applyFont="1" applyFill="1" applyBorder="1" applyProtection="1">
      <protection hidden="1"/>
    </xf>
    <xf numFmtId="10" fontId="0" fillId="12" borderId="44" xfId="5" applyNumberFormat="1" applyFont="1" applyFill="1" applyBorder="1" applyProtection="1">
      <protection hidden="1"/>
    </xf>
    <xf numFmtId="10" fontId="23" fillId="12" borderId="43" xfId="5" applyNumberFormat="1" applyFont="1" applyFill="1" applyBorder="1" applyProtection="1">
      <protection hidden="1"/>
    </xf>
    <xf numFmtId="176" fontId="0" fillId="12" borderId="44" xfId="5" applyNumberFormat="1" applyFont="1" applyFill="1" applyBorder="1" applyProtection="1">
      <protection hidden="1"/>
    </xf>
    <xf numFmtId="177" fontId="23" fillId="12" borderId="43" xfId="5" applyNumberFormat="1" applyFont="1" applyFill="1" applyBorder="1" applyProtection="1">
      <protection hidden="1"/>
    </xf>
    <xf numFmtId="10" fontId="16" fillId="12" borderId="43" xfId="5" applyNumberFormat="1" applyFont="1" applyFill="1" applyBorder="1" applyProtection="1">
      <protection hidden="1"/>
    </xf>
    <xf numFmtId="9" fontId="12" fillId="0" borderId="44" xfId="4" applyNumberFormat="1" applyFont="1" applyFill="1" applyBorder="1" applyProtection="1">
      <protection hidden="1"/>
    </xf>
    <xf numFmtId="0" fontId="27" fillId="0" borderId="0" xfId="4" applyFont="1" applyProtection="1">
      <protection hidden="1"/>
    </xf>
    <xf numFmtId="9" fontId="1" fillId="0" borderId="0" xfId="4" applyNumberFormat="1" applyProtection="1">
      <protection hidden="1"/>
    </xf>
    <xf numFmtId="0" fontId="1" fillId="9" borderId="30" xfId="4" applyFill="1" applyBorder="1" applyProtection="1">
      <protection hidden="1"/>
    </xf>
    <xf numFmtId="3" fontId="1" fillId="9" borderId="31" xfId="4" applyNumberFormat="1" applyFill="1" applyBorder="1" applyProtection="1">
      <protection hidden="1"/>
    </xf>
    <xf numFmtId="3" fontId="1" fillId="9" borderId="30" xfId="4" applyNumberFormat="1" applyFill="1" applyBorder="1" applyProtection="1">
      <protection hidden="1"/>
    </xf>
    <xf numFmtId="3" fontId="13" fillId="9" borderId="30" xfId="4" applyNumberFormat="1" applyFont="1" applyFill="1" applyBorder="1" applyProtection="1">
      <protection hidden="1"/>
    </xf>
    <xf numFmtId="3" fontId="1" fillId="9" borderId="32" xfId="4" applyNumberFormat="1" applyFill="1" applyBorder="1" applyProtection="1">
      <protection hidden="1"/>
    </xf>
    <xf numFmtId="3" fontId="1" fillId="9" borderId="33" xfId="4" applyNumberFormat="1" applyFill="1" applyBorder="1" applyProtection="1">
      <protection hidden="1"/>
    </xf>
    <xf numFmtId="3" fontId="1" fillId="0" borderId="0" xfId="4" applyNumberFormat="1" applyProtection="1">
      <protection hidden="1"/>
    </xf>
    <xf numFmtId="9" fontId="1" fillId="0" borderId="0" xfId="4" applyNumberFormat="1" applyAlignment="1" applyProtection="1">
      <alignment horizontal="center"/>
      <protection hidden="1"/>
    </xf>
    <xf numFmtId="0" fontId="1" fillId="15" borderId="6" xfId="4" applyFill="1" applyBorder="1" applyProtection="1">
      <protection hidden="1"/>
    </xf>
    <xf numFmtId="3" fontId="1" fillId="15" borderId="5" xfId="4" applyNumberFormat="1" applyFill="1" applyBorder="1" applyProtection="1">
      <protection hidden="1"/>
    </xf>
    <xf numFmtId="3" fontId="1" fillId="15" borderId="6" xfId="4" applyNumberFormat="1" applyFill="1" applyBorder="1" applyProtection="1">
      <protection hidden="1"/>
    </xf>
    <xf numFmtId="3" fontId="13" fillId="15" borderId="6" xfId="4" applyNumberFormat="1" applyFont="1" applyFill="1" applyBorder="1" applyProtection="1">
      <protection hidden="1"/>
    </xf>
    <xf numFmtId="3" fontId="1" fillId="15" borderId="7" xfId="4" applyNumberFormat="1" applyFill="1" applyBorder="1" applyProtection="1">
      <protection hidden="1"/>
    </xf>
    <xf numFmtId="3" fontId="1" fillId="15" borderId="27" xfId="4" applyNumberFormat="1" applyFill="1" applyBorder="1" applyProtection="1">
      <protection hidden="1"/>
    </xf>
    <xf numFmtId="0" fontId="13" fillId="16" borderId="6" xfId="4" applyFont="1" applyFill="1" applyBorder="1" applyProtection="1">
      <protection hidden="1"/>
    </xf>
    <xf numFmtId="3" fontId="13" fillId="16" borderId="5" xfId="4" applyNumberFormat="1" applyFont="1" applyFill="1" applyBorder="1" applyProtection="1">
      <protection hidden="1"/>
    </xf>
    <xf numFmtId="3" fontId="13" fillId="16" borderId="6" xfId="4" applyNumberFormat="1" applyFont="1" applyFill="1" applyBorder="1" applyProtection="1">
      <protection hidden="1"/>
    </xf>
    <xf numFmtId="3" fontId="13" fillId="16" borderId="7" xfId="4" applyNumberFormat="1" applyFont="1" applyFill="1" applyBorder="1" applyProtection="1">
      <protection hidden="1"/>
    </xf>
    <xf numFmtId="3" fontId="13" fillId="16" borderId="27" xfId="4" applyNumberFormat="1" applyFont="1" applyFill="1" applyBorder="1" applyProtection="1">
      <protection hidden="1"/>
    </xf>
    <xf numFmtId="0" fontId="13" fillId="17" borderId="6" xfId="4" applyFont="1" applyFill="1" applyBorder="1" applyProtection="1">
      <protection hidden="1"/>
    </xf>
    <xf numFmtId="0" fontId="13" fillId="17" borderId="7" xfId="4" applyFont="1" applyFill="1" applyBorder="1" applyProtection="1">
      <protection hidden="1"/>
    </xf>
    <xf numFmtId="3" fontId="13" fillId="17" borderId="5" xfId="4" applyNumberFormat="1" applyFont="1" applyFill="1" applyBorder="1" applyProtection="1">
      <protection hidden="1"/>
    </xf>
    <xf numFmtId="3" fontId="13" fillId="17" borderId="6" xfId="4" applyNumberFormat="1" applyFont="1" applyFill="1" applyBorder="1" applyProtection="1">
      <protection hidden="1"/>
    </xf>
    <xf numFmtId="3" fontId="13" fillId="17" borderId="7" xfId="4" applyNumberFormat="1" applyFont="1" applyFill="1" applyBorder="1" applyProtection="1">
      <protection hidden="1"/>
    </xf>
    <xf numFmtId="3" fontId="13" fillId="17" borderId="27" xfId="4" applyNumberFormat="1" applyFont="1" applyFill="1" applyBorder="1" applyProtection="1">
      <protection hidden="1"/>
    </xf>
    <xf numFmtId="0" fontId="13" fillId="11" borderId="43" xfId="4" applyFont="1" applyFill="1" applyBorder="1" applyProtection="1">
      <protection hidden="1"/>
    </xf>
    <xf numFmtId="3" fontId="13" fillId="11" borderId="46" xfId="4" applyNumberFormat="1" applyFont="1" applyFill="1" applyBorder="1" applyProtection="1">
      <protection hidden="1"/>
    </xf>
    <xf numFmtId="3" fontId="13" fillId="11" borderId="43" xfId="4" applyNumberFormat="1" applyFont="1" applyFill="1" applyBorder="1" applyProtection="1">
      <protection hidden="1"/>
    </xf>
    <xf numFmtId="3" fontId="13" fillId="11" borderId="44" xfId="4" applyNumberFormat="1" applyFont="1" applyFill="1" applyBorder="1" applyProtection="1">
      <protection hidden="1"/>
    </xf>
    <xf numFmtId="3" fontId="13" fillId="11" borderId="47" xfId="4" applyNumberFormat="1" applyFont="1" applyFill="1" applyBorder="1" applyProtection="1">
      <protection hidden="1"/>
    </xf>
    <xf numFmtId="175" fontId="16" fillId="0" borderId="0" xfId="0" applyNumberFormat="1" applyFont="1" applyFill="1" applyProtection="1">
      <protection hidden="1"/>
    </xf>
    <xf numFmtId="10" fontId="30" fillId="0" borderId="0" xfId="1" applyNumberFormat="1" applyFont="1" applyAlignment="1" applyProtection="1">
      <alignment horizontal="right"/>
      <protection hidden="1"/>
    </xf>
    <xf numFmtId="0" fontId="13" fillId="18" borderId="48" xfId="0" applyFont="1" applyFill="1" applyBorder="1" applyAlignment="1" applyProtection="1">
      <alignment horizontal="center" wrapText="1"/>
      <protection hidden="1"/>
    </xf>
    <xf numFmtId="0" fontId="13" fillId="12" borderId="52" xfId="0" applyFont="1" applyFill="1" applyBorder="1" applyAlignment="1" applyProtection="1">
      <alignment horizontal="center" vertical="center" wrapText="1"/>
      <protection hidden="1"/>
    </xf>
    <xf numFmtId="0" fontId="13" fillId="12" borderId="53" xfId="0" applyFont="1" applyFill="1" applyBorder="1" applyAlignment="1" applyProtection="1">
      <alignment horizontal="center" vertical="center" wrapText="1"/>
      <protection hidden="1"/>
    </xf>
    <xf numFmtId="0" fontId="13" fillId="16" borderId="54" xfId="0" applyFont="1" applyFill="1" applyBorder="1" applyAlignment="1" applyProtection="1">
      <alignment horizontal="center" wrapText="1"/>
      <protection hidden="1"/>
    </xf>
    <xf numFmtId="10" fontId="30" fillId="0" borderId="0" xfId="1" applyNumberFormat="1" applyFont="1" applyProtection="1">
      <protection hidden="1"/>
    </xf>
    <xf numFmtId="0" fontId="13" fillId="0" borderId="55" xfId="0" applyFont="1" applyBorder="1" applyAlignment="1" applyProtection="1">
      <alignment horizontal="center" wrapText="1"/>
      <protection hidden="1"/>
    </xf>
    <xf numFmtId="0" fontId="13" fillId="0" borderId="56" xfId="0" applyFont="1" applyBorder="1" applyAlignment="1" applyProtection="1">
      <alignment horizontal="center"/>
      <protection hidden="1"/>
    </xf>
    <xf numFmtId="0" fontId="13" fillId="0" borderId="57" xfId="0" applyFont="1" applyBorder="1" applyAlignment="1" applyProtection="1">
      <alignment horizontal="center"/>
      <protection hidden="1"/>
    </xf>
    <xf numFmtId="0" fontId="13" fillId="19" borderId="58" xfId="0" applyFont="1" applyFill="1" applyBorder="1" applyAlignment="1" applyProtection="1">
      <alignment horizontal="center"/>
      <protection hidden="1"/>
    </xf>
    <xf numFmtId="6" fontId="13" fillId="0" borderId="59" xfId="0" applyNumberFormat="1" applyFont="1" applyBorder="1" applyAlignment="1" applyProtection="1">
      <alignment horizontal="center"/>
      <protection hidden="1"/>
    </xf>
    <xf numFmtId="10" fontId="0" fillId="0" borderId="60" xfId="0" applyNumberFormat="1" applyBorder="1" applyAlignment="1" applyProtection="1">
      <alignment horizontal="center"/>
      <protection hidden="1"/>
    </xf>
    <xf numFmtId="0" fontId="0" fillId="0" borderId="61" xfId="0" applyBorder="1" applyProtection="1">
      <protection hidden="1"/>
    </xf>
    <xf numFmtId="9" fontId="0" fillId="0" borderId="62" xfId="1" applyFont="1" applyBorder="1" applyAlignment="1" applyProtection="1">
      <alignment horizontal="center"/>
      <protection hidden="1"/>
    </xf>
    <xf numFmtId="0" fontId="13" fillId="9" borderId="63" xfId="0" applyFont="1" applyFill="1" applyBorder="1" applyAlignment="1" applyProtection="1">
      <alignment horizontal="center"/>
      <protection hidden="1"/>
    </xf>
    <xf numFmtId="10" fontId="0" fillId="9" borderId="64" xfId="1" applyNumberFormat="1" applyFont="1" applyFill="1" applyBorder="1" applyProtection="1">
      <protection hidden="1"/>
    </xf>
    <xf numFmtId="10" fontId="0" fillId="9" borderId="65" xfId="1" applyNumberFormat="1" applyFont="1" applyFill="1" applyBorder="1" applyProtection="1">
      <protection hidden="1"/>
    </xf>
    <xf numFmtId="10" fontId="0" fillId="9" borderId="66" xfId="1" applyNumberFormat="1" applyFont="1" applyFill="1" applyBorder="1" applyProtection="1">
      <protection hidden="1"/>
    </xf>
    <xf numFmtId="9" fontId="0" fillId="0" borderId="67" xfId="1" applyFont="1" applyBorder="1" applyAlignment="1" applyProtection="1">
      <alignment horizontal="center"/>
      <protection hidden="1"/>
    </xf>
    <xf numFmtId="0" fontId="13" fillId="9" borderId="61" xfId="0" applyFont="1" applyFill="1" applyBorder="1" applyAlignment="1" applyProtection="1">
      <alignment horizontal="center"/>
      <protection hidden="1"/>
    </xf>
    <xf numFmtId="175" fontId="0" fillId="9" borderId="61" xfId="0" applyNumberFormat="1" applyFill="1" applyBorder="1" applyProtection="1">
      <protection hidden="1"/>
    </xf>
    <xf numFmtId="175" fontId="0" fillId="9" borderId="0" xfId="0" applyNumberFormat="1" applyFill="1" applyBorder="1" applyProtection="1">
      <protection hidden="1"/>
    </xf>
    <xf numFmtId="175" fontId="0" fillId="9" borderId="60" xfId="0" applyNumberFormat="1" applyFill="1" applyBorder="1" applyProtection="1">
      <protection hidden="1"/>
    </xf>
    <xf numFmtId="0" fontId="13" fillId="9" borderId="68" xfId="0" applyFont="1" applyFill="1" applyBorder="1" applyAlignment="1" applyProtection="1">
      <alignment horizontal="center"/>
      <protection hidden="1"/>
    </xf>
    <xf numFmtId="10" fontId="0" fillId="9" borderId="69" xfId="1" applyNumberFormat="1" applyFont="1" applyFill="1" applyBorder="1" applyProtection="1">
      <protection hidden="1"/>
    </xf>
    <xf numFmtId="10" fontId="0" fillId="9" borderId="70" xfId="1" applyNumberFormat="1" applyFont="1" applyFill="1" applyBorder="1" applyProtection="1">
      <protection hidden="1"/>
    </xf>
    <xf numFmtId="10" fontId="0" fillId="9" borderId="71" xfId="1" applyNumberFormat="1" applyFont="1" applyFill="1" applyBorder="1" applyProtection="1">
      <protection hidden="1"/>
    </xf>
    <xf numFmtId="0" fontId="13" fillId="0" borderId="59" xfId="0" applyFont="1" applyBorder="1" applyAlignment="1" applyProtection="1">
      <alignment horizontal="center"/>
      <protection hidden="1"/>
    </xf>
    <xf numFmtId="0" fontId="13" fillId="9" borderId="72" xfId="0" applyFont="1" applyFill="1" applyBorder="1" applyAlignment="1" applyProtection="1">
      <alignment horizontal="center"/>
      <protection hidden="1"/>
    </xf>
    <xf numFmtId="10" fontId="0" fillId="9" borderId="73" xfId="1" applyNumberFormat="1" applyFont="1" applyFill="1" applyBorder="1" applyProtection="1">
      <protection hidden="1"/>
    </xf>
    <xf numFmtId="10" fontId="0" fillId="9" borderId="74" xfId="1" applyNumberFormat="1" applyFont="1" applyFill="1" applyBorder="1" applyProtection="1">
      <protection hidden="1"/>
    </xf>
    <xf numFmtId="10" fontId="0" fillId="9" borderId="75" xfId="1" applyNumberFormat="1" applyFont="1" applyFill="1" applyBorder="1" applyProtection="1">
      <protection hidden="1"/>
    </xf>
    <xf numFmtId="0" fontId="0" fillId="0" borderId="55" xfId="0" applyBorder="1" applyProtection="1">
      <protection hidden="1"/>
    </xf>
    <xf numFmtId="9" fontId="0" fillId="0" borderId="76" xfId="1" applyFont="1" applyBorder="1" applyAlignment="1" applyProtection="1">
      <alignment horizontal="center"/>
      <protection hidden="1"/>
    </xf>
    <xf numFmtId="0" fontId="13" fillId="9" borderId="77" xfId="0" applyFont="1" applyFill="1" applyBorder="1" applyAlignment="1" applyProtection="1">
      <alignment horizontal="center"/>
      <protection hidden="1"/>
    </xf>
    <xf numFmtId="175" fontId="0" fillId="9" borderId="77" xfId="0" applyNumberFormat="1" applyFill="1" applyBorder="1" applyProtection="1">
      <protection hidden="1"/>
    </xf>
    <xf numFmtId="175" fontId="0" fillId="9" borderId="78" xfId="0" applyNumberFormat="1" applyFill="1" applyBorder="1" applyProtection="1">
      <protection hidden="1"/>
    </xf>
    <xf numFmtId="175" fontId="0" fillId="9" borderId="79" xfId="0" applyNumberFormat="1" applyFill="1" applyBorder="1" applyProtection="1">
      <protection hidden="1"/>
    </xf>
    <xf numFmtId="0" fontId="13" fillId="0" borderId="61" xfId="0" applyFont="1" applyFill="1" applyBorder="1" applyAlignment="1" applyProtection="1">
      <alignment horizontal="center"/>
      <protection hidden="1"/>
    </xf>
    <xf numFmtId="10" fontId="16" fillId="0" borderId="61" xfId="1" applyNumberFormat="1" applyFont="1" applyFill="1" applyBorder="1" applyProtection="1">
      <protection hidden="1"/>
    </xf>
    <xf numFmtId="10" fontId="16" fillId="0" borderId="0" xfId="1" applyNumberFormat="1" applyFont="1" applyFill="1" applyBorder="1" applyProtection="1">
      <protection hidden="1"/>
    </xf>
    <xf numFmtId="10" fontId="16" fillId="0" borderId="60" xfId="1" applyNumberFormat="1" applyFont="1" applyFill="1" applyBorder="1" applyProtection="1">
      <protection hidden="1"/>
    </xf>
    <xf numFmtId="0" fontId="13" fillId="12" borderId="61" xfId="0" applyFont="1" applyFill="1" applyBorder="1" applyAlignment="1" applyProtection="1">
      <alignment horizontal="center"/>
      <protection hidden="1"/>
    </xf>
    <xf numFmtId="175" fontId="0" fillId="12" borderId="61" xfId="0" applyNumberFormat="1" applyFill="1" applyBorder="1" applyProtection="1">
      <protection hidden="1"/>
    </xf>
    <xf numFmtId="175" fontId="0" fillId="12" borderId="0" xfId="0" applyNumberFormat="1" applyFill="1" applyBorder="1" applyProtection="1">
      <protection hidden="1"/>
    </xf>
    <xf numFmtId="175" fontId="0" fillId="12" borderId="60" xfId="0" applyNumberFormat="1" applyFill="1" applyBorder="1" applyProtection="1">
      <protection hidden="1"/>
    </xf>
    <xf numFmtId="10" fontId="0" fillId="0" borderId="61" xfId="1" applyNumberFormat="1" applyFont="1" applyFill="1" applyBorder="1" applyProtection="1">
      <protection hidden="1"/>
    </xf>
    <xf numFmtId="10" fontId="0" fillId="0" borderId="0" xfId="1" applyNumberFormat="1" applyFont="1" applyFill="1" applyBorder="1" applyProtection="1">
      <protection hidden="1"/>
    </xf>
    <xf numFmtId="10" fontId="0" fillId="0" borderId="60" xfId="1" applyNumberFormat="1" applyFont="1" applyFill="1" applyBorder="1" applyProtection="1">
      <protection hidden="1"/>
    </xf>
    <xf numFmtId="0" fontId="13" fillId="12" borderId="77" xfId="0" applyFont="1" applyFill="1" applyBorder="1" applyAlignment="1" applyProtection="1">
      <alignment horizontal="center"/>
      <protection hidden="1"/>
    </xf>
    <xf numFmtId="175" fontId="0" fillId="12" borderId="77" xfId="0" applyNumberFormat="1" applyFill="1" applyBorder="1" applyProtection="1">
      <protection hidden="1"/>
    </xf>
    <xf numFmtId="175" fontId="0" fillId="12" borderId="78" xfId="0" applyNumberFormat="1" applyFill="1" applyBorder="1" applyProtection="1">
      <protection hidden="1"/>
    </xf>
    <xf numFmtId="175" fontId="0" fillId="12" borderId="79" xfId="0" applyNumberFormat="1" applyFill="1" applyBorder="1" applyProtection="1">
      <protection hidden="1"/>
    </xf>
    <xf numFmtId="0" fontId="13" fillId="0" borderId="61" xfId="0" applyFont="1" applyBorder="1" applyAlignment="1" applyProtection="1">
      <alignment horizontal="center"/>
      <protection hidden="1"/>
    </xf>
    <xf numFmtId="10" fontId="0" fillId="0" borderId="61" xfId="1" applyNumberFormat="1" applyFont="1" applyBorder="1" applyProtection="1">
      <protection hidden="1"/>
    </xf>
    <xf numFmtId="10" fontId="0" fillId="0" borderId="0" xfId="1" applyNumberFormat="1" applyFont="1" applyBorder="1" applyProtection="1">
      <protection hidden="1"/>
    </xf>
    <xf numFmtId="10" fontId="0" fillId="0" borderId="60" xfId="1" applyNumberFormat="1" applyFont="1" applyBorder="1" applyProtection="1">
      <protection hidden="1"/>
    </xf>
    <xf numFmtId="0" fontId="13" fillId="0" borderId="80" xfId="0" applyFont="1" applyBorder="1" applyAlignment="1" applyProtection="1">
      <alignment horizontal="center"/>
      <protection hidden="1"/>
    </xf>
    <xf numFmtId="10" fontId="0" fillId="0" borderId="81" xfId="0" applyNumberFormat="1" applyBorder="1" applyAlignment="1" applyProtection="1">
      <alignment horizontal="center"/>
      <protection hidden="1"/>
    </xf>
    <xf numFmtId="175" fontId="0" fillId="0" borderId="61" xfId="0" applyNumberFormat="1" applyBorder="1" applyProtection="1">
      <protection hidden="1"/>
    </xf>
    <xf numFmtId="175" fontId="0" fillId="0" borderId="0" xfId="0" applyNumberFormat="1" applyBorder="1" applyProtection="1">
      <protection hidden="1"/>
    </xf>
    <xf numFmtId="175" fontId="0" fillId="0" borderId="60" xfId="0" applyNumberFormat="1" applyBorder="1" applyProtection="1">
      <protection hidden="1"/>
    </xf>
    <xf numFmtId="10" fontId="0" fillId="20" borderId="61" xfId="1" applyNumberFormat="1" applyFont="1" applyFill="1" applyBorder="1" applyProtection="1">
      <protection hidden="1"/>
    </xf>
    <xf numFmtId="175" fontId="0" fillId="20" borderId="61" xfId="0" applyNumberFormat="1" applyFill="1" applyBorder="1" applyProtection="1">
      <protection hidden="1"/>
    </xf>
    <xf numFmtId="10" fontId="0" fillId="20" borderId="0" xfId="1" applyNumberFormat="1" applyFont="1" applyFill="1" applyBorder="1" applyProtection="1">
      <protection hidden="1"/>
    </xf>
    <xf numFmtId="175" fontId="0" fillId="20" borderId="0" xfId="0" applyNumberFormat="1" applyFill="1" applyBorder="1" applyProtection="1">
      <protection hidden="1"/>
    </xf>
    <xf numFmtId="0" fontId="13" fillId="0" borderId="55" xfId="0" applyFont="1" applyBorder="1" applyAlignment="1" applyProtection="1">
      <alignment horizontal="center"/>
      <protection hidden="1"/>
    </xf>
    <xf numFmtId="10" fontId="0" fillId="20" borderId="55" xfId="1" applyNumberFormat="1" applyFont="1" applyFill="1" applyBorder="1" applyProtection="1">
      <protection hidden="1"/>
    </xf>
    <xf numFmtId="10" fontId="0" fillId="20" borderId="12" xfId="1" applyNumberFormat="1" applyFont="1" applyFill="1" applyBorder="1" applyProtection="1">
      <protection hidden="1"/>
    </xf>
    <xf numFmtId="10" fontId="0" fillId="0" borderId="81" xfId="1" applyNumberFormat="1" applyFont="1" applyBorder="1" applyProtection="1">
      <protection hidden="1"/>
    </xf>
    <xf numFmtId="175" fontId="0" fillId="20" borderId="55" xfId="0" applyNumberFormat="1" applyFill="1" applyBorder="1" applyProtection="1">
      <protection hidden="1"/>
    </xf>
    <xf numFmtId="175" fontId="0" fillId="20" borderId="12" xfId="0" applyNumberFormat="1" applyFill="1" applyBorder="1" applyProtection="1">
      <protection hidden="1"/>
    </xf>
    <xf numFmtId="175" fontId="0" fillId="0" borderId="81" xfId="0" applyNumberFormat="1" applyBorder="1" applyProtection="1">
      <protection hidden="1"/>
    </xf>
    <xf numFmtId="0" fontId="13" fillId="16" borderId="48" xfId="0" applyFont="1" applyFill="1" applyBorder="1" applyAlignment="1" applyProtection="1">
      <alignment horizontal="center" vertical="center" wrapText="1"/>
      <protection hidden="1"/>
    </xf>
    <xf numFmtId="9" fontId="13" fillId="16" borderId="82" xfId="0" applyNumberFormat="1" applyFont="1" applyFill="1" applyBorder="1" applyAlignment="1" applyProtection="1">
      <alignment horizontal="center" vertical="center"/>
      <protection hidden="1"/>
    </xf>
    <xf numFmtId="9" fontId="13" fillId="16" borderId="83" xfId="0" applyNumberFormat="1" applyFont="1" applyFill="1" applyBorder="1" applyAlignment="1" applyProtection="1">
      <alignment horizontal="center" vertical="center"/>
      <protection hidden="1"/>
    </xf>
    <xf numFmtId="9" fontId="13" fillId="16" borderId="8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0" fontId="0" fillId="0" borderId="0" xfId="1" applyNumberFormat="1" applyFont="1" applyProtection="1">
      <protection hidden="1"/>
    </xf>
    <xf numFmtId="10" fontId="0" fillId="0" borderId="0" xfId="0" applyNumberFormat="1" applyProtection="1">
      <protection hidden="1"/>
    </xf>
    <xf numFmtId="0" fontId="0" fillId="0" borderId="0" xfId="0" applyFill="1" applyBorder="1"/>
    <xf numFmtId="169" fontId="16" fillId="0" borderId="3" xfId="0" applyNumberFormat="1" applyFont="1" applyFill="1" applyBorder="1"/>
    <xf numFmtId="3" fontId="1" fillId="0" borderId="5" xfId="4" applyNumberFormat="1" applyBorder="1" applyProtection="1">
      <protection hidden="1"/>
    </xf>
    <xf numFmtId="3" fontId="1" fillId="0" borderId="6" xfId="4" applyNumberFormat="1" applyBorder="1" applyProtection="1">
      <protection hidden="1"/>
    </xf>
    <xf numFmtId="3" fontId="13" fillId="0" borderId="6" xfId="4" applyNumberFormat="1" applyFont="1" applyBorder="1" applyProtection="1">
      <protection hidden="1"/>
    </xf>
    <xf numFmtId="3" fontId="1" fillId="0" borderId="7" xfId="4" applyNumberFormat="1" applyBorder="1" applyProtection="1">
      <protection hidden="1"/>
    </xf>
    <xf numFmtId="3" fontId="1" fillId="0" borderId="27" xfId="4" applyNumberFormat="1" applyBorder="1" applyProtection="1">
      <protection hidden="1"/>
    </xf>
    <xf numFmtId="164" fontId="1" fillId="0" borderId="0" xfId="4" applyNumberFormat="1" applyProtection="1">
      <protection hidden="1"/>
    </xf>
    <xf numFmtId="0" fontId="1" fillId="0" borderId="0" xfId="4" applyAlignment="1" applyProtection="1">
      <alignment horizontal="center" vertical="center" wrapText="1"/>
      <protection hidden="1"/>
    </xf>
    <xf numFmtId="0" fontId="13" fillId="0" borderId="0" xfId="4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6" fillId="0" borderId="15" xfId="4" applyFont="1" applyFill="1" applyBorder="1" applyAlignment="1" applyProtection="1">
      <alignment horizontal="center" vertical="center" wrapText="1"/>
      <protection hidden="1"/>
    </xf>
    <xf numFmtId="0" fontId="1" fillId="0" borderId="0" xfId="4" applyFill="1" applyAlignment="1" applyProtection="1">
      <alignment horizontal="center" vertical="center" wrapText="1"/>
      <protection hidden="1"/>
    </xf>
    <xf numFmtId="0" fontId="1" fillId="0" borderId="6" xfId="4" applyBorder="1" applyAlignment="1" applyProtection="1">
      <alignment horizontal="center" vertical="center" wrapText="1"/>
      <protection hidden="1"/>
    </xf>
    <xf numFmtId="0" fontId="1" fillId="0" borderId="7" xfId="4" applyBorder="1" applyAlignment="1" applyProtection="1">
      <alignment horizontal="center" vertical="center" wrapText="1"/>
      <protection hidden="1"/>
    </xf>
    <xf numFmtId="3" fontId="1" fillId="8" borderId="5" xfId="4" applyNumberFormat="1" applyFill="1" applyBorder="1" applyAlignment="1" applyProtection="1">
      <alignment horizontal="center" vertical="center" wrapText="1"/>
      <protection hidden="1"/>
    </xf>
    <xf numFmtId="0" fontId="1" fillId="8" borderId="6" xfId="4" applyFill="1" applyBorder="1" applyAlignment="1" applyProtection="1">
      <alignment horizontal="center" vertical="center" wrapText="1"/>
      <protection hidden="1"/>
    </xf>
    <xf numFmtId="0" fontId="1" fillId="9" borderId="6" xfId="4" applyFill="1" applyBorder="1" applyAlignment="1" applyProtection="1">
      <alignment horizontal="center" vertical="center" wrapText="1"/>
      <protection hidden="1"/>
    </xf>
    <xf numFmtId="0" fontId="13" fillId="10" borderId="6" xfId="4" applyFont="1" applyFill="1" applyBorder="1" applyAlignment="1" applyProtection="1">
      <alignment horizontal="center" vertical="center" wrapText="1"/>
      <protection hidden="1"/>
    </xf>
    <xf numFmtId="0" fontId="1" fillId="0" borderId="5" xfId="4" applyBorder="1" applyAlignment="1" applyProtection="1">
      <alignment horizontal="center" vertical="center" wrapText="1"/>
      <protection hidden="1"/>
    </xf>
    <xf numFmtId="0" fontId="1" fillId="10" borderId="27" xfId="4" applyFill="1" applyBorder="1" applyAlignment="1" applyProtection="1">
      <alignment horizontal="center" vertical="center" wrapText="1"/>
      <protection hidden="1"/>
    </xf>
    <xf numFmtId="0" fontId="1" fillId="11" borderId="6" xfId="4" applyFill="1" applyBorder="1" applyAlignment="1" applyProtection="1">
      <alignment horizontal="center" vertical="center" wrapText="1"/>
      <protection hidden="1"/>
    </xf>
    <xf numFmtId="0" fontId="1" fillId="10" borderId="6" xfId="4" applyFill="1" applyBorder="1" applyAlignment="1" applyProtection="1">
      <alignment horizontal="center" vertical="center" wrapText="1"/>
      <protection hidden="1"/>
    </xf>
    <xf numFmtId="0" fontId="13" fillId="0" borderId="6" xfId="4" applyFont="1" applyFill="1" applyBorder="1" applyAlignment="1" applyProtection="1">
      <alignment horizontal="center" vertical="center" wrapText="1"/>
      <protection hidden="1"/>
    </xf>
    <xf numFmtId="0" fontId="1" fillId="8" borderId="5" xfId="4" applyFill="1" applyBorder="1" applyAlignment="1" applyProtection="1">
      <alignment horizontal="center" vertical="center" wrapText="1"/>
      <protection hidden="1"/>
    </xf>
    <xf numFmtId="0" fontId="1" fillId="8" borderId="7" xfId="4" applyFill="1" applyBorder="1" applyAlignment="1" applyProtection="1">
      <alignment horizontal="center" vertical="center" wrapText="1"/>
      <protection hidden="1"/>
    </xf>
    <xf numFmtId="168" fontId="4" fillId="0" borderId="0" xfId="2" applyNumberFormat="1" applyFont="1"/>
    <xf numFmtId="168" fontId="3" fillId="3" borderId="2" xfId="2" applyNumberFormat="1" applyFont="1" applyFill="1" applyBorder="1" applyAlignment="1">
      <alignment horizontal="center" vertical="center" wrapText="1"/>
    </xf>
    <xf numFmtId="0" fontId="13" fillId="22" borderId="21" xfId="4" applyFont="1" applyFill="1" applyBorder="1" applyProtection="1">
      <protection hidden="1"/>
    </xf>
    <xf numFmtId="0" fontId="3" fillId="0" borderId="0" xfId="2" applyFont="1" applyFill="1" applyBorder="1" applyAlignment="1">
      <alignment horizontal="left" vertical="center"/>
    </xf>
    <xf numFmtId="0" fontId="39" fillId="0" borderId="0" xfId="2" applyFont="1" applyFill="1" applyBorder="1" applyAlignment="1">
      <alignment horizontal="center" vertical="center" wrapText="1"/>
    </xf>
    <xf numFmtId="0" fontId="39" fillId="0" borderId="0" xfId="2" applyFont="1" applyAlignment="1">
      <alignment horizontal="center" vertical="center" wrapText="1"/>
    </xf>
    <xf numFmtId="0" fontId="39" fillId="21" borderId="0" xfId="2" applyFont="1" applyFill="1" applyAlignment="1">
      <alignment horizontal="center" vertical="center" wrapText="1"/>
    </xf>
    <xf numFmtId="168" fontId="3" fillId="0" borderId="0" xfId="2" applyNumberFormat="1" applyFont="1" applyFill="1" applyBorder="1" applyAlignment="1">
      <alignment horizontal="left" vertical="center"/>
    </xf>
    <xf numFmtId="0" fontId="0" fillId="2" borderId="0" xfId="0" applyFill="1" applyProtection="1"/>
    <xf numFmtId="0" fontId="0" fillId="0" borderId="0" xfId="0" applyProtection="1"/>
    <xf numFmtId="0" fontId="34" fillId="2" borderId="0" xfId="0" applyFont="1" applyFill="1" applyAlignment="1" applyProtection="1">
      <alignment vertical="center"/>
    </xf>
    <xf numFmtId="0" fontId="10" fillId="2" borderId="0" xfId="0" applyFont="1" applyFill="1" applyProtection="1"/>
    <xf numFmtId="0" fontId="32" fillId="2" borderId="0" xfId="0" applyFont="1" applyFill="1" applyAlignment="1" applyProtection="1">
      <alignment horizontal="right"/>
    </xf>
    <xf numFmtId="165" fontId="32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170" fontId="32" fillId="2" borderId="0" xfId="0" applyNumberFormat="1" applyFont="1" applyFill="1" applyAlignment="1" applyProtection="1">
      <alignment vertical="center"/>
    </xf>
    <xf numFmtId="167" fontId="38" fillId="5" borderId="0" xfId="0" applyNumberFormat="1" applyFont="1" applyFill="1" applyAlignment="1" applyProtection="1">
      <alignment vertical="center"/>
    </xf>
    <xf numFmtId="0" fontId="38" fillId="5" borderId="0" xfId="0" applyFont="1" applyFill="1" applyBorder="1" applyAlignment="1" applyProtection="1">
      <alignment horizontal="left" vertical="center" shrinkToFit="1"/>
    </xf>
    <xf numFmtId="0" fontId="10" fillId="2" borderId="0" xfId="0" applyFont="1" applyFill="1" applyBorder="1" applyAlignment="1" applyProtection="1">
      <alignment vertical="center"/>
    </xf>
    <xf numFmtId="0" fontId="38" fillId="5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 vertical="center" shrinkToFit="1"/>
    </xf>
    <xf numFmtId="182" fontId="33" fillId="2" borderId="0" xfId="0" applyNumberFormat="1" applyFont="1" applyFill="1" applyAlignment="1" applyProtection="1">
      <alignment horizontal="right" vertical="center" shrinkToFit="1"/>
    </xf>
    <xf numFmtId="165" fontId="32" fillId="2" borderId="0" xfId="0" applyNumberFormat="1" applyFont="1" applyFill="1" applyAlignment="1" applyProtection="1">
      <alignment vertical="center"/>
    </xf>
    <xf numFmtId="0" fontId="35" fillId="2" borderId="0" xfId="0" applyFont="1" applyFill="1" applyAlignment="1" applyProtection="1">
      <alignment vertical="center"/>
    </xf>
    <xf numFmtId="0" fontId="38" fillId="5" borderId="0" xfId="0" applyFont="1" applyFill="1" applyAlignment="1" applyProtection="1">
      <alignment vertical="center"/>
    </xf>
    <xf numFmtId="0" fontId="37" fillId="5" borderId="9" xfId="0" quotePrefix="1" applyFont="1" applyFill="1" applyBorder="1" applyProtection="1"/>
    <xf numFmtId="164" fontId="37" fillId="2" borderId="0" xfId="3" applyNumberFormat="1" applyFont="1" applyFill="1" applyProtection="1"/>
    <xf numFmtId="178" fontId="40" fillId="2" borderId="0" xfId="0" applyNumberFormat="1" applyFont="1" applyFill="1" applyProtection="1"/>
    <xf numFmtId="0" fontId="10" fillId="2" borderId="0" xfId="0" applyNumberFormat="1" applyFont="1" applyFill="1" applyProtection="1"/>
    <xf numFmtId="178" fontId="37" fillId="2" borderId="0" xfId="0" applyNumberFormat="1" applyFont="1" applyFill="1" applyProtection="1"/>
    <xf numFmtId="173" fontId="0" fillId="0" borderId="0" xfId="0" applyNumberFormat="1" applyProtection="1"/>
    <xf numFmtId="0" fontId="10" fillId="2" borderId="0" xfId="0" applyFont="1" applyFill="1" applyBorder="1" applyProtection="1"/>
    <xf numFmtId="183" fontId="32" fillId="2" borderId="3" xfId="0" applyNumberFormat="1" applyFont="1" applyFill="1" applyBorder="1" applyAlignment="1" applyProtection="1">
      <alignment horizontal="right"/>
    </xf>
    <xf numFmtId="164" fontId="41" fillId="5" borderId="0" xfId="3" applyNumberFormat="1" applyFont="1" applyFill="1" applyAlignment="1" applyProtection="1">
      <alignment horizontal="center" vertical="center" shrinkToFit="1"/>
      <protection hidden="1"/>
    </xf>
    <xf numFmtId="173" fontId="41" fillId="5" borderId="0" xfId="3" applyNumberFormat="1" applyFont="1" applyFill="1" applyAlignment="1" applyProtection="1">
      <alignment horizontal="center" vertical="center" shrinkToFit="1"/>
      <protection hidden="1"/>
    </xf>
    <xf numFmtId="0" fontId="32" fillId="2" borderId="86" xfId="0" applyFont="1" applyFill="1" applyBorder="1" applyAlignment="1" applyProtection="1">
      <alignment horizontal="center" vertical="center" wrapText="1"/>
    </xf>
    <xf numFmtId="0" fontId="41" fillId="5" borderId="0" xfId="0" applyFont="1" applyFill="1" applyAlignment="1" applyProtection="1">
      <alignment horizontal="center" vertical="center" wrapText="1"/>
    </xf>
    <xf numFmtId="181" fontId="32" fillId="2" borderId="86" xfId="0" applyNumberFormat="1" applyFont="1" applyFill="1" applyBorder="1" applyAlignment="1" applyProtection="1">
      <alignment horizontal="center" vertical="center" wrapText="1"/>
    </xf>
    <xf numFmtId="0" fontId="41" fillId="5" borderId="88" xfId="0" applyNumberFormat="1" applyFont="1" applyFill="1" applyBorder="1" applyAlignment="1" applyProtection="1">
      <alignment horizontal="center" vertical="center" wrapText="1"/>
    </xf>
    <xf numFmtId="164" fontId="41" fillId="5" borderId="88" xfId="3" applyNumberFormat="1" applyFont="1" applyFill="1" applyBorder="1" applyAlignment="1" applyProtection="1">
      <alignment horizontal="center" vertical="center" shrinkToFit="1"/>
      <protection hidden="1"/>
    </xf>
    <xf numFmtId="173" fontId="41" fillId="5" borderId="88" xfId="3" applyNumberFormat="1" applyFont="1" applyFill="1" applyBorder="1" applyAlignment="1" applyProtection="1">
      <alignment horizontal="center" vertical="center" shrinkToFit="1"/>
      <protection hidden="1"/>
    </xf>
    <xf numFmtId="178" fontId="33" fillId="2" borderId="2" xfId="0" applyNumberFormat="1" applyFont="1" applyFill="1" applyBorder="1" applyAlignment="1" applyProtection="1">
      <alignment vertical="center" wrapText="1"/>
    </xf>
    <xf numFmtId="178" fontId="33" fillId="2" borderId="87" xfId="0" applyNumberFormat="1" applyFont="1" applyFill="1" applyBorder="1" applyAlignment="1" applyProtection="1">
      <alignment vertical="center" wrapText="1"/>
    </xf>
    <xf numFmtId="178" fontId="33" fillId="2" borderId="85" xfId="0" applyNumberFormat="1" applyFont="1" applyFill="1" applyBorder="1" applyAlignment="1" applyProtection="1">
      <alignment vertical="center"/>
    </xf>
    <xf numFmtId="164" fontId="41" fillId="5" borderId="0" xfId="0" applyNumberFormat="1" applyFont="1" applyFill="1" applyAlignment="1" applyProtection="1">
      <alignment horizontal="center" vertical="center" wrapText="1"/>
    </xf>
    <xf numFmtId="164" fontId="43" fillId="0" borderId="0" xfId="4" applyNumberFormat="1" applyFont="1" applyProtection="1">
      <protection hidden="1"/>
    </xf>
    <xf numFmtId="164" fontId="43" fillId="0" borderId="0" xfId="4" applyNumberFormat="1" applyFont="1" applyFill="1" applyProtection="1">
      <protection hidden="1"/>
    </xf>
    <xf numFmtId="164" fontId="43" fillId="0" borderId="6" xfId="4" applyNumberFormat="1" applyFont="1" applyFill="1" applyBorder="1" applyAlignment="1" applyProtection="1">
      <alignment horizontal="center" vertical="center" wrapText="1"/>
      <protection hidden="1"/>
    </xf>
    <xf numFmtId="164" fontId="43" fillId="0" borderId="6" xfId="4" applyNumberFormat="1" applyFont="1" applyBorder="1" applyAlignment="1" applyProtection="1">
      <alignment horizontal="center" vertical="center" wrapText="1"/>
      <protection hidden="1"/>
    </xf>
    <xf numFmtId="164" fontId="43" fillId="0" borderId="0" xfId="4" applyNumberFormat="1" applyFont="1" applyAlignment="1" applyProtection="1">
      <alignment horizontal="center" vertical="center" wrapText="1"/>
      <protection hidden="1"/>
    </xf>
    <xf numFmtId="0" fontId="10" fillId="2" borderId="85" xfId="0" applyFont="1" applyFill="1" applyBorder="1" applyProtection="1"/>
    <xf numFmtId="0" fontId="40" fillId="5" borderId="0" xfId="0" applyNumberFormat="1" applyFont="1" applyFill="1" applyAlignment="1" applyProtection="1">
      <alignment horizontal="center" vertical="center" wrapText="1"/>
    </xf>
    <xf numFmtId="0" fontId="0" fillId="0" borderId="0" xfId="4" applyFont="1" applyProtection="1">
      <protection hidden="1"/>
    </xf>
    <xf numFmtId="0" fontId="38" fillId="5" borderId="0" xfId="0" applyFont="1" applyFill="1" applyProtection="1"/>
    <xf numFmtId="171" fontId="44" fillId="5" borderId="0" xfId="0" applyNumberFormat="1" applyFont="1" applyFill="1" applyBorder="1" applyAlignment="1" applyProtection="1">
      <alignment vertical="center"/>
    </xf>
    <xf numFmtId="178" fontId="44" fillId="5" borderId="0" xfId="0" applyNumberFormat="1" applyFont="1" applyFill="1" applyProtection="1"/>
    <xf numFmtId="164" fontId="38" fillId="5" borderId="0" xfId="0" applyNumberFormat="1" applyFont="1" applyFill="1" applyProtection="1"/>
    <xf numFmtId="173" fontId="38" fillId="5" borderId="0" xfId="3" applyNumberFormat="1" applyFont="1" applyFill="1" applyProtection="1">
      <protection hidden="1"/>
    </xf>
    <xf numFmtId="0" fontId="38" fillId="5" borderId="0" xfId="0" applyFont="1" applyFill="1" applyBorder="1" applyProtection="1"/>
    <xf numFmtId="0" fontId="44" fillId="5" borderId="0" xfId="0" applyFont="1" applyFill="1" applyBorder="1" applyAlignment="1" applyProtection="1">
      <alignment horizontal="center" vertical="center" wrapText="1"/>
    </xf>
    <xf numFmtId="164" fontId="38" fillId="5" borderId="0" xfId="0" applyNumberFormat="1" applyFont="1" applyFill="1" applyBorder="1" applyProtection="1"/>
    <xf numFmtId="0" fontId="27" fillId="22" borderId="0" xfId="4" applyFont="1" applyFill="1" applyProtection="1">
      <protection hidden="1"/>
    </xf>
    <xf numFmtId="3" fontId="14" fillId="19" borderId="20" xfId="4" applyNumberFormat="1" applyFont="1" applyFill="1" applyBorder="1" applyProtection="1">
      <protection hidden="1"/>
    </xf>
    <xf numFmtId="3" fontId="14" fillId="19" borderId="23" xfId="4" applyNumberFormat="1" applyFont="1" applyFill="1" applyBorder="1" applyProtection="1">
      <protection hidden="1"/>
    </xf>
    <xf numFmtId="9" fontId="13" fillId="23" borderId="21" xfId="1" applyFont="1" applyFill="1" applyBorder="1" applyProtection="1">
      <protection hidden="1"/>
    </xf>
    <xf numFmtId="10" fontId="14" fillId="9" borderId="23" xfId="4" applyNumberFormat="1" applyFont="1" applyFill="1" applyBorder="1" applyProtection="1">
      <protection hidden="1"/>
    </xf>
    <xf numFmtId="0" fontId="1" fillId="9" borderId="0" xfId="4" applyFill="1" applyProtection="1">
      <protection hidden="1"/>
    </xf>
    <xf numFmtId="165" fontId="42" fillId="2" borderId="0" xfId="0" applyNumberFormat="1" applyFont="1" applyFill="1" applyAlignment="1" applyProtection="1">
      <alignment horizontal="right" vertical="top"/>
    </xf>
    <xf numFmtId="164" fontId="43" fillId="0" borderId="6" xfId="4" applyNumberFormat="1" applyFont="1" applyBorder="1" applyProtection="1">
      <protection hidden="1"/>
    </xf>
    <xf numFmtId="43" fontId="1" fillId="0" borderId="0" xfId="3" applyProtection="1">
      <protection hidden="1"/>
    </xf>
    <xf numFmtId="169" fontId="0" fillId="0" borderId="0" xfId="0" applyNumberFormat="1" applyProtection="1">
      <protection hidden="1"/>
    </xf>
    <xf numFmtId="184" fontId="0" fillId="0" borderId="0" xfId="0" applyNumberFormat="1" applyProtection="1">
      <protection hidden="1"/>
    </xf>
    <xf numFmtId="185" fontId="0" fillId="0" borderId="0" xfId="0" applyNumberFormat="1" applyProtection="1">
      <protection hidden="1"/>
    </xf>
    <xf numFmtId="0" fontId="36" fillId="2" borderId="0" xfId="0" applyFont="1" applyFill="1" applyProtection="1"/>
    <xf numFmtId="168" fontId="37" fillId="2" borderId="0" xfId="0" applyNumberFormat="1" applyFont="1" applyFill="1" applyProtection="1"/>
    <xf numFmtId="0" fontId="10" fillId="2" borderId="0" xfId="0" applyFont="1" applyFill="1" applyAlignment="1" applyProtection="1">
      <alignment horizontal="center" vertical="center" wrapText="1"/>
    </xf>
    <xf numFmtId="168" fontId="37" fillId="2" borderId="5" xfId="0" applyNumberFormat="1" applyFont="1" applyFill="1" applyBorder="1" applyProtection="1"/>
    <xf numFmtId="178" fontId="40" fillId="2" borderId="6" xfId="0" applyNumberFormat="1" applyFont="1" applyFill="1" applyBorder="1" applyProtection="1"/>
    <xf numFmtId="166" fontId="45" fillId="4" borderId="0" xfId="0" applyNumberFormat="1" applyFont="1" applyFill="1" applyAlignment="1">
      <alignment vertical="center"/>
    </xf>
    <xf numFmtId="0" fontId="45" fillId="0" borderId="0" xfId="0" applyFont="1" applyFill="1"/>
    <xf numFmtId="0" fontId="46" fillId="3" borderId="0" xfId="0" applyFont="1" applyFill="1"/>
    <xf numFmtId="0" fontId="46" fillId="0" borderId="0" xfId="0" applyFont="1"/>
    <xf numFmtId="164" fontId="46" fillId="0" borderId="0" xfId="3" applyNumberFormat="1" applyFont="1"/>
    <xf numFmtId="164" fontId="47" fillId="4" borderId="0" xfId="1" applyNumberFormat="1" applyFont="1" applyFill="1" applyBorder="1" applyAlignment="1">
      <alignment vertical="center"/>
    </xf>
    <xf numFmtId="0" fontId="47" fillId="4" borderId="0" xfId="0" applyFont="1" applyFill="1" applyBorder="1" applyAlignment="1">
      <alignment vertical="center"/>
    </xf>
    <xf numFmtId="165" fontId="47" fillId="4" borderId="0" xfId="0" applyNumberFormat="1" applyFont="1" applyFill="1" applyBorder="1" applyAlignment="1">
      <alignment vertical="center"/>
    </xf>
    <xf numFmtId="0" fontId="46" fillId="0" borderId="0" xfId="0" applyFont="1" applyBorder="1"/>
    <xf numFmtId="0" fontId="48" fillId="4" borderId="0" xfId="0" applyFont="1" applyFill="1" applyBorder="1" applyAlignment="1">
      <alignment vertical="center"/>
    </xf>
    <xf numFmtId="14" fontId="48" fillId="4" borderId="0" xfId="0" applyNumberFormat="1" applyFont="1" applyFill="1" applyBorder="1" applyAlignment="1">
      <alignment vertical="center"/>
    </xf>
    <xf numFmtId="0" fontId="47" fillId="4" borderId="0" xfId="0" applyFont="1" applyFill="1" applyAlignment="1">
      <alignment vertical="center"/>
    </xf>
    <xf numFmtId="0" fontId="46" fillId="6" borderId="0" xfId="0" applyFont="1" applyFill="1"/>
    <xf numFmtId="168" fontId="46" fillId="0" borderId="0" xfId="0" applyNumberFormat="1" applyFont="1"/>
    <xf numFmtId="0" fontId="46" fillId="0" borderId="0" xfId="0" applyFont="1" applyAlignment="1">
      <alignment horizontal="center" vertical="center" wrapText="1"/>
    </xf>
    <xf numFmtId="164" fontId="46" fillId="0" borderId="0" xfId="0" applyNumberFormat="1" applyFont="1"/>
    <xf numFmtId="184" fontId="46" fillId="0" borderId="0" xfId="0" applyNumberFormat="1" applyFont="1"/>
    <xf numFmtId="169" fontId="46" fillId="0" borderId="0" xfId="0" applyNumberFormat="1" applyFont="1"/>
    <xf numFmtId="0" fontId="50" fillId="0" borderId="0" xfId="0" applyFont="1"/>
    <xf numFmtId="0" fontId="51" fillId="0" borderId="0" xfId="0" applyFont="1"/>
    <xf numFmtId="166" fontId="50" fillId="0" borderId="0" xfId="0" applyNumberFormat="1" applyFont="1" applyFill="1" applyAlignment="1">
      <alignment vertical="center"/>
    </xf>
    <xf numFmtId="167" fontId="50" fillId="0" borderId="0" xfId="0" applyNumberFormat="1" applyFont="1" applyFill="1" applyAlignment="1">
      <alignment vertical="center"/>
    </xf>
    <xf numFmtId="164" fontId="50" fillId="0" borderId="0" xfId="0" applyNumberFormat="1" applyFont="1"/>
    <xf numFmtId="0" fontId="49" fillId="0" borderId="0" xfId="0" applyFont="1"/>
    <xf numFmtId="0" fontId="35" fillId="2" borderId="0" xfId="0" applyFont="1" applyFill="1" applyProtection="1"/>
    <xf numFmtId="0" fontId="35" fillId="2" borderId="0" xfId="0" quotePrefix="1" applyFont="1" applyFill="1" applyBorder="1" applyProtection="1"/>
    <xf numFmtId="165" fontId="0" fillId="0" borderId="0" xfId="0" applyNumberFormat="1" applyProtection="1"/>
    <xf numFmtId="165" fontId="52" fillId="0" borderId="0" xfId="0" quotePrefix="1" applyNumberFormat="1" applyFont="1" applyProtection="1"/>
    <xf numFmtId="172" fontId="53" fillId="2" borderId="0" xfId="0" applyNumberFormat="1" applyFont="1" applyFill="1" applyBorder="1" applyAlignment="1" applyProtection="1">
      <alignment horizontal="left" vertical="center" indent="1"/>
    </xf>
    <xf numFmtId="172" fontId="54" fillId="2" borderId="0" xfId="0" applyNumberFormat="1" applyFont="1" applyFill="1" applyBorder="1" applyAlignment="1" applyProtection="1">
      <alignment vertical="center"/>
    </xf>
    <xf numFmtId="0" fontId="55" fillId="2" borderId="0" xfId="0" applyFont="1" applyFill="1" applyBorder="1" applyAlignment="1" applyProtection="1">
      <alignment horizontal="left" vertical="center" indent="1" shrinkToFit="1"/>
    </xf>
    <xf numFmtId="172" fontId="53" fillId="2" borderId="0" xfId="0" applyNumberFormat="1" applyFont="1" applyFill="1" applyBorder="1" applyAlignment="1" applyProtection="1">
      <alignment vertical="center"/>
    </xf>
    <xf numFmtId="0" fontId="56" fillId="2" borderId="86" xfId="0" applyNumberFormat="1" applyFont="1" applyFill="1" applyBorder="1" applyAlignment="1" applyProtection="1">
      <alignment horizontal="center" vertical="center"/>
    </xf>
    <xf numFmtId="0" fontId="34" fillId="2" borderId="0" xfId="0" applyFont="1" applyFill="1" applyAlignment="1" applyProtection="1">
      <alignment horizontal="center" vertical="center" wrapText="1"/>
    </xf>
    <xf numFmtId="168" fontId="57" fillId="2" borderId="8" xfId="0" applyNumberFormat="1" applyFont="1" applyFill="1" applyBorder="1" applyProtection="1"/>
    <xf numFmtId="178" fontId="40" fillId="2" borderId="0" xfId="0" applyNumberFormat="1" applyFont="1" applyFill="1" applyBorder="1" applyProtection="1"/>
    <xf numFmtId="168" fontId="37" fillId="2" borderId="3" xfId="0" applyNumberFormat="1" applyFont="1" applyFill="1" applyBorder="1" applyProtection="1"/>
    <xf numFmtId="174" fontId="11" fillId="2" borderId="0" xfId="0" applyNumberFormat="1" applyFont="1" applyFill="1" applyAlignment="1" applyProtection="1"/>
    <xf numFmtId="0" fontId="59" fillId="2" borderId="0" xfId="0" applyFont="1" applyFill="1" applyAlignment="1" applyProtection="1">
      <alignment horizontal="right"/>
    </xf>
    <xf numFmtId="0" fontId="13" fillId="0" borderId="0" xfId="0" applyFont="1" applyBorder="1" applyProtection="1">
      <protection hidden="1"/>
    </xf>
    <xf numFmtId="0" fontId="6" fillId="22" borderId="1" xfId="4" applyFont="1" applyFill="1" applyBorder="1" applyProtection="1">
      <protection hidden="1"/>
    </xf>
    <xf numFmtId="3" fontId="6" fillId="9" borderId="1" xfId="4" applyNumberFormat="1" applyFont="1" applyFill="1" applyBorder="1" applyProtection="1">
      <protection hidden="1"/>
    </xf>
    <xf numFmtId="0" fontId="6" fillId="3" borderId="1" xfId="4" applyFont="1" applyFill="1" applyBorder="1" applyProtection="1">
      <protection hidden="1"/>
    </xf>
    <xf numFmtId="0" fontId="1" fillId="0" borderId="1" xfId="4" applyBorder="1" applyAlignment="1" applyProtection="1">
      <alignment horizontal="center" vertical="center" wrapText="1"/>
      <protection hidden="1"/>
    </xf>
    <xf numFmtId="3" fontId="60" fillId="24" borderId="1" xfId="4" applyNumberFormat="1" applyFont="1" applyFill="1" applyBorder="1" applyProtection="1">
      <protection hidden="1"/>
    </xf>
    <xf numFmtId="0" fontId="6" fillId="24" borderId="1" xfId="4" applyFont="1" applyFill="1" applyBorder="1" applyProtection="1">
      <protection hidden="1"/>
    </xf>
    <xf numFmtId="0" fontId="60" fillId="24" borderId="1" xfId="4" applyFont="1" applyFill="1" applyBorder="1" applyProtection="1">
      <protection hidden="1"/>
    </xf>
    <xf numFmtId="0" fontId="13" fillId="24" borderId="1" xfId="4" applyFont="1" applyFill="1" applyBorder="1" applyAlignment="1" applyProtection="1">
      <protection hidden="1"/>
    </xf>
    <xf numFmtId="0" fontId="60" fillId="24" borderId="21" xfId="4" applyFont="1" applyFill="1" applyBorder="1" applyProtection="1">
      <protection hidden="1"/>
    </xf>
    <xf numFmtId="9" fontId="60" fillId="24" borderId="23" xfId="4" applyNumberFormat="1" applyFont="1" applyFill="1" applyBorder="1" applyProtection="1">
      <protection hidden="1"/>
    </xf>
    <xf numFmtId="0" fontId="13" fillId="0" borderId="22" xfId="0" applyFont="1" applyBorder="1" applyProtection="1">
      <protection hidden="1"/>
    </xf>
    <xf numFmtId="0" fontId="13" fillId="3" borderId="1" xfId="4" applyFont="1" applyFill="1" applyBorder="1" applyProtection="1">
      <protection hidden="1"/>
    </xf>
    <xf numFmtId="0" fontId="61" fillId="0" borderId="0" xfId="0" applyNumberFormat="1" applyFont="1" applyFill="1" applyAlignment="1">
      <alignment horizontal="center" vertical="center" wrapText="1"/>
    </xf>
    <xf numFmtId="0" fontId="62" fillId="0" borderId="2" xfId="2" applyNumberFormat="1" applyFont="1" applyFill="1" applyBorder="1" applyAlignment="1">
      <alignment horizontal="left" vertical="center"/>
    </xf>
    <xf numFmtId="0" fontId="62" fillId="0" borderId="0" xfId="2" applyNumberFormat="1" applyFont="1" applyFill="1" applyBorder="1" applyAlignment="1">
      <alignment horizontal="left" vertical="center"/>
    </xf>
    <xf numFmtId="0" fontId="63" fillId="0" borderId="2" xfId="2" applyNumberFormat="1" applyFont="1" applyFill="1" applyBorder="1" applyAlignment="1">
      <alignment horizontal="left" vertical="center"/>
    </xf>
    <xf numFmtId="0" fontId="63" fillId="0" borderId="0" xfId="2" applyNumberFormat="1" applyFont="1" applyFill="1" applyBorder="1" applyAlignment="1">
      <alignment horizontal="left" vertical="center"/>
    </xf>
    <xf numFmtId="0" fontId="64" fillId="0" borderId="0" xfId="0" applyNumberFormat="1" applyFont="1" applyFill="1" applyAlignment="1">
      <alignment horizontal="left" vertical="center"/>
    </xf>
    <xf numFmtId="174" fontId="6" fillId="3" borderId="1" xfId="5" applyNumberFormat="1" applyFont="1" applyFill="1" applyBorder="1" applyProtection="1">
      <protection hidden="1"/>
    </xf>
    <xf numFmtId="9" fontId="6" fillId="3" borderId="1" xfId="5" applyFont="1" applyFill="1" applyBorder="1" applyProtection="1">
      <protection hidden="1"/>
    </xf>
    <xf numFmtId="168" fontId="3" fillId="0" borderId="6" xfId="2" applyNumberFormat="1" applyFont="1" applyFill="1" applyBorder="1" applyAlignment="1">
      <alignment horizontal="left" vertical="center"/>
    </xf>
    <xf numFmtId="168" fontId="4" fillId="0" borderId="6" xfId="2" applyNumberFormat="1" applyFont="1" applyBorder="1"/>
    <xf numFmtId="0" fontId="65" fillId="0" borderId="0" xfId="0" applyFont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6" xfId="0" applyFont="1" applyBorder="1"/>
    <xf numFmtId="0" fontId="2" fillId="0" borderId="34" xfId="0" applyFont="1" applyFill="1" applyBorder="1" applyAlignment="1">
      <alignment horizontal="left"/>
    </xf>
    <xf numFmtId="0" fontId="2" fillId="0" borderId="34" xfId="0" applyFont="1" applyBorder="1"/>
    <xf numFmtId="0" fontId="62" fillId="0" borderId="6" xfId="2" applyNumberFormat="1" applyFont="1" applyFill="1" applyBorder="1" applyAlignment="1">
      <alignment horizontal="left" vertical="center"/>
    </xf>
    <xf numFmtId="0" fontId="64" fillId="24" borderId="0" xfId="0" applyFont="1" applyFill="1" applyAlignment="1">
      <alignment horizontal="left"/>
    </xf>
    <xf numFmtId="0" fontId="64" fillId="0" borderId="6" xfId="0" applyNumberFormat="1" applyFont="1" applyFill="1" applyBorder="1" applyAlignment="1">
      <alignment horizontal="left" vertical="center"/>
    </xf>
    <xf numFmtId="0" fontId="64" fillId="24" borderId="6" xfId="0" applyFont="1" applyFill="1" applyBorder="1" applyAlignment="1">
      <alignment horizontal="left"/>
    </xf>
    <xf numFmtId="0" fontId="64" fillId="24" borderId="34" xfId="0" applyFont="1" applyFill="1" applyBorder="1" applyAlignment="1">
      <alignment horizontal="left"/>
    </xf>
    <xf numFmtId="0" fontId="64" fillId="24" borderId="0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62" fillId="0" borderId="92" xfId="2" applyNumberFormat="1" applyFont="1" applyFill="1" applyBorder="1" applyAlignment="1">
      <alignment horizontal="left" vertical="center"/>
    </xf>
    <xf numFmtId="0" fontId="64" fillId="0" borderId="34" xfId="0" applyNumberFormat="1" applyFont="1" applyFill="1" applyBorder="1" applyAlignment="1">
      <alignment horizontal="left" vertical="center"/>
    </xf>
    <xf numFmtId="0" fontId="62" fillId="0" borderId="90" xfId="2" applyNumberFormat="1" applyFont="1" applyFill="1" applyBorder="1" applyAlignment="1">
      <alignment horizontal="left" vertical="center"/>
    </xf>
    <xf numFmtId="0" fontId="62" fillId="5" borderId="91" xfId="2" applyNumberFormat="1" applyFont="1" applyFill="1" applyBorder="1" applyAlignment="1">
      <alignment horizontal="left" vertical="center"/>
    </xf>
    <xf numFmtId="0" fontId="62" fillId="24" borderId="6" xfId="2" applyNumberFormat="1" applyFont="1" applyFill="1" applyBorder="1" applyAlignment="1">
      <alignment horizontal="left" vertical="center"/>
    </xf>
    <xf numFmtId="168" fontId="8" fillId="0" borderId="6" xfId="2" applyNumberFormat="1" applyFont="1" applyFill="1" applyBorder="1"/>
    <xf numFmtId="168" fontId="31" fillId="24" borderId="6" xfId="2" applyNumberFormat="1" applyFont="1" applyFill="1" applyBorder="1"/>
    <xf numFmtId="164" fontId="0" fillId="0" borderId="0" xfId="0" applyNumberFormat="1" applyProtection="1"/>
    <xf numFmtId="43" fontId="0" fillId="0" borderId="0" xfId="0" applyNumberFormat="1" applyProtection="1"/>
    <xf numFmtId="0" fontId="0" fillId="5" borderId="89" xfId="0" applyFill="1" applyBorder="1" applyProtection="1"/>
    <xf numFmtId="0" fontId="57" fillId="2" borderId="0" xfId="0" applyFont="1" applyFill="1" applyProtection="1"/>
    <xf numFmtId="0" fontId="9" fillId="0" borderId="0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4" fillId="0" borderId="2" xfId="2" applyFont="1" applyFill="1" applyBorder="1" applyAlignment="1">
      <alignment horizontal="center"/>
    </xf>
    <xf numFmtId="0" fontId="35" fillId="2" borderId="0" xfId="0" applyFont="1" applyFill="1" applyBorder="1" applyAlignment="1" applyProtection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66" fillId="0" borderId="0" xfId="0" applyFont="1"/>
    <xf numFmtId="0" fontId="50" fillId="0" borderId="0" xfId="0" applyFont="1" applyAlignment="1">
      <alignment horizontal="right"/>
    </xf>
    <xf numFmtId="164" fontId="31" fillId="0" borderId="0" xfId="2" applyNumberFormat="1" applyFont="1" applyFill="1"/>
    <xf numFmtId="0" fontId="3" fillId="0" borderId="0" xfId="2" applyFont="1" applyFill="1"/>
    <xf numFmtId="0" fontId="5" fillId="0" borderId="0" xfId="2" applyFont="1" applyFill="1"/>
    <xf numFmtId="14" fontId="4" fillId="0" borderId="0" xfId="2" applyNumberFormat="1" applyFont="1" applyFill="1"/>
    <xf numFmtId="0" fontId="4" fillId="0" borderId="0" xfId="2" applyFont="1" applyFill="1"/>
    <xf numFmtId="0" fontId="3" fillId="0" borderId="2" xfId="2" applyFont="1" applyFill="1" applyBorder="1" applyAlignment="1">
      <alignment horizontal="center"/>
    </xf>
    <xf numFmtId="0" fontId="31" fillId="0" borderId="0" xfId="2" applyFont="1" applyFill="1"/>
    <xf numFmtId="0" fontId="31" fillId="0" borderId="0" xfId="2" applyFont="1" applyFill="1" applyAlignment="1">
      <alignment horizontal="center"/>
    </xf>
    <xf numFmtId="0" fontId="4" fillId="0" borderId="0" xfId="2" applyFont="1" applyFill="1" applyAlignment="1"/>
    <xf numFmtId="0" fontId="4" fillId="0" borderId="0" xfId="2" applyFont="1" applyFill="1" applyAlignment="1">
      <alignment shrinkToFit="1"/>
    </xf>
    <xf numFmtId="164" fontId="4" fillId="0" borderId="0" xfId="2" applyNumberFormat="1" applyFont="1" applyFill="1" applyAlignment="1"/>
    <xf numFmtId="0" fontId="2" fillId="0" borderId="92" xfId="0" applyFont="1" applyBorder="1" applyAlignment="1">
      <alignment vertical="center"/>
    </xf>
    <xf numFmtId="168" fontId="3" fillId="0" borderId="92" xfId="2" applyNumberFormat="1" applyFont="1" applyFill="1" applyBorder="1" applyAlignment="1">
      <alignment horizontal="left" vertical="center"/>
    </xf>
    <xf numFmtId="168" fontId="4" fillId="0" borderId="92" xfId="2" applyNumberFormat="1" applyFont="1" applyBorder="1"/>
    <xf numFmtId="168" fontId="4" fillId="0" borderId="0" xfId="2" applyNumberFormat="1" applyFont="1" applyBorder="1"/>
    <xf numFmtId="168" fontId="4" fillId="12" borderId="0" xfId="2" applyNumberFormat="1" applyFont="1" applyFill="1" applyBorder="1" applyAlignment="1">
      <alignment horizontal="center"/>
    </xf>
    <xf numFmtId="168" fontId="4" fillId="12" borderId="6" xfId="2" applyNumberFormat="1" applyFont="1" applyFill="1" applyBorder="1" applyAlignment="1">
      <alignment horizontal="center"/>
    </xf>
    <xf numFmtId="168" fontId="4" fillId="12" borderId="92" xfId="2" applyNumberFormat="1" applyFont="1" applyFill="1" applyBorder="1" applyAlignment="1">
      <alignment horizontal="center"/>
    </xf>
    <xf numFmtId="168" fontId="4" fillId="4" borderId="6" xfId="2" applyNumberFormat="1" applyFont="1" applyFill="1" applyBorder="1"/>
    <xf numFmtId="0" fontId="67" fillId="0" borderId="0" xfId="0" applyFont="1" applyAlignment="1">
      <alignment horizontal="right"/>
    </xf>
    <xf numFmtId="0" fontId="49" fillId="0" borderId="0" xfId="0" applyFont="1" applyFill="1"/>
    <xf numFmtId="0" fontId="68" fillId="0" borderId="0" xfId="0" applyFont="1"/>
    <xf numFmtId="166" fontId="67" fillId="0" borderId="0" xfId="0" applyNumberFormat="1" applyFont="1" applyFill="1" applyAlignment="1">
      <alignment horizontal="right" vertical="center"/>
    </xf>
    <xf numFmtId="0" fontId="69" fillId="19" borderId="0" xfId="0" applyFont="1" applyFill="1" applyAlignment="1" applyProtection="1">
      <alignment horizontal="center" vertical="center"/>
      <protection hidden="1"/>
    </xf>
    <xf numFmtId="0" fontId="13" fillId="18" borderId="48" xfId="0" applyFont="1" applyFill="1" applyBorder="1" applyAlignment="1">
      <alignment horizontal="center" wrapText="1"/>
    </xf>
    <xf numFmtId="0" fontId="13" fillId="0" borderId="55" xfId="0" applyFont="1" applyBorder="1" applyAlignment="1">
      <alignment horizontal="center" wrapText="1"/>
    </xf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19" borderId="58" xfId="0" applyFont="1" applyFill="1" applyBorder="1" applyAlignment="1">
      <alignment horizontal="center"/>
    </xf>
    <xf numFmtId="0" fontId="13" fillId="9" borderId="63" xfId="0" applyFont="1" applyFill="1" applyBorder="1" applyAlignment="1">
      <alignment horizontal="center"/>
    </xf>
    <xf numFmtId="10" fontId="0" fillId="9" borderId="64" xfId="1" applyNumberFormat="1" applyFont="1" applyFill="1" applyBorder="1"/>
    <xf numFmtId="10" fontId="0" fillId="9" borderId="65" xfId="1" applyNumberFormat="1" applyFont="1" applyFill="1" applyBorder="1"/>
    <xf numFmtId="10" fontId="0" fillId="9" borderId="66" xfId="1" applyNumberFormat="1" applyFont="1" applyFill="1" applyBorder="1"/>
    <xf numFmtId="0" fontId="13" fillId="9" borderId="68" xfId="0" applyFont="1" applyFill="1" applyBorder="1" applyAlignment="1">
      <alignment horizontal="center"/>
    </xf>
    <xf numFmtId="10" fontId="0" fillId="9" borderId="69" xfId="1" applyNumberFormat="1" applyFont="1" applyFill="1" applyBorder="1"/>
    <xf numFmtId="10" fontId="0" fillId="9" borderId="70" xfId="1" applyNumberFormat="1" applyFont="1" applyFill="1" applyBorder="1"/>
    <xf numFmtId="10" fontId="0" fillId="9" borderId="71" xfId="1" applyNumberFormat="1" applyFont="1" applyFill="1" applyBorder="1"/>
    <xf numFmtId="0" fontId="13" fillId="9" borderId="72" xfId="0" applyFont="1" applyFill="1" applyBorder="1" applyAlignment="1">
      <alignment horizontal="center"/>
    </xf>
    <xf numFmtId="10" fontId="0" fillId="9" borderId="73" xfId="1" applyNumberFormat="1" applyFont="1" applyFill="1" applyBorder="1"/>
    <xf numFmtId="10" fontId="0" fillId="9" borderId="74" xfId="1" applyNumberFormat="1" applyFont="1" applyFill="1" applyBorder="1"/>
    <xf numFmtId="10" fontId="0" fillId="9" borderId="75" xfId="1" applyNumberFormat="1" applyFont="1" applyFill="1" applyBorder="1"/>
    <xf numFmtId="0" fontId="13" fillId="0" borderId="61" xfId="0" applyFont="1" applyFill="1" applyBorder="1" applyAlignment="1">
      <alignment horizontal="center"/>
    </xf>
    <xf numFmtId="10" fontId="16" fillId="0" borderId="61" xfId="1" applyNumberFormat="1" applyFont="1" applyFill="1" applyBorder="1"/>
    <xf numFmtId="10" fontId="16" fillId="0" borderId="0" xfId="1" applyNumberFormat="1" applyFont="1" applyFill="1" applyBorder="1"/>
    <xf numFmtId="10" fontId="16" fillId="0" borderId="60" xfId="1" applyNumberFormat="1" applyFont="1" applyFill="1" applyBorder="1"/>
    <xf numFmtId="10" fontId="0" fillId="0" borderId="61" xfId="1" applyNumberFormat="1" applyFont="1" applyFill="1" applyBorder="1"/>
    <xf numFmtId="10" fontId="0" fillId="0" borderId="0" xfId="1" applyNumberFormat="1" applyFont="1" applyFill="1" applyBorder="1"/>
    <xf numFmtId="10" fontId="0" fillId="0" borderId="60" xfId="1" applyNumberFormat="1" applyFont="1" applyFill="1" applyBorder="1"/>
    <xf numFmtId="0" fontId="13" fillId="0" borderId="61" xfId="0" applyFont="1" applyBorder="1" applyAlignment="1">
      <alignment horizontal="center"/>
    </xf>
    <xf numFmtId="10" fontId="0" fillId="0" borderId="61" xfId="1" applyNumberFormat="1" applyFont="1" applyBorder="1"/>
    <xf numFmtId="10" fontId="0" fillId="0" borderId="0" xfId="1" applyNumberFormat="1" applyFont="1" applyBorder="1"/>
    <xf numFmtId="10" fontId="0" fillId="0" borderId="60" xfId="1" applyNumberFormat="1" applyFont="1" applyBorder="1"/>
    <xf numFmtId="10" fontId="0" fillId="20" borderId="61" xfId="1" applyNumberFormat="1" applyFont="1" applyFill="1" applyBorder="1"/>
    <xf numFmtId="10" fontId="0" fillId="20" borderId="0" xfId="1" applyNumberFormat="1" applyFont="1" applyFill="1" applyBorder="1"/>
    <xf numFmtId="0" fontId="13" fillId="0" borderId="55" xfId="0" applyFont="1" applyBorder="1" applyAlignment="1">
      <alignment horizontal="center"/>
    </xf>
    <xf numFmtId="10" fontId="0" fillId="20" borderId="55" xfId="1" applyNumberFormat="1" applyFont="1" applyFill="1" applyBorder="1"/>
    <xf numFmtId="10" fontId="0" fillId="20" borderId="12" xfId="1" applyNumberFormat="1" applyFont="1" applyFill="1" applyBorder="1"/>
    <xf numFmtId="10" fontId="0" fillId="0" borderId="81" xfId="1" applyNumberFormat="1" applyFont="1" applyBorder="1"/>
    <xf numFmtId="0" fontId="13" fillId="16" borderId="48" xfId="0" applyFont="1" applyFill="1" applyBorder="1" applyAlignment="1">
      <alignment horizontal="center" vertical="center" wrapText="1"/>
    </xf>
    <xf numFmtId="9" fontId="13" fillId="16" borderId="82" xfId="0" applyNumberFormat="1" applyFont="1" applyFill="1" applyBorder="1" applyAlignment="1">
      <alignment horizontal="center" vertical="center"/>
    </xf>
    <xf numFmtId="9" fontId="13" fillId="16" borderId="83" xfId="0" applyNumberFormat="1" applyFont="1" applyFill="1" applyBorder="1" applyAlignment="1">
      <alignment horizontal="center" vertical="center"/>
    </xf>
    <xf numFmtId="9" fontId="13" fillId="16" borderId="84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/>
    <xf numFmtId="164" fontId="0" fillId="0" borderId="0" xfId="0" applyNumberFormat="1" applyProtection="1">
      <protection hidden="1"/>
    </xf>
    <xf numFmtId="0" fontId="68" fillId="0" borderId="0" xfId="0" applyFont="1" applyAlignment="1">
      <alignment horizontal="center" vertical="center"/>
    </xf>
    <xf numFmtId="168" fontId="50" fillId="0" borderId="0" xfId="0" applyNumberFormat="1" applyFont="1"/>
    <xf numFmtId="178" fontId="70" fillId="12" borderId="1" xfId="1" applyNumberFormat="1" applyFont="1" applyFill="1" applyBorder="1" applyProtection="1">
      <protection hidden="1"/>
    </xf>
    <xf numFmtId="178" fontId="16" fillId="0" borderId="1" xfId="1" applyNumberFormat="1" applyFont="1" applyFill="1" applyBorder="1" applyProtection="1">
      <protection hidden="1"/>
    </xf>
    <xf numFmtId="164" fontId="2" fillId="23" borderId="0" xfId="0" applyNumberFormat="1" applyFont="1" applyFill="1"/>
    <xf numFmtId="164" fontId="2" fillId="23" borderId="6" xfId="0" applyNumberFormat="1" applyFont="1" applyFill="1" applyBorder="1"/>
    <xf numFmtId="178" fontId="2" fillId="23" borderId="0" xfId="0" applyNumberFormat="1" applyFont="1" applyFill="1"/>
    <xf numFmtId="178" fontId="2" fillId="23" borderId="6" xfId="0" applyNumberFormat="1" applyFont="1" applyFill="1" applyBorder="1"/>
    <xf numFmtId="168" fontId="4" fillId="23" borderId="0" xfId="2" applyNumberFormat="1" applyFont="1" applyFill="1"/>
    <xf numFmtId="168" fontId="4" fillId="23" borderId="6" xfId="2" applyNumberFormat="1" applyFont="1" applyFill="1" applyBorder="1"/>
    <xf numFmtId="0" fontId="45" fillId="0" borderId="0" xfId="0" applyFont="1"/>
    <xf numFmtId="174" fontId="51" fillId="0" borderId="0" xfId="1" applyNumberFormat="1" applyFont="1"/>
    <xf numFmtId="0" fontId="71" fillId="2" borderId="1" xfId="0" applyFont="1" applyFill="1" applyBorder="1" applyAlignment="1" applyProtection="1">
      <alignment horizontal="right"/>
      <protection hidden="1"/>
    </xf>
    <xf numFmtId="0" fontId="30" fillId="2" borderId="1" xfId="4" applyFont="1" applyFill="1" applyBorder="1" applyAlignment="1" applyProtection="1">
      <alignment horizontal="right"/>
      <protection hidden="1"/>
    </xf>
    <xf numFmtId="0" fontId="71" fillId="2" borderId="1" xfId="4" applyFont="1" applyFill="1" applyBorder="1" applyProtection="1">
      <protection hidden="1"/>
    </xf>
    <xf numFmtId="0" fontId="71" fillId="2" borderId="1" xfId="0" applyFont="1" applyFill="1" applyBorder="1" applyProtection="1">
      <protection hidden="1"/>
    </xf>
    <xf numFmtId="0" fontId="30" fillId="2" borderId="1" xfId="0" applyFont="1" applyFill="1" applyBorder="1" applyProtection="1">
      <protection hidden="1"/>
    </xf>
    <xf numFmtId="175" fontId="7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1" fillId="2" borderId="1" xfId="0" applyFont="1" applyFill="1" applyBorder="1" applyAlignment="1" applyProtection="1">
      <alignment horizontal="center" vertical="center" wrapText="1"/>
      <protection hidden="1"/>
    </xf>
    <xf numFmtId="0" fontId="30" fillId="2" borderId="1" xfId="0" applyFont="1" applyFill="1" applyBorder="1" applyAlignment="1" applyProtection="1">
      <alignment horizontal="center" vertical="center" wrapText="1"/>
      <protection hidden="1"/>
    </xf>
    <xf numFmtId="178" fontId="23" fillId="0" borderId="3" xfId="5" applyNumberFormat="1" applyFont="1" applyFill="1" applyBorder="1" applyProtection="1">
      <protection hidden="1"/>
    </xf>
    <xf numFmtId="178" fontId="23" fillId="0" borderId="5" xfId="5" applyNumberFormat="1" applyFont="1" applyFill="1" applyBorder="1" applyProtection="1">
      <protection hidden="1"/>
    </xf>
    <xf numFmtId="178" fontId="14" fillId="3" borderId="25" xfId="5" applyNumberFormat="1" applyFont="1" applyFill="1" applyBorder="1" applyProtection="1">
      <protection hidden="1"/>
    </xf>
    <xf numFmtId="178" fontId="73" fillId="0" borderId="5" xfId="5" applyNumberFormat="1" applyFont="1" applyFill="1" applyBorder="1" applyProtection="1">
      <protection hidden="1"/>
    </xf>
    <xf numFmtId="178" fontId="73" fillId="0" borderId="3" xfId="5" applyNumberFormat="1" applyFont="1" applyFill="1" applyBorder="1" applyProtection="1">
      <protection hidden="1"/>
    </xf>
    <xf numFmtId="178" fontId="74" fillId="0" borderId="3" xfId="5" applyNumberFormat="1" applyFont="1" applyFill="1" applyBorder="1" applyProtection="1">
      <protection hidden="1"/>
    </xf>
    <xf numFmtId="178" fontId="74" fillId="0" borderId="5" xfId="5" applyNumberFormat="1" applyFont="1" applyFill="1" applyBorder="1" applyProtection="1">
      <protection hidden="1"/>
    </xf>
    <xf numFmtId="178" fontId="74" fillId="0" borderId="46" xfId="5" applyNumberFormat="1" applyFont="1" applyFill="1" applyBorder="1" applyProtection="1">
      <protection hidden="1"/>
    </xf>
    <xf numFmtId="178" fontId="72" fillId="3" borderId="1" xfId="5" applyNumberFormat="1" applyFont="1" applyFill="1" applyBorder="1" applyProtection="1">
      <protection hidden="1"/>
    </xf>
    <xf numFmtId="0" fontId="75" fillId="0" borderId="0" xfId="4" applyFont="1" applyProtection="1">
      <protection hidden="1"/>
    </xf>
    <xf numFmtId="0" fontId="13" fillId="10" borderId="10" xfId="4" applyFont="1" applyFill="1" applyBorder="1" applyAlignment="1" applyProtection="1">
      <alignment horizontal="center" vertical="center" wrapText="1"/>
      <protection hidden="1"/>
    </xf>
    <xf numFmtId="0" fontId="13" fillId="23" borderId="8" xfId="4" applyFont="1" applyFill="1" applyBorder="1" applyAlignment="1" applyProtection="1">
      <alignment horizontal="center" vertical="center" wrapText="1"/>
      <protection hidden="1"/>
    </xf>
    <xf numFmtId="169" fontId="4" fillId="10" borderId="34" xfId="2" applyNumberFormat="1" applyFont="1" applyFill="1" applyBorder="1"/>
    <xf numFmtId="169" fontId="4" fillId="10" borderId="6" xfId="2" applyNumberFormat="1" applyFont="1" applyFill="1" applyBorder="1"/>
    <xf numFmtId="168" fontId="4" fillId="10" borderId="34" xfId="2" applyNumberFormat="1" applyFont="1" applyFill="1" applyBorder="1"/>
    <xf numFmtId="168" fontId="4" fillId="10" borderId="6" xfId="2" applyNumberFormat="1" applyFont="1" applyFill="1" applyBorder="1"/>
    <xf numFmtId="168" fontId="4" fillId="10" borderId="0" xfId="2" applyNumberFormat="1" applyFont="1" applyFill="1"/>
    <xf numFmtId="10" fontId="6" fillId="3" borderId="1" xfId="5" applyNumberFormat="1" applyFont="1" applyFill="1" applyBorder="1" applyProtection="1">
      <protection hidden="1"/>
    </xf>
    <xf numFmtId="0" fontId="13" fillId="3" borderId="14" xfId="4" applyFont="1" applyFill="1" applyBorder="1" applyProtection="1">
      <protection hidden="1"/>
    </xf>
    <xf numFmtId="0" fontId="6" fillId="3" borderId="15" xfId="4" applyFont="1" applyFill="1" applyBorder="1" applyProtection="1">
      <protection hidden="1"/>
    </xf>
    <xf numFmtId="0" fontId="13" fillId="10" borderId="1" xfId="4" applyFont="1" applyFill="1" applyBorder="1" applyAlignment="1" applyProtection="1">
      <alignment horizontal="center" vertical="center" wrapText="1"/>
      <protection hidden="1"/>
    </xf>
    <xf numFmtId="10" fontId="70" fillId="0" borderId="34" xfId="5" applyNumberFormat="1" applyFont="1" applyFill="1" applyBorder="1" applyProtection="1">
      <protection hidden="1"/>
    </xf>
    <xf numFmtId="10" fontId="70" fillId="0" borderId="0" xfId="5" applyNumberFormat="1" applyFont="1" applyFill="1" applyBorder="1" applyProtection="1">
      <protection hidden="1"/>
    </xf>
    <xf numFmtId="10" fontId="70" fillId="0" borderId="6" xfId="5" applyNumberFormat="1" applyFont="1" applyFill="1" applyBorder="1" applyProtection="1">
      <protection hidden="1"/>
    </xf>
    <xf numFmtId="10" fontId="70" fillId="0" borderId="43" xfId="5" applyNumberFormat="1" applyFont="1" applyFill="1" applyBorder="1" applyProtection="1">
      <protection hidden="1"/>
    </xf>
    <xf numFmtId="168" fontId="4" fillId="4" borderId="0" xfId="2" applyNumberFormat="1" applyFont="1" applyFill="1"/>
    <xf numFmtId="168" fontId="4" fillId="10" borderId="92" xfId="2" applyNumberFormat="1" applyFont="1" applyFill="1" applyBorder="1"/>
    <xf numFmtId="168" fontId="4" fillId="10" borderId="0" xfId="2" applyNumberFormat="1" applyFont="1" applyFill="1" applyBorder="1"/>
    <xf numFmtId="168" fontId="2" fillId="23" borderId="6" xfId="0" applyNumberFormat="1" applyFont="1" applyFill="1" applyBorder="1"/>
    <xf numFmtId="168" fontId="2" fillId="25" borderId="34" xfId="0" applyNumberFormat="1" applyFont="1" applyFill="1" applyBorder="1"/>
    <xf numFmtId="168" fontId="4" fillId="25" borderId="34" xfId="2" applyNumberFormat="1" applyFont="1" applyFill="1" applyBorder="1"/>
    <xf numFmtId="0" fontId="2" fillId="0" borderId="34" xfId="0" applyFont="1" applyBorder="1" applyAlignment="1">
      <alignment vertical="center"/>
    </xf>
    <xf numFmtId="0" fontId="62" fillId="0" borderId="34" xfId="2" applyNumberFormat="1" applyFont="1" applyFill="1" applyBorder="1" applyAlignment="1">
      <alignment horizontal="left" vertical="center"/>
    </xf>
    <xf numFmtId="168" fontId="3" fillId="0" borderId="34" xfId="2" applyNumberFormat="1" applyFont="1" applyFill="1" applyBorder="1" applyAlignment="1">
      <alignment horizontal="left" vertical="center"/>
    </xf>
    <xf numFmtId="168" fontId="4" fillId="0" borderId="34" xfId="2" applyNumberFormat="1" applyFont="1" applyBorder="1"/>
    <xf numFmtId="168" fontId="2" fillId="10" borderId="6" xfId="0" applyNumberFormat="1" applyFont="1" applyFill="1" applyBorder="1"/>
    <xf numFmtId="0" fontId="13" fillId="4" borderId="8" xfId="4" applyFont="1" applyFill="1" applyBorder="1" applyAlignment="1" applyProtection="1">
      <alignment horizontal="center" vertical="center" wrapText="1"/>
      <protection hidden="1"/>
    </xf>
    <xf numFmtId="10" fontId="12" fillId="2" borderId="0" xfId="5" applyNumberFormat="1" applyFont="1" applyFill="1" applyBorder="1" applyProtection="1">
      <protection hidden="1"/>
    </xf>
    <xf numFmtId="10" fontId="12" fillId="2" borderId="6" xfId="5" applyNumberFormat="1" applyFont="1" applyFill="1" applyBorder="1" applyProtection="1">
      <protection hidden="1"/>
    </xf>
    <xf numFmtId="10" fontId="12" fillId="2" borderId="43" xfId="5" applyNumberFormat="1" applyFont="1" applyFill="1" applyBorder="1" applyProtection="1">
      <protection hidden="1"/>
    </xf>
    <xf numFmtId="178" fontId="76" fillId="2" borderId="95" xfId="5" applyNumberFormat="1" applyFont="1" applyFill="1" applyBorder="1" applyProtection="1">
      <protection hidden="1"/>
    </xf>
    <xf numFmtId="178" fontId="76" fillId="2" borderId="96" xfId="5" applyNumberFormat="1" applyFont="1" applyFill="1" applyBorder="1" applyProtection="1">
      <protection hidden="1"/>
    </xf>
    <xf numFmtId="178" fontId="76" fillId="2" borderId="97" xfId="5" applyNumberFormat="1" applyFont="1" applyFill="1" applyBorder="1" applyProtection="1">
      <protection hidden="1"/>
    </xf>
    <xf numFmtId="168" fontId="76" fillId="2" borderId="95" xfId="5" applyNumberFormat="1" applyFont="1" applyFill="1" applyBorder="1" applyProtection="1">
      <protection hidden="1"/>
    </xf>
    <xf numFmtId="168" fontId="76" fillId="2" borderId="96" xfId="5" applyNumberFormat="1" applyFont="1" applyFill="1" applyBorder="1" applyProtection="1">
      <protection hidden="1"/>
    </xf>
    <xf numFmtId="168" fontId="76" fillId="2" borderId="97" xfId="5" applyNumberFormat="1" applyFont="1" applyFill="1" applyBorder="1" applyProtection="1">
      <protection hidden="1"/>
    </xf>
    <xf numFmtId="168" fontId="6" fillId="0" borderId="13" xfId="5" applyNumberFormat="1" applyFont="1" applyFill="1" applyBorder="1" applyProtection="1">
      <protection hidden="1"/>
    </xf>
    <xf numFmtId="168" fontId="18" fillId="3" borderId="37" xfId="5" applyNumberFormat="1" applyFont="1" applyFill="1" applyBorder="1" applyProtection="1">
      <protection hidden="1"/>
    </xf>
    <xf numFmtId="168" fontId="23" fillId="12" borderId="36" xfId="5" applyNumberFormat="1" applyFont="1" applyFill="1" applyBorder="1" applyProtection="1">
      <protection hidden="1"/>
    </xf>
    <xf numFmtId="168" fontId="23" fillId="12" borderId="38" xfId="5" applyNumberFormat="1" applyFont="1" applyFill="1" applyBorder="1" applyProtection="1">
      <protection hidden="1"/>
    </xf>
    <xf numFmtId="178" fontId="76" fillId="2" borderId="25" xfId="5" applyNumberFormat="1" applyFont="1" applyFill="1" applyBorder="1" applyProtection="1">
      <protection hidden="1"/>
    </xf>
    <xf numFmtId="178" fontId="76" fillId="2" borderId="3" xfId="5" applyNumberFormat="1" applyFont="1" applyFill="1" applyBorder="1" applyProtection="1">
      <protection hidden="1"/>
    </xf>
    <xf numFmtId="178" fontId="76" fillId="2" borderId="5" xfId="5" applyNumberFormat="1" applyFont="1" applyFill="1" applyBorder="1" applyProtection="1">
      <protection hidden="1"/>
    </xf>
    <xf numFmtId="178" fontId="74" fillId="0" borderId="4" xfId="5" applyNumberFormat="1" applyFont="1" applyFill="1" applyBorder="1" applyProtection="1">
      <protection hidden="1"/>
    </xf>
    <xf numFmtId="178" fontId="6" fillId="3" borderId="0" xfId="5" applyNumberFormat="1" applyFont="1" applyFill="1" applyBorder="1" applyProtection="1">
      <protection hidden="1"/>
    </xf>
    <xf numFmtId="178" fontId="18" fillId="0" borderId="0" xfId="5" applyNumberFormat="1" applyFont="1" applyFill="1" applyBorder="1" applyProtection="1">
      <protection hidden="1"/>
    </xf>
    <xf numFmtId="178" fontId="74" fillId="0" borderId="7" xfId="5" applyNumberFormat="1" applyFont="1" applyFill="1" applyBorder="1" applyProtection="1">
      <protection hidden="1"/>
    </xf>
    <xf numFmtId="178" fontId="23" fillId="0" borderId="6" xfId="5" applyNumberFormat="1" applyFont="1" applyFill="1" applyBorder="1" applyProtection="1">
      <protection hidden="1"/>
    </xf>
    <xf numFmtId="178" fontId="23" fillId="0" borderId="0" xfId="5" applyNumberFormat="1" applyFont="1" applyFill="1" applyBorder="1" applyProtection="1">
      <protection hidden="1"/>
    </xf>
    <xf numFmtId="178" fontId="23" fillId="0" borderId="43" xfId="5" applyNumberFormat="1" applyFont="1" applyFill="1" applyBorder="1" applyProtection="1">
      <protection hidden="1"/>
    </xf>
    <xf numFmtId="178" fontId="76" fillId="3" borderId="26" xfId="5" applyNumberFormat="1" applyFont="1" applyFill="1" applyBorder="1" applyProtection="1">
      <protection hidden="1"/>
    </xf>
    <xf numFmtId="178" fontId="76" fillId="2" borderId="0" xfId="5" applyNumberFormat="1" applyFont="1" applyFill="1" applyBorder="1" applyProtection="1">
      <protection hidden="1"/>
    </xf>
    <xf numFmtId="178" fontId="77" fillId="2" borderId="4" xfId="5" applyNumberFormat="1" applyFont="1" applyFill="1" applyBorder="1" applyProtection="1">
      <protection hidden="1"/>
    </xf>
    <xf numFmtId="178" fontId="77" fillId="2" borderId="0" xfId="5" applyNumberFormat="1" applyFont="1" applyFill="1" applyBorder="1" applyProtection="1">
      <protection hidden="1"/>
    </xf>
    <xf numFmtId="178" fontId="77" fillId="2" borderId="7" xfId="5" applyNumberFormat="1" applyFont="1" applyFill="1" applyBorder="1" applyProtection="1">
      <protection hidden="1"/>
    </xf>
    <xf numFmtId="178" fontId="77" fillId="2" borderId="6" xfId="5" applyNumberFormat="1" applyFont="1" applyFill="1" applyBorder="1" applyProtection="1">
      <protection hidden="1"/>
    </xf>
    <xf numFmtId="178" fontId="18" fillId="0" borderId="34" xfId="5" applyNumberFormat="1" applyFont="1" applyFill="1" applyBorder="1" applyProtection="1">
      <protection hidden="1"/>
    </xf>
    <xf numFmtId="178" fontId="18" fillId="0" borderId="6" xfId="5" applyNumberFormat="1" applyFont="1" applyFill="1" applyBorder="1" applyProtection="1">
      <protection hidden="1"/>
    </xf>
    <xf numFmtId="178" fontId="23" fillId="0" borderId="0" xfId="1" applyNumberFormat="1" applyFont="1" applyFill="1" applyBorder="1" applyProtection="1">
      <protection hidden="1"/>
    </xf>
    <xf numFmtId="178" fontId="23" fillId="0" borderId="6" xfId="1" applyNumberFormat="1" applyFont="1" applyFill="1" applyBorder="1" applyProtection="1">
      <protection hidden="1"/>
    </xf>
    <xf numFmtId="178" fontId="23" fillId="0" borderId="43" xfId="1" applyNumberFormat="1" applyFont="1" applyFill="1" applyBorder="1" applyProtection="1">
      <protection hidden="1"/>
    </xf>
    <xf numFmtId="178" fontId="14" fillId="3" borderId="0" xfId="5" applyNumberFormat="1" applyFont="1" applyFill="1" applyBorder="1" applyProtection="1">
      <protection hidden="1"/>
    </xf>
    <xf numFmtId="168" fontId="18" fillId="0" borderId="11" xfId="5" applyNumberFormat="1" applyFont="1" applyFill="1" applyBorder="1" applyProtection="1">
      <protection hidden="1"/>
    </xf>
    <xf numFmtId="168" fontId="18" fillId="0" borderId="37" xfId="5" applyNumberFormat="1" applyFont="1" applyFill="1" applyBorder="1" applyProtection="1">
      <protection hidden="1"/>
    </xf>
    <xf numFmtId="178" fontId="23" fillId="19" borderId="6" xfId="1" applyNumberFormat="1" applyFont="1" applyFill="1" applyBorder="1" applyProtection="1">
      <protection hidden="1"/>
    </xf>
    <xf numFmtId="178" fontId="16" fillId="0" borderId="37" xfId="1" applyNumberFormat="1" applyFont="1" applyFill="1" applyBorder="1" applyProtection="1">
      <protection hidden="1"/>
    </xf>
    <xf numFmtId="178" fontId="16" fillId="0" borderId="98" xfId="1" applyNumberFormat="1" applyFont="1" applyFill="1" applyBorder="1" applyProtection="1">
      <protection hidden="1"/>
    </xf>
    <xf numFmtId="0" fontId="6" fillId="23" borderId="1" xfId="0" applyFont="1" applyFill="1" applyBorder="1" applyAlignment="1" applyProtection="1">
      <alignment horizontal="center" vertical="center" wrapText="1"/>
      <protection hidden="1"/>
    </xf>
    <xf numFmtId="0" fontId="6" fillId="3" borderId="16" xfId="4" applyFont="1" applyFill="1" applyBorder="1" applyProtection="1">
      <protection hidden="1"/>
    </xf>
    <xf numFmtId="0" fontId="6" fillId="0" borderId="20" xfId="4" applyFont="1" applyFill="1" applyBorder="1" applyProtection="1">
      <protection hidden="1"/>
    </xf>
    <xf numFmtId="0" fontId="6" fillId="0" borderId="0" xfId="4" applyFont="1" applyFill="1" applyBorder="1" applyProtection="1">
      <protection hidden="1"/>
    </xf>
    <xf numFmtId="0" fontId="6" fillId="0" borderId="0" xfId="4" applyFont="1" applyFill="1" applyBorder="1" applyAlignment="1" applyProtection="1">
      <alignment horizontal="center" vertical="center" wrapText="1"/>
      <protection hidden="1"/>
    </xf>
    <xf numFmtId="3" fontId="6" fillId="3" borderId="1" xfId="4" applyNumberFormat="1" applyFont="1" applyFill="1" applyBorder="1" applyProtection="1">
      <protection hidden="1"/>
    </xf>
    <xf numFmtId="168" fontId="6" fillId="9" borderId="13" xfId="4" applyNumberFormat="1" applyFont="1" applyFill="1" applyBorder="1" applyProtection="1">
      <protection hidden="1"/>
    </xf>
    <xf numFmtId="10" fontId="6" fillId="3" borderId="1" xfId="4" applyNumberFormat="1" applyFont="1" applyFill="1" applyBorder="1" applyProtection="1">
      <protection hidden="1"/>
    </xf>
    <xf numFmtId="164" fontId="2" fillId="0" borderId="0" xfId="0" applyNumberFormat="1" applyFont="1"/>
    <xf numFmtId="164" fontId="2" fillId="0" borderId="6" xfId="0" applyNumberFormat="1" applyFont="1" applyBorder="1"/>
    <xf numFmtId="0" fontId="6" fillId="3" borderId="1" xfId="5" applyNumberFormat="1" applyFont="1" applyFill="1" applyBorder="1" applyProtection="1">
      <protection hidden="1"/>
    </xf>
    <xf numFmtId="164" fontId="6" fillId="3" borderId="1" xfId="3" applyNumberFormat="1" applyFont="1" applyFill="1" applyBorder="1" applyProtection="1">
      <protection hidden="1"/>
    </xf>
    <xf numFmtId="9" fontId="72" fillId="26" borderId="1" xfId="1" applyFont="1" applyFill="1" applyBorder="1" applyProtection="1">
      <protection hidden="1"/>
    </xf>
    <xf numFmtId="0" fontId="6" fillId="3" borderId="1" xfId="0" applyFont="1" applyFill="1" applyBorder="1" applyAlignment="1" applyProtection="1">
      <alignment horizontal="right"/>
      <protection hidden="1"/>
    </xf>
    <xf numFmtId="0" fontId="6" fillId="22" borderId="1" xfId="4" applyFont="1" applyFill="1" applyBorder="1" applyAlignment="1" applyProtection="1">
      <alignment horizontal="center" vertical="center" wrapText="1"/>
      <protection hidden="1"/>
    </xf>
    <xf numFmtId="3" fontId="6" fillId="9" borderId="1" xfId="4" applyNumberFormat="1" applyFont="1" applyFill="1" applyBorder="1" applyAlignment="1" applyProtection="1">
      <alignment horizontal="center" vertical="center" wrapText="1"/>
      <protection hidden="1"/>
    </xf>
    <xf numFmtId="3" fontId="6" fillId="3" borderId="1" xfId="4" applyNumberFormat="1" applyFont="1" applyFill="1" applyBorder="1" applyAlignment="1" applyProtection="1">
      <alignment horizontal="center" vertical="center" wrapText="1"/>
      <protection hidden="1"/>
    </xf>
    <xf numFmtId="10" fontId="6" fillId="3" borderId="1" xfId="4" applyNumberFormat="1" applyFont="1" applyFill="1" applyBorder="1" applyAlignment="1" applyProtection="1">
      <alignment horizontal="center" vertical="center" wrapText="1"/>
      <protection hidden="1"/>
    </xf>
    <xf numFmtId="3" fontId="16" fillId="0" borderId="6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13" fillId="12" borderId="10" xfId="4" applyFont="1" applyFill="1" applyBorder="1" applyAlignment="1" applyProtection="1">
      <alignment horizontal="center" vertical="center" wrapText="1"/>
      <protection hidden="1"/>
    </xf>
    <xf numFmtId="0" fontId="13" fillId="12" borderId="8" xfId="4" applyFont="1" applyFill="1" applyBorder="1" applyAlignment="1" applyProtection="1">
      <alignment horizontal="center" vertical="center" wrapText="1"/>
      <protection hidden="1"/>
    </xf>
    <xf numFmtId="0" fontId="17" fillId="0" borderId="8" xfId="4" applyFont="1" applyFill="1" applyBorder="1" applyAlignment="1" applyProtection="1">
      <alignment horizontal="center" vertical="center" wrapText="1"/>
      <protection hidden="1"/>
    </xf>
    <xf numFmtId="0" fontId="13" fillId="12" borderId="9" xfId="4" applyFont="1" applyFill="1" applyBorder="1" applyAlignment="1" applyProtection="1">
      <alignment horizontal="center" vertical="center" wrapText="1"/>
      <protection hidden="1"/>
    </xf>
    <xf numFmtId="0" fontId="13" fillId="0" borderId="29" xfId="4" applyFont="1" applyBorder="1" applyAlignment="1" applyProtection="1">
      <alignment horizontal="center" vertical="center" wrapText="1"/>
      <protection hidden="1"/>
    </xf>
    <xf numFmtId="0" fontId="18" fillId="12" borderId="8" xfId="4" applyFont="1" applyFill="1" applyBorder="1" applyAlignment="1" applyProtection="1">
      <alignment horizontal="center" vertical="center" wrapText="1"/>
      <protection hidden="1"/>
    </xf>
    <xf numFmtId="0" fontId="76" fillId="0" borderId="8" xfId="4" applyFont="1" applyFill="1" applyBorder="1" applyAlignment="1" applyProtection="1">
      <alignment horizontal="center" vertical="center" wrapText="1"/>
      <protection hidden="1"/>
    </xf>
    <xf numFmtId="0" fontId="19" fillId="12" borderId="8" xfId="4" applyFont="1" applyFill="1" applyBorder="1" applyAlignment="1" applyProtection="1">
      <alignment horizontal="center" vertical="center" wrapText="1"/>
      <protection hidden="1"/>
    </xf>
    <xf numFmtId="0" fontId="1" fillId="0" borderId="9" xfId="4" applyFill="1" applyBorder="1" applyAlignment="1" applyProtection="1">
      <alignment horizontal="center" vertical="center" wrapText="1"/>
      <protection hidden="1"/>
    </xf>
    <xf numFmtId="0" fontId="20" fillId="0" borderId="30" xfId="4" applyFont="1" applyBorder="1" applyAlignment="1" applyProtection="1">
      <alignment horizontal="center" vertical="center" wrapText="1"/>
      <protection hidden="1"/>
    </xf>
    <xf numFmtId="3" fontId="1" fillId="13" borderId="31" xfId="4" applyNumberFormat="1" applyFill="1" applyBorder="1" applyAlignment="1" applyProtection="1">
      <alignment horizontal="center" vertical="center" wrapText="1"/>
      <protection hidden="1"/>
    </xf>
    <xf numFmtId="3" fontId="1" fillId="13" borderId="30" xfId="4" applyNumberFormat="1" applyFill="1" applyBorder="1" applyAlignment="1" applyProtection="1">
      <alignment horizontal="center" vertical="center" wrapText="1"/>
      <protection hidden="1"/>
    </xf>
    <xf numFmtId="3" fontId="21" fillId="0" borderId="30" xfId="4" applyNumberFormat="1" applyFont="1" applyFill="1" applyBorder="1" applyAlignment="1" applyProtection="1">
      <alignment horizontal="center" vertical="center" wrapText="1"/>
      <protection hidden="1"/>
    </xf>
    <xf numFmtId="3" fontId="1" fillId="13" borderId="32" xfId="4" applyNumberFormat="1" applyFill="1" applyBorder="1" applyAlignment="1" applyProtection="1">
      <alignment horizontal="center" vertical="center" wrapText="1"/>
      <protection hidden="1"/>
    </xf>
    <xf numFmtId="3" fontId="1" fillId="13" borderId="33" xfId="4" applyNumberFormat="1" applyFill="1" applyBorder="1" applyAlignment="1" applyProtection="1">
      <alignment horizontal="center" vertical="center" wrapText="1"/>
      <protection hidden="1"/>
    </xf>
    <xf numFmtId="3" fontId="7" fillId="13" borderId="30" xfId="4" applyNumberFormat="1" applyFont="1" applyFill="1" applyBorder="1" applyAlignment="1" applyProtection="1">
      <alignment horizontal="center" vertical="center" wrapText="1"/>
      <protection hidden="1"/>
    </xf>
    <xf numFmtId="43" fontId="0" fillId="0" borderId="0" xfId="3" applyFont="1" applyProtection="1"/>
    <xf numFmtId="0" fontId="64" fillId="24" borderId="0" xfId="0" applyNumberFormat="1" applyFont="1" applyFill="1" applyAlignment="1">
      <alignment horizontal="left" vertical="center"/>
    </xf>
    <xf numFmtId="0" fontId="64" fillId="24" borderId="6" xfId="0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64" fillId="0" borderId="8" xfId="0" applyNumberFormat="1" applyFont="1" applyFill="1" applyBorder="1" applyAlignment="1">
      <alignment horizontal="left" vertical="center"/>
    </xf>
    <xf numFmtId="0" fontId="64" fillId="24" borderId="8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Border="1"/>
    <xf numFmtId="0" fontId="42" fillId="2" borderId="0" xfId="0" applyFont="1" applyFill="1" applyAlignment="1" applyProtection="1">
      <alignment horizontal="right"/>
    </xf>
    <xf numFmtId="180" fontId="78" fillId="5" borderId="1" xfId="0" applyNumberFormat="1" applyFont="1" applyFill="1" applyBorder="1" applyAlignment="1" applyProtection="1">
      <alignment vertical="center"/>
      <protection locked="0"/>
    </xf>
    <xf numFmtId="171" fontId="78" fillId="5" borderId="1" xfId="0" applyNumberFormat="1" applyFont="1" applyFill="1" applyBorder="1" applyAlignment="1" applyProtection="1">
      <alignment vertical="center"/>
      <protection locked="0"/>
    </xf>
    <xf numFmtId="172" fontId="78" fillId="5" borderId="1" xfId="0" applyNumberFormat="1" applyFont="1" applyFill="1" applyBorder="1" applyAlignment="1" applyProtection="1">
      <alignment vertical="center"/>
      <protection locked="0"/>
    </xf>
    <xf numFmtId="170" fontId="78" fillId="5" borderId="1" xfId="0" applyNumberFormat="1" applyFont="1" applyFill="1" applyBorder="1" applyAlignment="1" applyProtection="1">
      <alignment vertical="center"/>
      <protection locked="0"/>
    </xf>
    <xf numFmtId="0" fontId="78" fillId="5" borderId="1" xfId="0" applyFont="1" applyFill="1" applyBorder="1" applyAlignment="1" applyProtection="1">
      <alignment horizontal="center" shrinkToFit="1"/>
      <protection locked="0"/>
    </xf>
    <xf numFmtId="0" fontId="78" fillId="5" borderId="10" xfId="0" applyFont="1" applyFill="1" applyBorder="1" applyProtection="1">
      <protection locked="0"/>
    </xf>
    <xf numFmtId="0" fontId="78" fillId="5" borderId="1" xfId="4" applyFont="1" applyFill="1" applyBorder="1" applyAlignment="1" applyProtection="1">
      <alignment horizontal="right"/>
      <protection locked="0"/>
    </xf>
    <xf numFmtId="0" fontId="78" fillId="5" borderId="1" xfId="4" applyFont="1" applyFill="1" applyBorder="1" applyAlignment="1" applyProtection="1">
      <alignment horizontal="right" shrinkToFit="1"/>
      <protection locked="0"/>
    </xf>
    <xf numFmtId="174" fontId="78" fillId="5" borderId="1" xfId="1" applyNumberFormat="1" applyFont="1" applyFill="1" applyBorder="1" applyProtection="1">
      <protection locked="0"/>
    </xf>
    <xf numFmtId="170" fontId="79" fillId="2" borderId="0" xfId="0" applyNumberFormat="1" applyFont="1" applyFill="1" applyAlignment="1" applyProtection="1">
      <alignment vertical="center"/>
      <protection locked="0"/>
    </xf>
    <xf numFmtId="0" fontId="10" fillId="2" borderId="0" xfId="0" quotePrefix="1" applyFont="1" applyFill="1" applyProtection="1"/>
    <xf numFmtId="164" fontId="43" fillId="27" borderId="1" xfId="4" applyNumberFormat="1" applyFont="1" applyFill="1" applyBorder="1" applyAlignment="1" applyProtection="1">
      <alignment horizontal="center" vertical="center" wrapText="1"/>
      <protection hidden="1"/>
    </xf>
    <xf numFmtId="0" fontId="0" fillId="27" borderId="1" xfId="4" applyFont="1" applyFill="1" applyBorder="1" applyAlignment="1" applyProtection="1">
      <alignment horizontal="center" vertical="center" wrapText="1"/>
      <protection hidden="1"/>
    </xf>
    <xf numFmtId="0" fontId="0" fillId="0" borderId="1" xfId="4" applyFont="1" applyFill="1" applyBorder="1" applyAlignment="1" applyProtection="1">
      <alignment horizontal="center" vertical="center" wrapText="1"/>
      <protection hidden="1"/>
    </xf>
    <xf numFmtId="164" fontId="37" fillId="0" borderId="0" xfId="4" applyNumberFormat="1" applyFont="1" applyFill="1" applyProtection="1">
      <protection hidden="1"/>
    </xf>
    <xf numFmtId="0" fontId="59" fillId="2" borderId="0" xfId="0" quotePrefix="1" applyFont="1" applyFill="1" applyAlignment="1" applyProtection="1">
      <alignment horizontal="right" shrinkToFit="1"/>
    </xf>
    <xf numFmtId="0" fontId="13" fillId="3" borderId="55" xfId="0" applyFont="1" applyFill="1" applyBorder="1" applyAlignment="1" applyProtection="1">
      <alignment horizontal="center" wrapText="1"/>
      <protection hidden="1"/>
    </xf>
    <xf numFmtId="0" fontId="13" fillId="3" borderId="56" xfId="0" applyFont="1" applyFill="1" applyBorder="1" applyAlignment="1" applyProtection="1">
      <alignment horizontal="center"/>
      <protection hidden="1"/>
    </xf>
    <xf numFmtId="0" fontId="13" fillId="3" borderId="57" xfId="0" applyFont="1" applyFill="1" applyBorder="1" applyAlignment="1" applyProtection="1">
      <alignment horizontal="center"/>
      <protection hidden="1"/>
    </xf>
    <xf numFmtId="0" fontId="13" fillId="3" borderId="58" xfId="0" applyFont="1" applyFill="1" applyBorder="1" applyAlignment="1" applyProtection="1">
      <alignment horizontal="center"/>
      <protection hidden="1"/>
    </xf>
    <xf numFmtId="0" fontId="78" fillId="5" borderId="9" xfId="0" applyNumberFormat="1" applyFont="1" applyFill="1" applyBorder="1" applyProtection="1">
      <protection locked="0"/>
    </xf>
    <xf numFmtId="168" fontId="4" fillId="12" borderId="6" xfId="2" applyNumberFormat="1" applyFont="1" applyFill="1" applyBorder="1"/>
    <xf numFmtId="168" fontId="4" fillId="12" borderId="0" xfId="2" applyNumberFormat="1" applyFont="1" applyFill="1" applyBorder="1"/>
    <xf numFmtId="0" fontId="13" fillId="0" borderId="14" xfId="4" applyFont="1" applyBorder="1"/>
    <xf numFmtId="0" fontId="13" fillId="2" borderId="19" xfId="4" applyFont="1" applyFill="1" applyBorder="1"/>
    <xf numFmtId="164" fontId="2" fillId="24" borderId="0" xfId="0" applyNumberFormat="1" applyFont="1" applyFill="1"/>
    <xf numFmtId="164" fontId="2" fillId="24" borderId="6" xfId="0" applyNumberFormat="1" applyFont="1" applyFill="1" applyBorder="1"/>
    <xf numFmtId="168" fontId="2" fillId="24" borderId="0" xfId="0" applyNumberFormat="1" applyFont="1" applyFill="1" applyAlignment="1">
      <alignment horizontal="left"/>
    </xf>
    <xf numFmtId="0" fontId="13" fillId="0" borderId="41" xfId="4" applyFont="1" applyBorder="1"/>
    <xf numFmtId="164" fontId="6" fillId="3" borderId="1" xfId="5" applyNumberFormat="1" applyFont="1" applyFill="1" applyBorder="1" applyProtection="1">
      <protection hidden="1"/>
    </xf>
    <xf numFmtId="174" fontId="2" fillId="24" borderId="0" xfId="0" applyNumberFormat="1" applyFont="1" applyFill="1"/>
    <xf numFmtId="174" fontId="2" fillId="24" borderId="6" xfId="0" applyNumberFormat="1" applyFont="1" applyFill="1" applyBorder="1"/>
    <xf numFmtId="10" fontId="2" fillId="10" borderId="34" xfId="0" applyNumberFormat="1" applyFont="1" applyFill="1" applyBorder="1"/>
    <xf numFmtId="10" fontId="2" fillId="10" borderId="6" xfId="0" applyNumberFormat="1" applyFont="1" applyFill="1" applyBorder="1"/>
    <xf numFmtId="9" fontId="2" fillId="24" borderId="0" xfId="0" applyNumberFormat="1" applyFont="1" applyFill="1"/>
    <xf numFmtId="9" fontId="2" fillId="24" borderId="6" xfId="0" applyNumberFormat="1" applyFont="1" applyFill="1" applyBorder="1"/>
    <xf numFmtId="178" fontId="2" fillId="24" borderId="8" xfId="0" applyNumberFormat="1" applyFont="1" applyFill="1" applyBorder="1"/>
    <xf numFmtId="0" fontId="80" fillId="0" borderId="0" xfId="0" applyFont="1" applyProtection="1"/>
    <xf numFmtId="0" fontId="80" fillId="5" borderId="0" xfId="0" applyFont="1" applyFill="1" applyProtection="1"/>
    <xf numFmtId="0" fontId="38" fillId="5" borderId="0" xfId="0" applyFont="1" applyFill="1" applyAlignment="1" applyProtection="1">
      <alignment horizontal="right" vertical="center"/>
    </xf>
    <xf numFmtId="0" fontId="38" fillId="5" borderId="0" xfId="0" applyFont="1" applyFill="1" applyAlignment="1" applyProtection="1">
      <alignment horizontal="left" vertical="center" shrinkToFit="1"/>
    </xf>
    <xf numFmtId="165" fontId="38" fillId="5" borderId="0" xfId="0" applyNumberFormat="1" applyFont="1" applyFill="1" applyBorder="1" applyAlignment="1" applyProtection="1">
      <alignment vertical="center"/>
    </xf>
    <xf numFmtId="0" fontId="38" fillId="5" borderId="0" xfId="0" applyFont="1" applyFill="1" applyBorder="1" applyAlignment="1" applyProtection="1">
      <alignment horizontal="center" vertical="center"/>
    </xf>
    <xf numFmtId="179" fontId="38" fillId="5" borderId="0" xfId="0" applyNumberFormat="1" applyFont="1" applyFill="1" applyProtection="1"/>
    <xf numFmtId="178" fontId="33" fillId="2" borderId="88" xfId="0" applyNumberFormat="1" applyFont="1" applyFill="1" applyBorder="1" applyAlignment="1" applyProtection="1">
      <alignment horizontal="center" vertical="center"/>
    </xf>
    <xf numFmtId="178" fontId="33" fillId="2" borderId="89" xfId="0" applyNumberFormat="1" applyFont="1" applyFill="1" applyBorder="1" applyAlignment="1" applyProtection="1">
      <alignment horizontal="center" vertical="center"/>
    </xf>
    <xf numFmtId="0" fontId="78" fillId="5" borderId="10" xfId="0" applyFont="1" applyFill="1" applyBorder="1" applyAlignment="1" applyProtection="1">
      <alignment horizontal="center"/>
      <protection locked="0"/>
    </xf>
    <xf numFmtId="0" fontId="78" fillId="5" borderId="8" xfId="0" applyFont="1" applyFill="1" applyBorder="1" applyAlignment="1" applyProtection="1">
      <alignment horizontal="center"/>
      <protection locked="0"/>
    </xf>
    <xf numFmtId="0" fontId="78" fillId="5" borderId="9" xfId="0" applyFont="1" applyFill="1" applyBorder="1" applyAlignment="1" applyProtection="1">
      <alignment horizontal="center"/>
      <protection locked="0"/>
    </xf>
    <xf numFmtId="0" fontId="78" fillId="5" borderId="10" xfId="0" applyNumberFormat="1" applyFont="1" applyFill="1" applyBorder="1" applyAlignment="1" applyProtection="1">
      <alignment horizontal="left" shrinkToFit="1"/>
      <protection locked="0"/>
    </xf>
    <xf numFmtId="0" fontId="78" fillId="5" borderId="9" xfId="0" applyNumberFormat="1" applyFont="1" applyFill="1" applyBorder="1" applyAlignment="1" applyProtection="1">
      <alignment horizontal="left" shrinkToFit="1"/>
      <protection locked="0"/>
    </xf>
    <xf numFmtId="0" fontId="32" fillId="2" borderId="93" xfId="0" applyFont="1" applyFill="1" applyBorder="1" applyAlignment="1" applyProtection="1">
      <alignment horizontal="center" vertical="center" wrapText="1"/>
    </xf>
    <xf numFmtId="0" fontId="32" fillId="2" borderId="94" xfId="0" applyFont="1" applyFill="1" applyBorder="1" applyAlignment="1" applyProtection="1">
      <alignment horizontal="center" vertical="center" wrapText="1"/>
    </xf>
    <xf numFmtId="0" fontId="32" fillId="2" borderId="88" xfId="0" applyFont="1" applyFill="1" applyBorder="1" applyAlignment="1" applyProtection="1">
      <alignment horizontal="center" vertical="center" wrapText="1"/>
    </xf>
    <xf numFmtId="0" fontId="32" fillId="2" borderId="89" xfId="0" applyFont="1" applyFill="1" applyBorder="1" applyAlignment="1" applyProtection="1">
      <alignment horizontal="center" vertical="center" wrapText="1"/>
    </xf>
    <xf numFmtId="0" fontId="25" fillId="24" borderId="100" xfId="0" applyFont="1" applyFill="1" applyBorder="1" applyAlignment="1" applyProtection="1">
      <alignment horizontal="center" vertical="top" wrapText="1"/>
    </xf>
    <xf numFmtId="0" fontId="25" fillId="24" borderId="99" xfId="0" applyFont="1" applyFill="1" applyBorder="1" applyAlignment="1" applyProtection="1">
      <alignment horizontal="center" vertical="top" wrapText="1"/>
    </xf>
    <xf numFmtId="0" fontId="25" fillId="24" borderId="101" xfId="0" applyFont="1" applyFill="1" applyBorder="1" applyAlignment="1" applyProtection="1">
      <alignment horizontal="center" vertical="top" wrapText="1"/>
    </xf>
    <xf numFmtId="0" fontId="25" fillId="24" borderId="102" xfId="0" applyFont="1" applyFill="1" applyBorder="1" applyAlignment="1" applyProtection="1">
      <alignment horizontal="center" wrapText="1"/>
    </xf>
    <xf numFmtId="0" fontId="25" fillId="24" borderId="0" xfId="0" applyFont="1" applyFill="1" applyBorder="1" applyAlignment="1" applyProtection="1">
      <alignment horizontal="center" wrapText="1"/>
    </xf>
    <xf numFmtId="0" fontId="25" fillId="24" borderId="103" xfId="0" applyFont="1" applyFill="1" applyBorder="1" applyAlignment="1" applyProtection="1">
      <alignment horizontal="center" wrapText="1"/>
    </xf>
    <xf numFmtId="0" fontId="25" fillId="24" borderId="104" xfId="0" applyFont="1" applyFill="1" applyBorder="1" applyAlignment="1" applyProtection="1">
      <alignment horizontal="center" wrapText="1"/>
    </xf>
    <xf numFmtId="0" fontId="25" fillId="24" borderId="105" xfId="0" applyFont="1" applyFill="1" applyBorder="1" applyAlignment="1" applyProtection="1">
      <alignment horizontal="center" wrapText="1"/>
    </xf>
    <xf numFmtId="0" fontId="25" fillId="24" borderId="106" xfId="0" applyFont="1" applyFill="1" applyBorder="1" applyAlignment="1" applyProtection="1">
      <alignment horizontal="center" wrapText="1"/>
    </xf>
    <xf numFmtId="0" fontId="25" fillId="2" borderId="99" xfId="0" applyFont="1" applyFill="1" applyBorder="1" applyAlignment="1" applyProtection="1">
      <alignment horizontal="center" wrapText="1"/>
    </xf>
    <xf numFmtId="0" fontId="13" fillId="0" borderId="49" xfId="0" applyFont="1" applyBorder="1" applyAlignment="1" applyProtection="1">
      <alignment horizontal="center"/>
      <protection hidden="1"/>
    </xf>
    <xf numFmtId="0" fontId="13" fillId="0" borderId="50" xfId="0" applyFont="1" applyBorder="1" applyAlignment="1" applyProtection="1">
      <alignment horizontal="center"/>
      <protection hidden="1"/>
    </xf>
    <xf numFmtId="0" fontId="13" fillId="0" borderId="51" xfId="0" applyFont="1" applyBorder="1" applyAlignment="1" applyProtection="1">
      <alignment horizontal="center"/>
      <protection hidden="1"/>
    </xf>
    <xf numFmtId="0" fontId="13" fillId="9" borderId="48" xfId="0" applyFont="1" applyFill="1" applyBorder="1" applyAlignment="1" applyProtection="1">
      <alignment horizontal="center" wrapText="1"/>
      <protection hidden="1"/>
    </xf>
    <xf numFmtId="0" fontId="13" fillId="9" borderId="53" xfId="0" applyFont="1" applyFill="1" applyBorder="1" applyAlignment="1" applyProtection="1">
      <alignment horizontal="center" wrapText="1"/>
      <protection hidden="1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</cellXfs>
  <cellStyles count="7">
    <cellStyle name="Ezres" xfId="3" builtinId="3"/>
    <cellStyle name="Ezres 2" xfId="6"/>
    <cellStyle name="Normál" xfId="0" builtinId="0"/>
    <cellStyle name="Normál 2" xfId="2"/>
    <cellStyle name="Normal 6" xfId="4"/>
    <cellStyle name="Percent 4" xfId="5"/>
    <cellStyle name="Százalék" xfId="1" builtinId="5"/>
  </cellStyles>
  <dxfs count="56">
    <dxf>
      <border>
        <bottom style="thin">
          <color auto="1"/>
        </bottom>
        <vertical/>
        <horizontal/>
      </border>
    </dxf>
    <dxf>
      <fill>
        <patternFill patternType="lightGray">
          <fgColor theme="0" tint="-0.14996795556505021"/>
        </patternFill>
      </fill>
    </dxf>
    <dxf>
      <fill>
        <patternFill>
          <bgColor rgb="FFFFFFCC"/>
        </patternFill>
      </fill>
    </dxf>
    <dxf>
      <border>
        <bottom style="thin">
          <color rgb="FFC00000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 patternType="lightGray">
          <fgColor theme="0" tint="-0.14996795556505021"/>
        </patternFill>
      </fill>
    </dxf>
    <dxf>
      <fill>
        <patternFill>
          <bgColor rgb="FFFFFFCC"/>
        </patternFill>
      </fill>
    </dxf>
    <dxf>
      <border>
        <bottom style="thin">
          <color rgb="FFC00000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 patternType="lightGray">
          <fgColor theme="0" tint="-0.14996795556505021"/>
        </patternFill>
      </fill>
    </dxf>
    <dxf>
      <fill>
        <patternFill>
          <bgColor rgb="FFFFFFCC"/>
        </patternFill>
      </fill>
    </dxf>
    <dxf>
      <border>
        <bottom style="thin">
          <color rgb="FFC00000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 patternType="lightGray">
          <fgColor theme="0" tint="-0.14996795556505021"/>
        </patternFill>
      </fill>
    </dxf>
    <dxf>
      <fill>
        <patternFill>
          <bgColor rgb="FFFFFFCC"/>
        </patternFill>
      </fill>
    </dxf>
    <dxf>
      <border>
        <bottom style="thin">
          <color rgb="FFC00000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 patternType="lightGray">
          <fgColor theme="0" tint="-0.14996795556505021"/>
        </patternFill>
      </fill>
    </dxf>
    <dxf>
      <fill>
        <patternFill>
          <bgColor rgb="FFFFFFCC"/>
        </patternFill>
      </fill>
    </dxf>
    <dxf>
      <border>
        <bottom style="thin">
          <color rgb="FFC00000"/>
        </bottom>
        <vertical/>
        <horizontal/>
      </border>
    </dxf>
    <dxf>
      <font>
        <color theme="1" tint="0.499984740745262"/>
      </font>
    </dxf>
    <dxf>
      <fill>
        <patternFill>
          <bgColor theme="0" tint="-0.24994659260841701"/>
        </patternFill>
      </fill>
    </dxf>
    <dxf>
      <font>
        <b/>
        <i val="0"/>
        <color auto="1"/>
      </font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0" tint="-0.14996795556505021"/>
        </patternFill>
      </fill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bottom style="thin">
          <color auto="1"/>
        </bottom>
        <vertical/>
        <horizontal/>
      </border>
    </dxf>
    <dxf>
      <font>
        <color theme="0" tint="-0.499984740745262"/>
      </font>
    </dxf>
    <dxf>
      <font>
        <color theme="4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/>
        <bottom style="thin">
          <color rgb="FFFF0000"/>
        </bottom>
        <vertical/>
        <horizontal/>
      </border>
    </dxf>
    <dxf>
      <font>
        <color theme="0" tint="-4.9989318521683403E-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 val="0"/>
        <i val="0"/>
        <color theme="0" tint="-0.499984740745262"/>
      </font>
    </dxf>
    <dxf>
      <font>
        <color auto="1"/>
      </font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vertical/>
        <horizontal/>
      </border>
    </dxf>
    <dxf>
      <border>
        <right style="hair">
          <color auto="1"/>
        </right>
        <top style="hair">
          <color auto="1"/>
        </top>
        <vertical/>
        <horizontal/>
      </border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border>
        <vertical/>
        <horizontal/>
      </border>
    </dxf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color auto="1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auto="1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color rgb="FFFF000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FFCC"/>
      <color rgb="FFFFCCFF"/>
      <color rgb="FF99FF99"/>
      <color rgb="FFCCFFCC"/>
      <color rgb="FFFFFF99"/>
      <color rgb="FFCCECFF"/>
      <color rgb="FF00FF00"/>
      <color rgb="FFFFE5FF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3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8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PM!$A$94</c:f>
          <c:strCache>
            <c:ptCount val="1"/>
            <c:pt idx="0">
              <c:v>Life Planet Bonus - folyamatos díjas életbiztosítás</c:v>
            </c:pt>
          </c:strCache>
        </c:strRef>
      </c:tx>
      <c:overlay val="1"/>
      <c:txPr>
        <a:bodyPr/>
        <a:lstStyle/>
        <a:p>
          <a:pPr>
            <a:defRPr sz="1400"/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5.4645843302736329E-2"/>
          <c:y val="9.9637737056999284E-2"/>
          <c:w val="0.91678729389595537"/>
          <c:h val="0.649992105317543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Kalkulátor!$D$31</c:f>
              <c:strCache>
                <c:ptCount val="1"/>
                <c:pt idx="0">
                  <c:v>Megtakarítási egységek</c:v>
                </c:pt>
              </c:strCache>
            </c:strRef>
          </c:tx>
          <c:spPr>
            <a:ln>
              <a:noFill/>
            </a:ln>
          </c:spPr>
          <c:invertIfNegative val="0"/>
          <c:dPt>
            <c:idx val="4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9"/>
            <c:invertIfNegative val="0"/>
            <c:bubble3D val="0"/>
          </c:dPt>
          <c:dPt>
            <c:idx val="34"/>
            <c:invertIfNegative val="0"/>
            <c:bubble3D val="0"/>
          </c:dPt>
          <c:dPt>
            <c:idx val="39"/>
            <c:invertIfNegative val="0"/>
            <c:bubble3D val="0"/>
          </c:dPt>
          <c:dPt>
            <c:idx val="44"/>
            <c:invertIfNegative val="0"/>
            <c:bubble3D val="0"/>
          </c:dPt>
          <c:dPt>
            <c:idx val="46"/>
            <c:invertIfNegative val="0"/>
            <c:bubble3D val="0"/>
          </c:dPt>
          <c:cat>
            <c:numRef>
              <c:f>Kalkulátor!$A$32:$A$79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</c:numCache>
            </c:numRef>
          </c:cat>
          <c:val>
            <c:numRef>
              <c:f>Kalkulátor!$D$32:$D$79</c:f>
              <c:numCache>
                <c:formatCode>_-* #,##0\ _-;\-\ #,##0\ _-;_-* "-"??\ _-;_-@_-</c:formatCode>
                <c:ptCount val="47"/>
                <c:pt idx="0">
                  <c:v>30931.782643644205</c:v>
                </c:pt>
                <c:pt idx="1">
                  <c:v>111741.06480016472</c:v>
                </c:pt>
                <c:pt idx="2">
                  <c:v>247318.93460008778</c:v>
                </c:pt>
                <c:pt idx="3">
                  <c:v>391264.77374521707</c:v>
                </c:pt>
                <c:pt idx="4">
                  <c:v>568897.6284752175</c:v>
                </c:pt>
                <c:pt idx="5">
                  <c:v>726296.8963308091</c:v>
                </c:pt>
                <c:pt idx="6">
                  <c:v>890487.73671370198</c:v>
                </c:pt>
                <c:pt idx="7">
                  <c:v>1061696.9321764049</c:v>
                </c:pt>
                <c:pt idx="8">
                  <c:v>1240158.0719352015</c:v>
                </c:pt>
                <c:pt idx="9">
                  <c:v>1555241.0676716394</c:v>
                </c:pt>
                <c:pt idx="10">
                  <c:v>1751511.382079157</c:v>
                </c:pt>
                <c:pt idx="11">
                  <c:v>1955828.6049224939</c:v>
                </c:pt>
                <c:pt idx="12">
                  <c:v>2168456.5595908794</c:v>
                </c:pt>
                <c:pt idx="13">
                  <c:v>2389666.9150325651</c:v>
                </c:pt>
                <c:pt idx="14">
                  <c:v>2821099.7514587035</c:v>
                </c:pt>
                <c:pt idx="15">
                  <c:v>3064339.8475566586</c:v>
                </c:pt>
                <c:pt idx="16">
                  <c:v>3317106.8195687807</c:v>
                </c:pt>
                <c:pt idx="17">
                  <c:v>3579707.58969892</c:v>
                </c:pt>
                <c:pt idx="18">
                  <c:v>3852458.1248769704</c:v>
                </c:pt>
                <c:pt idx="19">
                  <c:v>4528994.4785392098</c:v>
                </c:pt>
                <c:pt idx="20">
                  <c:v>4528994.4785392098</c:v>
                </c:pt>
                <c:pt idx="21">
                  <c:v>4528994.4785392098</c:v>
                </c:pt>
                <c:pt idx="22">
                  <c:v>4528994.4785392098</c:v>
                </c:pt>
                <c:pt idx="23">
                  <c:v>4528994.4785392098</c:v>
                </c:pt>
                <c:pt idx="24">
                  <c:v>4528994.4785392098</c:v>
                </c:pt>
                <c:pt idx="25">
                  <c:v>4528994.4785392098</c:v>
                </c:pt>
                <c:pt idx="26">
                  <c:v>4528994.4785392098</c:v>
                </c:pt>
                <c:pt idx="27">
                  <c:v>4528994.4785392098</c:v>
                </c:pt>
                <c:pt idx="28">
                  <c:v>4528994.4785392098</c:v>
                </c:pt>
                <c:pt idx="29">
                  <c:v>4528994.4785392098</c:v>
                </c:pt>
                <c:pt idx="30">
                  <c:v>4528994.4785392098</c:v>
                </c:pt>
                <c:pt idx="31">
                  <c:v>4528994.4785392098</c:v>
                </c:pt>
                <c:pt idx="32">
                  <c:v>4528994.4785392098</c:v>
                </c:pt>
                <c:pt idx="33">
                  <c:v>4528994.4785392098</c:v>
                </c:pt>
                <c:pt idx="34">
                  <c:v>4528994.4785392098</c:v>
                </c:pt>
                <c:pt idx="35">
                  <c:v>4528994.4785392098</c:v>
                </c:pt>
                <c:pt idx="36">
                  <c:v>4528994.4785392098</c:v>
                </c:pt>
                <c:pt idx="37">
                  <c:v>4528994.4785392098</c:v>
                </c:pt>
                <c:pt idx="38">
                  <c:v>4528994.4785392098</c:v>
                </c:pt>
                <c:pt idx="39">
                  <c:v>4528994.4785392098</c:v>
                </c:pt>
                <c:pt idx="40">
                  <c:v>4528994.4785392098</c:v>
                </c:pt>
                <c:pt idx="41">
                  <c:v>4528994.4785392098</c:v>
                </c:pt>
                <c:pt idx="42">
                  <c:v>4528994.4785392098</c:v>
                </c:pt>
                <c:pt idx="43">
                  <c:v>4528994.4785392098</c:v>
                </c:pt>
                <c:pt idx="44">
                  <c:v>4528994.4785392098</c:v>
                </c:pt>
                <c:pt idx="45">
                  <c:v>4528994.4785392098</c:v>
                </c:pt>
                <c:pt idx="46">
                  <c:v>4528994.4785392098</c:v>
                </c:pt>
              </c:numCache>
            </c:numRef>
          </c:val>
        </c:ser>
        <c:ser>
          <c:idx val="1"/>
          <c:order val="1"/>
          <c:tx>
            <c:strRef>
              <c:f>Kalkulátor!$E$31</c:f>
              <c:strCache>
                <c:ptCount val="1"/>
                <c:pt idx="0">
                  <c:v>Bónusz egységek</c:v>
                </c:pt>
              </c:strCache>
            </c:strRef>
          </c:tx>
          <c:spPr>
            <a:solidFill>
              <a:srgbClr val="66FF66"/>
            </a:solidFill>
            <a:ln>
              <a:noFill/>
            </a:ln>
          </c:spPr>
          <c:invertIfNegative val="0"/>
          <c:cat>
            <c:numRef>
              <c:f>Kalkulátor!$A$32:$A$79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</c:numCache>
            </c:numRef>
          </c:cat>
          <c:val>
            <c:numRef>
              <c:f>Kalkulátor!$E$32:$E$79</c:f>
              <c:numCache>
                <c:formatCode>_-* #,##0\ _-;\-\ #,##0\ _-;_-* "-"??\ _-;_-@_-</c:formatCode>
                <c:ptCount val="47"/>
                <c:pt idx="0">
                  <c:v>4639.7673965466356</c:v>
                </c:pt>
                <c:pt idx="1">
                  <c:v>9627.5173478342695</c:v>
                </c:pt>
                <c:pt idx="2">
                  <c:v>16608.434043221725</c:v>
                </c:pt>
                <c:pt idx="3">
                  <c:v>34314.843100233804</c:v>
                </c:pt>
                <c:pt idx="4">
                  <c:v>27339.795363620193</c:v>
                </c:pt>
                <c:pt idx="5">
                  <c:v>49980.418086294005</c:v>
                </c:pt>
                <c:pt idx="6">
                  <c:v>75601.958469135774</c:v>
                </c:pt>
                <c:pt idx="7">
                  <c:v>104382.39828627741</c:v>
                </c:pt>
                <c:pt idx="8">
                  <c:v>136507.76183694543</c:v>
                </c:pt>
                <c:pt idx="9">
                  <c:v>43043.107649352285</c:v>
                </c:pt>
                <c:pt idx="10">
                  <c:v>79873.823985924726</c:v>
                </c:pt>
                <c:pt idx="11">
                  <c:v>120607.59390368714</c:v>
                </c:pt>
                <c:pt idx="12">
                  <c:v>165464.84742629447</c:v>
                </c:pt>
                <c:pt idx="13">
                  <c:v>214675.72649411604</c:v>
                </c:pt>
                <c:pt idx="14">
                  <c:v>67120.114875351923</c:v>
                </c:pt>
                <c:pt idx="15">
                  <c:v>121751.96588657657</c:v>
                </c:pt>
                <c:pt idx="16">
                  <c:v>181409.79817318066</c:v>
                </c:pt>
                <c:pt idx="17">
                  <c:v>246364.88271250954</c:v>
                </c:pt>
                <c:pt idx="18">
                  <c:v>316900.18065365229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2"/>
          <c:order val="2"/>
          <c:tx>
            <c:strRef>
              <c:f>Kalkulátor!$F$31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invertIfNegative val="0"/>
          <c:cat>
            <c:numRef>
              <c:f>Kalkulátor!$A$32:$A$79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</c:numCache>
            </c:numRef>
          </c:cat>
          <c:val>
            <c:numRef>
              <c:f>Kalkulátor!$F$32:$F$79</c:f>
              <c:numCache>
                <c:formatCode>_-* #,##0\ _F_t_-;\-* #,##0\ _F_t_-;_-* "-"??\ _F_t_-;_-@_-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9089024"/>
        <c:axId val="79096064"/>
      </c:barChart>
      <c:lineChart>
        <c:grouping val="standard"/>
        <c:varyColors val="0"/>
        <c:ser>
          <c:idx val="3"/>
          <c:order val="3"/>
          <c:tx>
            <c:strRef>
              <c:f>Kalkulátor!$G$31</c:f>
              <c:strCache>
                <c:ptCount val="1"/>
                <c:pt idx="0">
                  <c:v>Összesen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4"/>
            <c:spPr>
              <a:solidFill>
                <a:schemeClr val="bg1">
                  <a:lumMod val="50000"/>
                </a:schemeClr>
              </a:solidFill>
            </c:spPr>
          </c:marker>
          <c:dLbls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0;0.000;#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50" b="1"/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Kalkulátor!$A$32:$A$79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</c:numCache>
            </c:numRef>
          </c:cat>
          <c:val>
            <c:numRef>
              <c:f>Kalkulátor!$G$32:$G$79</c:f>
              <c:numCache>
                <c:formatCode>_-* #,##0\ _-;\-\ #,##0\ _-;_-* "-"??\ _-;_-@_-</c:formatCode>
                <c:ptCount val="47"/>
                <c:pt idx="0">
                  <c:v>35571.550040190843</c:v>
                </c:pt>
                <c:pt idx="1">
                  <c:v>121368.582147999</c:v>
                </c:pt>
                <c:pt idx="2">
                  <c:v>263927.36864330951</c:v>
                </c:pt>
                <c:pt idx="3">
                  <c:v>425579.61684545089</c:v>
                </c:pt>
                <c:pt idx="4">
                  <c:v>596237.42383883765</c:v>
                </c:pt>
                <c:pt idx="5">
                  <c:v>776277.31441710307</c:v>
                </c:pt>
                <c:pt idx="6">
                  <c:v>966089.69518283778</c:v>
                </c:pt>
                <c:pt idx="7">
                  <c:v>1166079.3304626823</c:v>
                </c:pt>
                <c:pt idx="8">
                  <c:v>1376665.8337721471</c:v>
                </c:pt>
                <c:pt idx="9">
                  <c:v>1598284.1753209918</c:v>
                </c:pt>
                <c:pt idx="10">
                  <c:v>1831385.2060650818</c:v>
                </c:pt>
                <c:pt idx="11">
                  <c:v>2076436.198826181</c:v>
                </c:pt>
                <c:pt idx="12">
                  <c:v>2333921.4070171737</c:v>
                </c:pt>
                <c:pt idx="13">
                  <c:v>2604342.6415266814</c:v>
                </c:pt>
                <c:pt idx="14">
                  <c:v>2888219.8663340556</c:v>
                </c:pt>
                <c:pt idx="15">
                  <c:v>3186091.8134432351</c:v>
                </c:pt>
                <c:pt idx="16">
                  <c:v>3498516.6177419615</c:v>
                </c:pt>
                <c:pt idx="17">
                  <c:v>3826072.4724114295</c:v>
                </c:pt>
                <c:pt idx="18">
                  <c:v>4169358.3055306226</c:v>
                </c:pt>
                <c:pt idx="19">
                  <c:v>4528994.4785392098</c:v>
                </c:pt>
                <c:pt idx="20">
                  <c:v>4528994.4785392098</c:v>
                </c:pt>
                <c:pt idx="21">
                  <c:v>4528994.4785392098</c:v>
                </c:pt>
                <c:pt idx="22">
                  <c:v>4528994.4785392098</c:v>
                </c:pt>
                <c:pt idx="23">
                  <c:v>4528994.4785392098</c:v>
                </c:pt>
                <c:pt idx="24">
                  <c:v>4528994.4785392098</c:v>
                </c:pt>
                <c:pt idx="25">
                  <c:v>4528994.4785392098</c:v>
                </c:pt>
                <c:pt idx="26">
                  <c:v>4528994.4785392098</c:v>
                </c:pt>
                <c:pt idx="27">
                  <c:v>4528994.4785392098</c:v>
                </c:pt>
                <c:pt idx="28">
                  <c:v>4528994.4785392098</c:v>
                </c:pt>
                <c:pt idx="29">
                  <c:v>4528994.4785392098</c:v>
                </c:pt>
                <c:pt idx="30">
                  <c:v>4528994.4785392098</c:v>
                </c:pt>
                <c:pt idx="31">
                  <c:v>4528994.4785392098</c:v>
                </c:pt>
                <c:pt idx="32">
                  <c:v>4528994.4785392098</c:v>
                </c:pt>
                <c:pt idx="33">
                  <c:v>4528994.4785392098</c:v>
                </c:pt>
                <c:pt idx="34">
                  <c:v>4528994.4785392098</c:v>
                </c:pt>
                <c:pt idx="35">
                  <c:v>4528994.4785392098</c:v>
                </c:pt>
                <c:pt idx="36">
                  <c:v>4528994.4785392098</c:v>
                </c:pt>
                <c:pt idx="37">
                  <c:v>4528994.4785392098</c:v>
                </c:pt>
                <c:pt idx="38">
                  <c:v>4528994.4785392098</c:v>
                </c:pt>
                <c:pt idx="39">
                  <c:v>4528994.4785392098</c:v>
                </c:pt>
                <c:pt idx="40">
                  <c:v>4528994.4785392098</c:v>
                </c:pt>
                <c:pt idx="41">
                  <c:v>4528994.4785392098</c:v>
                </c:pt>
                <c:pt idx="42">
                  <c:v>4528994.4785392098</c:v>
                </c:pt>
                <c:pt idx="43">
                  <c:v>4528994.4785392098</c:v>
                </c:pt>
                <c:pt idx="44">
                  <c:v>4528994.4785392098</c:v>
                </c:pt>
                <c:pt idx="45">
                  <c:v>4528994.4785392098</c:v>
                </c:pt>
                <c:pt idx="46">
                  <c:v>4528994.4785392098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Kalkulátor!$C$30</c:f>
              <c:strCache>
                <c:ptCount val="1"/>
                <c:pt idx="0">
                  <c:v>Befizetett díj összesen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Kalkulátor!$C$32:$C$79</c:f>
              <c:numCache>
                <c:formatCode>_-* #,##0\ _-;\-\ #,##0\ _-;_-* "-"??\ _-;_-@_-</c:formatCode>
                <c:ptCount val="47"/>
                <c:pt idx="0">
                  <c:v>150000</c:v>
                </c:pt>
                <c:pt idx="1">
                  <c:v>303750</c:v>
                </c:pt>
                <c:pt idx="2">
                  <c:v>461343.75</c:v>
                </c:pt>
                <c:pt idx="3">
                  <c:v>622877.34375</c:v>
                </c:pt>
                <c:pt idx="4">
                  <c:v>788449.27734375</c:v>
                </c:pt>
                <c:pt idx="5">
                  <c:v>958160.50927734375</c:v>
                </c:pt>
                <c:pt idx="6">
                  <c:v>1132114.5220092773</c:v>
                </c:pt>
                <c:pt idx="7">
                  <c:v>1310417.3850595092</c:v>
                </c:pt>
                <c:pt idx="8">
                  <c:v>1493177.819685997</c:v>
                </c:pt>
                <c:pt idx="9">
                  <c:v>1680507.2651781468</c:v>
                </c:pt>
                <c:pt idx="10">
                  <c:v>1872519.9468076003</c:v>
                </c:pt>
                <c:pt idx="11">
                  <c:v>2069332.9454777902</c:v>
                </c:pt>
                <c:pt idx="12">
                  <c:v>2271066.2691147346</c:v>
                </c:pt>
                <c:pt idx="13">
                  <c:v>2477842.9258426027</c:v>
                </c:pt>
                <c:pt idx="14">
                  <c:v>2689788.9989886675</c:v>
                </c:pt>
                <c:pt idx="15">
                  <c:v>2907033.7239633841</c:v>
                </c:pt>
                <c:pt idx="16">
                  <c:v>3129709.5670624687</c:v>
                </c:pt>
                <c:pt idx="17">
                  <c:v>3357952.3062390303</c:v>
                </c:pt>
                <c:pt idx="18">
                  <c:v>3591901.113895006</c:v>
                </c:pt>
                <c:pt idx="19">
                  <c:v>3831698.6417423808</c:v>
                </c:pt>
                <c:pt idx="20">
                  <c:v>3831698.6417423808</c:v>
                </c:pt>
                <c:pt idx="21">
                  <c:v>3831698.6417423808</c:v>
                </c:pt>
                <c:pt idx="22">
                  <c:v>3831698.6417423808</c:v>
                </c:pt>
                <c:pt idx="23">
                  <c:v>3831698.6417423808</c:v>
                </c:pt>
                <c:pt idx="24">
                  <c:v>3831698.6417423808</c:v>
                </c:pt>
                <c:pt idx="25">
                  <c:v>3831698.6417423808</c:v>
                </c:pt>
                <c:pt idx="26">
                  <c:v>3831698.6417423808</c:v>
                </c:pt>
                <c:pt idx="27">
                  <c:v>3831698.6417423808</c:v>
                </c:pt>
                <c:pt idx="28">
                  <c:v>3831698.6417423808</c:v>
                </c:pt>
                <c:pt idx="29">
                  <c:v>3831698.6417423808</c:v>
                </c:pt>
                <c:pt idx="30">
                  <c:v>3831698.6417423808</c:v>
                </c:pt>
                <c:pt idx="31">
                  <c:v>3831698.6417423808</c:v>
                </c:pt>
                <c:pt idx="32">
                  <c:v>3831698.6417423808</c:v>
                </c:pt>
                <c:pt idx="33">
                  <c:v>3831698.6417423808</c:v>
                </c:pt>
                <c:pt idx="34">
                  <c:v>3831698.6417423808</c:v>
                </c:pt>
                <c:pt idx="35">
                  <c:v>3831698.6417423808</c:v>
                </c:pt>
                <c:pt idx="36">
                  <c:v>3831698.6417423808</c:v>
                </c:pt>
                <c:pt idx="37">
                  <c:v>3831698.6417423808</c:v>
                </c:pt>
                <c:pt idx="38">
                  <c:v>3831698.6417423808</c:v>
                </c:pt>
                <c:pt idx="39">
                  <c:v>3831698.6417423808</c:v>
                </c:pt>
                <c:pt idx="40">
                  <c:v>3831698.6417423808</c:v>
                </c:pt>
                <c:pt idx="41">
                  <c:v>3831698.6417423808</c:v>
                </c:pt>
                <c:pt idx="42">
                  <c:v>3831698.6417423808</c:v>
                </c:pt>
                <c:pt idx="43">
                  <c:v>3831698.6417423808</c:v>
                </c:pt>
                <c:pt idx="44">
                  <c:v>3831698.6417423808</c:v>
                </c:pt>
                <c:pt idx="45">
                  <c:v>3831698.6417423808</c:v>
                </c:pt>
                <c:pt idx="46">
                  <c:v>3831698.6417423808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89024"/>
        <c:axId val="79096064"/>
      </c:lineChart>
      <c:dateAx>
        <c:axId val="7908902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Év</a:t>
                </a:r>
              </a:p>
            </c:rich>
          </c:tx>
          <c:layout>
            <c:manualLayout>
              <c:xMode val="edge"/>
              <c:yMode val="edge"/>
              <c:x val="0.97051343966619552"/>
              <c:y val="0.79319354372042072"/>
            </c:manualLayout>
          </c:layout>
          <c:overlay val="0"/>
        </c:title>
        <c:numFmt formatCode="0;0;#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hu-HU"/>
          </a:p>
        </c:txPr>
        <c:crossAx val="79096064"/>
        <c:crosses val="autoZero"/>
        <c:auto val="0"/>
        <c:lblOffset val="100"/>
        <c:baseTimeUnit val="days"/>
      </c:dateAx>
      <c:valAx>
        <c:axId val="7909606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hu-HU"/>
          </a:p>
        </c:txPr>
        <c:crossAx val="790890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8253505604617E-2"/>
                <c:y val="5.2281881253643178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hu-HU"/>
                    <a:t>millió forint</a:t>
                  </a:r>
                </a:p>
              </c:rich>
            </c:tx>
          </c:dispUnitsLbl>
        </c:dispUnits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3.2104233124705568E-2"/>
          <c:y val="0.81373294479922298"/>
          <c:w val="0.94568226663974697"/>
          <c:h val="3.9285427904189124E-2"/>
        </c:manualLayout>
      </c:layout>
      <c:overlay val="0"/>
      <c:txPr>
        <a:bodyPr/>
        <a:lstStyle/>
        <a:p>
          <a:pPr>
            <a:defRPr sz="1400" b="1"/>
          </a:pPr>
          <a:endParaRPr lang="hu-HU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PM!$A$94</c:f>
          <c:strCache>
            <c:ptCount val="1"/>
            <c:pt idx="0">
              <c:v>Life Planet Bonus - folyamatos díjas életbiztosítás</c:v>
            </c:pt>
          </c:strCache>
        </c:strRef>
      </c:tx>
      <c:overlay val="1"/>
      <c:txPr>
        <a:bodyPr/>
        <a:lstStyle/>
        <a:p>
          <a:pPr>
            <a:defRPr sz="1400"/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5.4645843302736329E-2"/>
          <c:y val="9.9637737056999284E-2"/>
          <c:w val="0.91678729389595537"/>
          <c:h val="0.649992105317543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Kalkulátor!$E$31</c:f>
              <c:strCache>
                <c:ptCount val="1"/>
                <c:pt idx="0">
                  <c:v>Bónusz egységek</c:v>
                </c:pt>
              </c:strCache>
            </c:strRef>
          </c:tx>
          <c:spPr>
            <a:solidFill>
              <a:srgbClr val="66FF66"/>
            </a:solidFill>
            <a:ln>
              <a:noFill/>
            </a:ln>
          </c:spPr>
          <c:invertIfNegative val="0"/>
          <c:cat>
            <c:numRef>
              <c:f>Kalkulátor!$A$32:$A$79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</c:numCache>
            </c:numRef>
          </c:cat>
          <c:val>
            <c:numRef>
              <c:f>Kalkulátor!$E$32:$E$79</c:f>
              <c:numCache>
                <c:formatCode>_-* #,##0\ _-;\-\ #,##0\ _-;_-* "-"??\ _-;_-@_-</c:formatCode>
                <c:ptCount val="47"/>
                <c:pt idx="0">
                  <c:v>4639.7673965466356</c:v>
                </c:pt>
                <c:pt idx="1">
                  <c:v>9627.5173478342695</c:v>
                </c:pt>
                <c:pt idx="2">
                  <c:v>16608.434043221725</c:v>
                </c:pt>
                <c:pt idx="3">
                  <c:v>34314.843100233804</c:v>
                </c:pt>
                <c:pt idx="4">
                  <c:v>27339.795363620193</c:v>
                </c:pt>
                <c:pt idx="5">
                  <c:v>49980.418086294005</c:v>
                </c:pt>
                <c:pt idx="6">
                  <c:v>75601.958469135774</c:v>
                </c:pt>
                <c:pt idx="7">
                  <c:v>104382.39828627741</c:v>
                </c:pt>
                <c:pt idx="8">
                  <c:v>136507.76183694543</c:v>
                </c:pt>
                <c:pt idx="9">
                  <c:v>43043.107649352285</c:v>
                </c:pt>
                <c:pt idx="10">
                  <c:v>79873.823985924726</c:v>
                </c:pt>
                <c:pt idx="11">
                  <c:v>120607.59390368714</c:v>
                </c:pt>
                <c:pt idx="12">
                  <c:v>165464.84742629447</c:v>
                </c:pt>
                <c:pt idx="13">
                  <c:v>214675.72649411604</c:v>
                </c:pt>
                <c:pt idx="14">
                  <c:v>67120.114875351923</c:v>
                </c:pt>
                <c:pt idx="15">
                  <c:v>121751.96588657657</c:v>
                </c:pt>
                <c:pt idx="16">
                  <c:v>181409.79817318066</c:v>
                </c:pt>
                <c:pt idx="17">
                  <c:v>246364.88271250954</c:v>
                </c:pt>
                <c:pt idx="18">
                  <c:v>316900.18065365229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0689408"/>
        <c:axId val="80691584"/>
      </c:barChart>
      <c:dateAx>
        <c:axId val="80689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Év</a:t>
                </a:r>
              </a:p>
            </c:rich>
          </c:tx>
          <c:layout>
            <c:manualLayout>
              <c:xMode val="edge"/>
              <c:yMode val="edge"/>
              <c:x val="0.97051343966619552"/>
              <c:y val="0.79319354372042072"/>
            </c:manualLayout>
          </c:layout>
          <c:overlay val="0"/>
        </c:title>
        <c:numFmt formatCode="0;0;#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hu-HU"/>
          </a:p>
        </c:txPr>
        <c:crossAx val="80691584"/>
        <c:crosses val="autoZero"/>
        <c:auto val="0"/>
        <c:lblOffset val="100"/>
        <c:baseTimeUnit val="days"/>
      </c:dateAx>
      <c:valAx>
        <c:axId val="8069158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hu-HU"/>
          </a:p>
        </c:txPr>
        <c:crossAx val="806894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8253505604617E-2"/>
                <c:y val="5.2281881253643178E-2"/>
              </c:manualLayout>
            </c:layout>
            <c:txPr>
              <a:bodyPr rot="0" vert="horz"/>
              <a:lstStyle/>
              <a:p>
                <a:pPr>
                  <a:defRPr/>
                </a:pPr>
                <a:endParaRPr lang="hu-HU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3.2104233124705568E-2"/>
          <c:y val="0.81373294479922298"/>
          <c:w val="0.94568226663974697"/>
          <c:h val="3.9285427904189124E-2"/>
        </c:manualLayout>
      </c:layout>
      <c:overlay val="0"/>
      <c:txPr>
        <a:bodyPr/>
        <a:lstStyle/>
        <a:p>
          <a:pPr>
            <a:defRPr sz="1400" b="1"/>
          </a:pPr>
          <a:endParaRPr lang="hu-HU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66FF66"/>
  </sheetPr>
  <sheetViews>
    <sheetView workbookViewId="0"/>
  </sheetViews>
  <sheetProtection password="C5A5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66FF66"/>
  </sheetPr>
  <sheetViews>
    <sheetView workbookViewId="0"/>
  </sheetViews>
  <sheetProtection password="C5A5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0.00513</cdr:x>
      <cdr:y>0.88819</cdr:y>
    </cdr:from>
    <cdr:to>
      <cdr:x>0.9936</cdr:x>
      <cdr:y>0.92283</cdr:y>
    </cdr:to>
    <cdr:sp macro="" textlink="PM!$A$95">
      <cdr:nvSpPr>
        <cdr:cNvPr id="2" name="Szövegdoboz 1"/>
        <cdr:cNvSpPr txBox="1"/>
      </cdr:nvSpPr>
      <cdr:spPr>
        <a:xfrm xmlns:a="http://schemas.openxmlformats.org/drawingml/2006/main">
          <a:off x="47625" y="5372099"/>
          <a:ext cx="9179791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0" bIns="0" rtlCol="0"/>
        <a:lstStyle xmlns:a="http://schemas.openxmlformats.org/drawingml/2006/main"/>
        <a:p xmlns:a="http://schemas.openxmlformats.org/drawingml/2006/main">
          <a:fld id="{33158ACD-0F42-476D-8151-FF322F6A812A}" type="TxLink">
            <a:rPr lang="en-US" sz="800" b="0" i="0" u="none" strike="noStrike">
              <a:solidFill>
                <a:sysClr val="windowText" lastClr="000000"/>
              </a:solidFill>
              <a:latin typeface="Arial Narrow" panose="020B0606020202030204" pitchFamily="34" charset="0"/>
            </a:rPr>
            <a:pPr/>
            <a:t>Negyedéves 150 000 Ft díj, fizetési mód: átutalás, éves díjemelés: 2,5%, feltételezett éves hozam: 5,0%. </a:t>
          </a:fld>
          <a:endParaRPr lang="hu-HU" sz="800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0.01026</cdr:x>
      <cdr:y>0.91654</cdr:y>
    </cdr:from>
    <cdr:to>
      <cdr:x>0.98137</cdr:x>
      <cdr:y>0.94173</cdr:y>
    </cdr:to>
    <cdr:sp macro="" textlink="PM!$A$97">
      <cdr:nvSpPr>
        <cdr:cNvPr id="3" name="Szövegdoboz 2"/>
        <cdr:cNvSpPr txBox="1"/>
      </cdr:nvSpPr>
      <cdr:spPr>
        <a:xfrm xmlns:a="http://schemas.openxmlformats.org/drawingml/2006/main">
          <a:off x="95283" y="5543578"/>
          <a:ext cx="9018578" cy="152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36000" bIns="0" rtlCol="0"/>
        <a:lstStyle xmlns:a="http://schemas.openxmlformats.org/drawingml/2006/main"/>
        <a:p xmlns:a="http://schemas.openxmlformats.org/drawingml/2006/main">
          <a:fld id="{B6885F17-7FE2-4571-9802-618098587259}" type="TxLink">
            <a:rPr lang="en-US" sz="800" b="0" i="0" u="none" strike="noStrike">
              <a:solidFill>
                <a:sysClr val="windowText" lastClr="000000"/>
              </a:solidFill>
              <a:latin typeface="Arial Narrow" panose="020B0606020202030204" pitchFamily="34" charset="0"/>
            </a:rPr>
            <a:pPr/>
            <a:t>A modell a választott, a tartam során állandó éves befektetési hozam feltételezésével mutatja a szerződés befektetési értékének alakulását. A számítás az előírt, automatikusan indexálódó díj megfizetését veszi figyelembe. 
</a:t>
          </a:fld>
          <a:endParaRPr lang="hu-HU" sz="800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0.34974</cdr:x>
      <cdr:y>0.05827</cdr:y>
    </cdr:from>
    <cdr:to>
      <cdr:x>0.99487</cdr:x>
      <cdr:y>0.09764</cdr:y>
    </cdr:to>
    <cdr:sp macro="" textlink="Kalkulátor!#REF!">
      <cdr:nvSpPr>
        <cdr:cNvPr id="5" name="Szövegdoboz 4"/>
        <cdr:cNvSpPr txBox="1"/>
      </cdr:nvSpPr>
      <cdr:spPr>
        <a:xfrm xmlns:a="http://schemas.openxmlformats.org/drawingml/2006/main">
          <a:off x="3248025" y="352425"/>
          <a:ext cx="59912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5C35F1D-9D1E-4B96-B58E-4072B796C202}" type="TxLink">
            <a:rPr lang="en-US" sz="1100" b="1" i="0" u="none" strike="noStrike">
              <a:solidFill>
                <a:srgbClr val="FF0000"/>
              </a:solidFill>
              <a:latin typeface="Calibri"/>
            </a:rPr>
            <a:pPr/>
            <a:t> </a:t>
          </a:fld>
          <a:endParaRPr lang="hu-HU" sz="1100"/>
        </a:p>
      </cdr:txBody>
    </cdr:sp>
  </cdr:relSizeAnchor>
  <cdr:relSizeAnchor xmlns:cdr="http://schemas.openxmlformats.org/drawingml/2006/chartDrawing">
    <cdr:from>
      <cdr:x>0.01026</cdr:x>
      <cdr:y>0.94646</cdr:y>
    </cdr:from>
    <cdr:to>
      <cdr:x>0.98137</cdr:x>
      <cdr:y>0.98898</cdr:y>
    </cdr:to>
    <cdr:sp macro="" textlink="PM!$A$98">
      <cdr:nvSpPr>
        <cdr:cNvPr id="6" name="Szövegdoboz 5"/>
        <cdr:cNvSpPr txBox="1"/>
      </cdr:nvSpPr>
      <cdr:spPr>
        <a:xfrm xmlns:a="http://schemas.openxmlformats.org/drawingml/2006/main">
          <a:off x="95283" y="5724545"/>
          <a:ext cx="9018578" cy="257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36000" bIns="0" rtlCol="0"/>
        <a:lstStyle xmlns:a="http://schemas.openxmlformats.org/drawingml/2006/main"/>
        <a:p xmlns:a="http://schemas.openxmlformats.org/drawingml/2006/main">
          <a:fld id="{2332727C-E794-4623-8165-15D45C939410}" type="TxLink">
            <a:rPr lang="en-US" sz="800" b="0" i="0" u="none" strike="noStrike">
              <a:solidFill>
                <a:sysClr val="windowText" lastClr="000000"/>
              </a:solidFill>
              <a:latin typeface="Arial Narrow" panose="020B0606020202030204" pitchFamily="34" charset="0"/>
              <a:cs typeface="Arial"/>
            </a:rPr>
            <a:pPr/>
            <a:t>A termék befektetési egységekhez kötött életbiztosítás, melynél a befektetési kockázatot 
teljes egészében a szerződő viseli. A hozam mértékére vonatkozóan az UNIQA Biztosító Zrt. semmilyen garanciát nem vállal. </a:t>
          </a:fld>
          <a:endParaRPr lang="hu-HU" sz="800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0.00513</cdr:x>
      <cdr:y>0.88819</cdr:y>
    </cdr:from>
    <cdr:to>
      <cdr:x>0.9936</cdr:x>
      <cdr:y>0.92283</cdr:y>
    </cdr:to>
    <cdr:sp macro="" textlink="PM!$A$95">
      <cdr:nvSpPr>
        <cdr:cNvPr id="2" name="Szövegdoboz 1"/>
        <cdr:cNvSpPr txBox="1"/>
      </cdr:nvSpPr>
      <cdr:spPr>
        <a:xfrm xmlns:a="http://schemas.openxmlformats.org/drawingml/2006/main">
          <a:off x="47625" y="5372099"/>
          <a:ext cx="9179791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0" bIns="0" rtlCol="0"/>
        <a:lstStyle xmlns:a="http://schemas.openxmlformats.org/drawingml/2006/main"/>
        <a:p xmlns:a="http://schemas.openxmlformats.org/drawingml/2006/main">
          <a:fld id="{33158ACD-0F42-476D-8151-FF322F6A812A}" type="TxLink">
            <a:rPr lang="en-US" sz="800" b="0" i="0" u="none" strike="noStrike">
              <a:solidFill>
                <a:sysClr val="windowText" lastClr="000000"/>
              </a:solidFill>
              <a:latin typeface="Arial Narrow" panose="020B0606020202030204" pitchFamily="34" charset="0"/>
              <a:cs typeface="Arial"/>
            </a:rPr>
            <a:pPr/>
            <a:t>Negyedéves 150 000 Ft díj, fizetési mód: átutalás, éves díjemelés: 2,5%, feltételezett éves hozam: 5,0%. </a:t>
          </a:fld>
          <a:endParaRPr lang="hu-HU" sz="800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0.01026</cdr:x>
      <cdr:y>0.91654</cdr:y>
    </cdr:from>
    <cdr:to>
      <cdr:x>0.98137</cdr:x>
      <cdr:y>0.94173</cdr:y>
    </cdr:to>
    <cdr:sp macro="" textlink="PM!$A$97">
      <cdr:nvSpPr>
        <cdr:cNvPr id="3" name="Szövegdoboz 2"/>
        <cdr:cNvSpPr txBox="1"/>
      </cdr:nvSpPr>
      <cdr:spPr>
        <a:xfrm xmlns:a="http://schemas.openxmlformats.org/drawingml/2006/main">
          <a:off x="95283" y="5543578"/>
          <a:ext cx="9018578" cy="152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36000" bIns="0" rtlCol="0"/>
        <a:lstStyle xmlns:a="http://schemas.openxmlformats.org/drawingml/2006/main"/>
        <a:p xmlns:a="http://schemas.openxmlformats.org/drawingml/2006/main">
          <a:fld id="{B6885F17-7FE2-4571-9802-618098587259}" type="TxLink">
            <a:rPr lang="en-US" sz="800" b="0" i="0" u="none" strike="noStrike">
              <a:solidFill>
                <a:sysClr val="windowText" lastClr="000000"/>
              </a:solidFill>
              <a:latin typeface="Arial Narrow" panose="020B0606020202030204" pitchFamily="34" charset="0"/>
              <a:cs typeface="Arial"/>
            </a:rPr>
            <a:pPr/>
            <a:t>A modell a választott, a tartam során állandó éves befektetési hozam feltételezésével mutatja a szerződés befektetési értékének alakulását. A számítás az előírt, automatikusan indexálódó díj megfizetését veszi figyelembe. 
</a:t>
          </a:fld>
          <a:endParaRPr lang="hu-HU" sz="800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0.34974</cdr:x>
      <cdr:y>0.05827</cdr:y>
    </cdr:from>
    <cdr:to>
      <cdr:x>0.99487</cdr:x>
      <cdr:y>0.09764</cdr:y>
    </cdr:to>
    <cdr:sp macro="" textlink="Kalkulátor!#REF!">
      <cdr:nvSpPr>
        <cdr:cNvPr id="5" name="Szövegdoboz 4"/>
        <cdr:cNvSpPr txBox="1"/>
      </cdr:nvSpPr>
      <cdr:spPr>
        <a:xfrm xmlns:a="http://schemas.openxmlformats.org/drawingml/2006/main">
          <a:off x="3248025" y="352425"/>
          <a:ext cx="59912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5C35F1D-9D1E-4B96-B58E-4072B796C202}" type="TxLink">
            <a:rPr lang="en-US" sz="1100" b="1" i="0" u="none" strike="noStrike">
              <a:solidFill>
                <a:srgbClr val="FF0000"/>
              </a:solidFill>
              <a:latin typeface="Calibri"/>
            </a:rPr>
            <a:pPr/>
            <a:t> </a:t>
          </a:fld>
          <a:endParaRPr lang="hu-HU" sz="1100"/>
        </a:p>
      </cdr:txBody>
    </cdr:sp>
  </cdr:relSizeAnchor>
  <cdr:relSizeAnchor xmlns:cdr="http://schemas.openxmlformats.org/drawingml/2006/chartDrawing">
    <cdr:from>
      <cdr:x>0.01026</cdr:x>
      <cdr:y>0.94646</cdr:y>
    </cdr:from>
    <cdr:to>
      <cdr:x>0.98137</cdr:x>
      <cdr:y>0.99055</cdr:y>
    </cdr:to>
    <cdr:sp macro="" textlink="PM!$A$98">
      <cdr:nvSpPr>
        <cdr:cNvPr id="6" name="Szövegdoboz 5"/>
        <cdr:cNvSpPr txBox="1"/>
      </cdr:nvSpPr>
      <cdr:spPr>
        <a:xfrm xmlns:a="http://schemas.openxmlformats.org/drawingml/2006/main">
          <a:off x="95283" y="5724545"/>
          <a:ext cx="9018578" cy="266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36000" bIns="0" rtlCol="0"/>
        <a:lstStyle xmlns:a="http://schemas.openxmlformats.org/drawingml/2006/main"/>
        <a:p xmlns:a="http://schemas.openxmlformats.org/drawingml/2006/main">
          <a:fld id="{2332727C-E794-4623-8165-15D45C939410}" type="TxLink">
            <a:rPr lang="en-US" sz="800" b="0" i="0" u="none" strike="noStrike">
              <a:solidFill>
                <a:sysClr val="windowText" lastClr="000000"/>
              </a:solidFill>
              <a:latin typeface="Arial Narrow" panose="020B0606020202030204" pitchFamily="34" charset="0"/>
              <a:cs typeface="Arial"/>
            </a:rPr>
            <a:pPr/>
            <a:t>A termék befektetési egységekhez kötött életbiztosítás, melynél a befektetési kockázatot 
teljes egészében a szerződő viseli. A hozam mértékére vonatkozóan az UNIQA Biztosító Zrt. semmilyen garanciát nem vállal. </a:t>
          </a:fld>
          <a:endParaRPr lang="hu-HU" sz="800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IQA.AT\Konzern$\Documents%20and%20Settings\Maciaga%20Bartlomiej\My%20Documents\BCG\Proj\SNS\Work\Working%20Files\Relevant%20doc\QIS4%20Solo%202008073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tunyeg/AppData/Local/Temp/notes29DF3B/U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8500/Term&#233;k&#246;sszefoglal&#243;k/B&#243;nusz-tartam-d&#237;j-k&#243;d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H\Zivotno\Abteilung\KONZAKT\Lebensversicherung\Profit%20Testing\Projekt2.0_Leben_unter_SolvencyII\Report\ProfitTesting_Report_V1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tufaiv/AppData/Local/Temp/7zOF4BF.tmp/v3_ANNUIT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IQA.AT\Konzern$\Documents%20and%20Settings\Maciaga%20Bartlomiej\My%20Documents\BCG\Proj\Model\BCG_SII_LIFE_BalanceSheet_v09_S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Profit Test Assumptions"/>
      <sheetName val="Reserves"/>
      <sheetName val="Amort&amp;ClawBack"/>
      <sheetName val="CFdet"/>
      <sheetName val="CF_MP"/>
      <sheetName val="CF_Solvency II_MP"/>
      <sheetName val="Key Output Val RP"/>
      <sheetName val="Solvency_II_adj"/>
      <sheetName val="Modelpoints"/>
      <sheetName val="Key Output CF Base Case"/>
      <sheetName val="premium_increase"/>
      <sheetName val="premium_increase_calc"/>
      <sheetName val="premium_increase_calc (2)"/>
      <sheetName val="Reserves (2)"/>
      <sheetName val="Premium Calculation"/>
      <sheetName val="Premium Calculation (2)"/>
      <sheetName val="tartalék_ell"/>
      <sheetName val="CF_TOTAL"/>
      <sheetName val="Key Output Val"/>
      <sheetName val="ExecSummary"/>
      <sheetName val="Key Output CF UNIQA Scenario"/>
      <sheetName val="Key Output CF Sens1"/>
      <sheetName val="Key Output CF Sens2"/>
      <sheetName val="Key Output CF Sens3"/>
      <sheetName val="WOP"/>
      <sheetName val="Assumptions"/>
      <sheetName val="ProductDescription"/>
      <sheetName val="SimplifiedApproach"/>
      <sheetName val="Escalation Process"/>
    </sheetNames>
    <sheetDataSet>
      <sheetData sheetId="0"/>
      <sheetData sheetId="1">
        <row r="3">
          <cell r="B3">
            <v>35</v>
          </cell>
          <cell r="E3">
            <v>1</v>
          </cell>
        </row>
        <row r="5">
          <cell r="B5">
            <v>0.37</v>
          </cell>
        </row>
        <row r="6">
          <cell r="B6">
            <v>20</v>
          </cell>
        </row>
        <row r="10">
          <cell r="B10">
            <v>1</v>
          </cell>
        </row>
        <row r="11">
          <cell r="B11">
            <v>1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E14">
            <v>0</v>
          </cell>
        </row>
        <row r="15">
          <cell r="B15">
            <v>0</v>
          </cell>
          <cell r="H15">
            <v>0</v>
          </cell>
        </row>
        <row r="16">
          <cell r="B16">
            <v>0</v>
          </cell>
          <cell r="E16">
            <v>9.6999999999999989E-2</v>
          </cell>
        </row>
        <row r="18">
          <cell r="B18">
            <v>0</v>
          </cell>
        </row>
        <row r="20">
          <cell r="B20">
            <v>0</v>
          </cell>
        </row>
        <row r="21">
          <cell r="H21">
            <v>0</v>
          </cell>
        </row>
        <row r="26">
          <cell r="B26">
            <v>17500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">
          <cell r="J3" t="str">
            <v>ALL</v>
          </cell>
        </row>
        <row r="4">
          <cell r="J4" t="str">
            <v>BAM</v>
          </cell>
        </row>
        <row r="5">
          <cell r="J5" t="str">
            <v>BGN</v>
          </cell>
        </row>
        <row r="6">
          <cell r="J6" t="str">
            <v>CHF</v>
          </cell>
        </row>
        <row r="7">
          <cell r="J7" t="str">
            <v>CZK</v>
          </cell>
        </row>
        <row r="8">
          <cell r="J8" t="str">
            <v>EUR</v>
          </cell>
        </row>
        <row r="9">
          <cell r="J9" t="str">
            <v>HRK</v>
          </cell>
        </row>
        <row r="10">
          <cell r="J10" t="str">
            <v>HUF</v>
          </cell>
        </row>
        <row r="11">
          <cell r="J11" t="str">
            <v>PLN</v>
          </cell>
        </row>
        <row r="12">
          <cell r="J12" t="str">
            <v>RON</v>
          </cell>
        </row>
        <row r="13">
          <cell r="J13" t="str">
            <v>RSD</v>
          </cell>
        </row>
        <row r="14">
          <cell r="J14" t="str">
            <v>RUB</v>
          </cell>
        </row>
        <row r="15">
          <cell r="J15" t="str">
            <v>UAH</v>
          </cell>
        </row>
        <row r="16">
          <cell r="J16" t="str">
            <v>USD</v>
          </cell>
        </row>
        <row r="38">
          <cell r="A38" t="str">
            <v>UNIQA Personenversicherung AG (Austria)</v>
          </cell>
        </row>
        <row r="39">
          <cell r="A39" t="str">
            <v>Raiffeisen Versicherung AG (Austria)</v>
          </cell>
        </row>
        <row r="40">
          <cell r="A40" t="str">
            <v>Salzburger Landesversicherung AG (Austria)</v>
          </cell>
        </row>
        <row r="41">
          <cell r="A41" t="str">
            <v>Finance Life Lebensversicherung AG (Austria)</v>
          </cell>
        </row>
        <row r="42">
          <cell r="A42" t="str">
            <v>UNIQA Previdenza S.p.A. (Italy)</v>
          </cell>
        </row>
        <row r="43">
          <cell r="A43" t="str">
            <v>UNIQA Life S.p.A. (Italy)</v>
          </cell>
        </row>
        <row r="44">
          <cell r="A44" t="str">
            <v>UNIQA poistovna a.s. (Slovakia)</v>
          </cell>
        </row>
        <row r="45">
          <cell r="A45" t="str">
            <v>UNIQA Pojistovna a.s. (Czech Republic)</v>
          </cell>
        </row>
        <row r="46">
          <cell r="A46" t="str">
            <v>UNIQA Biztosito Zrt. (Hungary)</v>
          </cell>
        </row>
        <row r="47">
          <cell r="A47" t="str">
            <v>UNIQA Zycie S.A. (Poland)</v>
          </cell>
        </row>
        <row r="48">
          <cell r="A48" t="str">
            <v>UNIQA Osiguranje d.d. (Croatia)</v>
          </cell>
        </row>
        <row r="49">
          <cell r="A49" t="str">
            <v>UNIQA Osiguranje (Bosnia)</v>
          </cell>
        </row>
        <row r="50">
          <cell r="A50" t="str">
            <v>UNIQA ziv. Osiguranje (Serbia)</v>
          </cell>
        </row>
        <row r="51">
          <cell r="A51" t="str">
            <v>UNIQA Life Insurance Company (Ukraine)</v>
          </cell>
        </row>
        <row r="52">
          <cell r="A52" t="str">
            <v>UNIQA Asigurari (Romania)</v>
          </cell>
        </row>
        <row r="53">
          <cell r="A53" t="str">
            <v>UNIQA Life Insurance plc. (Bulgaria)</v>
          </cell>
        </row>
        <row r="54">
          <cell r="A54" t="str">
            <v>Raiffeisen Life (Russia)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átor"/>
      <sheetName val="Eszközalapok"/>
      <sheetName val="EszközalapLista"/>
      <sheetName val="Bon"/>
      <sheetName val="Tarifa"/>
      <sheetName val="Terméklista"/>
      <sheetName val="Kódok"/>
      <sheetName val="Offs"/>
      <sheetName val="BefTeszt"/>
      <sheetName val="ÁrfTeszt"/>
      <sheetName val="Termék-Eszközalap"/>
      <sheetName val="Korhatár"/>
    </sheetNames>
    <sheetDataSet>
      <sheetData sheetId="0">
        <row r="2">
          <cell r="C2">
            <v>650</v>
          </cell>
        </row>
        <row r="29">
          <cell r="G29">
            <v>0</v>
          </cell>
        </row>
      </sheetData>
      <sheetData sheetId="1"/>
      <sheetData sheetId="2">
        <row r="6">
          <cell r="C6" t="str">
            <v>Abszolút hozam</v>
          </cell>
        </row>
        <row r="7">
          <cell r="C7" t="str">
            <v>€-Abszolút hozam</v>
          </cell>
        </row>
        <row r="8">
          <cell r="C8" t="str">
            <v>Alternatív energia részvény</v>
          </cell>
        </row>
        <row r="9">
          <cell r="C9" t="str">
            <v>€-Alternatív energia részvény</v>
          </cell>
        </row>
        <row r="10">
          <cell r="C10" t="str">
            <v>Ázsiai részvény</v>
          </cell>
        </row>
        <row r="11">
          <cell r="C11" t="str">
            <v>€-Ázsiai részvény</v>
          </cell>
        </row>
        <row r="12">
          <cell r="C12" t="str">
            <v>Biztonság</v>
          </cell>
        </row>
        <row r="13">
          <cell r="C13" t="str">
            <v>B-RICH részvény</v>
          </cell>
        </row>
        <row r="14">
          <cell r="C14" t="str">
            <v>€-B-RICH részvény</v>
          </cell>
        </row>
        <row r="15">
          <cell r="C15" t="str">
            <v>$-B-RICH részvény</v>
          </cell>
        </row>
        <row r="16">
          <cell r="C16" t="str">
            <v>Célpont 2020</v>
          </cell>
        </row>
        <row r="17">
          <cell r="C17" t="str">
            <v>Célpont 2025</v>
          </cell>
        </row>
        <row r="18">
          <cell r="C18" t="str">
            <v>Célpont 2030</v>
          </cell>
        </row>
        <row r="19">
          <cell r="C19" t="str">
            <v>Célpont 2035</v>
          </cell>
        </row>
        <row r="20">
          <cell r="C20" t="str">
            <v>Célpont 2040</v>
          </cell>
        </row>
        <row r="21">
          <cell r="C21" t="str">
            <v>€-Célpont 2020</v>
          </cell>
        </row>
        <row r="22">
          <cell r="C22" t="str">
            <v>€-Célpont 2025</v>
          </cell>
        </row>
        <row r="23">
          <cell r="C23" t="str">
            <v>€-Célpont 2030</v>
          </cell>
        </row>
        <row r="24">
          <cell r="C24" t="str">
            <v>€-Célpont 2035</v>
          </cell>
        </row>
        <row r="25">
          <cell r="C25" t="str">
            <v>€-Célpont 2040</v>
          </cell>
        </row>
        <row r="26">
          <cell r="C26" t="str">
            <v>Dinamikus</v>
          </cell>
        </row>
        <row r="27">
          <cell r="C27" t="str">
            <v>DWS II.</v>
          </cell>
        </row>
        <row r="28">
          <cell r="C28" t="str">
            <v>Egyensúly</v>
          </cell>
        </row>
        <row r="29">
          <cell r="C29" t="str">
            <v>Esély</v>
          </cell>
        </row>
        <row r="30">
          <cell r="C30" t="str">
            <v>$-Észak-amerikai részvény</v>
          </cell>
        </row>
        <row r="31">
          <cell r="C31" t="str">
            <v>€-10</v>
          </cell>
        </row>
        <row r="32">
          <cell r="C32" t="str">
            <v>€-30</v>
          </cell>
        </row>
        <row r="33">
          <cell r="C33" t="str">
            <v>€-70</v>
          </cell>
        </row>
        <row r="34">
          <cell r="C34" t="str">
            <v>€-Pénzpiaci</v>
          </cell>
        </row>
        <row r="35">
          <cell r="C35" t="str">
            <v>Fejlődő piaci részvény</v>
          </cell>
        </row>
        <row r="36">
          <cell r="C36" t="str">
            <v>€-Fejlődő piaci részvény</v>
          </cell>
        </row>
        <row r="37">
          <cell r="C37" t="str">
            <v>FX</v>
          </cell>
        </row>
        <row r="38">
          <cell r="C38" t="str">
            <v>€-FX</v>
          </cell>
        </row>
        <row r="39">
          <cell r="C39" t="str">
            <v>Globális részvény</v>
          </cell>
        </row>
        <row r="40">
          <cell r="C40" t="str">
            <v>Globális részvény (r)</v>
          </cell>
        </row>
        <row r="41">
          <cell r="C41" t="str">
            <v>Gold nemesfém</v>
          </cell>
        </row>
        <row r="42">
          <cell r="C42" t="str">
            <v>€-Gold nemesfém</v>
          </cell>
        </row>
        <row r="43">
          <cell r="C43" t="str">
            <v>Indiai részvény</v>
          </cell>
        </row>
        <row r="44">
          <cell r="C44" t="str">
            <v>€-Indiai részvény</v>
          </cell>
        </row>
        <row r="45">
          <cell r="C45" t="str">
            <v>$-Indiai részvény</v>
          </cell>
        </row>
        <row r="46">
          <cell r="C46" t="str">
            <v>Infrastruktúra részvény</v>
          </cell>
        </row>
        <row r="47">
          <cell r="C47" t="str">
            <v>€-Infrastruktúra részvény</v>
          </cell>
        </row>
        <row r="48">
          <cell r="C48" t="str">
            <v>Ingatlan</v>
          </cell>
        </row>
        <row r="49">
          <cell r="C49" t="str">
            <v>Kelet-európai részvény</v>
          </cell>
        </row>
        <row r="50">
          <cell r="C50" t="str">
            <v>€-Kelet-európai részvény</v>
          </cell>
        </row>
        <row r="51">
          <cell r="C51" t="str">
            <v>Kínai részvény</v>
          </cell>
        </row>
        <row r="52">
          <cell r="C52" t="str">
            <v>€-Kínai részvény</v>
          </cell>
        </row>
        <row r="53">
          <cell r="C53" t="str">
            <v>$-Kínai részvény</v>
          </cell>
        </row>
        <row r="54">
          <cell r="C54" t="str">
            <v>Közel-keleti és észak afrikai (MENA) részvény</v>
          </cell>
        </row>
        <row r="55">
          <cell r="C55" t="str">
            <v>€-Közel-keleti és észak afrikai (MENA) részvény</v>
          </cell>
        </row>
        <row r="56">
          <cell r="C56" t="str">
            <v>Kredit</v>
          </cell>
        </row>
        <row r="57">
          <cell r="C57" t="str">
            <v>€-Kredit</v>
          </cell>
        </row>
        <row r="58">
          <cell r="C58" t="str">
            <v>Latin-amerikai részvény</v>
          </cell>
        </row>
        <row r="59">
          <cell r="C59" t="str">
            <v>€-Latin-amerikai részvény</v>
          </cell>
        </row>
        <row r="60">
          <cell r="C60" t="str">
            <v>$-Latin-amerikai részvény</v>
          </cell>
        </row>
        <row r="61">
          <cell r="C61" t="str">
            <v>Lengyel részvény</v>
          </cell>
        </row>
        <row r="62">
          <cell r="C62" t="str">
            <v>€-Lengyel részvény</v>
          </cell>
        </row>
        <row r="63">
          <cell r="C63" t="str">
            <v>Likviditás</v>
          </cell>
        </row>
        <row r="64">
          <cell r="C64" t="str">
            <v>Magyar államkötvény</v>
          </cell>
        </row>
        <row r="65">
          <cell r="C65" t="str">
            <v>Magyar részvény</v>
          </cell>
        </row>
        <row r="66">
          <cell r="C66" t="str">
            <v>Menedzselt</v>
          </cell>
        </row>
        <row r="67">
          <cell r="C67" t="str">
            <v>Növekedés</v>
          </cell>
        </row>
        <row r="68">
          <cell r="C68" t="str">
            <v>Növekedési</v>
          </cell>
        </row>
        <row r="69">
          <cell r="C69" t="str">
            <v>Nyugat-európai részvény</v>
          </cell>
        </row>
        <row r="70">
          <cell r="C70" t="str">
            <v>€-Nyugat-európai részvény</v>
          </cell>
        </row>
        <row r="71">
          <cell r="C71" t="str">
            <v>Rövid lejáratú pénzpiaci termékekbe fektető</v>
          </cell>
        </row>
        <row r="72">
          <cell r="C72" t="str">
            <v>Progresszív</v>
          </cell>
        </row>
        <row r="73">
          <cell r="C73" t="str">
            <v>ProtAktív SL-SG B-RICH részvény</v>
          </cell>
        </row>
        <row r="74">
          <cell r="C74" t="str">
            <v>€-ProtAktív SL-SG B-RICH részvény</v>
          </cell>
        </row>
        <row r="75">
          <cell r="C75" t="str">
            <v>$-ProtAktív SL-SG B-RICH részvény</v>
          </cell>
        </row>
        <row r="76">
          <cell r="C76" t="str">
            <v>$-ProtAktív SL-SG Észak-amerikai részvény</v>
          </cell>
        </row>
        <row r="77">
          <cell r="C77" t="str">
            <v>ProtAktív SL-SG Indiai részvény</v>
          </cell>
        </row>
        <row r="78">
          <cell r="C78" t="str">
            <v>€-ProtAktív SL-SG Indiai részvény</v>
          </cell>
        </row>
        <row r="79">
          <cell r="C79" t="str">
            <v>$-ProtAktív SL-SG Indiai részvény</v>
          </cell>
        </row>
        <row r="80">
          <cell r="C80" t="str">
            <v>ProtAktív SL-SG Kelet-európai részvény</v>
          </cell>
        </row>
        <row r="81">
          <cell r="C81" t="str">
            <v>€-ProtAktív SL-SG Kelet-európai részvény</v>
          </cell>
        </row>
        <row r="82">
          <cell r="C82" t="str">
            <v>ProtAktív SL-SG Kínai részvény</v>
          </cell>
        </row>
        <row r="83">
          <cell r="C83" t="str">
            <v>€-ProtAktív SL-SG Kínai részvény</v>
          </cell>
        </row>
        <row r="84">
          <cell r="C84" t="str">
            <v>$-ProtAktív SL-SG Kínai részvény</v>
          </cell>
        </row>
        <row r="85">
          <cell r="C85" t="str">
            <v>ProtAktív SL-SG Latin-amerikai részvény</v>
          </cell>
        </row>
        <row r="86">
          <cell r="C86" t="str">
            <v>€-ProtAktív SL-SG Latin-amerikai részvény</v>
          </cell>
        </row>
        <row r="87">
          <cell r="C87" t="str">
            <v>$-ProtAktív SL-SG Latin-amerikai részvény</v>
          </cell>
        </row>
        <row r="88">
          <cell r="C88" t="str">
            <v>QUANTIS eszközallokátor</v>
          </cell>
        </row>
        <row r="89">
          <cell r="C89" t="str">
            <v>QUANTIS Fine Selection Fejlett Piaci részvény</v>
          </cell>
        </row>
        <row r="90">
          <cell r="C90" t="str">
            <v>€-QUANTIS Fine Selection Fejlett Piaci részvény</v>
          </cell>
        </row>
        <row r="91">
          <cell r="C91" t="str">
            <v>QUANTIS Fine Selection Fejlődő Piaci részvény</v>
          </cell>
        </row>
        <row r="92">
          <cell r="C92" t="str">
            <v>€-QUANTIS Fine Selection Fejlődő Piaci részvény</v>
          </cell>
        </row>
        <row r="93">
          <cell r="C93" t="str">
            <v>QUANTIS Fine Selection Oroszország részvény</v>
          </cell>
        </row>
        <row r="94">
          <cell r="C94" t="str">
            <v>€-QUANTIS Fine Selection Oroszország részvény</v>
          </cell>
        </row>
        <row r="95">
          <cell r="C95" t="str">
            <v>Raiffeisen részvény</v>
          </cell>
        </row>
        <row r="96">
          <cell r="C96" t="str">
            <v>Raiffeisen EMEA</v>
          </cell>
        </row>
        <row r="97">
          <cell r="C97" t="str">
            <v>Raiffeisen G. pénzpiaci</v>
          </cell>
        </row>
        <row r="98">
          <cell r="C98" t="str">
            <v>Raiffeisen konvergencia</v>
          </cell>
        </row>
        <row r="99">
          <cell r="C99" t="str">
            <v>Raiffeisen kötvény</v>
          </cell>
        </row>
        <row r="100">
          <cell r="C100" t="str">
            <v>Raiffeisen likviditási</v>
          </cell>
        </row>
        <row r="101">
          <cell r="C101" t="str">
            <v>Raiffeisen nemzetközi részvény</v>
          </cell>
        </row>
        <row r="102">
          <cell r="C102" t="str">
            <v>Raiffeisen pénzpiaci</v>
          </cell>
        </row>
        <row r="103">
          <cell r="C103" t="str">
            <v>Succes absolute "A"</v>
          </cell>
        </row>
        <row r="104">
          <cell r="C104" t="str">
            <v>Success flexible</v>
          </cell>
        </row>
        <row r="105">
          <cell r="C105" t="str">
            <v>Success protected</v>
          </cell>
        </row>
        <row r="106">
          <cell r="C106" t="str">
            <v>Success relative "A"</v>
          </cell>
        </row>
        <row r="107">
          <cell r="C107" t="str">
            <v>Török részvény</v>
          </cell>
        </row>
        <row r="108">
          <cell r="C108" t="str">
            <v>€-Török részvény</v>
          </cell>
        </row>
        <row r="109">
          <cell r="C109" t="str">
            <v>Trendkövető global 100</v>
          </cell>
        </row>
        <row r="110">
          <cell r="C110" t="str">
            <v>€-Trendkövető global 100</v>
          </cell>
        </row>
        <row r="111">
          <cell r="C111" t="str">
            <v>Trendkövető total return 100</v>
          </cell>
        </row>
        <row r="112">
          <cell r="C112" t="str">
            <v>€-Trendkövető total return 100</v>
          </cell>
        </row>
        <row r="113">
          <cell r="C113" t="str">
            <v>Trendkövető total return 50</v>
          </cell>
        </row>
        <row r="114">
          <cell r="C114" t="str">
            <v>€-Trendkövető total return 50</v>
          </cell>
        </row>
        <row r="115">
          <cell r="C115" t="str">
            <v>$-USA állampapír</v>
          </cell>
        </row>
        <row r="116">
          <cell r="C116" t="str">
            <v>$-USA kiegyensúlyozott</v>
          </cell>
        </row>
        <row r="117">
          <cell r="C117" t="str">
            <v>Vegyes ingatlan</v>
          </cell>
        </row>
      </sheetData>
      <sheetData sheetId="3">
        <row r="2">
          <cell r="B2" t="str">
            <v>B.Extranr</v>
          </cell>
        </row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0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0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0</v>
          </cell>
        </row>
        <row r="295">
          <cell r="B295">
            <v>0</v>
          </cell>
        </row>
        <row r="296">
          <cell r="B296">
            <v>0</v>
          </cell>
        </row>
        <row r="297">
          <cell r="B297">
            <v>0</v>
          </cell>
        </row>
        <row r="298">
          <cell r="B298">
            <v>0</v>
          </cell>
        </row>
        <row r="299">
          <cell r="B299">
            <v>0</v>
          </cell>
        </row>
        <row r="300">
          <cell r="B300">
            <v>0</v>
          </cell>
        </row>
        <row r="301">
          <cell r="B301">
            <v>0</v>
          </cell>
        </row>
        <row r="302">
          <cell r="B302">
            <v>0</v>
          </cell>
        </row>
        <row r="303">
          <cell r="B303">
            <v>1</v>
          </cell>
        </row>
        <row r="304">
          <cell r="B304">
            <v>2</v>
          </cell>
        </row>
        <row r="305">
          <cell r="B305">
            <v>3</v>
          </cell>
        </row>
        <row r="306">
          <cell r="B306">
            <v>4</v>
          </cell>
        </row>
        <row r="307">
          <cell r="B307">
            <v>5</v>
          </cell>
        </row>
        <row r="308">
          <cell r="B308">
            <v>6</v>
          </cell>
        </row>
        <row r="309">
          <cell r="B309">
            <v>7</v>
          </cell>
        </row>
        <row r="310">
          <cell r="B310">
            <v>0</v>
          </cell>
        </row>
        <row r="311">
          <cell r="B311">
            <v>0</v>
          </cell>
        </row>
        <row r="312">
          <cell r="B312">
            <v>0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>
            <v>0</v>
          </cell>
        </row>
        <row r="325">
          <cell r="B325">
            <v>0</v>
          </cell>
        </row>
        <row r="326">
          <cell r="B326">
            <v>0</v>
          </cell>
        </row>
        <row r="327">
          <cell r="B327">
            <v>0</v>
          </cell>
        </row>
        <row r="328">
          <cell r="B328">
            <v>0</v>
          </cell>
        </row>
        <row r="329">
          <cell r="B329">
            <v>0</v>
          </cell>
        </row>
        <row r="330">
          <cell r="B330">
            <v>0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0</v>
          </cell>
        </row>
        <row r="334">
          <cell r="B334">
            <v>0</v>
          </cell>
        </row>
        <row r="335">
          <cell r="B335">
            <v>0</v>
          </cell>
        </row>
        <row r="336">
          <cell r="B336">
            <v>0</v>
          </cell>
        </row>
        <row r="337">
          <cell r="B337">
            <v>0</v>
          </cell>
        </row>
        <row r="338">
          <cell r="B338">
            <v>0</v>
          </cell>
        </row>
        <row r="339">
          <cell r="B339">
            <v>0</v>
          </cell>
        </row>
        <row r="340">
          <cell r="B340">
            <v>0</v>
          </cell>
        </row>
        <row r="341">
          <cell r="B341">
            <v>0</v>
          </cell>
        </row>
        <row r="342">
          <cell r="B342">
            <v>0</v>
          </cell>
        </row>
        <row r="343">
          <cell r="B343">
            <v>0</v>
          </cell>
        </row>
        <row r="344">
          <cell r="B344">
            <v>0</v>
          </cell>
        </row>
        <row r="345">
          <cell r="B345">
            <v>0</v>
          </cell>
        </row>
        <row r="346">
          <cell r="B346">
            <v>0</v>
          </cell>
        </row>
        <row r="347">
          <cell r="B347">
            <v>0</v>
          </cell>
        </row>
        <row r="348">
          <cell r="B348">
            <v>0</v>
          </cell>
        </row>
        <row r="349">
          <cell r="B349">
            <v>0</v>
          </cell>
        </row>
        <row r="350">
          <cell r="B350">
            <v>0</v>
          </cell>
        </row>
        <row r="351">
          <cell r="B351">
            <v>0</v>
          </cell>
        </row>
        <row r="352">
          <cell r="B352">
            <v>0</v>
          </cell>
        </row>
        <row r="353">
          <cell r="B353">
            <v>0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</sheetData>
      <sheetData sheetId="4"/>
      <sheetData sheetId="5"/>
      <sheetData sheetId="6">
        <row r="1">
          <cell r="A1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"/>
      <sheetName val="ExecSummary"/>
      <sheetName val="Key Output Val"/>
      <sheetName val="Key Output CF Base Case"/>
      <sheetName val="Key Output CF UNIQA Scenario"/>
      <sheetName val="Key Output CF Sens1"/>
      <sheetName val="Key Output CF Sens2"/>
      <sheetName val="Key Output CF Sens3"/>
      <sheetName val="Assumptions"/>
      <sheetName val="ProductDescription"/>
      <sheetName val="P&amp;L Excerpt"/>
      <sheetName val="Market Ris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UNIQA Personenversicherung AG (Austria)</v>
          </cell>
          <cell r="M4" t="str">
            <v>ALL</v>
          </cell>
        </row>
        <row r="5">
          <cell r="A5" t="str">
            <v>Raiffeisen Versicherung AG (Austria)</v>
          </cell>
          <cell r="M5" t="str">
            <v>BAM</v>
          </cell>
        </row>
        <row r="6">
          <cell r="A6" t="str">
            <v>Salzburger Landesversicherung AG (Austria)</v>
          </cell>
          <cell r="M6" t="str">
            <v>BGN</v>
          </cell>
        </row>
        <row r="7">
          <cell r="A7" t="str">
            <v>Finance Life Lebensversicherung AG (Austria)</v>
          </cell>
          <cell r="M7" t="str">
            <v>CHF</v>
          </cell>
        </row>
        <row r="8">
          <cell r="A8" t="str">
            <v>mamax Lebensversicherung AG (Germany)</v>
          </cell>
          <cell r="M8" t="str">
            <v>CZK</v>
          </cell>
        </row>
        <row r="9">
          <cell r="A9" t="str">
            <v>UNIQA Previdenza S.p.A. (Italy)</v>
          </cell>
          <cell r="M9" t="str">
            <v>EUR</v>
          </cell>
        </row>
        <row r="10">
          <cell r="A10" t="str">
            <v>UNIQA Life S.p.A. (Italy)</v>
          </cell>
          <cell r="M10" t="str">
            <v>HRK</v>
          </cell>
        </row>
        <row r="11">
          <cell r="A11" t="str">
            <v>UNIQA poistovna a.s. (Slovakia)</v>
          </cell>
          <cell r="M11" t="str">
            <v>HUF</v>
          </cell>
        </row>
        <row r="12">
          <cell r="A12" t="str">
            <v>UNIQA Pojistovna a.s. (Czech Republic)</v>
          </cell>
          <cell r="M12" t="str">
            <v>PLN</v>
          </cell>
        </row>
        <row r="13">
          <cell r="A13" t="str">
            <v>UNIQA Biztosito Zrt. (Hungary)</v>
          </cell>
          <cell r="M13" t="str">
            <v>RON</v>
          </cell>
        </row>
        <row r="14">
          <cell r="A14" t="str">
            <v>UNIQA Zycie S.A. (Poland)</v>
          </cell>
          <cell r="M14" t="str">
            <v>RSD</v>
          </cell>
        </row>
        <row r="15">
          <cell r="A15" t="str">
            <v>UNIQA Osiguranje d.d. (Croatia)</v>
          </cell>
          <cell r="M15" t="str">
            <v>RUB</v>
          </cell>
        </row>
        <row r="16">
          <cell r="A16" t="str">
            <v>UNIQA Osiguranje (Bosnia)</v>
          </cell>
          <cell r="M16" t="str">
            <v>UAH</v>
          </cell>
        </row>
        <row r="17">
          <cell r="A17" t="str">
            <v>UNIQA ziv. Osiguranje (Serbia)</v>
          </cell>
        </row>
        <row r="18">
          <cell r="A18" t="str">
            <v>UNIQA Life Insurance Company (Ukraine)</v>
          </cell>
        </row>
        <row r="19">
          <cell r="A19" t="str">
            <v>UNIQA Asigurari (Romania)</v>
          </cell>
        </row>
        <row r="20">
          <cell r="A20" t="str">
            <v>Call Direct Versicherung AG (Austria)</v>
          </cell>
        </row>
        <row r="21">
          <cell r="A21" t="str">
            <v>UNIQA Lebensversicherung AG Vaduz (Liechtenstein)</v>
          </cell>
        </row>
        <row r="22">
          <cell r="A22" t="str">
            <v>UNIQA Life Insurance plc. (Bulgaria)</v>
          </cell>
        </row>
        <row r="23">
          <cell r="A23" t="str">
            <v>Raiffeisen Life (Russia)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_test_assumptions"/>
      <sheetName val="Modelpoints"/>
      <sheetName val="Premium"/>
      <sheetName val="Key Output Val"/>
      <sheetName val="ExecSummary"/>
      <sheetName val="Reserves"/>
      <sheetName val="CF_IFRS_MP"/>
      <sheetName val="CF_Solvency II_MP"/>
      <sheetName val="CF_IFRS_TOTAL"/>
      <sheetName val="Key Output Val RP"/>
      <sheetName val="Key Output CF Base Case"/>
      <sheetName val="Key Output CF UNIQA Scenario"/>
      <sheetName val="Key Output CF Sens1"/>
      <sheetName val="Key Output CF Sens2"/>
      <sheetName val="Key Output CF Sens3"/>
      <sheetName val="WOP"/>
      <sheetName val="P&amp;L Excerpt"/>
      <sheetName val="Assumptions"/>
      <sheetName val="ProductDescription"/>
      <sheetName val="Commutation_Figures"/>
      <sheetName val="Solvency_II_adj"/>
      <sheetName val="INFO"/>
      <sheetName val="Tabelle1"/>
    </sheetNames>
    <sheetDataSet>
      <sheetData sheetId="0">
        <row r="5">
          <cell r="C5">
            <v>1</v>
          </cell>
        </row>
        <row r="7">
          <cell r="C7">
            <v>0</v>
          </cell>
        </row>
        <row r="14">
          <cell r="M14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s"/>
      <sheetName val="SCR_Overview"/>
      <sheetName val="SCR_Overview_work"/>
      <sheetName val="SCR_Market"/>
      <sheetName val="SCR_Life"/>
      <sheetName val="SCR_Life_work"/>
      <sheetName val="SCR_CP"/>
      <sheetName val="BS_Basis"/>
      <sheetName val="BS_YieldDown"/>
      <sheetName val="BS_YieldUp"/>
      <sheetName val="Tables"/>
      <sheetName val="Input"/>
    </sheetNames>
    <sheetDataSet>
      <sheetData sheetId="0">
        <row r="2">
          <cell r="A2" t="str">
            <v>Total</v>
          </cell>
        </row>
        <row r="3">
          <cell r="A3" t="str">
            <v>LoB1</v>
          </cell>
        </row>
        <row r="4">
          <cell r="A4" t="str">
            <v>LoB2</v>
          </cell>
        </row>
        <row r="5">
          <cell r="A5" t="str">
            <v>LoB3</v>
          </cell>
        </row>
        <row r="6">
          <cell r="A6" t="str">
            <v>LoB4</v>
          </cell>
        </row>
        <row r="7">
          <cell r="A7" t="str">
            <v>LoB5</v>
          </cell>
        </row>
        <row r="8">
          <cell r="A8" t="str">
            <v>LoB6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N81"/>
  <sheetViews>
    <sheetView tabSelected="1" zoomScaleNormal="100" workbookViewId="0">
      <selection activeCell="D2" sqref="D2:F2"/>
    </sheetView>
  </sheetViews>
  <sheetFormatPr defaultRowHeight="15" x14ac:dyDescent="0.25"/>
  <cols>
    <col min="1" max="1" width="8.5703125" style="264" customWidth="1"/>
    <col min="2" max="2" width="7.42578125" style="264" hidden="1" customWidth="1"/>
    <col min="3" max="3" width="19.140625" style="264" customWidth="1"/>
    <col min="4" max="8" width="12.28515625" style="264" customWidth="1"/>
    <col min="9" max="9" width="18.7109375" style="264" customWidth="1"/>
    <col min="10" max="10" width="13.5703125" style="308" customWidth="1"/>
    <col min="11" max="11" width="12.85546875" style="680" customWidth="1"/>
    <col min="12" max="12" width="11.7109375" style="264" bestFit="1" customWidth="1"/>
    <col min="13" max="13" width="7.28515625" style="264" bestFit="1" customWidth="1"/>
    <col min="14" max="14" width="13.7109375" style="264" bestFit="1" customWidth="1"/>
    <col min="15" max="16384" width="9.140625" style="264"/>
  </cols>
  <sheetData>
    <row r="1" spans="1:14" x14ac:dyDescent="0.25">
      <c r="A1" s="263"/>
      <c r="B1" s="263"/>
      <c r="C1" s="263"/>
      <c r="D1" s="263"/>
      <c r="E1" s="263"/>
      <c r="F1" s="263"/>
      <c r="G1" s="263"/>
      <c r="H1" s="642" t="s">
        <v>354</v>
      </c>
      <c r="I1" s="263"/>
      <c r="J1" s="680"/>
    </row>
    <row r="2" spans="1:14" x14ac:dyDescent="0.25">
      <c r="A2" s="265" t="s">
        <v>6</v>
      </c>
      <c r="B2" s="265"/>
      <c r="C2" s="266" t="s">
        <v>6</v>
      </c>
      <c r="D2" s="689" t="s">
        <v>40</v>
      </c>
      <c r="E2" s="690"/>
      <c r="F2" s="691"/>
      <c r="G2" s="287">
        <f ca="1">OFFSET(Terméklista!$A$1,MATCH($D$2,Terméklista!$C:$C,0)-1,0)</f>
        <v>240</v>
      </c>
      <c r="H2" s="322">
        <v>42758</v>
      </c>
      <c r="I2" s="263"/>
      <c r="K2" s="681"/>
    </row>
    <row r="3" spans="1:14" x14ac:dyDescent="0.25">
      <c r="A3" s="263"/>
      <c r="B3" s="263"/>
      <c r="C3" s="266" t="s">
        <v>42</v>
      </c>
      <c r="D3" s="266"/>
      <c r="E3" s="266"/>
      <c r="F3" s="266"/>
      <c r="G3" s="267" t="str">
        <f ca="1">IF(K3="foly","folyamatos díjas",      IF(K3="egy","egyszeri díjas",""))</f>
        <v>folyamatos díjas</v>
      </c>
      <c r="H3" s="357"/>
      <c r="I3" s="263"/>
      <c r="K3" s="308" t="str">
        <f ca="1">OFFSET(Terméklista!$A$1,MATCH($D$2,Terméklista!$C:$C,0)-1,1)</f>
        <v>Foly</v>
      </c>
    </row>
    <row r="4" spans="1:14" x14ac:dyDescent="0.25">
      <c r="A4" s="263"/>
      <c r="B4" s="263"/>
      <c r="C4" s="266" t="s">
        <v>43</v>
      </c>
      <c r="D4" s="266"/>
      <c r="E4" s="266"/>
      <c r="F4" s="266"/>
      <c r="G4" s="267" t="str">
        <f ca="1">IF(Nyug=1,"nyugdíjbiztosítás",      IF(Nyug=0,"életbiztosítás",""))</f>
        <v>életbiztosítás</v>
      </c>
      <c r="H4" s="371">
        <f ca="1">IF(OFFSET(Terméklista!$A$1,MATCH(Termékkód,Terméklista!$A:$A,0)-1,    MATCH("nyugdíj",Terméklista!$2:$2,0)-1)="nyugdíjbiztosítás",1,0)</f>
        <v>0</v>
      </c>
      <c r="I4" s="357"/>
      <c r="K4" s="308"/>
    </row>
    <row r="5" spans="1:14" x14ac:dyDescent="0.25">
      <c r="A5" s="265" t="s">
        <v>204</v>
      </c>
      <c r="B5" s="265"/>
      <c r="C5" s="266" t="s">
        <v>266</v>
      </c>
      <c r="D5" s="643">
        <v>1975</v>
      </c>
      <c r="E5" s="644">
        <v>2</v>
      </c>
      <c r="F5" s="645">
        <v>1</v>
      </c>
      <c r="G5" s="268">
        <f>DATE(IF(D5&gt;1900,"","19")&amp;D5,E5,F5)</f>
        <v>27426</v>
      </c>
      <c r="H5" s="361" t="str">
        <f ca="1">IF(TODAY()&lt;DATE(D5+18,E5,F5),"A biztosított 18 év alatti","OK")</f>
        <v>OK</v>
      </c>
      <c r="I5" s="362"/>
      <c r="J5" s="309"/>
      <c r="K5" s="308"/>
    </row>
    <row r="6" spans="1:14" x14ac:dyDescent="0.25">
      <c r="A6" s="263"/>
      <c r="B6" s="263"/>
      <c r="C6" s="269" t="str">
        <f ca="1">"Belépési kor ("&amp;KorMin&amp;"-"&amp;KorMax&amp;")"</f>
        <v>Belépési kor (18-65)</v>
      </c>
      <c r="D6" s="269"/>
      <c r="E6" s="269"/>
      <c r="F6" s="269"/>
      <c r="G6" s="270">
        <f ca="1">YEAR(G8)-YEAR(G5)</f>
        <v>42</v>
      </c>
      <c r="H6" s="361" t="str">
        <f ca="1">IF(G6&gt;KorMax,"Belépési kor max: "&amp;KorMax&amp;" év","OK")</f>
        <v>OK</v>
      </c>
      <c r="I6" s="362"/>
      <c r="J6" s="271"/>
      <c r="K6" s="682" t="str">
        <f>IF(DATE(YEAR(G5)+18,MONTH(G5),DAY(G5))&gt;G7,"Kiskorú!",     IF(YEAR(G7)-YEAR(G5)&gt;J6,       "Korhatáron felül!","OK"))</f>
        <v>Korhatáron felül!</v>
      </c>
    </row>
    <row r="7" spans="1:14" x14ac:dyDescent="0.25">
      <c r="A7" s="265" t="s">
        <v>9</v>
      </c>
      <c r="B7" s="265"/>
      <c r="C7" s="266" t="s">
        <v>0</v>
      </c>
      <c r="D7" s="646">
        <v>2017</v>
      </c>
      <c r="E7" s="644">
        <v>1</v>
      </c>
      <c r="F7" s="645">
        <v>26</v>
      </c>
      <c r="G7" s="268">
        <f>DATE(IF(D7&gt;2000,"","20")&amp;D7,E7,F7)</f>
        <v>42761</v>
      </c>
      <c r="H7" s="361" t="str">
        <f ca="1">IF(G7&lt;&gt;TODAY(),"Az ajánlat aláírása nem a mai nap","OK")</f>
        <v>Az ajánlat aláírása nem a mai nap</v>
      </c>
      <c r="I7" s="361"/>
      <c r="K7" s="308"/>
    </row>
    <row r="8" spans="1:14" x14ac:dyDescent="0.25">
      <c r="A8" s="263"/>
      <c r="B8" s="263"/>
      <c r="C8" s="266" t="s">
        <v>49</v>
      </c>
      <c r="D8" s="266"/>
      <c r="E8" s="266"/>
      <c r="F8" s="266"/>
      <c r="G8" s="268">
        <f ca="1">IF(G3="folyamatos díjas",         DATE(    YEAR(G7)+IF(MONTH(G7)=12,1,0),         IF(MONTH(G7)=12, 1, MONTH(G7)+1),      1),       G7+1)</f>
        <v>42767</v>
      </c>
      <c r="H8" s="363"/>
      <c r="I8" s="357"/>
      <c r="J8" s="272"/>
      <c r="K8" s="683"/>
    </row>
    <row r="9" spans="1:14" x14ac:dyDescent="0.25">
      <c r="A9" s="263"/>
      <c r="B9" s="263"/>
      <c r="C9" s="273" t="str">
        <f ca="1">IF($G$4="életbiztosítás",    "Lejárat",    "Lejárat (díjfizetési tartam vége, CEUS)"  )</f>
        <v>Lejárat</v>
      </c>
      <c r="D9" s="273"/>
      <c r="E9" s="273"/>
      <c r="F9" s="273"/>
      <c r="G9" s="268">
        <f ca="1">IF(G4="életbiztosítás",DATE(YEAR(G8)+IF(TartamVálasztott="élethosszig szóló",100,TartamVálasztott),MONTH(G8),DAY(G8))-1,IF(PM!C54&lt;=G11,PM!C54,DATE(YEAR(G11)-1,MONTH(G8),DAY(G8))-1))</f>
        <v>50071</v>
      </c>
      <c r="H9" s="361" t="str">
        <f ca="1">IF(AND(Nyug=0,TartamVálasztott&lt;&gt;"élethosszig szóló"),      IF(YEAR(G9)-YEAR(G5)&gt;LejárKorMax,"Lejáratkor max. "&amp;LejárKorMax&amp;" éves lehet","OK"),"OK")</f>
        <v>OK</v>
      </c>
      <c r="I9" s="362"/>
      <c r="J9" s="274"/>
      <c r="K9" s="684"/>
      <c r="M9" s="360"/>
      <c r="N9" s="359"/>
    </row>
    <row r="10" spans="1:14" x14ac:dyDescent="0.25">
      <c r="A10" s="263"/>
      <c r="B10" s="263"/>
      <c r="C10" s="269" t="str">
        <f ca="1">IF($G$4="életbiztosítás",    "Tartam",    "Tartam (díjfizetési tartam)"  )</f>
        <v>Tartam</v>
      </c>
      <c r="D10" s="275" t="str">
        <f ca="1">IF(PM!C47="fix", "", IF(PM!C47="wl", "élethosszig szóló","Válasszon:"))</f>
        <v>Válasszon:</v>
      </c>
      <c r="E10" s="647" t="s">
        <v>346</v>
      </c>
      <c r="F10" s="652">
        <v>20</v>
      </c>
      <c r="G10" s="276">
        <f ca="1">IF(TartamTermék="WL", "élethosszig szóló",      IF(G4="nyugdíjbiztosítás",    PM!C50,       IF(TartamTermék="fix",F10,         IF(E10="fix",    F10,    "élethosszig szóló"                       ))        ))</f>
        <v>20</v>
      </c>
      <c r="H10" s="361" t="str">
        <f ca="1">IF(TartamVálasztott="élethosszig szóló",   "OK",      IF(TartamVálasztott&lt;TartamMin,"Minimum tartam "&amp;TartamMin&amp;" év",IF(TartamVálasztott&gt;TartamMax,"Maximum tartam "&amp;TartamMax&amp;" év","OK"))    )</f>
        <v>OK</v>
      </c>
      <c r="I10" s="364"/>
      <c r="K10" s="685" t="str">
        <f ca="1">IF(TartamTermék="wl / fix",    IF(E10="fix",  "fix", "wl"), TartamTermék)</f>
        <v>fix</v>
      </c>
      <c r="M10" s="360"/>
    </row>
    <row r="11" spans="1:14" x14ac:dyDescent="0.25">
      <c r="A11" s="263"/>
      <c r="B11" s="263"/>
      <c r="C11" s="269" t="str">
        <f ca="1">IF(G4="nyugdíjbiztosítás","Lejárat (nyugdíjkorhatár)","")</f>
        <v/>
      </c>
      <c r="D11" s="269"/>
      <c r="E11" s="269"/>
      <c r="F11" s="269"/>
      <c r="G11" s="277" t="str">
        <f ca="1">IF(G4="nyugdíjbiztosítás",     DATE(YEAR(G5)+PM!A55,MONTH(G5),DAY(G5))+PM!C55,"")</f>
        <v/>
      </c>
      <c r="H11" s="278" t="str">
        <f ca="1">IF(G4="nyugdíjbiztosítás",    YEAR(G11)*12+MONTH(G11)-YEAR(G9+1)*12-MONTH(G9+1),"")</f>
        <v/>
      </c>
      <c r="I11" s="357"/>
      <c r="J11" s="279"/>
      <c r="K11" s="308"/>
    </row>
    <row r="12" spans="1:14" x14ac:dyDescent="0.25">
      <c r="A12" s="263"/>
      <c r="B12" s="263"/>
      <c r="C12" s="273" t="str">
        <f ca="1">IF(G4="nyugdíjbiztosítás","Tartam (nyugdíjkorhatárig)","")</f>
        <v/>
      </c>
      <c r="D12" s="273"/>
      <c r="E12" s="273"/>
      <c r="F12" s="430">
        <f ca="1">IF(G4="életbiztosítás",   0,YEAR(G11)*12+MONTH(G11)-YEAR(G9+1)*12-MONTH(G9+1))</f>
        <v>0</v>
      </c>
      <c r="G12" s="268" t="str">
        <f ca="1">IF(G4="nyugdíjbiztosítás",G10&amp;" év + "   &amp;    YEAR(G11)*12+MONTH(G11)-YEAR(G9+1)*12-MONTH(G9+1)   &amp;   " hó ("  &amp; G10*12+YEAR(G11)*12+MONTH(G11)-YEAR(G9+1)*12-MONTH(G9+1) &amp;" hó)","")</f>
        <v/>
      </c>
      <c r="H12" s="328"/>
      <c r="I12" s="357"/>
      <c r="J12" s="274"/>
      <c r="K12" s="684"/>
    </row>
    <row r="13" spans="1:14" x14ac:dyDescent="0.25">
      <c r="A13" s="265" t="s">
        <v>203</v>
      </c>
      <c r="B13" s="265"/>
      <c r="C13" s="269" t="str">
        <f ca="1">IF(EgyFoly="egy", "Egyszeri díj", "Kezdeti éves díj")</f>
        <v>Kezdeti éves díj</v>
      </c>
      <c r="D13" s="269" t="str">
        <f ca="1">"minimum "&amp;TEXT(MinDíj,   "# ###")&amp; " "&amp;Pénznem</f>
        <v>minimum 120 000 Ft</v>
      </c>
      <c r="E13" s="269"/>
      <c r="F13" s="648">
        <v>150</v>
      </c>
      <c r="G13" s="280" t="str">
        <f ca="1">"000 "&amp;Pénznem</f>
        <v>000 Ft</v>
      </c>
      <c r="H13" s="364" t="str">
        <f ca="1">IF(F13*1000&lt;MinDíj,"Minimumdíj: "&amp;TEXT(MinDíj,"# ###"),"OK")</f>
        <v>OK</v>
      </c>
      <c r="I13" s="362"/>
      <c r="K13" s="686">
        <f ca="1">IF(Termékkód=129,VLOOKUP(G10,PM!C18:D26,2),VLOOKUP(Termékkód,Terméklista!A:K,11,0))</f>
        <v>120000</v>
      </c>
    </row>
    <row r="14" spans="1:14" x14ac:dyDescent="0.25">
      <c r="A14" s="263"/>
      <c r="B14" s="263"/>
      <c r="C14" s="266" t="s">
        <v>297</v>
      </c>
      <c r="D14" s="266"/>
      <c r="E14" s="266"/>
      <c r="F14" s="649" t="s">
        <v>195</v>
      </c>
      <c r="G14" s="281">
        <f>GyakDíj</f>
        <v>37500</v>
      </c>
      <c r="H14" s="424" t="s">
        <v>296</v>
      </c>
      <c r="I14" s="358"/>
      <c r="K14" s="308"/>
    </row>
    <row r="15" spans="1:14" x14ac:dyDescent="0.25">
      <c r="A15" s="263"/>
      <c r="B15" s="263"/>
      <c r="C15" s="266" t="s">
        <v>215</v>
      </c>
      <c r="D15" s="266"/>
      <c r="E15" s="266"/>
      <c r="F15" s="650" t="s">
        <v>217</v>
      </c>
      <c r="G15" s="658" t="str">
        <f ca="1">IF(AND(Ért="Quantis",Freq&gt;2),"beszedési megbízás",F15)</f>
        <v>átutalás</v>
      </c>
      <c r="H15" s="653"/>
      <c r="I15" s="358"/>
      <c r="K15" s="308"/>
    </row>
    <row r="16" spans="1:14" x14ac:dyDescent="0.25">
      <c r="A16" s="263"/>
      <c r="B16" s="263"/>
      <c r="C16" s="266" t="s">
        <v>106</v>
      </c>
      <c r="D16" s="266"/>
      <c r="E16" s="266"/>
      <c r="F16" s="367">
        <f ca="1">Ind</f>
        <v>2.5000000000000001E-2</v>
      </c>
      <c r="G16" s="370"/>
      <c r="H16" s="328"/>
      <c r="I16" s="358"/>
      <c r="K16" s="308"/>
    </row>
    <row r="17" spans="1:11" x14ac:dyDescent="0.25">
      <c r="A17" s="265" t="s">
        <v>256</v>
      </c>
      <c r="B17" s="265"/>
      <c r="C17" s="266" t="s">
        <v>252</v>
      </c>
      <c r="D17" s="266"/>
      <c r="E17" s="266"/>
      <c r="F17" s="651">
        <v>0.05</v>
      </c>
      <c r="G17" s="263"/>
      <c r="H17" s="328"/>
      <c r="I17" s="328"/>
      <c r="K17" s="681"/>
    </row>
    <row r="18" spans="1:11" ht="33.75" x14ac:dyDescent="0.25">
      <c r="A18" s="265"/>
      <c r="B18" s="265"/>
      <c r="C18" s="266"/>
      <c r="D18" s="266"/>
      <c r="E18" s="266"/>
      <c r="F18" s="366" t="s">
        <v>262</v>
      </c>
      <c r="G18" s="366" t="s">
        <v>271</v>
      </c>
      <c r="H18" s="330" t="s">
        <v>261</v>
      </c>
      <c r="I18" s="328"/>
      <c r="K18" s="681"/>
    </row>
    <row r="19" spans="1:11" x14ac:dyDescent="0.25">
      <c r="A19" s="263"/>
      <c r="B19" s="263"/>
      <c r="C19" s="266" t="str">
        <f>"Eszközalap"&amp;IF(F19=1,""," 1")</f>
        <v>Eszközalap 1</v>
      </c>
      <c r="D19" s="692" t="s">
        <v>76</v>
      </c>
      <c r="E19" s="693"/>
      <c r="F19" s="663">
        <v>10</v>
      </c>
      <c r="G19" s="329">
        <f>1-SUM(G20:G23)</f>
        <v>1</v>
      </c>
      <c r="H19" s="282">
        <f ca="1">SUMIFS(Eszközalap!E:E,Eszközalap!B:B,Termékkód,Eszközalap!D:D,D19)</f>
        <v>2.9000000000000001E-2</v>
      </c>
      <c r="I19" s="364" t="str">
        <f>IF(COUNTIF($D$19:$E$22,D19)&gt;1,"Többször kiválasztva!","OK")</f>
        <v>OK</v>
      </c>
      <c r="K19" s="681"/>
    </row>
    <row r="20" spans="1:11" x14ac:dyDescent="0.25">
      <c r="A20" s="263"/>
      <c r="B20" s="263"/>
      <c r="C20" s="283" t="s">
        <v>219</v>
      </c>
      <c r="D20" s="692"/>
      <c r="E20" s="693"/>
      <c r="F20" s="663"/>
      <c r="G20" s="369">
        <f>IF(D20=0,0,     ROUND(F20/$F$24,2))</f>
        <v>0</v>
      </c>
      <c r="H20" s="282">
        <f ca="1">SUMIFS(Eszközalap!E:E,Eszközalap!B:B,Termékkód,Eszközalap!D:D,D20)</f>
        <v>0</v>
      </c>
      <c r="I20" s="364" t="str">
        <f t="shared" ref="I20:I22" si="0">IF(COUNTIF($D$19:$E$22,D20)&gt;1,"Többször kiválasztva!",IF(AND(D20&lt;&gt;0,   AND(G20&gt;0,G20&lt;0.01)   ),"Legalább 1% legyen!","OK"))</f>
        <v>OK</v>
      </c>
      <c r="K20" s="681"/>
    </row>
    <row r="21" spans="1:11" x14ac:dyDescent="0.25">
      <c r="A21" s="263"/>
      <c r="B21" s="263"/>
      <c r="C21" s="283" t="s">
        <v>257</v>
      </c>
      <c r="D21" s="692"/>
      <c r="E21" s="693"/>
      <c r="F21" s="663"/>
      <c r="G21" s="369">
        <f t="shared" ref="G21:G22" si="1">IF(D21=0,0,     ROUND(F21/$F$24,2))</f>
        <v>0</v>
      </c>
      <c r="H21" s="282">
        <f ca="1">SUMIFS(Eszközalap!E:E,Eszközalap!B:B,Termékkód,Eszközalap!D:D,D21)</f>
        <v>0</v>
      </c>
      <c r="I21" s="364" t="str">
        <f t="shared" si="0"/>
        <v>OK</v>
      </c>
      <c r="K21" s="681"/>
    </row>
    <row r="22" spans="1:11" x14ac:dyDescent="0.25">
      <c r="A22" s="263"/>
      <c r="B22" s="263"/>
      <c r="C22" s="283" t="s">
        <v>258</v>
      </c>
      <c r="D22" s="692"/>
      <c r="E22" s="693"/>
      <c r="F22" s="663"/>
      <c r="G22" s="369">
        <f t="shared" si="1"/>
        <v>0</v>
      </c>
      <c r="H22" s="368">
        <f ca="1">SUMIFS(Eszközalap!E:E,Eszközalap!B:B,Termékkód,Eszközalap!D:D,D22)</f>
        <v>0</v>
      </c>
      <c r="I22" s="364" t="str">
        <f t="shared" si="0"/>
        <v>OK</v>
      </c>
      <c r="K22" s="681"/>
    </row>
    <row r="23" spans="1:11" x14ac:dyDescent="0.25">
      <c r="A23" s="263"/>
      <c r="B23" s="263"/>
      <c r="C23" s="283" t="s">
        <v>272</v>
      </c>
      <c r="D23" s="692"/>
      <c r="E23" s="693"/>
      <c r="F23" s="663"/>
      <c r="G23" s="331">
        <f>IF(D23=0,0,     ROUND(F23/$F$24,2))</f>
        <v>0</v>
      </c>
      <c r="H23" s="332">
        <f ca="1">SUMIFS(Eszközalap!E:E,Eszközalap!B:B,Termékkód,Eszközalap!D:D,D23)</f>
        <v>0</v>
      </c>
      <c r="I23" s="364" t="str">
        <f>IF(COUNTIF($D$19:$E$22,D23)&gt;1,"Többször kiválasztva!",IF(AND(D23&lt;&gt;0,   AND(G23&gt;0,G23&lt;0.01)   ),"Legalább 1% legyen!","OK"))</f>
        <v>OK</v>
      </c>
      <c r="K23" s="681"/>
    </row>
    <row r="24" spans="1:11" x14ac:dyDescent="0.25">
      <c r="A24" s="263"/>
      <c r="B24" s="263"/>
      <c r="C24" s="266" t="s">
        <v>247</v>
      </c>
      <c r="D24" s="266"/>
      <c r="E24" s="286"/>
      <c r="F24" s="328">
        <f ca="1">IF(H19=0,0,F19)   +    IF(H20=0,0,F20)    +   IF(H21=0,0,F21)    +     IF(H22=0,0,F22) + IF(H23=0,0,F23)</f>
        <v>10</v>
      </c>
      <c r="G24" s="329">
        <f>SUM(G19:G23)</f>
        <v>1</v>
      </c>
      <c r="H24" s="284">
        <f ca="1">H19*G19+H20*G20+G21*H21+G22*H22+G23*H23</f>
        <v>2.9000000000000001E-2</v>
      </c>
      <c r="I24" s="328"/>
      <c r="K24" s="681"/>
    </row>
    <row r="25" spans="1:11" x14ac:dyDescent="0.25">
      <c r="A25" s="263"/>
      <c r="C25" s="263"/>
      <c r="D25" s="263"/>
      <c r="E25" s="263"/>
      <c r="F25" s="263"/>
      <c r="G25" s="263"/>
      <c r="H25" s="263"/>
      <c r="I25" s="263"/>
      <c r="J25" s="310"/>
      <c r="K25" s="681"/>
    </row>
    <row r="26" spans="1:11" ht="33" customHeight="1" x14ac:dyDescent="0.25">
      <c r="A26" s="698" t="s">
        <v>344</v>
      </c>
      <c r="B26" s="699"/>
      <c r="C26" s="699"/>
      <c r="D26" s="699"/>
      <c r="E26" s="699"/>
      <c r="F26" s="699"/>
      <c r="G26" s="699"/>
      <c r="H26" s="699"/>
      <c r="I26" s="700"/>
      <c r="J26" s="310"/>
      <c r="K26" s="681"/>
    </row>
    <row r="27" spans="1:11" ht="30" customHeight="1" x14ac:dyDescent="0.25">
      <c r="A27" s="701" t="s">
        <v>347</v>
      </c>
      <c r="B27" s="702"/>
      <c r="C27" s="702"/>
      <c r="D27" s="702"/>
      <c r="E27" s="702"/>
      <c r="F27" s="702"/>
      <c r="G27" s="702"/>
      <c r="H27" s="702"/>
      <c r="I27" s="703"/>
      <c r="K27" s="681"/>
    </row>
    <row r="28" spans="1:11" x14ac:dyDescent="0.25">
      <c r="A28" s="704" t="s">
        <v>345</v>
      </c>
      <c r="B28" s="705"/>
      <c r="C28" s="705"/>
      <c r="D28" s="705"/>
      <c r="E28" s="705"/>
      <c r="F28" s="705"/>
      <c r="G28" s="705"/>
      <c r="H28" s="705"/>
      <c r="I28" s="706"/>
      <c r="K28" s="681"/>
    </row>
    <row r="29" spans="1:11" ht="30.75" customHeight="1" x14ac:dyDescent="0.25">
      <c r="A29" s="707" t="str">
        <f ca="1">IF(Nyug=1, "Az adójóváírás a modellben a 2. naptári évtől kezdődően,  a június hónapban történik. Az utolsó naptári évben fizetett díjak adójóváírása a modellben……...hónapjában jelenik meg.","")</f>
        <v/>
      </c>
      <c r="B29" s="707"/>
      <c r="C29" s="707"/>
      <c r="D29" s="707"/>
      <c r="E29" s="707"/>
      <c r="F29" s="707"/>
      <c r="G29" s="707"/>
      <c r="H29" s="707"/>
      <c r="I29" s="707"/>
      <c r="K29" s="681"/>
    </row>
    <row r="30" spans="1:11" ht="60" customHeight="1" x14ac:dyDescent="0.25">
      <c r="A30" s="365" t="str">
        <f ca="1">IF(AND(H13="OK",H10="OK",H9="OK",H6="OK",H5="OK"),    "OK",    "Hiba")</f>
        <v>OK</v>
      </c>
      <c r="B30" s="305"/>
      <c r="C30" s="687" t="s">
        <v>248</v>
      </c>
      <c r="D30" s="298" t="s">
        <v>259</v>
      </c>
      <c r="E30" s="296"/>
      <c r="F30" s="296"/>
      <c r="G30" s="297"/>
      <c r="H30" s="696" t="s">
        <v>260</v>
      </c>
      <c r="I30" s="694" t="str">
        <f ca="1">IF($G$4="nyugdíjbiztosítás","Adójóváírás 20%-kal növelt értéke, a visszavásárlási értékből levonásra kerül","")</f>
        <v/>
      </c>
      <c r="J30" s="313"/>
      <c r="K30" s="681"/>
    </row>
    <row r="31" spans="1:11" ht="28.5" customHeight="1" x14ac:dyDescent="0.25">
      <c r="A31" s="292" t="s">
        <v>1</v>
      </c>
      <c r="B31" s="292"/>
      <c r="C31" s="688"/>
      <c r="D31" s="290" t="s">
        <v>245</v>
      </c>
      <c r="E31" s="290" t="s">
        <v>246</v>
      </c>
      <c r="F31" s="290" t="str">
        <f ca="1">IF($G$4="nyugdíjbiztosítás","Adójóváírás extra egységek","")</f>
        <v/>
      </c>
      <c r="G31" s="290" t="s">
        <v>247</v>
      </c>
      <c r="H31" s="697"/>
      <c r="I31" s="695"/>
      <c r="J31" s="314" t="s">
        <v>249</v>
      </c>
      <c r="K31" s="681"/>
    </row>
    <row r="32" spans="1:11" ht="13.5" hidden="1" customHeight="1" x14ac:dyDescent="0.25">
      <c r="A32" s="293">
        <v>0</v>
      </c>
      <c r="B32" s="293"/>
      <c r="C32" s="293"/>
      <c r="D32" s="294">
        <f ca="1">IF(TartamVálasztott&lt;TartamMin,0,     SUMIFS(VV,CFdet!$AO$6:$AO$569,$A32,CFdet!$AP$6:$AP$569,12))</f>
        <v>0</v>
      </c>
      <c r="E32" s="294">
        <f ca="1">IF(TartamVálasztott&lt;TartamMin,0,   SUMIFS(AssLoy,CFdet!$AO$6:$AO$569,$A32,CFdet!$AP$6:$AP$569,12))</f>
        <v>0</v>
      </c>
      <c r="F32" s="295">
        <f ca="1">IF(TartamVálasztott&lt;TartamMin,0,   IF($G$4="nyugdíjbiztosítás",    SUMIFS(CFdet!BI:BI,CFdet!AO:AO,$A32,CFdet!AP:AP,12),   0))</f>
        <v>0</v>
      </c>
      <c r="G32" s="295">
        <f t="shared" ref="G32" ca="1" si="2">D32+E32+F32</f>
        <v>0</v>
      </c>
      <c r="H32" s="295">
        <f ca="1">D32</f>
        <v>0</v>
      </c>
      <c r="I32" s="423"/>
      <c r="J32" s="313"/>
      <c r="K32" s="681"/>
    </row>
    <row r="33" spans="1:12" x14ac:dyDescent="0.25">
      <c r="A33" s="291">
        <v>1</v>
      </c>
      <c r="B33" s="306">
        <f t="shared" ref="B33:B51" ca="1" si="3">IF(AND($G$4="nyugdíjbiztosítás",$F$12&lt;&gt;0,TartamVálasztott=A32),$F$12,0)</f>
        <v>0</v>
      </c>
      <c r="C33" s="299">
        <f ca="1">IF(Ellenőrzés="HIBA",    0,       IF(A33=A32,C32,    C32+SUMIF(CFdet!AO:AO,A33,CFdet!AQ:AQ)))</f>
        <v>150000</v>
      </c>
      <c r="D33" s="288">
        <f ca="1">IF(Ellenőrzés="HIBA",    0,       IF(TartamVálasztott&lt;TartamMin,0,     SUMIFS(VV,CFdet!$AO$6:$AO$569,$A33,CFdet!$AP$6:$AP$569,12)))</f>
        <v>30931.782643644205</v>
      </c>
      <c r="E33" s="288">
        <f ca="1">IF(Ellenőrzés="HIBA",    0,      IF(TartamVálasztott&lt;TartamMin,0,   SUMIFS(AssLoy,CFdet!$AO$6:$AO$569,$A33,CFdet!$AP$6:$AP$569,12)))</f>
        <v>4639.7673965466356</v>
      </c>
      <c r="F33" s="289">
        <f ca="1">IF(Ellenőrzés="HIBA",    0,      IF(TartamVálasztott&lt;TartamMin,0,   IF($G$4="nyugdíjbiztosítás",    SUMIFS(CFdet!BI:BI,CFdet!AO:AO,$A33,CFdet!AP:AP,12),   0))   )</f>
        <v>0</v>
      </c>
      <c r="G33" s="288">
        <f t="shared" ref="G33:G79" ca="1" si="4">IF(Ellenőrzés="HIBA",    0,      D33+E33+F33)</f>
        <v>35571.550040190843</v>
      </c>
      <c r="H33" s="288">
        <f t="shared" ref="H33:H79" ca="1" si="5">IF(Ellenőrzés="HIBA",    0,      D33+F33)</f>
        <v>30931.782643644205</v>
      </c>
      <c r="I33" s="288"/>
      <c r="J33" s="315">
        <f ca="1">SUMIF(CFdet!AO:AO,A33,CFdet!BH:BH)</f>
        <v>0</v>
      </c>
      <c r="K33" s="681"/>
    </row>
    <row r="34" spans="1:12" x14ac:dyDescent="0.25">
      <c r="A34" s="291">
        <f ca="1">IF(MAX(A$32:A33)=$G$10,A33,A33+1)</f>
        <v>2</v>
      </c>
      <c r="B34" s="306">
        <f t="shared" ca="1" si="3"/>
        <v>0</v>
      </c>
      <c r="C34" s="299">
        <f ca="1">IF(Ellenőrzés="HIBA",    0,       IF(A34=A33,C33,    C33+SUMIF(CFdet!AO:AO,A34,CFdet!AQ:AQ)))</f>
        <v>303750</v>
      </c>
      <c r="D34" s="288">
        <f ca="1">IF(Ellenőrzés="HIBA",    0,       IF(TartamVálasztott&lt;TartamMin,0,     SUMIFS(VV,CFdet!$AO$6:$AO$569,$A34,CFdet!$AP$6:$AP$569,12)))</f>
        <v>111741.06480016472</v>
      </c>
      <c r="E34" s="288">
        <f ca="1">IF(Ellenőrzés="HIBA",    0,      IF(TartamVálasztott&lt;TartamMin,0,   SUMIFS(AssLoy,CFdet!$AO$6:$AO$569,$A34,CFdet!$AP$6:$AP$569,12)))</f>
        <v>9627.5173478342695</v>
      </c>
      <c r="F34" s="289">
        <f ca="1">IF(Ellenőrzés="HIBA",    0,      IF(TartamVálasztott&lt;TartamMin,0,   IF($G$4="nyugdíjbiztosítás",    SUMIFS(CFdet!BI:BI,CFdet!AO:AO,$A34,CFdet!AP:AP,12),   0))   )</f>
        <v>0</v>
      </c>
      <c r="G34" s="288">
        <f t="shared" ca="1" si="4"/>
        <v>121368.582147999</v>
      </c>
      <c r="H34" s="288">
        <f t="shared" ca="1" si="5"/>
        <v>111741.06480016472</v>
      </c>
      <c r="I34" s="288">
        <f t="shared" ref="I34:I80" ca="1" si="6">IF(Nyug=1,1.2*J34,0)</f>
        <v>0</v>
      </c>
      <c r="J34" s="315">
        <f ca="1">J33+SUMIF(CFdet!AO:AO,A34,CFdet!BH:BH)</f>
        <v>30000</v>
      </c>
      <c r="K34" s="681"/>
    </row>
    <row r="35" spans="1:12" x14ac:dyDescent="0.25">
      <c r="A35" s="291">
        <f ca="1">IF(MAX(A$32:A34)=$G$10,A34,A34+1)</f>
        <v>3</v>
      </c>
      <c r="B35" s="306">
        <f t="shared" ca="1" si="3"/>
        <v>0</v>
      </c>
      <c r="C35" s="299">
        <f ca="1">IF(Ellenőrzés="HIBA",    0,       IF(A35=A34,C34,    C34+SUMIF(CFdet!AO:AO,A35,CFdet!AQ:AQ)))</f>
        <v>461343.75</v>
      </c>
      <c r="D35" s="288">
        <f ca="1">IF(Ellenőrzés="HIBA",    0,       IF(TartamVálasztott&lt;TartamMin,0,     SUMIFS(VV,CFdet!$AO$6:$AO$569,$A35,CFdet!$AP$6:$AP$569,12)))</f>
        <v>247318.93460008778</v>
      </c>
      <c r="E35" s="288">
        <f ca="1">IF(Ellenőrzés="HIBA",    0,      IF(TartamVálasztott&lt;TartamMin,0,   SUMIFS(AssLoy,CFdet!$AO$6:$AO$569,$A35,CFdet!$AP$6:$AP$569,12)))</f>
        <v>16608.434043221725</v>
      </c>
      <c r="F35" s="289">
        <f ca="1">IF(Ellenőrzés="HIBA",    0,      IF(TartamVálasztott&lt;TartamMin,0,   IF($G$4="nyugdíjbiztosítás",    SUMIFS(CFdet!BI:BI,CFdet!AO:AO,$A35,CFdet!AP:AP,12),   0))   )</f>
        <v>0</v>
      </c>
      <c r="G35" s="288">
        <f t="shared" ca="1" si="4"/>
        <v>263927.36864330951</v>
      </c>
      <c r="H35" s="288">
        <f t="shared" ca="1" si="5"/>
        <v>247318.93460008778</v>
      </c>
      <c r="I35" s="288">
        <f t="shared" ca="1" si="6"/>
        <v>0</v>
      </c>
      <c r="J35" s="315">
        <f ca="1">J34+SUMIF(CFdet!AO:AO,A35,CFdet!BH:BH)</f>
        <v>60750</v>
      </c>
      <c r="K35" s="681"/>
      <c r="L35" s="285"/>
    </row>
    <row r="36" spans="1:12" x14ac:dyDescent="0.25">
      <c r="A36" s="291">
        <f ca="1">IF(MAX(A$32:A35)=$G$10,A35,A35+1)</f>
        <v>4</v>
      </c>
      <c r="B36" s="306">
        <f t="shared" ca="1" si="3"/>
        <v>0</v>
      </c>
      <c r="C36" s="299">
        <f ca="1">IF(Ellenőrzés="HIBA",    0,       IF(A36=A35,C35,    C35+SUMIF(CFdet!AO:AO,A36,CFdet!AQ:AQ)))</f>
        <v>622877.34375</v>
      </c>
      <c r="D36" s="288">
        <f ca="1">IF(Ellenőrzés="HIBA",    0,       IF(TartamVálasztott&lt;TartamMin,0,     SUMIFS(VV,CFdet!$AO$6:$AO$569,$A36,CFdet!$AP$6:$AP$569,12)))</f>
        <v>391264.77374521707</v>
      </c>
      <c r="E36" s="288">
        <f ca="1">IF(Ellenőrzés="HIBA",    0,      IF(TartamVálasztott&lt;TartamMin,0,   SUMIFS(AssLoy,CFdet!$AO$6:$AO$569,$A36,CFdet!$AP$6:$AP$569,12)))</f>
        <v>34314.843100233804</v>
      </c>
      <c r="F36" s="289">
        <f ca="1">IF(Ellenőrzés="HIBA",    0,      IF(TartamVálasztott&lt;TartamMin,0,   IF($G$4="nyugdíjbiztosítás",    SUMIFS(CFdet!BI:BI,CFdet!AO:AO,$A36,CFdet!AP:AP,12),   0))   )</f>
        <v>0</v>
      </c>
      <c r="G36" s="288">
        <f t="shared" ca="1" si="4"/>
        <v>425579.61684545089</v>
      </c>
      <c r="H36" s="288">
        <f t="shared" ca="1" si="5"/>
        <v>391264.77374521707</v>
      </c>
      <c r="I36" s="288">
        <f t="shared" ca="1" si="6"/>
        <v>0</v>
      </c>
      <c r="J36" s="311">
        <f ca="1">J35+SUMIF(CFdet!AO:AO,A36,CFdet!BH:BH)</f>
        <v>92268.75</v>
      </c>
      <c r="K36" s="681"/>
      <c r="L36" s="285"/>
    </row>
    <row r="37" spans="1:12" x14ac:dyDescent="0.25">
      <c r="A37" s="291">
        <f ca="1">IF(MAX(A$32:A36)=$G$10,A36,A36+1)</f>
        <v>5</v>
      </c>
      <c r="B37" s="306">
        <f t="shared" ca="1" si="3"/>
        <v>0</v>
      </c>
      <c r="C37" s="299">
        <f ca="1">IF(Ellenőrzés="HIBA",    0,       IF(A37=A36,C36,    C36+SUMIF(CFdet!AO:AO,A37,CFdet!AQ:AQ)))</f>
        <v>788449.27734375</v>
      </c>
      <c r="D37" s="288">
        <f ca="1">IF(Ellenőrzés="HIBA",    0,       IF(TartamVálasztott&lt;TartamMin,0,     SUMIFS(VV,CFdet!$AO$6:$AO$569,$A37,CFdet!$AP$6:$AP$569,12)))</f>
        <v>568897.6284752175</v>
      </c>
      <c r="E37" s="288">
        <f ca="1">IF(Ellenőrzés="HIBA",    0,      IF(TartamVálasztott&lt;TartamMin,0,   SUMIFS(AssLoy,CFdet!$AO$6:$AO$569,$A37,CFdet!$AP$6:$AP$569,12)))</f>
        <v>27339.795363620193</v>
      </c>
      <c r="F37" s="289">
        <f ca="1">IF(Ellenőrzés="HIBA",    0,      IF(TartamVálasztott&lt;TartamMin,0,   IF($G$4="nyugdíjbiztosítás",    SUMIFS(CFdet!BI:BI,CFdet!AO:AO,$A37,CFdet!AP:AP,12),   0))   )</f>
        <v>0</v>
      </c>
      <c r="G37" s="288">
        <f t="shared" ca="1" si="4"/>
        <v>596237.42383883765</v>
      </c>
      <c r="H37" s="288">
        <f t="shared" ca="1" si="5"/>
        <v>568897.6284752175</v>
      </c>
      <c r="I37" s="288">
        <f t="shared" ca="1" si="6"/>
        <v>0</v>
      </c>
      <c r="J37" s="311">
        <f ca="1">J36+SUMIF(CFdet!AO:AO,A37,CFdet!BH:BH)</f>
        <v>124575.46875</v>
      </c>
      <c r="K37" s="681"/>
      <c r="L37" s="285"/>
    </row>
    <row r="38" spans="1:12" x14ac:dyDescent="0.25">
      <c r="A38" s="291">
        <f ca="1">IF(MAX(A$32:A37)=$G$10,A37,A37+1)</f>
        <v>6</v>
      </c>
      <c r="B38" s="306">
        <f t="shared" ca="1" si="3"/>
        <v>0</v>
      </c>
      <c r="C38" s="299">
        <f ca="1">IF(Ellenőrzés="HIBA",    0,       IF(A38=A37,C37,    C37+SUMIF(CFdet!AO:AO,A38,CFdet!AQ:AQ)))</f>
        <v>958160.50927734375</v>
      </c>
      <c r="D38" s="288">
        <f ca="1">IF(Ellenőrzés="HIBA",    0,       IF(TartamVálasztott&lt;TartamMin,0,     SUMIFS(VV,CFdet!$AO$6:$AO$569,$A38,CFdet!$AP$6:$AP$569,12)))</f>
        <v>726296.8963308091</v>
      </c>
      <c r="E38" s="288">
        <f ca="1">IF(Ellenőrzés="HIBA",    0,      IF(TartamVálasztott&lt;TartamMin,0,   SUMIFS(AssLoy,CFdet!$AO$6:$AO$569,$A38,CFdet!$AP$6:$AP$569,12)))</f>
        <v>49980.418086294005</v>
      </c>
      <c r="F38" s="289">
        <f ca="1">IF(Ellenőrzés="HIBA",    0,      IF(TartamVálasztott&lt;TartamMin,0,   IF($G$4="nyugdíjbiztosítás",    SUMIFS(CFdet!BI:BI,CFdet!AO:AO,$A38,CFdet!AP:AP,12),   0))   )</f>
        <v>0</v>
      </c>
      <c r="G38" s="288">
        <f t="shared" ca="1" si="4"/>
        <v>776277.31441710307</v>
      </c>
      <c r="H38" s="288">
        <f t="shared" ca="1" si="5"/>
        <v>726296.8963308091</v>
      </c>
      <c r="I38" s="288">
        <f t="shared" ca="1" si="6"/>
        <v>0</v>
      </c>
      <c r="J38" s="311">
        <f ca="1">J37+SUMIF(CFdet!AO:AO,A38,CFdet!BH:BH)</f>
        <v>157689.85546875</v>
      </c>
      <c r="K38" s="681"/>
      <c r="L38" s="285"/>
    </row>
    <row r="39" spans="1:12" x14ac:dyDescent="0.25">
      <c r="A39" s="291">
        <f ca="1">IF(MAX(A$32:A38)=$G$10,A38,A38+1)</f>
        <v>7</v>
      </c>
      <c r="B39" s="306">
        <f t="shared" ca="1" si="3"/>
        <v>0</v>
      </c>
      <c r="C39" s="299">
        <f ca="1">IF(Ellenőrzés="HIBA",    0,       IF(A39=A38,C38,    C38+SUMIF(CFdet!AO:AO,A39,CFdet!AQ:AQ)))</f>
        <v>1132114.5220092773</v>
      </c>
      <c r="D39" s="288">
        <f ca="1">IF(Ellenőrzés="HIBA",    0,       IF(TartamVálasztott&lt;TartamMin,0,     SUMIFS(VV,CFdet!$AO$6:$AO$569,$A39,CFdet!$AP$6:$AP$569,12)))</f>
        <v>890487.73671370198</v>
      </c>
      <c r="E39" s="288">
        <f ca="1">IF(Ellenőrzés="HIBA",    0,      IF(TartamVálasztott&lt;TartamMin,0,   SUMIFS(AssLoy,CFdet!$AO$6:$AO$569,$A39,CFdet!$AP$6:$AP$569,12)))</f>
        <v>75601.958469135774</v>
      </c>
      <c r="F39" s="289">
        <f ca="1">IF(Ellenőrzés="HIBA",    0,      IF(TartamVálasztott&lt;TartamMin,0,   IF($G$4="nyugdíjbiztosítás",    SUMIFS(CFdet!BI:BI,CFdet!AO:AO,$A39,CFdet!AP:AP,12),   0))   )</f>
        <v>0</v>
      </c>
      <c r="G39" s="288">
        <f t="shared" ca="1" si="4"/>
        <v>966089.69518283778</v>
      </c>
      <c r="H39" s="288">
        <f t="shared" ca="1" si="5"/>
        <v>890487.73671370198</v>
      </c>
      <c r="I39" s="288">
        <f t="shared" ca="1" si="6"/>
        <v>0</v>
      </c>
      <c r="J39" s="311">
        <f ca="1">J38+SUMIF(CFdet!AO:AO,A39,CFdet!BH:BH)</f>
        <v>191632.10185546873</v>
      </c>
      <c r="K39" s="681"/>
      <c r="L39" s="285"/>
    </row>
    <row r="40" spans="1:12" x14ac:dyDescent="0.25">
      <c r="A40" s="291">
        <f ca="1">IF(MAX(A$32:A39)=$G$10,A39,A39+1)</f>
        <v>8</v>
      </c>
      <c r="B40" s="306">
        <f t="shared" ca="1" si="3"/>
        <v>0</v>
      </c>
      <c r="C40" s="299">
        <f ca="1">IF(Ellenőrzés="HIBA",    0,       IF(A40=A39,C39,    C39+SUMIF(CFdet!AO:AO,A40,CFdet!AQ:AQ)))</f>
        <v>1310417.3850595092</v>
      </c>
      <c r="D40" s="288">
        <f ca="1">IF(Ellenőrzés="HIBA",    0,       IF(TartamVálasztott&lt;TartamMin,0,     SUMIFS(VV,CFdet!$AO$6:$AO$569,$A40,CFdet!$AP$6:$AP$569,12)))</f>
        <v>1061696.9321764049</v>
      </c>
      <c r="E40" s="288">
        <f ca="1">IF(Ellenőrzés="HIBA",    0,      IF(TartamVálasztott&lt;TartamMin,0,   SUMIFS(AssLoy,CFdet!$AO$6:$AO$569,$A40,CFdet!$AP$6:$AP$569,12)))</f>
        <v>104382.39828627741</v>
      </c>
      <c r="F40" s="289">
        <f ca="1">IF(Ellenőrzés="HIBA",    0,      IF(TartamVálasztott&lt;TartamMin,0,   IF($G$4="nyugdíjbiztosítás",    SUMIFS(CFdet!BI:BI,CFdet!AO:AO,$A40,CFdet!AP:AP,12),   0))   )</f>
        <v>0</v>
      </c>
      <c r="G40" s="288">
        <f t="shared" ca="1" si="4"/>
        <v>1166079.3304626823</v>
      </c>
      <c r="H40" s="288">
        <f t="shared" ca="1" si="5"/>
        <v>1061696.9321764049</v>
      </c>
      <c r="I40" s="288">
        <f t="shared" ca="1" si="6"/>
        <v>0</v>
      </c>
      <c r="J40" s="311">
        <f ca="1">J39+SUMIF(CFdet!AO:AO,A40,CFdet!BH:BH)</f>
        <v>226422.90440185543</v>
      </c>
      <c r="K40" s="681"/>
      <c r="L40" s="285"/>
    </row>
    <row r="41" spans="1:12" x14ac:dyDescent="0.25">
      <c r="A41" s="291">
        <f ca="1">IF(MAX(A$32:A40)=$G$10,A40,A40+1)</f>
        <v>9</v>
      </c>
      <c r="B41" s="306">
        <f t="shared" ca="1" si="3"/>
        <v>0</v>
      </c>
      <c r="C41" s="299">
        <f ca="1">IF(Ellenőrzés="HIBA",    0,       IF(A41=A40,C40,    C40+SUMIF(CFdet!AO:AO,A41,CFdet!AQ:AQ)))</f>
        <v>1493177.819685997</v>
      </c>
      <c r="D41" s="288">
        <f ca="1">IF(Ellenőrzés="HIBA",    0,       IF(TartamVálasztott&lt;TartamMin,0,     SUMIFS(VV,CFdet!$AO$6:$AO$569,$A41,CFdet!$AP$6:$AP$569,12)))</f>
        <v>1240158.0719352015</v>
      </c>
      <c r="E41" s="288">
        <f ca="1">IF(Ellenőrzés="HIBA",    0,      IF(TartamVálasztott&lt;TartamMin,0,   SUMIFS(AssLoy,CFdet!$AO$6:$AO$569,$A41,CFdet!$AP$6:$AP$569,12)))</f>
        <v>136507.76183694543</v>
      </c>
      <c r="F41" s="289">
        <f ca="1">IF(Ellenőrzés="HIBA",    0,      IF(TartamVálasztott&lt;TartamMin,0,   IF($G$4="nyugdíjbiztosítás",    SUMIFS(CFdet!BI:BI,CFdet!AO:AO,$A41,CFdet!AP:AP,12),   0))   )</f>
        <v>0</v>
      </c>
      <c r="G41" s="288">
        <f t="shared" ca="1" si="4"/>
        <v>1376665.8337721471</v>
      </c>
      <c r="H41" s="288">
        <f t="shared" ca="1" si="5"/>
        <v>1240158.0719352015</v>
      </c>
      <c r="I41" s="288">
        <f t="shared" ca="1" si="6"/>
        <v>0</v>
      </c>
      <c r="J41" s="311">
        <f ca="1">J40+SUMIF(CFdet!AO:AO,A41,CFdet!BH:BH)</f>
        <v>262083.47701190179</v>
      </c>
      <c r="K41" s="681"/>
      <c r="L41" s="285"/>
    </row>
    <row r="42" spans="1:12" x14ac:dyDescent="0.25">
      <c r="A42" s="291">
        <f ca="1">IF(MAX(A$32:A41)=$G$10,A41,A41+1)</f>
        <v>10</v>
      </c>
      <c r="B42" s="306">
        <f t="shared" ca="1" si="3"/>
        <v>0</v>
      </c>
      <c r="C42" s="299">
        <f ca="1">IF(Ellenőrzés="HIBA",    0,       IF(A42=A41,C41,    C41+SUMIF(CFdet!AO:AO,A42,CFdet!AQ:AQ)))</f>
        <v>1680507.2651781468</v>
      </c>
      <c r="D42" s="288">
        <f ca="1">IF(Ellenőrzés="HIBA",    0,       IF(TartamVálasztott&lt;TartamMin,0,     SUMIFS(VV,CFdet!$AO$6:$AO$569,$A42,CFdet!$AP$6:$AP$569,12)))</f>
        <v>1555241.0676716394</v>
      </c>
      <c r="E42" s="288">
        <f ca="1">IF(Ellenőrzés="HIBA",    0,      IF(TartamVálasztott&lt;TartamMin,0,   SUMIFS(AssLoy,CFdet!$AO$6:$AO$569,$A42,CFdet!$AP$6:$AP$569,12)))</f>
        <v>43043.107649352285</v>
      </c>
      <c r="F42" s="289">
        <f ca="1">IF(Ellenőrzés="HIBA",    0,      IF(TartamVálasztott&lt;TartamMin,0,   IF($G$4="nyugdíjbiztosítás",    SUMIFS(CFdet!BI:BI,CFdet!AO:AO,$A42,CFdet!AP:AP,12),   0))   )</f>
        <v>0</v>
      </c>
      <c r="G42" s="288">
        <f t="shared" ca="1" si="4"/>
        <v>1598284.1753209918</v>
      </c>
      <c r="H42" s="288">
        <f t="shared" ca="1" si="5"/>
        <v>1555241.0676716394</v>
      </c>
      <c r="I42" s="288">
        <f t="shared" ca="1" si="6"/>
        <v>0</v>
      </c>
      <c r="J42" s="311">
        <f ca="1">J41+SUMIF(CFdet!AO:AO,A42,CFdet!BH:BH)</f>
        <v>298635.5639371993</v>
      </c>
      <c r="K42" s="681"/>
      <c r="L42" s="285"/>
    </row>
    <row r="43" spans="1:12" x14ac:dyDescent="0.25">
      <c r="A43" s="291">
        <f ca="1">IF(MAX(A$32:A42)=$G$10,A42,A42+1)</f>
        <v>11</v>
      </c>
      <c r="B43" s="306">
        <f t="shared" ca="1" si="3"/>
        <v>0</v>
      </c>
      <c r="C43" s="299">
        <f ca="1">IF(Ellenőrzés="HIBA",    0,       IF(A43=A42,C42,    C42+SUMIF(CFdet!AO:AO,A43,CFdet!AQ:AQ)))</f>
        <v>1872519.9468076003</v>
      </c>
      <c r="D43" s="288">
        <f ca="1">IF(Ellenőrzés="HIBA",    0,       IF(TartamVálasztott&lt;TartamMin,0,     SUMIFS(VV,CFdet!$AO$6:$AO$569,$A43,CFdet!$AP$6:$AP$569,12)))</f>
        <v>1751511.382079157</v>
      </c>
      <c r="E43" s="288">
        <f ca="1">IF(Ellenőrzés="HIBA",    0,      IF(TartamVálasztott&lt;TartamMin,0,   SUMIFS(AssLoy,CFdet!$AO$6:$AO$569,$A43,CFdet!$AP$6:$AP$569,12)))</f>
        <v>79873.823985924726</v>
      </c>
      <c r="F43" s="289">
        <f ca="1">IF(Ellenőrzés="HIBA",    0,      IF(TartamVálasztott&lt;TartamMin,0,   IF($G$4="nyugdíjbiztosítás",    SUMIFS(CFdet!BI:BI,CFdet!AO:AO,$A43,CFdet!AP:AP,12),   0))   )</f>
        <v>0</v>
      </c>
      <c r="G43" s="288">
        <f t="shared" ca="1" si="4"/>
        <v>1831385.2060650818</v>
      </c>
      <c r="H43" s="288">
        <f t="shared" ca="1" si="5"/>
        <v>1751511.382079157</v>
      </c>
      <c r="I43" s="288">
        <f t="shared" ca="1" si="6"/>
        <v>0</v>
      </c>
      <c r="J43" s="311">
        <f ca="1">J42+SUMIF(CFdet!AO:AO,A43,CFdet!BH:BH)</f>
        <v>336101.45303562924</v>
      </c>
      <c r="K43" s="681"/>
      <c r="L43" s="285"/>
    </row>
    <row r="44" spans="1:12" x14ac:dyDescent="0.25">
      <c r="A44" s="291">
        <f ca="1">IF(MAX(A$32:A43)=$G$10,A43,A43+1)</f>
        <v>12</v>
      </c>
      <c r="B44" s="306">
        <f t="shared" ca="1" si="3"/>
        <v>0</v>
      </c>
      <c r="C44" s="299">
        <f ca="1">IF(Ellenőrzés="HIBA",    0,       IF(A44=A43,C43,    C43+SUMIF(CFdet!AO:AO,A44,CFdet!AQ:AQ)))</f>
        <v>2069332.9454777902</v>
      </c>
      <c r="D44" s="288">
        <f ca="1">IF(Ellenőrzés="HIBA",    0,       IF(TartamVálasztott&lt;TartamMin,0,     SUMIFS(VV,CFdet!$AO$6:$AO$569,$A44,CFdet!$AP$6:$AP$569,12)))</f>
        <v>1955828.6049224939</v>
      </c>
      <c r="E44" s="288">
        <f ca="1">IF(Ellenőrzés="HIBA",    0,      IF(TartamVálasztott&lt;TartamMin,0,   SUMIFS(AssLoy,CFdet!$AO$6:$AO$569,$A44,CFdet!$AP$6:$AP$569,12)))</f>
        <v>120607.59390368714</v>
      </c>
      <c r="F44" s="289">
        <f ca="1">IF(Ellenőrzés="HIBA",    0,      IF(TartamVálasztott&lt;TartamMin,0,   IF($G$4="nyugdíjbiztosítás",    SUMIFS(CFdet!BI:BI,CFdet!AO:AO,$A44,CFdet!AP:AP,12),   0))   )</f>
        <v>0</v>
      </c>
      <c r="G44" s="288">
        <f t="shared" ca="1" si="4"/>
        <v>2076436.198826181</v>
      </c>
      <c r="H44" s="288">
        <f t="shared" ca="1" si="5"/>
        <v>1955828.6049224939</v>
      </c>
      <c r="I44" s="288">
        <f t="shared" ca="1" si="6"/>
        <v>0</v>
      </c>
      <c r="J44" s="311">
        <f ca="1">J43+SUMIF(CFdet!AO:AO,A44,CFdet!BH:BH)</f>
        <v>374503.98936151993</v>
      </c>
      <c r="K44" s="681"/>
      <c r="L44" s="285"/>
    </row>
    <row r="45" spans="1:12" x14ac:dyDescent="0.25">
      <c r="A45" s="291">
        <f ca="1">IF(MAX(A$32:A44)=$G$10,A44,A44+1)</f>
        <v>13</v>
      </c>
      <c r="B45" s="306">
        <f t="shared" ca="1" si="3"/>
        <v>0</v>
      </c>
      <c r="C45" s="299">
        <f ca="1">IF(Ellenőrzés="HIBA",    0,       IF(A45=A44,C44,    C44+SUMIF(CFdet!AO:AO,A45,CFdet!AQ:AQ)))</f>
        <v>2271066.2691147346</v>
      </c>
      <c r="D45" s="288">
        <f ca="1">IF(Ellenőrzés="HIBA",    0,       IF(TartamVálasztott&lt;TartamMin,0,     SUMIFS(VV,CFdet!$AO$6:$AO$569,$A45,CFdet!$AP$6:$AP$569,12)))</f>
        <v>2168456.5595908794</v>
      </c>
      <c r="E45" s="288">
        <f ca="1">IF(Ellenőrzés="HIBA",    0,      IF(TartamVálasztott&lt;TartamMin,0,   SUMIFS(AssLoy,CFdet!$AO$6:$AO$569,$A45,CFdet!$AP$6:$AP$569,12)))</f>
        <v>165464.84742629447</v>
      </c>
      <c r="F45" s="289">
        <f ca="1">IF(Ellenőrzés="HIBA",    0,      IF(TartamVálasztott&lt;TartamMin,0,   IF($G$4="nyugdíjbiztosítás",    SUMIFS(CFdet!BI:BI,CFdet!AO:AO,$A45,CFdet!AP:AP,12),   0))   )</f>
        <v>0</v>
      </c>
      <c r="G45" s="288">
        <f t="shared" ca="1" si="4"/>
        <v>2333921.4070171737</v>
      </c>
      <c r="H45" s="288">
        <f t="shared" ca="1" si="5"/>
        <v>2168456.5595908794</v>
      </c>
      <c r="I45" s="288">
        <f t="shared" ca="1" si="6"/>
        <v>0</v>
      </c>
      <c r="J45" s="311">
        <f ca="1">J44+SUMIF(CFdet!AO:AO,A45,CFdet!BH:BH)</f>
        <v>413866.58909555792</v>
      </c>
      <c r="K45" s="681"/>
      <c r="L45" s="285"/>
    </row>
    <row r="46" spans="1:12" x14ac:dyDescent="0.25">
      <c r="A46" s="291">
        <f ca="1">IF(MAX(A$32:A45)=$G$10,A45,A45+1)</f>
        <v>14</v>
      </c>
      <c r="B46" s="306">
        <f t="shared" ca="1" si="3"/>
        <v>0</v>
      </c>
      <c r="C46" s="299">
        <f ca="1">IF(Ellenőrzés="HIBA",    0,       IF(A46=A45,C45,    C45+SUMIF(CFdet!AO:AO,A46,CFdet!AQ:AQ)))</f>
        <v>2477842.9258426027</v>
      </c>
      <c r="D46" s="288">
        <f ca="1">IF(Ellenőrzés="HIBA",    0,       IF(TartamVálasztott&lt;TartamMin,0,     SUMIFS(VV,CFdet!$AO$6:$AO$569,$A46,CFdet!$AP$6:$AP$569,12)))</f>
        <v>2389666.9150325651</v>
      </c>
      <c r="E46" s="288">
        <f ca="1">IF(Ellenőrzés="HIBA",    0,      IF(TartamVálasztott&lt;TartamMin,0,   SUMIFS(AssLoy,CFdet!$AO$6:$AO$569,$A46,CFdet!$AP$6:$AP$569,12)))</f>
        <v>214675.72649411604</v>
      </c>
      <c r="F46" s="289">
        <f ca="1">IF(Ellenőrzés="HIBA",    0,      IF(TartamVálasztott&lt;TartamMin,0,   IF($G$4="nyugdíjbiztosítás",    SUMIFS(CFdet!BI:BI,CFdet!AO:AO,$A46,CFdet!AP:AP,12),   0))   )</f>
        <v>0</v>
      </c>
      <c r="G46" s="288">
        <f t="shared" ca="1" si="4"/>
        <v>2604342.6415266814</v>
      </c>
      <c r="H46" s="288">
        <f t="shared" ca="1" si="5"/>
        <v>2389666.9150325651</v>
      </c>
      <c r="I46" s="288">
        <f t="shared" ca="1" si="6"/>
        <v>0</v>
      </c>
      <c r="J46" s="311">
        <f ca="1">J45+SUMIF(CFdet!AO:AO,A46,CFdet!BH:BH)</f>
        <v>454213.25382294686</v>
      </c>
      <c r="K46" s="681"/>
      <c r="L46" s="285"/>
    </row>
    <row r="47" spans="1:12" x14ac:dyDescent="0.25">
      <c r="A47" s="291">
        <f ca="1">IF(MAX(A$32:A46)=$G$10,A46,A46+1)</f>
        <v>15</v>
      </c>
      <c r="B47" s="306">
        <f t="shared" ca="1" si="3"/>
        <v>0</v>
      </c>
      <c r="C47" s="299">
        <f ca="1">IF(Ellenőrzés="HIBA",    0,       IF(A47=A46,C46,    C46+SUMIF(CFdet!AO:AO,A47,CFdet!AQ:AQ)))</f>
        <v>2689788.9989886675</v>
      </c>
      <c r="D47" s="288">
        <f ca="1">IF(Ellenőrzés="HIBA",    0,       IF(TartamVálasztott&lt;TartamMin,0,     SUMIFS(VV,CFdet!$AO$6:$AO$569,$A47,CFdet!$AP$6:$AP$569,12)))</f>
        <v>2821099.7514587035</v>
      </c>
      <c r="E47" s="288">
        <f ca="1">IF(Ellenőrzés="HIBA",    0,      IF(TartamVálasztott&lt;TartamMin,0,   SUMIFS(AssLoy,CFdet!$AO$6:$AO$569,$A47,CFdet!$AP$6:$AP$569,12)))</f>
        <v>67120.114875351923</v>
      </c>
      <c r="F47" s="289">
        <f ca="1">IF(Ellenőrzés="HIBA",    0,      IF(TartamVálasztott&lt;TartamMin,0,   IF($G$4="nyugdíjbiztosítás",    SUMIFS(CFdet!BI:BI,CFdet!AO:AO,$A47,CFdet!AP:AP,12),   0))   )</f>
        <v>0</v>
      </c>
      <c r="G47" s="288">
        <f t="shared" ca="1" si="4"/>
        <v>2888219.8663340556</v>
      </c>
      <c r="H47" s="288">
        <f t="shared" ca="1" si="5"/>
        <v>2821099.7514587035</v>
      </c>
      <c r="I47" s="288">
        <f t="shared" ca="1" si="6"/>
        <v>0</v>
      </c>
      <c r="J47" s="311">
        <f ca="1">J46+SUMIF(CFdet!AO:AO,A47,CFdet!BH:BH)</f>
        <v>495568.58516852051</v>
      </c>
      <c r="K47" s="681"/>
      <c r="L47" s="285"/>
    </row>
    <row r="48" spans="1:12" x14ac:dyDescent="0.25">
      <c r="A48" s="291">
        <f ca="1">IF(MAX(A$32:A47)=$G$10,A47,A47+1)</f>
        <v>16</v>
      </c>
      <c r="B48" s="306">
        <f t="shared" ca="1" si="3"/>
        <v>0</v>
      </c>
      <c r="C48" s="299">
        <f ca="1">IF(Ellenőrzés="HIBA",    0,       IF(A48=A47,C47,    C47+SUMIF(CFdet!AO:AO,A48,CFdet!AQ:AQ)))</f>
        <v>2907033.7239633841</v>
      </c>
      <c r="D48" s="288">
        <f ca="1">IF(Ellenőrzés="HIBA",    0,       IF(TartamVálasztott&lt;TartamMin,0,     SUMIFS(VV,CFdet!$AO$6:$AO$569,$A48,CFdet!$AP$6:$AP$569,12)))</f>
        <v>3064339.8475566586</v>
      </c>
      <c r="E48" s="288">
        <f ca="1">IF(Ellenőrzés="HIBA",    0,      IF(TartamVálasztott&lt;TartamMin,0,   SUMIFS(AssLoy,CFdet!$AO$6:$AO$569,$A48,CFdet!$AP$6:$AP$569,12)))</f>
        <v>121751.96588657657</v>
      </c>
      <c r="F48" s="289">
        <f ca="1">IF(Ellenőrzés="HIBA",    0,      IF(TartamVálasztott&lt;TartamMin,0,   IF($G$4="nyugdíjbiztosítás",    SUMIFS(CFdet!BI:BI,CFdet!AO:AO,$A48,CFdet!AP:AP,12),   0))   )</f>
        <v>0</v>
      </c>
      <c r="G48" s="288">
        <f t="shared" ca="1" si="4"/>
        <v>3186091.8134432351</v>
      </c>
      <c r="H48" s="288">
        <f t="shared" ca="1" si="5"/>
        <v>3064339.8475566586</v>
      </c>
      <c r="I48" s="288">
        <f t="shared" ca="1" si="6"/>
        <v>0</v>
      </c>
      <c r="J48" s="311">
        <f ca="1">J47+SUMIF(CFdet!AO:AO,A48,CFdet!BH:BH)</f>
        <v>537957.79979773355</v>
      </c>
      <c r="K48" s="681"/>
      <c r="L48" s="285"/>
    </row>
    <row r="49" spans="1:14" x14ac:dyDescent="0.25">
      <c r="A49" s="291">
        <f ca="1">IF(MAX(A$32:A48)=$G$10,A48,A48+1)</f>
        <v>17</v>
      </c>
      <c r="B49" s="306">
        <f t="shared" ca="1" si="3"/>
        <v>0</v>
      </c>
      <c r="C49" s="299">
        <f ca="1">IF(Ellenőrzés="HIBA",    0,       IF(A49=A48,C48,    C48+SUMIF(CFdet!AO:AO,A49,CFdet!AQ:AQ)))</f>
        <v>3129709.5670624687</v>
      </c>
      <c r="D49" s="288">
        <f ca="1">IF(Ellenőrzés="HIBA",    0,       IF(TartamVálasztott&lt;TartamMin,0,     SUMIFS(VV,CFdet!$AO$6:$AO$569,$A49,CFdet!$AP$6:$AP$569,12)))</f>
        <v>3317106.8195687807</v>
      </c>
      <c r="E49" s="288">
        <f ca="1">IF(Ellenőrzés="HIBA",    0,      IF(TartamVálasztott&lt;TartamMin,0,   SUMIFS(AssLoy,CFdet!$AO$6:$AO$569,$A49,CFdet!$AP$6:$AP$569,12)))</f>
        <v>181409.79817318066</v>
      </c>
      <c r="F49" s="289">
        <f ca="1">IF(Ellenőrzés="HIBA",    0,      IF(TartamVálasztott&lt;TartamMin,0,   IF($G$4="nyugdíjbiztosítás",    SUMIFS(CFdet!BI:BI,CFdet!AO:AO,$A49,CFdet!AP:AP,12),   0))   )</f>
        <v>0</v>
      </c>
      <c r="G49" s="288">
        <f t="shared" ca="1" si="4"/>
        <v>3498516.6177419615</v>
      </c>
      <c r="H49" s="288">
        <f t="shared" ca="1" si="5"/>
        <v>3317106.8195687807</v>
      </c>
      <c r="I49" s="288">
        <f t="shared" ca="1" si="6"/>
        <v>0</v>
      </c>
      <c r="J49" s="311">
        <f ca="1">J48+SUMIF(CFdet!AO:AO,A49,CFdet!BH:BH)</f>
        <v>581406.74479267688</v>
      </c>
      <c r="K49" s="681"/>
      <c r="L49" s="285"/>
    </row>
    <row r="50" spans="1:14" x14ac:dyDescent="0.25">
      <c r="A50" s="291">
        <f ca="1">IF(MAX(A$32:A49)=$G$10,A49,A49+1)</f>
        <v>18</v>
      </c>
      <c r="B50" s="306">
        <f t="shared" ca="1" si="3"/>
        <v>0</v>
      </c>
      <c r="C50" s="299">
        <f ca="1">IF(Ellenőrzés="HIBA",    0,       IF(A50=A49,C49,    C49+SUMIF(CFdet!AO:AO,A50,CFdet!AQ:AQ)))</f>
        <v>3357952.3062390303</v>
      </c>
      <c r="D50" s="288">
        <f ca="1">IF(Ellenőrzés="HIBA",    0,       IF(TartamVálasztott&lt;TartamMin,0,     SUMIFS(VV,CFdet!$AO$6:$AO$569,$A50,CFdet!$AP$6:$AP$569,12)))</f>
        <v>3579707.58969892</v>
      </c>
      <c r="E50" s="288">
        <f ca="1">IF(Ellenőrzés="HIBA",    0,      IF(TartamVálasztott&lt;TartamMin,0,   SUMIFS(AssLoy,CFdet!$AO$6:$AO$569,$A50,CFdet!$AP$6:$AP$569,12)))</f>
        <v>246364.88271250954</v>
      </c>
      <c r="F50" s="289">
        <f ca="1">IF(Ellenőrzés="HIBA",    0,      IF(TartamVálasztott&lt;TartamMin,0,   IF($G$4="nyugdíjbiztosítás",    SUMIFS(CFdet!BI:BI,CFdet!AO:AO,$A50,CFdet!AP:AP,12),   0))   )</f>
        <v>0</v>
      </c>
      <c r="G50" s="288">
        <f t="shared" ca="1" si="4"/>
        <v>3826072.4724114295</v>
      </c>
      <c r="H50" s="288">
        <f t="shared" ca="1" si="5"/>
        <v>3579707.58969892</v>
      </c>
      <c r="I50" s="288">
        <f t="shared" ca="1" si="6"/>
        <v>0</v>
      </c>
      <c r="J50" s="311">
        <f ca="1">J49+SUMIF(CFdet!AO:AO,A50,CFdet!BH:BH)</f>
        <v>625941.91341249377</v>
      </c>
      <c r="K50" s="681"/>
      <c r="L50" s="285"/>
    </row>
    <row r="51" spans="1:14" x14ac:dyDescent="0.25">
      <c r="A51" s="291">
        <f ca="1">IF(MAX(A$32:A50)=$G$10,A50,A50+1)</f>
        <v>19</v>
      </c>
      <c r="B51" s="306">
        <f t="shared" ca="1" si="3"/>
        <v>0</v>
      </c>
      <c r="C51" s="299">
        <f ca="1">IF(Ellenőrzés="HIBA",    0,       IF(A51=A50,C50,    C50+SUMIF(CFdet!AO:AO,A51,CFdet!AQ:AQ)))</f>
        <v>3591901.113895006</v>
      </c>
      <c r="D51" s="288">
        <f ca="1">IF(Ellenőrzés="HIBA",    0,       IF(TartamVálasztott&lt;TartamMin,0,     SUMIFS(VV,CFdet!$AO$6:$AO$569,$A51,CFdet!$AP$6:$AP$569,12)))</f>
        <v>3852458.1248769704</v>
      </c>
      <c r="E51" s="288">
        <f ca="1">IF(Ellenőrzés="HIBA",    0,      IF(TartamVálasztott&lt;TartamMin,0,   SUMIFS(AssLoy,CFdet!$AO$6:$AO$569,$A51,CFdet!$AP$6:$AP$569,12)))</f>
        <v>316900.18065365229</v>
      </c>
      <c r="F51" s="289">
        <f ca="1">IF(Ellenőrzés="HIBA",    0,      IF(TartamVálasztott&lt;TartamMin,0,   IF($G$4="nyugdíjbiztosítás",    SUMIFS(CFdet!BI:BI,CFdet!AO:AO,$A51,CFdet!AP:AP,12),   0))   )</f>
        <v>0</v>
      </c>
      <c r="G51" s="288">
        <f t="shared" ca="1" si="4"/>
        <v>4169358.3055306226</v>
      </c>
      <c r="H51" s="288">
        <f t="shared" ca="1" si="5"/>
        <v>3852458.1248769704</v>
      </c>
      <c r="I51" s="288">
        <f t="shared" ca="1" si="6"/>
        <v>0</v>
      </c>
      <c r="J51" s="311">
        <f ca="1">J50+SUMIF(CFdet!AO:AO,A51,CFdet!BH:BH)</f>
        <v>671590.46124780609</v>
      </c>
      <c r="K51" s="681"/>
      <c r="L51" s="285"/>
    </row>
    <row r="52" spans="1:14" x14ac:dyDescent="0.25">
      <c r="A52" s="291">
        <f ca="1">IF(MAX(A$32:A51)=$G$10,A51,A51+1)</f>
        <v>20</v>
      </c>
      <c r="B52" s="291"/>
      <c r="C52" s="299">
        <f ca="1">IF(Ellenőrzés="HIBA",    0,       IF(A52=A51,C51,    C51+SUMIF(CFdet!AO:AO,A52,CFdet!AQ:AQ)))</f>
        <v>3831698.6417423808</v>
      </c>
      <c r="D52" s="288">
        <f ca="1">IF(Ellenőrzés="HIBA",    0,       IF(TartamVálasztott&lt;TartamMin,0,     SUMIFS(VV,CFdet!$AO$6:$AO$569,$A52,CFdet!$AP$6:$AP$569,12)))</f>
        <v>4528994.4785392098</v>
      </c>
      <c r="E52" s="288">
        <f ca="1">IF(Ellenőrzés="HIBA",    0,      IF(TartamVálasztott&lt;TartamMin,0,   SUMIFS(AssLoy,CFdet!$AO$6:$AO$569,$A52,CFdet!$AP$6:$AP$569,12)))</f>
        <v>0</v>
      </c>
      <c r="F52" s="289">
        <f ca="1">IF(Ellenőrzés="HIBA",    0,      IF(TartamVálasztott&lt;TartamMin,0,   IF($G$4="nyugdíjbiztosítás",    SUMIFS(CFdet!BI:BI,CFdet!AO:AO,$A52,CFdet!AP:AP,12),   0))   )</f>
        <v>0</v>
      </c>
      <c r="G52" s="288">
        <f t="shared" ca="1" si="4"/>
        <v>4528994.4785392098</v>
      </c>
      <c r="H52" s="288">
        <f t="shared" ca="1" si="5"/>
        <v>4528994.4785392098</v>
      </c>
      <c r="I52" s="288">
        <f t="shared" ca="1" si="6"/>
        <v>0</v>
      </c>
      <c r="J52" s="311">
        <f ca="1">J51+SUMIF(CFdet!AO:AO,A52,CFdet!BH:BH)</f>
        <v>718380.22277900123</v>
      </c>
      <c r="K52" s="681"/>
      <c r="L52" s="285"/>
      <c r="M52" s="421"/>
      <c r="N52" s="422"/>
    </row>
    <row r="53" spans="1:14" x14ac:dyDescent="0.25">
      <c r="A53" s="291">
        <f ca="1">IF(MAX(A$32:A52)=$G$10,A52,A52+1)</f>
        <v>20</v>
      </c>
      <c r="B53" s="291"/>
      <c r="C53" s="299">
        <f ca="1">IF(Ellenőrzés="HIBA",    0,       IF(A53=A52,C52,    C52+SUMIF(CFdet!AO:AO,A53,CFdet!AQ:AQ)))</f>
        <v>3831698.6417423808</v>
      </c>
      <c r="D53" s="288">
        <f ca="1">IF(Ellenőrzés="HIBA",    0,       IF(TartamVálasztott&lt;TartamMin,0,     SUMIFS(VV,CFdet!$AO$6:$AO$569,$A53,CFdet!$AP$6:$AP$569,12)))</f>
        <v>4528994.4785392098</v>
      </c>
      <c r="E53" s="288">
        <f ca="1">IF(Ellenőrzés="HIBA",    0,      IF(TartamVálasztott&lt;TartamMin,0,   SUMIFS(AssLoy,CFdet!$AO$6:$AO$569,$A53,CFdet!$AP$6:$AP$569,12)))</f>
        <v>0</v>
      </c>
      <c r="F53" s="289">
        <f ca="1">IF(Ellenőrzés="HIBA",    0,      IF(TartamVálasztott&lt;TartamMin,0,   IF($G$4="nyugdíjbiztosítás",    SUMIFS(CFdet!BI:BI,CFdet!AO:AO,$A53,CFdet!AP:AP,12),   0))   )</f>
        <v>0</v>
      </c>
      <c r="G53" s="288">
        <f t="shared" ca="1" si="4"/>
        <v>4528994.4785392098</v>
      </c>
      <c r="H53" s="288">
        <f t="shared" ca="1" si="5"/>
        <v>4528994.4785392098</v>
      </c>
      <c r="I53" s="288">
        <f t="shared" ca="1" si="6"/>
        <v>0</v>
      </c>
      <c r="J53" s="311">
        <f ca="1">J52+SUMIF(CFdet!AO:AO,A53,CFdet!BH:BH)</f>
        <v>765169.98431019636</v>
      </c>
      <c r="K53" s="681"/>
      <c r="L53" s="285"/>
      <c r="M53" s="422"/>
    </row>
    <row r="54" spans="1:14" x14ac:dyDescent="0.25">
      <c r="A54" s="291">
        <f ca="1">IF(MAX(A$32:A53)=$G$10,A53,A53+1)</f>
        <v>20</v>
      </c>
      <c r="B54" s="291"/>
      <c r="C54" s="299">
        <f ca="1">IF(Ellenőrzés="HIBA",    0,       IF(A54=A53,C53,    C53+SUMIF(CFdet!AO:AO,A54,CFdet!AQ:AQ)))</f>
        <v>3831698.6417423808</v>
      </c>
      <c r="D54" s="288">
        <f ca="1">IF(Ellenőrzés="HIBA",    0,       IF(TartamVálasztott&lt;TartamMin,0,     SUMIFS(VV,CFdet!$AO$6:$AO$569,$A54,CFdet!$AP$6:$AP$569,12)))</f>
        <v>4528994.4785392098</v>
      </c>
      <c r="E54" s="288">
        <f ca="1">IF(Ellenőrzés="HIBA",    0,      IF(TartamVálasztott&lt;TartamMin,0,   SUMIFS(AssLoy,CFdet!$AO$6:$AO$569,$A54,CFdet!$AP$6:$AP$569,12)))</f>
        <v>0</v>
      </c>
      <c r="F54" s="289">
        <f ca="1">IF(Ellenőrzés="HIBA",    0,      IF(TartamVálasztott&lt;TartamMin,0,   IF($G$4="nyugdíjbiztosítás",    SUMIFS(CFdet!BI:BI,CFdet!AO:AO,$A54,CFdet!AP:AP,12),   0))   )</f>
        <v>0</v>
      </c>
      <c r="G54" s="288">
        <f t="shared" ca="1" si="4"/>
        <v>4528994.4785392098</v>
      </c>
      <c r="H54" s="288">
        <f t="shared" ca="1" si="5"/>
        <v>4528994.4785392098</v>
      </c>
      <c r="I54" s="288">
        <f t="shared" ca="1" si="6"/>
        <v>0</v>
      </c>
      <c r="J54" s="311">
        <f ca="1">J53+SUMIF(CFdet!AO:AO,A54,CFdet!BH:BH)</f>
        <v>811959.7458413915</v>
      </c>
      <c r="K54" s="681"/>
      <c r="L54" s="285"/>
    </row>
    <row r="55" spans="1:14" x14ac:dyDescent="0.25">
      <c r="A55" s="291">
        <f ca="1">IF(MAX(A$32:A54)=$G$10,A54,A54+1)</f>
        <v>20</v>
      </c>
      <c r="B55" s="291"/>
      <c r="C55" s="299">
        <f ca="1">IF(Ellenőrzés="HIBA",    0,       IF(A55=A54,C54,    C54+SUMIF(CFdet!AO:AO,A55,CFdet!AQ:AQ)))</f>
        <v>3831698.6417423808</v>
      </c>
      <c r="D55" s="288">
        <f ca="1">IF(Ellenőrzés="HIBA",    0,       IF(TartamVálasztott&lt;TartamMin,0,     SUMIFS(VV,CFdet!$AO$6:$AO$569,$A55,CFdet!$AP$6:$AP$569,12)))</f>
        <v>4528994.4785392098</v>
      </c>
      <c r="E55" s="288">
        <f ca="1">IF(Ellenőrzés="HIBA",    0,      IF(TartamVálasztott&lt;TartamMin,0,   SUMIFS(AssLoy,CFdet!$AO$6:$AO$569,$A55,CFdet!$AP$6:$AP$569,12)))</f>
        <v>0</v>
      </c>
      <c r="F55" s="289">
        <f ca="1">IF(Ellenőrzés="HIBA",    0,      IF(TartamVálasztott&lt;TartamMin,0,   IF($G$4="nyugdíjbiztosítás",    SUMIFS(CFdet!BI:BI,CFdet!AO:AO,$A55,CFdet!AP:AP,12),   0))   )</f>
        <v>0</v>
      </c>
      <c r="G55" s="288">
        <f t="shared" ca="1" si="4"/>
        <v>4528994.4785392098</v>
      </c>
      <c r="H55" s="288">
        <f t="shared" ca="1" si="5"/>
        <v>4528994.4785392098</v>
      </c>
      <c r="I55" s="288">
        <f t="shared" ca="1" si="6"/>
        <v>0</v>
      </c>
      <c r="J55" s="311">
        <f ca="1">J54+SUMIF(CFdet!AO:AO,A55,CFdet!BH:BH)</f>
        <v>858749.50737258664</v>
      </c>
      <c r="K55" s="681"/>
      <c r="L55" s="285"/>
    </row>
    <row r="56" spans="1:14" x14ac:dyDescent="0.25">
      <c r="A56" s="291">
        <f ca="1">IF(MAX(A$32:A55)=$G$10,A55,A55+1)</f>
        <v>20</v>
      </c>
      <c r="B56" s="291"/>
      <c r="C56" s="299">
        <f ca="1">IF(Ellenőrzés="HIBA",    0,       IF(A56=A55,C55,    C55+SUMIF(CFdet!AO:AO,A56,CFdet!AQ:AQ)))</f>
        <v>3831698.6417423808</v>
      </c>
      <c r="D56" s="288">
        <f ca="1">IF(Ellenőrzés="HIBA",    0,       IF(TartamVálasztott&lt;TartamMin,0,     SUMIFS(VV,CFdet!$AO$6:$AO$569,$A56,CFdet!$AP$6:$AP$569,12)))</f>
        <v>4528994.4785392098</v>
      </c>
      <c r="E56" s="288">
        <f ca="1">IF(Ellenőrzés="HIBA",    0,      IF(TartamVálasztott&lt;TartamMin,0,   SUMIFS(AssLoy,CFdet!$AO$6:$AO$569,$A56,CFdet!$AP$6:$AP$569,12)))</f>
        <v>0</v>
      </c>
      <c r="F56" s="289">
        <f ca="1">IF(Ellenőrzés="HIBA",    0,      IF(TartamVálasztott&lt;TartamMin,0,   IF($G$4="nyugdíjbiztosítás",    SUMIFS(CFdet!BI:BI,CFdet!AO:AO,$A56,CFdet!AP:AP,12),   0))   )</f>
        <v>0</v>
      </c>
      <c r="G56" s="288">
        <f t="shared" ca="1" si="4"/>
        <v>4528994.4785392098</v>
      </c>
      <c r="H56" s="288">
        <f t="shared" ca="1" si="5"/>
        <v>4528994.4785392098</v>
      </c>
      <c r="I56" s="288">
        <f t="shared" ca="1" si="6"/>
        <v>0</v>
      </c>
      <c r="J56" s="311">
        <f ca="1">J55+SUMIF(CFdet!AO:AO,A56,CFdet!BH:BH)</f>
        <v>905539.26890378178</v>
      </c>
      <c r="K56" s="681"/>
      <c r="L56" s="285"/>
    </row>
    <row r="57" spans="1:14" x14ac:dyDescent="0.25">
      <c r="A57" s="291">
        <f ca="1">IF(MAX(A$32:A56)=$G$10,A56,A56+1)</f>
        <v>20</v>
      </c>
      <c r="B57" s="291"/>
      <c r="C57" s="299">
        <f ca="1">IF(Ellenőrzés="HIBA",    0,       IF(A57=A56,C56,    C56+SUMIF(CFdet!AO:AO,A57,CFdet!AQ:AQ)))</f>
        <v>3831698.6417423808</v>
      </c>
      <c r="D57" s="288">
        <f ca="1">IF(Ellenőrzés="HIBA",    0,       IF(TartamVálasztott&lt;TartamMin,0,     SUMIFS(VV,CFdet!$AO$6:$AO$569,$A57,CFdet!$AP$6:$AP$569,12)))</f>
        <v>4528994.4785392098</v>
      </c>
      <c r="E57" s="288">
        <f ca="1">IF(Ellenőrzés="HIBA",    0,      IF(TartamVálasztott&lt;TartamMin,0,   SUMIFS(AssLoy,CFdet!$AO$6:$AO$569,$A57,CFdet!$AP$6:$AP$569,12)))</f>
        <v>0</v>
      </c>
      <c r="F57" s="289">
        <f ca="1">IF(Ellenőrzés="HIBA",    0,      IF(TartamVálasztott&lt;TartamMin,0,   IF($G$4="nyugdíjbiztosítás",    SUMIFS(CFdet!BI:BI,CFdet!AO:AO,$A57,CFdet!AP:AP,12),   0))   )</f>
        <v>0</v>
      </c>
      <c r="G57" s="288">
        <f t="shared" ca="1" si="4"/>
        <v>4528994.4785392098</v>
      </c>
      <c r="H57" s="288">
        <f t="shared" ca="1" si="5"/>
        <v>4528994.4785392098</v>
      </c>
      <c r="I57" s="288">
        <f t="shared" ca="1" si="6"/>
        <v>0</v>
      </c>
      <c r="J57" s="311">
        <f ca="1">J56+SUMIF(CFdet!AO:AO,A57,CFdet!BH:BH)</f>
        <v>952329.03043497691</v>
      </c>
      <c r="K57" s="681"/>
      <c r="L57" s="285"/>
    </row>
    <row r="58" spans="1:14" x14ac:dyDescent="0.25">
      <c r="A58" s="291">
        <f ca="1">IF(MAX(A$32:A57)=$G$10,A57,A57+1)</f>
        <v>20</v>
      </c>
      <c r="B58" s="291"/>
      <c r="C58" s="299">
        <f ca="1">IF(Ellenőrzés="HIBA",    0,       IF(A58=A57,C57,    C57+SUMIF(CFdet!AO:AO,A58,CFdet!AQ:AQ)))</f>
        <v>3831698.6417423808</v>
      </c>
      <c r="D58" s="288">
        <f ca="1">IF(Ellenőrzés="HIBA",    0,       IF(TartamVálasztott&lt;TartamMin,0,     SUMIFS(VV,CFdet!$AO$6:$AO$569,$A58,CFdet!$AP$6:$AP$569,12)))</f>
        <v>4528994.4785392098</v>
      </c>
      <c r="E58" s="288">
        <f ca="1">IF(Ellenőrzés="HIBA",    0,      IF(TartamVálasztott&lt;TartamMin,0,   SUMIFS(AssLoy,CFdet!$AO$6:$AO$569,$A58,CFdet!$AP$6:$AP$569,12)))</f>
        <v>0</v>
      </c>
      <c r="F58" s="289">
        <f ca="1">IF(Ellenőrzés="HIBA",    0,      IF(TartamVálasztott&lt;TartamMin,0,   IF($G$4="nyugdíjbiztosítás",    SUMIFS(CFdet!BI:BI,CFdet!AO:AO,$A58,CFdet!AP:AP,12),   0))   )</f>
        <v>0</v>
      </c>
      <c r="G58" s="288">
        <f t="shared" ca="1" si="4"/>
        <v>4528994.4785392098</v>
      </c>
      <c r="H58" s="288">
        <f t="shared" ca="1" si="5"/>
        <v>4528994.4785392098</v>
      </c>
      <c r="I58" s="288">
        <f t="shared" ca="1" si="6"/>
        <v>0</v>
      </c>
      <c r="J58" s="311">
        <f ca="1">J57+SUMIF(CFdet!AO:AO,A58,CFdet!BH:BH)</f>
        <v>999118.79196617205</v>
      </c>
      <c r="K58" s="681"/>
      <c r="L58" s="285"/>
    </row>
    <row r="59" spans="1:14" x14ac:dyDescent="0.25">
      <c r="A59" s="291">
        <f ca="1">IF(MAX(A$32:A58)=$G$10,A58,A58+1)</f>
        <v>20</v>
      </c>
      <c r="B59" s="291"/>
      <c r="C59" s="299">
        <f ca="1">IF(Ellenőrzés="HIBA",    0,       IF(A59=A58,C58,    C58+SUMIF(CFdet!AO:AO,A59,CFdet!AQ:AQ)))</f>
        <v>3831698.6417423808</v>
      </c>
      <c r="D59" s="288">
        <f ca="1">IF(Ellenőrzés="HIBA",    0,       IF(TartamVálasztott&lt;TartamMin,0,     SUMIFS(VV,CFdet!$AO$6:$AO$569,$A59,CFdet!$AP$6:$AP$569,12)))</f>
        <v>4528994.4785392098</v>
      </c>
      <c r="E59" s="288">
        <f ca="1">IF(Ellenőrzés="HIBA",    0,      IF(TartamVálasztott&lt;TartamMin,0,   SUMIFS(AssLoy,CFdet!$AO$6:$AO$569,$A59,CFdet!$AP$6:$AP$569,12)))</f>
        <v>0</v>
      </c>
      <c r="F59" s="289">
        <f ca="1">IF(Ellenőrzés="HIBA",    0,      IF(TartamVálasztott&lt;TartamMin,0,   IF($G$4="nyugdíjbiztosítás",    SUMIFS(CFdet!BI:BI,CFdet!AO:AO,$A59,CFdet!AP:AP,12),   0))   )</f>
        <v>0</v>
      </c>
      <c r="G59" s="288">
        <f t="shared" ca="1" si="4"/>
        <v>4528994.4785392098</v>
      </c>
      <c r="H59" s="288">
        <f t="shared" ca="1" si="5"/>
        <v>4528994.4785392098</v>
      </c>
      <c r="I59" s="288">
        <f t="shared" ca="1" si="6"/>
        <v>0</v>
      </c>
      <c r="J59" s="311">
        <f ca="1">J58+SUMIF(CFdet!AO:AO,A59,CFdet!BH:BH)</f>
        <v>1045908.5534973672</v>
      </c>
      <c r="K59" s="681"/>
      <c r="L59" s="285"/>
    </row>
    <row r="60" spans="1:14" x14ac:dyDescent="0.25">
      <c r="A60" s="291">
        <f ca="1">IF(MAX(A$32:A59)=$G$10,A59,A59+1)</f>
        <v>20</v>
      </c>
      <c r="B60" s="291"/>
      <c r="C60" s="299">
        <f ca="1">IF(Ellenőrzés="HIBA",    0,       IF(A60=A59,C59,    C59+SUMIF(CFdet!AO:AO,A60,CFdet!AQ:AQ)))</f>
        <v>3831698.6417423808</v>
      </c>
      <c r="D60" s="288">
        <f ca="1">IF(Ellenőrzés="HIBA",    0,       IF(TartamVálasztott&lt;TartamMin,0,     SUMIFS(VV,CFdet!$AO$6:$AO$569,$A60,CFdet!$AP$6:$AP$569,12)))</f>
        <v>4528994.4785392098</v>
      </c>
      <c r="E60" s="288">
        <f ca="1">IF(Ellenőrzés="HIBA",    0,      IF(TartamVálasztott&lt;TartamMin,0,   SUMIFS(AssLoy,CFdet!$AO$6:$AO$569,$A60,CFdet!$AP$6:$AP$569,12)))</f>
        <v>0</v>
      </c>
      <c r="F60" s="289">
        <f ca="1">IF(Ellenőrzés="HIBA",    0,      IF(TartamVálasztott&lt;TartamMin,0,   IF($G$4="nyugdíjbiztosítás",    SUMIFS(CFdet!BI:BI,CFdet!AO:AO,$A60,CFdet!AP:AP,12),   0))   )</f>
        <v>0</v>
      </c>
      <c r="G60" s="288">
        <f t="shared" ca="1" si="4"/>
        <v>4528994.4785392098</v>
      </c>
      <c r="H60" s="288">
        <f t="shared" ca="1" si="5"/>
        <v>4528994.4785392098</v>
      </c>
      <c r="I60" s="288">
        <f t="shared" ca="1" si="6"/>
        <v>0</v>
      </c>
      <c r="J60" s="311">
        <f ca="1">J59+SUMIF(CFdet!AO:AO,A60,CFdet!BH:BH)</f>
        <v>1092698.3150285622</v>
      </c>
      <c r="K60" s="681"/>
      <c r="L60" s="285"/>
    </row>
    <row r="61" spans="1:14" x14ac:dyDescent="0.25">
      <c r="A61" s="291">
        <f ca="1">IF(MAX(A$32:A60)=$G$10,A60,A60+1)</f>
        <v>20</v>
      </c>
      <c r="B61" s="291"/>
      <c r="C61" s="299">
        <f ca="1">IF(Ellenőrzés="HIBA",    0,       IF(A61=A60,C60,    C60+SUMIF(CFdet!AO:AO,A61,CFdet!AQ:AQ)))</f>
        <v>3831698.6417423808</v>
      </c>
      <c r="D61" s="288">
        <f ca="1">IF(Ellenőrzés="HIBA",    0,       IF(TartamVálasztott&lt;TartamMin,0,     SUMIFS(VV,CFdet!$AO$6:$AO$569,$A61,CFdet!$AP$6:$AP$569,12)))</f>
        <v>4528994.4785392098</v>
      </c>
      <c r="E61" s="288">
        <f ca="1">IF(Ellenőrzés="HIBA",    0,      IF(TartamVálasztott&lt;TartamMin,0,   SUMIFS(AssLoy,CFdet!$AO$6:$AO$569,$A61,CFdet!$AP$6:$AP$569,12)))</f>
        <v>0</v>
      </c>
      <c r="F61" s="289">
        <f ca="1">IF(Ellenőrzés="HIBA",    0,      IF(TartamVálasztott&lt;TartamMin,0,   IF($G$4="nyugdíjbiztosítás",    SUMIFS(CFdet!BI:BI,CFdet!AO:AO,$A61,CFdet!AP:AP,12),   0))   )</f>
        <v>0</v>
      </c>
      <c r="G61" s="288">
        <f t="shared" ca="1" si="4"/>
        <v>4528994.4785392098</v>
      </c>
      <c r="H61" s="288">
        <f t="shared" ca="1" si="5"/>
        <v>4528994.4785392098</v>
      </c>
      <c r="I61" s="288">
        <f t="shared" ca="1" si="6"/>
        <v>0</v>
      </c>
      <c r="J61" s="311">
        <f ca="1">J60+SUMIF(CFdet!AO:AO,A61,CFdet!BH:BH)</f>
        <v>1139488.0765597573</v>
      </c>
      <c r="K61" s="681"/>
      <c r="L61" s="285"/>
    </row>
    <row r="62" spans="1:14" x14ac:dyDescent="0.25">
      <c r="A62" s="291">
        <f ca="1">IF(MAX(A$32:A61)=$G$10,A61,A61+1)</f>
        <v>20</v>
      </c>
      <c r="B62" s="291"/>
      <c r="C62" s="299">
        <f ca="1">IF(Ellenőrzés="HIBA",    0,       IF(A62=A61,C61,    C61+SUMIF(CFdet!AO:AO,A62,CFdet!AQ:AQ)))</f>
        <v>3831698.6417423808</v>
      </c>
      <c r="D62" s="288">
        <f ca="1">IF(Ellenőrzés="HIBA",    0,       IF(TartamVálasztott&lt;TartamMin,0,     SUMIFS(VV,CFdet!$AO$6:$AO$569,$A62,CFdet!$AP$6:$AP$569,12)))</f>
        <v>4528994.4785392098</v>
      </c>
      <c r="E62" s="288">
        <f ca="1">IF(Ellenőrzés="HIBA",    0,      IF(TartamVálasztott&lt;TartamMin,0,   SUMIFS(AssLoy,CFdet!$AO$6:$AO$569,$A62,CFdet!$AP$6:$AP$569,12)))</f>
        <v>0</v>
      </c>
      <c r="F62" s="289">
        <f ca="1">IF(Ellenőrzés="HIBA",    0,      IF(TartamVálasztott&lt;TartamMin,0,   IF($G$4="nyugdíjbiztosítás",    SUMIFS(CFdet!BI:BI,CFdet!AO:AO,$A62,CFdet!AP:AP,12),   0))   )</f>
        <v>0</v>
      </c>
      <c r="G62" s="288">
        <f t="shared" ca="1" si="4"/>
        <v>4528994.4785392098</v>
      </c>
      <c r="H62" s="288">
        <f t="shared" ca="1" si="5"/>
        <v>4528994.4785392098</v>
      </c>
      <c r="I62" s="288">
        <f t="shared" ca="1" si="6"/>
        <v>0</v>
      </c>
      <c r="J62" s="311">
        <f ca="1">J61+SUMIF(CFdet!AO:AO,A62,CFdet!BH:BH)</f>
        <v>1186277.8380909525</v>
      </c>
      <c r="K62" s="681"/>
      <c r="L62" s="285"/>
    </row>
    <row r="63" spans="1:14" x14ac:dyDescent="0.25">
      <c r="A63" s="291">
        <f ca="1">IF(MAX(A$32:A62)=$G$10,A62,A62+1)</f>
        <v>20</v>
      </c>
      <c r="B63" s="291"/>
      <c r="C63" s="299">
        <f ca="1">IF(Ellenőrzés="HIBA",    0,       IF(A63=A62,C62,    C62+SUMIF(CFdet!AO:AO,A63,CFdet!AQ:AQ)))</f>
        <v>3831698.6417423808</v>
      </c>
      <c r="D63" s="288">
        <f ca="1">IF(Ellenőrzés="HIBA",    0,       IF(TartamVálasztott&lt;TartamMin,0,     SUMIFS(VV,CFdet!$AO$6:$AO$569,$A63,CFdet!$AP$6:$AP$569,12)))</f>
        <v>4528994.4785392098</v>
      </c>
      <c r="E63" s="288">
        <f ca="1">IF(Ellenőrzés="HIBA",    0,      IF(TartamVálasztott&lt;TartamMin,0,   SUMIFS(AssLoy,CFdet!$AO$6:$AO$569,$A63,CFdet!$AP$6:$AP$569,12)))</f>
        <v>0</v>
      </c>
      <c r="F63" s="289">
        <f ca="1">IF(Ellenőrzés="HIBA",    0,      IF(TartamVálasztott&lt;TartamMin,0,   IF($G$4="nyugdíjbiztosítás",    SUMIFS(CFdet!BI:BI,CFdet!AO:AO,$A63,CFdet!AP:AP,12),   0))   )</f>
        <v>0</v>
      </c>
      <c r="G63" s="288">
        <f t="shared" ca="1" si="4"/>
        <v>4528994.4785392098</v>
      </c>
      <c r="H63" s="288">
        <f t="shared" ca="1" si="5"/>
        <v>4528994.4785392098</v>
      </c>
      <c r="I63" s="288">
        <f t="shared" ca="1" si="6"/>
        <v>0</v>
      </c>
      <c r="J63" s="311">
        <f ca="1">J62+SUMIF(CFdet!AO:AO,A63,CFdet!BH:BH)</f>
        <v>1233067.5996221476</v>
      </c>
      <c r="K63" s="681"/>
      <c r="L63" s="285"/>
    </row>
    <row r="64" spans="1:14" x14ac:dyDescent="0.25">
      <c r="A64" s="291">
        <f ca="1">IF(MAX(A$32:A63)=$G$10,A63,A63+1)</f>
        <v>20</v>
      </c>
      <c r="B64" s="291"/>
      <c r="C64" s="299">
        <f ca="1">IF(Ellenőrzés="HIBA",    0,       IF(A64=A63,C63,    C63+SUMIF(CFdet!AO:AO,A64,CFdet!AQ:AQ)))</f>
        <v>3831698.6417423808</v>
      </c>
      <c r="D64" s="288">
        <f ca="1">IF(Ellenőrzés="HIBA",    0,       IF(TartamVálasztott&lt;TartamMin,0,     SUMIFS(VV,CFdet!$AO$6:$AO$569,$A64,CFdet!$AP$6:$AP$569,12)))</f>
        <v>4528994.4785392098</v>
      </c>
      <c r="E64" s="288">
        <f ca="1">IF(Ellenőrzés="HIBA",    0,      IF(TartamVálasztott&lt;TartamMin,0,   SUMIFS(AssLoy,CFdet!$AO$6:$AO$569,$A64,CFdet!$AP$6:$AP$569,12)))</f>
        <v>0</v>
      </c>
      <c r="F64" s="289">
        <f ca="1">IF(Ellenőrzés="HIBA",    0,      IF(TartamVálasztott&lt;TartamMin,0,   IF($G$4="nyugdíjbiztosítás",    SUMIFS(CFdet!BI:BI,CFdet!AO:AO,$A64,CFdet!AP:AP,12),   0))   )</f>
        <v>0</v>
      </c>
      <c r="G64" s="288">
        <f t="shared" ca="1" si="4"/>
        <v>4528994.4785392098</v>
      </c>
      <c r="H64" s="288">
        <f t="shared" ca="1" si="5"/>
        <v>4528994.4785392098</v>
      </c>
      <c r="I64" s="288">
        <f t="shared" ca="1" si="6"/>
        <v>0</v>
      </c>
      <c r="J64" s="311">
        <f ca="1">J63+SUMIF(CFdet!AO:AO,A64,CFdet!BH:BH)</f>
        <v>1279857.3611533428</v>
      </c>
      <c r="K64" s="681"/>
      <c r="L64" s="285"/>
    </row>
    <row r="65" spans="1:13" x14ac:dyDescent="0.25">
      <c r="A65" s="291">
        <f ca="1">IF(MAX(A$32:A64)=$G$10,A64,A64+1)</f>
        <v>20</v>
      </c>
      <c r="B65" s="291"/>
      <c r="C65" s="299">
        <f ca="1">IF(Ellenőrzés="HIBA",    0,       IF(A65=A64,C64,    C64+SUMIF(CFdet!AO:AO,A65,CFdet!AQ:AQ)))</f>
        <v>3831698.6417423808</v>
      </c>
      <c r="D65" s="288">
        <f ca="1">IF(Ellenőrzés="HIBA",    0,       IF(TartamVálasztott&lt;TartamMin,0,     SUMIFS(VV,CFdet!$AO$6:$AO$569,$A65,CFdet!$AP$6:$AP$569,12)))</f>
        <v>4528994.4785392098</v>
      </c>
      <c r="E65" s="288">
        <f ca="1">IF(Ellenőrzés="HIBA",    0,      IF(TartamVálasztott&lt;TartamMin,0,   SUMIFS(AssLoy,CFdet!$AO$6:$AO$569,$A65,CFdet!$AP$6:$AP$569,12)))</f>
        <v>0</v>
      </c>
      <c r="F65" s="289">
        <f ca="1">IF(Ellenőrzés="HIBA",    0,      IF(TartamVálasztott&lt;TartamMin,0,   IF($G$4="nyugdíjbiztosítás",    SUMIFS(CFdet!BI:BI,CFdet!AO:AO,$A65,CFdet!AP:AP,12),   0))   )</f>
        <v>0</v>
      </c>
      <c r="G65" s="288">
        <f t="shared" ca="1" si="4"/>
        <v>4528994.4785392098</v>
      </c>
      <c r="H65" s="288">
        <f t="shared" ca="1" si="5"/>
        <v>4528994.4785392098</v>
      </c>
      <c r="I65" s="288">
        <f t="shared" ca="1" si="6"/>
        <v>0</v>
      </c>
      <c r="J65" s="311">
        <f ca="1">J64+SUMIF(CFdet!AO:AO,A65,CFdet!BH:BH)</f>
        <v>1326647.1226845379</v>
      </c>
      <c r="K65" s="681"/>
      <c r="L65" s="285"/>
    </row>
    <row r="66" spans="1:13" x14ac:dyDescent="0.25">
      <c r="A66" s="291">
        <f ca="1">IF(MAX(A$32:A65)=$G$10,A65,A65+1)</f>
        <v>20</v>
      </c>
      <c r="B66" s="291"/>
      <c r="C66" s="299">
        <f ca="1">IF(Ellenőrzés="HIBA",    0,       IF(A66=A65,C65,    C65+SUMIF(CFdet!AO:AO,A66,CFdet!AQ:AQ)))</f>
        <v>3831698.6417423808</v>
      </c>
      <c r="D66" s="288">
        <f ca="1">IF(Ellenőrzés="HIBA",    0,       IF(TartamVálasztott&lt;TartamMin,0,     SUMIFS(VV,CFdet!$AO$6:$AO$569,$A66,CFdet!$AP$6:$AP$569,12)))</f>
        <v>4528994.4785392098</v>
      </c>
      <c r="E66" s="288">
        <f ca="1">IF(Ellenőrzés="HIBA",    0,      IF(TartamVálasztott&lt;TartamMin,0,   SUMIFS(AssLoy,CFdet!$AO$6:$AO$569,$A66,CFdet!$AP$6:$AP$569,12)))</f>
        <v>0</v>
      </c>
      <c r="F66" s="289">
        <f ca="1">IF(Ellenőrzés="HIBA",    0,      IF(TartamVálasztott&lt;TartamMin,0,   IF($G$4="nyugdíjbiztosítás",    SUMIFS(CFdet!BI:BI,CFdet!AO:AO,$A66,CFdet!AP:AP,12),   0))   )</f>
        <v>0</v>
      </c>
      <c r="G66" s="288">
        <f t="shared" ca="1" si="4"/>
        <v>4528994.4785392098</v>
      </c>
      <c r="H66" s="288">
        <f t="shared" ca="1" si="5"/>
        <v>4528994.4785392098</v>
      </c>
      <c r="I66" s="288">
        <f t="shared" ca="1" si="6"/>
        <v>0</v>
      </c>
      <c r="J66" s="311">
        <f ca="1">J65+SUMIF(CFdet!AO:AO,A66,CFdet!BH:BH)</f>
        <v>1373436.884215733</v>
      </c>
      <c r="K66" s="681"/>
      <c r="L66" s="285"/>
    </row>
    <row r="67" spans="1:13" x14ac:dyDescent="0.25">
      <c r="A67" s="291">
        <f ca="1">IF(MAX(A$32:A66)=$G$10,A66,A66+1)</f>
        <v>20</v>
      </c>
      <c r="B67" s="291"/>
      <c r="C67" s="299">
        <f ca="1">IF(Ellenőrzés="HIBA",    0,       IF(A67=A66,C66,    C66+SUMIF(CFdet!AO:AO,A67,CFdet!AQ:AQ)))</f>
        <v>3831698.6417423808</v>
      </c>
      <c r="D67" s="288">
        <f ca="1">IF(Ellenőrzés="HIBA",    0,       IF(TartamVálasztott&lt;TartamMin,0,     SUMIFS(VV,CFdet!$AO$6:$AO$569,$A67,CFdet!$AP$6:$AP$569,12)))</f>
        <v>4528994.4785392098</v>
      </c>
      <c r="E67" s="288">
        <f ca="1">IF(Ellenőrzés="HIBA",    0,      IF(TartamVálasztott&lt;TartamMin,0,   SUMIFS(AssLoy,CFdet!$AO$6:$AO$569,$A67,CFdet!$AP$6:$AP$569,12)))</f>
        <v>0</v>
      </c>
      <c r="F67" s="289">
        <f ca="1">IF(Ellenőrzés="HIBA",    0,      IF(TartamVálasztott&lt;TartamMin,0,   IF($G$4="nyugdíjbiztosítás",    SUMIFS(CFdet!BI:BI,CFdet!AO:AO,$A67,CFdet!AP:AP,12),   0))   )</f>
        <v>0</v>
      </c>
      <c r="G67" s="288">
        <f t="shared" ca="1" si="4"/>
        <v>4528994.4785392098</v>
      </c>
      <c r="H67" s="288">
        <f t="shared" ca="1" si="5"/>
        <v>4528994.4785392098</v>
      </c>
      <c r="I67" s="288">
        <f t="shared" ca="1" si="6"/>
        <v>0</v>
      </c>
      <c r="J67" s="311">
        <f ca="1">J66+SUMIF(CFdet!AO:AO,A67,CFdet!BH:BH)</f>
        <v>1420226.6457469282</v>
      </c>
      <c r="K67" s="681"/>
      <c r="L67" s="285"/>
    </row>
    <row r="68" spans="1:13" x14ac:dyDescent="0.25">
      <c r="A68" s="291">
        <f ca="1">IF(MAX(A$32:A67)=$G$10,A67,A67+1)</f>
        <v>20</v>
      </c>
      <c r="B68" s="291"/>
      <c r="C68" s="299">
        <f ca="1">IF(Ellenőrzés="HIBA",    0,       IF(A68=A67,C67,    C67+SUMIF(CFdet!AO:AO,A68,CFdet!AQ:AQ)))</f>
        <v>3831698.6417423808</v>
      </c>
      <c r="D68" s="288">
        <f ca="1">IF(Ellenőrzés="HIBA",    0,       IF(TartamVálasztott&lt;TartamMin,0,     SUMIFS(VV,CFdet!$AO$6:$AO$569,$A68,CFdet!$AP$6:$AP$569,12)))</f>
        <v>4528994.4785392098</v>
      </c>
      <c r="E68" s="288">
        <f ca="1">IF(Ellenőrzés="HIBA",    0,      IF(TartamVálasztott&lt;TartamMin,0,   SUMIFS(AssLoy,CFdet!$AO$6:$AO$569,$A68,CFdet!$AP$6:$AP$569,12)))</f>
        <v>0</v>
      </c>
      <c r="F68" s="289">
        <f ca="1">IF(Ellenőrzés="HIBA",    0,      IF(TartamVálasztott&lt;TartamMin,0,   IF($G$4="nyugdíjbiztosítás",    SUMIFS(CFdet!BI:BI,CFdet!AO:AO,$A68,CFdet!AP:AP,12),   0))   )</f>
        <v>0</v>
      </c>
      <c r="G68" s="288">
        <f t="shared" ca="1" si="4"/>
        <v>4528994.4785392098</v>
      </c>
      <c r="H68" s="288">
        <f t="shared" ca="1" si="5"/>
        <v>4528994.4785392098</v>
      </c>
      <c r="I68" s="288">
        <f t="shared" ca="1" si="6"/>
        <v>0</v>
      </c>
      <c r="J68" s="311">
        <f ca="1">J67+SUMIF(CFdet!AO:AO,A68,CFdet!BH:BH)</f>
        <v>1467016.4072781233</v>
      </c>
      <c r="K68" s="681"/>
      <c r="L68" s="285"/>
    </row>
    <row r="69" spans="1:13" x14ac:dyDescent="0.25">
      <c r="A69" s="291">
        <f ca="1">IF(MAX(A$32:A68)=$G$10,A68,A68+1)</f>
        <v>20</v>
      </c>
      <c r="B69" s="291"/>
      <c r="C69" s="299">
        <f ca="1">IF(Ellenőrzés="HIBA",    0,       IF(A69=A68,C68,    C68+SUMIF(CFdet!AO:AO,A69,CFdet!AQ:AQ)))</f>
        <v>3831698.6417423808</v>
      </c>
      <c r="D69" s="288">
        <f ca="1">IF(Ellenőrzés="HIBA",    0,       IF(TartamVálasztott&lt;TartamMin,0,     SUMIFS(VV,CFdet!$AO$6:$AO$569,$A69,CFdet!$AP$6:$AP$569,12)))</f>
        <v>4528994.4785392098</v>
      </c>
      <c r="E69" s="288">
        <f ca="1">IF(Ellenőrzés="HIBA",    0,      IF(TartamVálasztott&lt;TartamMin,0,   SUMIFS(AssLoy,CFdet!$AO$6:$AO$569,$A69,CFdet!$AP$6:$AP$569,12)))</f>
        <v>0</v>
      </c>
      <c r="F69" s="289">
        <f ca="1">IF(Ellenőrzés="HIBA",    0,      IF(TartamVálasztott&lt;TartamMin,0,   IF($G$4="nyugdíjbiztosítás",    SUMIFS(CFdet!BI:BI,CFdet!AO:AO,$A69,CFdet!AP:AP,12),   0))   )</f>
        <v>0</v>
      </c>
      <c r="G69" s="288">
        <f t="shared" ca="1" si="4"/>
        <v>4528994.4785392098</v>
      </c>
      <c r="H69" s="288">
        <f t="shared" ca="1" si="5"/>
        <v>4528994.4785392098</v>
      </c>
      <c r="I69" s="288">
        <f t="shared" ca="1" si="6"/>
        <v>0</v>
      </c>
      <c r="J69" s="311">
        <f ca="1">J68+SUMIF(CFdet!AO:AO,A69,CFdet!BH:BH)</f>
        <v>1513806.1688093184</v>
      </c>
      <c r="K69" s="681"/>
      <c r="L69" s="285"/>
    </row>
    <row r="70" spans="1:13" x14ac:dyDescent="0.25">
      <c r="A70" s="291">
        <f ca="1">IF(MAX(A$32:A69)=$G$10,A69,A69+1)</f>
        <v>20</v>
      </c>
      <c r="B70" s="291"/>
      <c r="C70" s="299">
        <f ca="1">IF(Ellenőrzés="HIBA",    0,       IF(A70=A69,C69,    C69+SUMIF(CFdet!AO:AO,A70,CFdet!AQ:AQ)))</f>
        <v>3831698.6417423808</v>
      </c>
      <c r="D70" s="288">
        <f ca="1">IF(Ellenőrzés="HIBA",    0,       IF(TartamVálasztott&lt;TartamMin,0,     SUMIFS(VV,CFdet!$AO$6:$AO$569,$A70,CFdet!$AP$6:$AP$569,12)))</f>
        <v>4528994.4785392098</v>
      </c>
      <c r="E70" s="288">
        <f ca="1">IF(Ellenőrzés="HIBA",    0,      IF(TartamVálasztott&lt;TartamMin,0,   SUMIFS(AssLoy,CFdet!$AO$6:$AO$569,$A70,CFdet!$AP$6:$AP$569,12)))</f>
        <v>0</v>
      </c>
      <c r="F70" s="289">
        <f ca="1">IF(Ellenőrzés="HIBA",    0,      IF(TartamVálasztott&lt;TartamMin,0,   IF($G$4="nyugdíjbiztosítás",    SUMIFS(CFdet!BI:BI,CFdet!AO:AO,$A70,CFdet!AP:AP,12),   0))   )</f>
        <v>0</v>
      </c>
      <c r="G70" s="288">
        <f t="shared" ca="1" si="4"/>
        <v>4528994.4785392098</v>
      </c>
      <c r="H70" s="288">
        <f t="shared" ca="1" si="5"/>
        <v>4528994.4785392098</v>
      </c>
      <c r="I70" s="288">
        <f t="shared" ca="1" si="6"/>
        <v>0</v>
      </c>
      <c r="J70" s="311">
        <f ca="1">J69+SUMIF(CFdet!AO:AO,A70,CFdet!BH:BH)</f>
        <v>1560595.9303405136</v>
      </c>
      <c r="K70" s="681"/>
      <c r="L70" s="285"/>
    </row>
    <row r="71" spans="1:13" x14ac:dyDescent="0.25">
      <c r="A71" s="291">
        <f ca="1">IF(MAX(A$32:A70)=$G$10,A70,A70+1)</f>
        <v>20</v>
      </c>
      <c r="B71" s="291"/>
      <c r="C71" s="299">
        <f ca="1">IF(Ellenőrzés="HIBA",    0,       IF(A71=A70,C70,    C70+SUMIF(CFdet!AO:AO,A71,CFdet!AQ:AQ)))</f>
        <v>3831698.6417423808</v>
      </c>
      <c r="D71" s="288">
        <f ca="1">IF(Ellenőrzés="HIBA",    0,       IF(TartamVálasztott&lt;TartamMin,0,     SUMIFS(VV,CFdet!$AO$6:$AO$569,$A71,CFdet!$AP$6:$AP$569,12)))</f>
        <v>4528994.4785392098</v>
      </c>
      <c r="E71" s="288">
        <f ca="1">IF(Ellenőrzés="HIBA",    0,      IF(TartamVálasztott&lt;TartamMin,0,   SUMIFS(AssLoy,CFdet!$AO$6:$AO$569,$A71,CFdet!$AP$6:$AP$569,12)))</f>
        <v>0</v>
      </c>
      <c r="F71" s="289">
        <f ca="1">IF(Ellenőrzés="HIBA",    0,      IF(TartamVálasztott&lt;TartamMin,0,   IF($G$4="nyugdíjbiztosítás",    SUMIFS(CFdet!BI:BI,CFdet!AO:AO,$A71,CFdet!AP:AP,12),   0))   )</f>
        <v>0</v>
      </c>
      <c r="G71" s="288">
        <f t="shared" ca="1" si="4"/>
        <v>4528994.4785392098</v>
      </c>
      <c r="H71" s="288">
        <f t="shared" ca="1" si="5"/>
        <v>4528994.4785392098</v>
      </c>
      <c r="I71" s="288">
        <f t="shared" ca="1" si="6"/>
        <v>0</v>
      </c>
      <c r="J71" s="311">
        <f ca="1">J70+SUMIF(CFdet!AO:AO,A71,CFdet!BH:BH)</f>
        <v>1607385.6918717087</v>
      </c>
      <c r="K71" s="681"/>
      <c r="L71" s="285"/>
    </row>
    <row r="72" spans="1:13" x14ac:dyDescent="0.25">
      <c r="A72" s="291">
        <f ca="1">IF(MAX(A$32:A71)=$G$10,A71,A71+1)</f>
        <v>20</v>
      </c>
      <c r="B72" s="291"/>
      <c r="C72" s="299">
        <f ca="1">IF(Ellenőrzés="HIBA",    0,       IF(A72=A71,C71,    C71+SUMIF(CFdet!AO:AO,A72,CFdet!AQ:AQ)))</f>
        <v>3831698.6417423808</v>
      </c>
      <c r="D72" s="288">
        <f ca="1">IF(Ellenőrzés="HIBA",    0,       IF(TartamVálasztott&lt;TartamMin,0,     SUMIFS(VV,CFdet!$AO$6:$AO$569,$A72,CFdet!$AP$6:$AP$569,12)))</f>
        <v>4528994.4785392098</v>
      </c>
      <c r="E72" s="288">
        <f ca="1">IF(Ellenőrzés="HIBA",    0,      IF(TartamVálasztott&lt;TartamMin,0,   SUMIFS(AssLoy,CFdet!$AO$6:$AO$569,$A72,CFdet!$AP$6:$AP$569,12)))</f>
        <v>0</v>
      </c>
      <c r="F72" s="289">
        <f ca="1">IF(Ellenőrzés="HIBA",    0,      IF(TartamVálasztott&lt;TartamMin,0,   IF($G$4="nyugdíjbiztosítás",    SUMIFS(CFdet!BI:BI,CFdet!AO:AO,$A72,CFdet!AP:AP,12),   0))   )</f>
        <v>0</v>
      </c>
      <c r="G72" s="288">
        <f t="shared" ca="1" si="4"/>
        <v>4528994.4785392098</v>
      </c>
      <c r="H72" s="288">
        <f t="shared" ca="1" si="5"/>
        <v>4528994.4785392098</v>
      </c>
      <c r="I72" s="288">
        <f t="shared" ca="1" si="6"/>
        <v>0</v>
      </c>
      <c r="J72" s="311">
        <f ca="1">J71+SUMIF(CFdet!AO:AO,A72,CFdet!BH:BH)</f>
        <v>1654175.4534029039</v>
      </c>
      <c r="K72" s="681"/>
      <c r="L72" s="285"/>
    </row>
    <row r="73" spans="1:13" x14ac:dyDescent="0.25">
      <c r="A73" s="291">
        <f ca="1">IF(MAX(A$32:A72)=$G$10,A72,A72+1)</f>
        <v>20</v>
      </c>
      <c r="B73" s="291"/>
      <c r="C73" s="299">
        <f ca="1">IF(Ellenőrzés="HIBA",    0,       IF(A73=A72,C72,    C72+SUMIF(CFdet!AO:AO,A73,CFdet!AQ:AQ)))</f>
        <v>3831698.6417423808</v>
      </c>
      <c r="D73" s="288">
        <f ca="1">IF(Ellenőrzés="HIBA",    0,       IF(TartamVálasztott&lt;TartamMin,0,     SUMIFS(VV,CFdet!$AO$6:$AO$569,$A73,CFdet!$AP$6:$AP$569,12)))</f>
        <v>4528994.4785392098</v>
      </c>
      <c r="E73" s="288">
        <f ca="1">IF(Ellenőrzés="HIBA",    0,      IF(TartamVálasztott&lt;TartamMin,0,   SUMIFS(AssLoy,CFdet!$AO$6:$AO$569,$A73,CFdet!$AP$6:$AP$569,12)))</f>
        <v>0</v>
      </c>
      <c r="F73" s="289">
        <f ca="1">IF(Ellenőrzés="HIBA",    0,      IF(TartamVálasztott&lt;TartamMin,0,   IF($G$4="nyugdíjbiztosítás",    SUMIFS(CFdet!BI:BI,CFdet!AO:AO,$A73,CFdet!AP:AP,12),   0))   )</f>
        <v>0</v>
      </c>
      <c r="G73" s="288">
        <f t="shared" ca="1" si="4"/>
        <v>4528994.4785392098</v>
      </c>
      <c r="H73" s="288">
        <f t="shared" ca="1" si="5"/>
        <v>4528994.4785392098</v>
      </c>
      <c r="I73" s="288">
        <f t="shared" ca="1" si="6"/>
        <v>0</v>
      </c>
      <c r="J73" s="311">
        <f ca="1">J72+SUMIF(CFdet!AO:AO,A73,CFdet!BH:BH)</f>
        <v>1700965.214934099</v>
      </c>
      <c r="K73" s="681"/>
      <c r="L73" s="285"/>
    </row>
    <row r="74" spans="1:13" x14ac:dyDescent="0.25">
      <c r="A74" s="291">
        <f ca="1">IF(MAX(A$32:A73)=$G$10,A73,A73+1)</f>
        <v>20</v>
      </c>
      <c r="B74" s="291"/>
      <c r="C74" s="299">
        <f ca="1">IF(Ellenőrzés="HIBA",    0,       IF(A74=A73,C73,    C73+SUMIF(CFdet!AO:AO,A74,CFdet!AQ:AQ)))</f>
        <v>3831698.6417423808</v>
      </c>
      <c r="D74" s="288">
        <f ca="1">IF(Ellenőrzés="HIBA",    0,       IF(TartamVálasztott&lt;TartamMin,0,     SUMIFS(VV,CFdet!$AO$6:$AO$569,$A74,CFdet!$AP$6:$AP$569,12)))</f>
        <v>4528994.4785392098</v>
      </c>
      <c r="E74" s="288">
        <f ca="1">IF(Ellenőrzés="HIBA",    0,      IF(TartamVálasztott&lt;TartamMin,0,   SUMIFS(AssLoy,CFdet!$AO$6:$AO$569,$A74,CFdet!$AP$6:$AP$569,12)))</f>
        <v>0</v>
      </c>
      <c r="F74" s="289">
        <f ca="1">IF(Ellenőrzés="HIBA",    0,      IF(TartamVálasztott&lt;TartamMin,0,   IF($G$4="nyugdíjbiztosítás",    SUMIFS(CFdet!BI:BI,CFdet!AO:AO,$A74,CFdet!AP:AP,12),   0))   )</f>
        <v>0</v>
      </c>
      <c r="G74" s="288">
        <f t="shared" ca="1" si="4"/>
        <v>4528994.4785392098</v>
      </c>
      <c r="H74" s="288">
        <f t="shared" ca="1" si="5"/>
        <v>4528994.4785392098</v>
      </c>
      <c r="I74" s="288">
        <f t="shared" ca="1" si="6"/>
        <v>0</v>
      </c>
      <c r="J74" s="311">
        <f ca="1">J73+SUMIF(CFdet!AO:AO,A74,CFdet!BH:BH)</f>
        <v>1747754.9764652941</v>
      </c>
      <c r="K74" s="681"/>
      <c r="L74" s="285"/>
    </row>
    <row r="75" spans="1:13" x14ac:dyDescent="0.25">
      <c r="A75" s="291">
        <f ca="1">IF(MAX(A$32:A74)=$G$10,A74,A74+1)</f>
        <v>20</v>
      </c>
      <c r="B75" s="291"/>
      <c r="C75" s="299">
        <f ca="1">IF(Ellenőrzés="HIBA",    0,       IF(A75=A74,C74,    C74+SUMIF(CFdet!AO:AO,A75,CFdet!AQ:AQ)))</f>
        <v>3831698.6417423808</v>
      </c>
      <c r="D75" s="288">
        <f ca="1">IF(Ellenőrzés="HIBA",    0,       IF(TartamVálasztott&lt;TartamMin,0,     SUMIFS(VV,CFdet!$AO$6:$AO$569,$A75,CFdet!$AP$6:$AP$569,12)))</f>
        <v>4528994.4785392098</v>
      </c>
      <c r="E75" s="288">
        <f ca="1">IF(Ellenőrzés="HIBA",    0,      IF(TartamVálasztott&lt;TartamMin,0,   SUMIFS(AssLoy,CFdet!$AO$6:$AO$569,$A75,CFdet!$AP$6:$AP$569,12)))</f>
        <v>0</v>
      </c>
      <c r="F75" s="289">
        <f ca="1">IF(Ellenőrzés="HIBA",    0,      IF(TartamVálasztott&lt;TartamMin,0,   IF($G$4="nyugdíjbiztosítás",    SUMIFS(CFdet!BI:BI,CFdet!AO:AO,$A75,CFdet!AP:AP,12),   0))   )</f>
        <v>0</v>
      </c>
      <c r="G75" s="288">
        <f t="shared" ca="1" si="4"/>
        <v>4528994.4785392098</v>
      </c>
      <c r="H75" s="288">
        <f t="shared" ca="1" si="5"/>
        <v>4528994.4785392098</v>
      </c>
      <c r="I75" s="288">
        <f t="shared" ca="1" si="6"/>
        <v>0</v>
      </c>
      <c r="J75" s="311">
        <f ca="1">J74+SUMIF(CFdet!AO:AO,A75,CFdet!BH:BH)</f>
        <v>1794544.7379964893</v>
      </c>
      <c r="K75" s="681"/>
      <c r="L75" s="285"/>
    </row>
    <row r="76" spans="1:13" x14ac:dyDescent="0.25">
      <c r="A76" s="291">
        <f ca="1">IF(MAX(A$32:A75)=$G$10,A75,A75+1)</f>
        <v>20</v>
      </c>
      <c r="B76" s="291"/>
      <c r="C76" s="299">
        <f ca="1">IF(Ellenőrzés="HIBA",    0,       IF(A76=A75,C75,    C75+SUMIF(CFdet!AO:AO,A76,CFdet!AQ:AQ)))</f>
        <v>3831698.6417423808</v>
      </c>
      <c r="D76" s="288">
        <f ca="1">IF(Ellenőrzés="HIBA",    0,       IF(TartamVálasztott&lt;TartamMin,0,     SUMIFS(VV,CFdet!$AO$6:$AO$569,$A76,CFdet!$AP$6:$AP$569,12)))</f>
        <v>4528994.4785392098</v>
      </c>
      <c r="E76" s="288">
        <f ca="1">IF(Ellenőrzés="HIBA",    0,      IF(TartamVálasztott&lt;TartamMin,0,   SUMIFS(AssLoy,CFdet!$AO$6:$AO$569,$A76,CFdet!$AP$6:$AP$569,12)))</f>
        <v>0</v>
      </c>
      <c r="F76" s="289">
        <f ca="1">IF(Ellenőrzés="HIBA",    0,      IF(TartamVálasztott&lt;TartamMin,0,   IF($G$4="nyugdíjbiztosítás",    SUMIFS(CFdet!BI:BI,CFdet!AO:AO,$A76,CFdet!AP:AP,12),   0))   )</f>
        <v>0</v>
      </c>
      <c r="G76" s="288">
        <f t="shared" ca="1" si="4"/>
        <v>4528994.4785392098</v>
      </c>
      <c r="H76" s="288">
        <f t="shared" ca="1" si="5"/>
        <v>4528994.4785392098</v>
      </c>
      <c r="I76" s="288">
        <f t="shared" ca="1" si="6"/>
        <v>0</v>
      </c>
      <c r="J76" s="311">
        <f ca="1">J75+SUMIF(CFdet!AO:AO,A76,CFdet!BH:BH)</f>
        <v>1841334.4995276844</v>
      </c>
      <c r="K76" s="681"/>
      <c r="L76" s="285"/>
    </row>
    <row r="77" spans="1:13" x14ac:dyDescent="0.25">
      <c r="A77" s="291">
        <f ca="1">IF(MAX(A$32:A76)=$G$10,A76,A76+1)</f>
        <v>20</v>
      </c>
      <c r="B77" s="291"/>
      <c r="C77" s="299">
        <f ca="1">IF(Ellenőrzés="HIBA",    0,       IF(A77=A76,C76,    C76+SUMIF(CFdet!AO:AO,A77,CFdet!AQ:AQ)))</f>
        <v>3831698.6417423808</v>
      </c>
      <c r="D77" s="288">
        <f ca="1">IF(Ellenőrzés="HIBA",    0,       IF(TartamVálasztott&lt;TartamMin,0,     SUMIFS(VV,CFdet!$AO$6:$AO$569,$A77,CFdet!$AP$6:$AP$569,12)))</f>
        <v>4528994.4785392098</v>
      </c>
      <c r="E77" s="288">
        <f ca="1">IF(Ellenőrzés="HIBA",    0,      IF(TartamVálasztott&lt;TartamMin,0,   SUMIFS(AssLoy,CFdet!$AO$6:$AO$569,$A77,CFdet!$AP$6:$AP$569,12)))</f>
        <v>0</v>
      </c>
      <c r="F77" s="289">
        <f ca="1">IF(Ellenőrzés="HIBA",    0,      IF(TartamVálasztott&lt;TartamMin,0,   IF($G$4="nyugdíjbiztosítás",    SUMIFS(CFdet!BI:BI,CFdet!AO:AO,$A77,CFdet!AP:AP,12),   0))   )</f>
        <v>0</v>
      </c>
      <c r="G77" s="288">
        <f t="shared" ca="1" si="4"/>
        <v>4528994.4785392098</v>
      </c>
      <c r="H77" s="288">
        <f t="shared" ca="1" si="5"/>
        <v>4528994.4785392098</v>
      </c>
      <c r="I77" s="288">
        <f t="shared" ca="1" si="6"/>
        <v>0</v>
      </c>
      <c r="J77" s="311">
        <f ca="1">J76+SUMIF(CFdet!AO:AO,A77,CFdet!BH:BH)</f>
        <v>1888124.2610588796</v>
      </c>
      <c r="K77" s="681"/>
      <c r="L77" s="285"/>
    </row>
    <row r="78" spans="1:13" x14ac:dyDescent="0.25">
      <c r="A78" s="291">
        <f ca="1">IF(MAX(A$32:A77)=$G$10,A77,A77+1)</f>
        <v>20</v>
      </c>
      <c r="B78" s="291"/>
      <c r="C78" s="299">
        <f ca="1">IF(Ellenőrzés="HIBA",    0,       IF(A78=A77,C77,    C77+SUMIF(CFdet!AO:AO,A78,CFdet!AQ:AQ)))</f>
        <v>3831698.6417423808</v>
      </c>
      <c r="D78" s="288">
        <f ca="1">IF(Ellenőrzés="HIBA",    0,       IF(TartamVálasztott&lt;TartamMin,0,     SUMIFS(VV,CFdet!$AO$6:$AO$569,$A78,CFdet!$AP$6:$AP$569,12)))</f>
        <v>4528994.4785392098</v>
      </c>
      <c r="E78" s="288">
        <f ca="1">IF(Ellenőrzés="HIBA",    0,      IF(TartamVálasztott&lt;TartamMin,0,   SUMIFS(AssLoy,CFdet!$AO$6:$AO$569,$A78,CFdet!$AP$6:$AP$569,12)))</f>
        <v>0</v>
      </c>
      <c r="F78" s="289">
        <f ca="1">IF(Ellenőrzés="HIBA",    0,      IF(TartamVálasztott&lt;TartamMin,0,   IF($G$4="nyugdíjbiztosítás",    SUMIFS(CFdet!BI:BI,CFdet!AO:AO,$A78,CFdet!AP:AP,12),   0))   )</f>
        <v>0</v>
      </c>
      <c r="G78" s="288">
        <f t="shared" ca="1" si="4"/>
        <v>4528994.4785392098</v>
      </c>
      <c r="H78" s="288">
        <f t="shared" ca="1" si="5"/>
        <v>4528994.4785392098</v>
      </c>
      <c r="I78" s="288">
        <f t="shared" ca="1" si="6"/>
        <v>0</v>
      </c>
      <c r="J78" s="311">
        <f ca="1">J77+SUMIF(CFdet!AO:AO,A78,CFdet!BH:BH)</f>
        <v>1934914.0225900747</v>
      </c>
      <c r="K78" s="681"/>
      <c r="L78" s="285"/>
    </row>
    <row r="79" spans="1:13" x14ac:dyDescent="0.25">
      <c r="A79" s="291">
        <f ca="1">IF(MAX(A$32:A78)=$G$10,A78,A78+1)</f>
        <v>20</v>
      </c>
      <c r="B79" s="291"/>
      <c r="C79" s="299">
        <f ca="1">IF(Ellenőrzés="HIBA",    0,       IF(A79=A78,C78,    C78+SUMIF(CFdet!AO:AO,A79,CFdet!AQ:AQ)))</f>
        <v>3831698.6417423808</v>
      </c>
      <c r="D79" s="288">
        <f ca="1">IF(Ellenőrzés="HIBA",    0,       IF(TartamVálasztott&lt;TartamMin,0,     SUMIFS(VV,CFdet!$AO$6:$AO$569,$A79,CFdet!$AP$6:$AP$569,12)))</f>
        <v>4528994.4785392098</v>
      </c>
      <c r="E79" s="288">
        <f ca="1">IF(Ellenőrzés="HIBA",    0,      IF(TartamVálasztott&lt;TartamMin,0,   SUMIFS(AssLoy,CFdet!$AO$6:$AO$569,$A79,CFdet!$AP$6:$AP$569,12)))</f>
        <v>0</v>
      </c>
      <c r="F79" s="289">
        <f ca="1">IF(Ellenőrzés="HIBA",    0,      IF(TartamVálasztott&lt;TartamMin,0,   IF($G$4="nyugdíjbiztosítás",    SUMIFS(CFdet!BI:BI,CFdet!AO:AO,$A79,CFdet!AP:AP,12),   0))   )</f>
        <v>0</v>
      </c>
      <c r="G79" s="288">
        <f t="shared" ca="1" si="4"/>
        <v>4528994.4785392098</v>
      </c>
      <c r="H79" s="288">
        <f t="shared" ca="1" si="5"/>
        <v>4528994.4785392098</v>
      </c>
      <c r="I79" s="288">
        <f t="shared" ca="1" si="6"/>
        <v>0</v>
      </c>
      <c r="J79" s="311">
        <f ca="1">J78+SUMIF(CFdet!AO:AO,A79,CFdet!BH:BH)</f>
        <v>1981703.7841212698</v>
      </c>
      <c r="K79" s="681"/>
      <c r="L79" s="421"/>
      <c r="M79" s="634"/>
    </row>
    <row r="80" spans="1:13" x14ac:dyDescent="0.25">
      <c r="D80" s="288"/>
      <c r="E80" s="288"/>
      <c r="F80" s="289"/>
      <c r="G80" s="288"/>
      <c r="H80" s="288"/>
      <c r="I80" s="288">
        <f t="shared" ca="1" si="6"/>
        <v>0</v>
      </c>
      <c r="J80" s="311">
        <f ca="1">J79+SUMIF(CFdet!AO:AO,A80,CFdet!BH:BH)</f>
        <v>1981703.7841212698</v>
      </c>
    </row>
    <row r="81" spans="7:10" x14ac:dyDescent="0.25">
      <c r="G81" s="20"/>
      <c r="H81" s="20"/>
      <c r="I81" s="20"/>
      <c r="J81" s="312"/>
    </row>
  </sheetData>
  <sheetProtection password="C5A5" sheet="1" objects="1" scenarios="1" selectLockedCells="1"/>
  <mergeCells count="13">
    <mergeCell ref="C30:C31"/>
    <mergeCell ref="D2:F2"/>
    <mergeCell ref="D19:E19"/>
    <mergeCell ref="D20:E20"/>
    <mergeCell ref="I30:I31"/>
    <mergeCell ref="H30:H31"/>
    <mergeCell ref="D21:E21"/>
    <mergeCell ref="D22:E22"/>
    <mergeCell ref="A26:I26"/>
    <mergeCell ref="D23:E23"/>
    <mergeCell ref="A27:I27"/>
    <mergeCell ref="A28:I28"/>
    <mergeCell ref="A29:I29"/>
  </mergeCells>
  <conditionalFormatting sqref="E10">
    <cfRule type="expression" dxfId="55" priority="50">
      <formula>TartamTermék&lt;&gt;"wl / fix"</formula>
    </cfRule>
  </conditionalFormatting>
  <conditionalFormatting sqref="G10">
    <cfRule type="cellIs" dxfId="54" priority="46" operator="lessThan">
      <formula>TartamMin</formula>
    </cfRule>
  </conditionalFormatting>
  <conditionalFormatting sqref="F10">
    <cfRule type="expression" dxfId="53" priority="117">
      <formula>AND(TartamWlFix="fix",Nyug=0)</formula>
    </cfRule>
  </conditionalFormatting>
  <conditionalFormatting sqref="A33:H79">
    <cfRule type="expression" dxfId="52" priority="11">
      <formula>AND(ROUND($A33/5,0)*5=$A33,$A33&lt;&gt;$A32)</formula>
    </cfRule>
    <cfRule type="expression" dxfId="51" priority="119">
      <formula>$A33&lt;&gt;$A32</formula>
    </cfRule>
  </conditionalFormatting>
  <conditionalFormatting sqref="I33:I79">
    <cfRule type="expression" dxfId="50" priority="39">
      <formula>$A33&lt;&gt;$A32</formula>
    </cfRule>
  </conditionalFormatting>
  <conditionalFormatting sqref="I33:I80">
    <cfRule type="expression" dxfId="49" priority="38">
      <formula>Nyug=0</formula>
    </cfRule>
  </conditionalFormatting>
  <conditionalFormatting sqref="F31:F79">
    <cfRule type="expression" dxfId="48" priority="37">
      <formula>Nyug=0</formula>
    </cfRule>
  </conditionalFormatting>
  <conditionalFormatting sqref="G6">
    <cfRule type="cellIs" dxfId="47" priority="35" operator="greaterThan">
      <formula>KorMax</formula>
    </cfRule>
  </conditionalFormatting>
  <conditionalFormatting sqref="H9 H10:I10">
    <cfRule type="expression" dxfId="46" priority="32">
      <formula>$H9&lt;&gt;"OK"</formula>
    </cfRule>
  </conditionalFormatting>
  <conditionalFormatting sqref="I9">
    <cfRule type="expression" dxfId="45" priority="31">
      <formula>$H9&lt;&gt;"OK"</formula>
    </cfRule>
  </conditionalFormatting>
  <conditionalFormatting sqref="H5:H6">
    <cfRule type="expression" dxfId="44" priority="30">
      <formula>$H5&lt;&gt;"OK"</formula>
    </cfRule>
  </conditionalFormatting>
  <conditionalFormatting sqref="I5:I6">
    <cfRule type="expression" dxfId="43" priority="29">
      <formula>$H5&lt;&gt;"OK"</formula>
    </cfRule>
  </conditionalFormatting>
  <conditionalFormatting sqref="I19:I22">
    <cfRule type="expression" dxfId="42" priority="28">
      <formula>$I19&lt;&gt;"OK"</formula>
    </cfRule>
  </conditionalFormatting>
  <conditionalFormatting sqref="H13">
    <cfRule type="expression" dxfId="41" priority="26">
      <formula>$H13&lt;&gt;"OK"</formula>
    </cfRule>
  </conditionalFormatting>
  <conditionalFormatting sqref="I13">
    <cfRule type="expression" dxfId="40" priority="25">
      <formula>$H13&lt;&gt;"OK"</formula>
    </cfRule>
  </conditionalFormatting>
  <conditionalFormatting sqref="A33:I79">
    <cfRule type="expression" dxfId="39" priority="23">
      <formula>Ellenőrzés="hiba"</formula>
    </cfRule>
  </conditionalFormatting>
  <conditionalFormatting sqref="A30">
    <cfRule type="expression" dxfId="38" priority="22">
      <formula>$A30&lt;&gt;"OK"</formula>
    </cfRule>
  </conditionalFormatting>
  <conditionalFormatting sqref="H7:I7">
    <cfRule type="expression" dxfId="37" priority="20">
      <formula>$H7&lt;&gt;"OK"</formula>
    </cfRule>
  </conditionalFormatting>
  <conditionalFormatting sqref="I23">
    <cfRule type="expression" dxfId="36" priority="17">
      <formula>$I23&lt;&gt;"OK"</formula>
    </cfRule>
  </conditionalFormatting>
  <conditionalFormatting sqref="I30:I31">
    <cfRule type="expression" dxfId="35" priority="10">
      <formula>Nyug=1</formula>
    </cfRule>
  </conditionalFormatting>
  <conditionalFormatting sqref="C14:H14">
    <cfRule type="expression" dxfId="34" priority="9">
      <formula>EgyFoly="egy"</formula>
    </cfRule>
  </conditionalFormatting>
  <conditionalFormatting sqref="F15">
    <cfRule type="expression" dxfId="33" priority="8">
      <formula>AND(Ért="Quantis",Freq&gt;2)</formula>
    </cfRule>
  </conditionalFormatting>
  <conditionalFormatting sqref="G15">
    <cfRule type="expression" dxfId="32" priority="7">
      <formula>AND(Ért="Quantis",Freq&gt;2)</formula>
    </cfRule>
  </conditionalFormatting>
  <conditionalFormatting sqref="D19:E23">
    <cfRule type="expression" dxfId="31" priority="4">
      <formula>$G19=0</formula>
    </cfRule>
    <cfRule type="expression" dxfId="30" priority="6">
      <formula>$I19&lt;&gt;"OK"</formula>
    </cfRule>
  </conditionalFormatting>
  <conditionalFormatting sqref="F19:F23">
    <cfRule type="expression" dxfId="29" priority="2">
      <formula>$G19*$H19=0</formula>
    </cfRule>
  </conditionalFormatting>
  <conditionalFormatting sqref="A29:I29">
    <cfRule type="expression" dxfId="28" priority="1">
      <formula>Nyug=1</formula>
    </cfRule>
  </conditionalFormatting>
  <dataValidations count="7">
    <dataValidation type="list" operator="equal" allowBlank="1" showInputMessage="1" showErrorMessage="1" sqref="F17">
      <formula1>hozam</formula1>
    </dataValidation>
    <dataValidation type="list" allowBlank="1" showInputMessage="1" showErrorMessage="1" sqref="F14">
      <formula1>dfgyak</formula1>
    </dataValidation>
    <dataValidation type="list" allowBlank="1" showInputMessage="1" showErrorMessage="1" sqref="E10">
      <formula1>"fix, élethosszig szóló"</formula1>
    </dataValidation>
    <dataValidation type="list" allowBlank="1" showInputMessage="1" showErrorMessage="1" sqref="D2">
      <formula1>Termékek</formula1>
    </dataValidation>
    <dataValidation type="list" allowBlank="1" showInputMessage="1" showErrorMessage="1" sqref="D20:E23">
      <formula1>VálaszthatóEszközalap</formula1>
    </dataValidation>
    <dataValidation type="list" allowBlank="1" showInputMessage="1" showErrorMessage="1" sqref="F15">
      <formula1>fizmód</formula1>
    </dataValidation>
    <dataValidation type="list" showInputMessage="1" showErrorMessage="1" sqref="D19:E19">
      <formula1>VálaszthatóEszközalap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>
      <pane ySplit="3" topLeftCell="A4" activePane="bottomLeft" state="frozen"/>
      <selection activeCell="C36" sqref="C36"/>
      <selection pane="bottomLeft" activeCell="C36" sqref="C36"/>
    </sheetView>
  </sheetViews>
  <sheetFormatPr defaultRowHeight="11.25" x14ac:dyDescent="0.2"/>
  <cols>
    <col min="1" max="1" width="26.140625" style="336" customWidth="1"/>
    <col min="2" max="2" width="23.140625" style="336" customWidth="1"/>
    <col min="3" max="3" width="27.140625" style="336" customWidth="1"/>
    <col min="4" max="4" width="12.140625" style="336" customWidth="1"/>
    <col min="5" max="16384" width="9.140625" style="336"/>
  </cols>
  <sheetData>
    <row r="1" spans="1:3" ht="18" x14ac:dyDescent="0.25">
      <c r="A1" s="356" t="s">
        <v>310</v>
      </c>
      <c r="B1" s="352" t="s">
        <v>101</v>
      </c>
      <c r="C1" s="453">
        <f ca="1">Termékkód</f>
        <v>240</v>
      </c>
    </row>
    <row r="2" spans="1:3" ht="18" x14ac:dyDescent="0.25">
      <c r="A2" s="454" t="s">
        <v>235</v>
      </c>
      <c r="B2" s="352" t="s">
        <v>6</v>
      </c>
      <c r="C2" s="456" t="str">
        <f ca="1">OFFSET(Terméklista!$A$1,MATCH(Termékkód,Terméklista!$A:$A,0)-1,MATCH(B2,Terméklista!$2:$2,0)-1)</f>
        <v>Life Planet Bonus</v>
      </c>
    </row>
    <row r="3" spans="1:3" ht="18" x14ac:dyDescent="0.25">
      <c r="A3" s="336" t="s">
        <v>20</v>
      </c>
      <c r="B3" s="352" t="s">
        <v>20</v>
      </c>
      <c r="C3" s="456" t="str">
        <f ca="1">OFFSET(Terméklista!$A$1,MATCH(Termékkód,Terméklista!$A:$A,0)-1,MATCH(B3,Terméklista!$2:$2,0)-1)</f>
        <v>Exkluzív</v>
      </c>
    </row>
    <row r="5" spans="1:3" x14ac:dyDescent="0.2">
      <c r="A5" s="335" t="s">
        <v>45</v>
      </c>
    </row>
    <row r="6" spans="1:3" x14ac:dyDescent="0.2">
      <c r="A6" s="336" t="s">
        <v>44</v>
      </c>
      <c r="B6" s="336" t="s">
        <v>1</v>
      </c>
      <c r="C6" s="336" t="s">
        <v>2</v>
      </c>
    </row>
    <row r="7" spans="1:3" x14ac:dyDescent="0.2">
      <c r="A7" s="336">
        <v>1952</v>
      </c>
      <c r="B7" s="336">
        <v>62</v>
      </c>
      <c r="C7" s="336">
        <v>183</v>
      </c>
    </row>
    <row r="8" spans="1:3" x14ac:dyDescent="0.2">
      <c r="A8" s="336">
        <v>1953</v>
      </c>
      <c r="B8" s="336">
        <v>63</v>
      </c>
    </row>
    <row r="9" spans="1:3" x14ac:dyDescent="0.2">
      <c r="A9" s="336">
        <v>1954</v>
      </c>
      <c r="B9" s="336">
        <v>63</v>
      </c>
      <c r="C9" s="336">
        <v>183</v>
      </c>
    </row>
    <row r="10" spans="1:3" x14ac:dyDescent="0.2">
      <c r="A10" s="336">
        <v>1955</v>
      </c>
      <c r="B10" s="336">
        <v>64</v>
      </c>
    </row>
    <row r="11" spans="1:3" x14ac:dyDescent="0.2">
      <c r="A11" s="336">
        <v>1956</v>
      </c>
      <c r="B11" s="336">
        <v>64</v>
      </c>
      <c r="C11" s="336">
        <v>183</v>
      </c>
    </row>
    <row r="12" spans="1:3" x14ac:dyDescent="0.2">
      <c r="A12" s="336">
        <v>1957</v>
      </c>
      <c r="B12" s="336">
        <v>65</v>
      </c>
    </row>
    <row r="14" spans="1:3" x14ac:dyDescent="0.2">
      <c r="A14" s="335" t="s">
        <v>62</v>
      </c>
    </row>
    <row r="15" spans="1:3" ht="12.75" x14ac:dyDescent="0.25">
      <c r="A15" s="351" t="s">
        <v>269</v>
      </c>
      <c r="B15" s="352" t="s">
        <v>270</v>
      </c>
      <c r="C15" s="355">
        <f ca="1">IF(Termékkód=129,VLOOKUP(TartamVálasztott,PM!$C$18:$D$26,2),VLOOKUP(Termékkód,Terméklista!A:K,MATCH("min díj",Terméklista!$2:$2,0),0))</f>
        <v>120000</v>
      </c>
    </row>
    <row r="17" spans="1:4" x14ac:dyDescent="0.2">
      <c r="A17" s="336" t="s">
        <v>6</v>
      </c>
      <c r="B17" s="336" t="s">
        <v>4</v>
      </c>
      <c r="C17" s="336" t="s">
        <v>9</v>
      </c>
      <c r="D17" s="336" t="s">
        <v>61</v>
      </c>
    </row>
    <row r="18" spans="1:4" x14ac:dyDescent="0.2">
      <c r="A18" s="336" t="s">
        <v>34</v>
      </c>
      <c r="B18" s="336">
        <v>129</v>
      </c>
      <c r="C18" s="336">
        <v>10</v>
      </c>
      <c r="D18" s="337">
        <v>240000</v>
      </c>
    </row>
    <row r="19" spans="1:4" x14ac:dyDescent="0.2">
      <c r="A19" s="336" t="s">
        <v>34</v>
      </c>
      <c r="B19" s="336">
        <v>129</v>
      </c>
      <c r="C19" s="336">
        <v>11</v>
      </c>
      <c r="D19" s="337">
        <v>228000</v>
      </c>
    </row>
    <row r="20" spans="1:4" x14ac:dyDescent="0.2">
      <c r="A20" s="336" t="s">
        <v>34</v>
      </c>
      <c r="B20" s="336">
        <v>129</v>
      </c>
      <c r="C20" s="336">
        <v>12</v>
      </c>
      <c r="D20" s="337">
        <v>216000</v>
      </c>
    </row>
    <row r="21" spans="1:4" x14ac:dyDescent="0.2">
      <c r="A21" s="336" t="s">
        <v>34</v>
      </c>
      <c r="B21" s="336">
        <v>129</v>
      </c>
      <c r="C21" s="336">
        <v>13</v>
      </c>
      <c r="D21" s="337">
        <v>204000</v>
      </c>
    </row>
    <row r="22" spans="1:4" x14ac:dyDescent="0.2">
      <c r="A22" s="336" t="s">
        <v>34</v>
      </c>
      <c r="B22" s="336">
        <v>129</v>
      </c>
      <c r="C22" s="336">
        <v>14</v>
      </c>
      <c r="D22" s="337">
        <v>192000</v>
      </c>
    </row>
    <row r="23" spans="1:4" x14ac:dyDescent="0.2">
      <c r="A23" s="336" t="s">
        <v>34</v>
      </c>
      <c r="B23" s="336">
        <v>129</v>
      </c>
      <c r="C23" s="336">
        <v>15</v>
      </c>
      <c r="D23" s="337">
        <v>180000</v>
      </c>
    </row>
    <row r="24" spans="1:4" x14ac:dyDescent="0.2">
      <c r="A24" s="336" t="s">
        <v>34</v>
      </c>
      <c r="B24" s="336">
        <v>129</v>
      </c>
      <c r="C24" s="336">
        <v>16</v>
      </c>
      <c r="D24" s="337">
        <v>168000</v>
      </c>
    </row>
    <row r="25" spans="1:4" x14ac:dyDescent="0.2">
      <c r="A25" s="336" t="s">
        <v>34</v>
      </c>
      <c r="B25" s="336">
        <v>129</v>
      </c>
      <c r="C25" s="336">
        <v>17</v>
      </c>
      <c r="D25" s="337">
        <v>156000</v>
      </c>
    </row>
    <row r="26" spans="1:4" x14ac:dyDescent="0.2">
      <c r="A26" s="336" t="s">
        <v>34</v>
      </c>
      <c r="B26" s="336">
        <v>129</v>
      </c>
      <c r="C26" s="336">
        <v>18</v>
      </c>
      <c r="D26" s="337">
        <v>144000</v>
      </c>
    </row>
    <row r="28" spans="1:4" ht="12.75" x14ac:dyDescent="0.25">
      <c r="A28" s="335" t="s">
        <v>50</v>
      </c>
      <c r="B28" s="352" t="s">
        <v>5</v>
      </c>
      <c r="C28" s="353" t="str">
        <f ca="1">OFFSET(Terméklista!$A$1,MATCH(Termékkód,Terméklista!$A:$A,0)-1,MATCH(B28,Terméklista!$2:$2,0)-1)</f>
        <v>Foly</v>
      </c>
    </row>
    <row r="29" spans="1:4" x14ac:dyDescent="0.2">
      <c r="A29" s="336" t="s">
        <v>51</v>
      </c>
      <c r="B29" s="336">
        <v>1</v>
      </c>
    </row>
    <row r="30" spans="1:4" x14ac:dyDescent="0.2">
      <c r="A30" s="336" t="s">
        <v>52</v>
      </c>
      <c r="B30" s="336">
        <v>2</v>
      </c>
    </row>
    <row r="31" spans="1:4" x14ac:dyDescent="0.2">
      <c r="A31" s="336" t="s">
        <v>53</v>
      </c>
      <c r="B31" s="336">
        <v>4</v>
      </c>
    </row>
    <row r="32" spans="1:4" x14ac:dyDescent="0.2">
      <c r="A32" s="336" t="s">
        <v>54</v>
      </c>
      <c r="B32" s="336">
        <v>12</v>
      </c>
    </row>
    <row r="34" spans="1:3" x14ac:dyDescent="0.2">
      <c r="A34" s="335" t="s">
        <v>55</v>
      </c>
    </row>
    <row r="35" spans="1:3" x14ac:dyDescent="0.2">
      <c r="A35" s="336" t="s">
        <v>331</v>
      </c>
      <c r="B35" s="336" t="s">
        <v>55</v>
      </c>
      <c r="C35" s="336" t="str">
        <f ca="1">FizMódVálasztott</f>
        <v>átutalás</v>
      </c>
    </row>
    <row r="36" spans="1:3" ht="12.75" x14ac:dyDescent="0.25">
      <c r="A36" s="336" t="s">
        <v>333</v>
      </c>
      <c r="B36" s="352" t="s">
        <v>332</v>
      </c>
      <c r="C36" s="512">
        <f ca="1">INDEX(PPM,MATCH(FizMódVálasztott,PPM!C:C,0),MATCH(Termékkód,PPM!$2:$2,0))</f>
        <v>0.01</v>
      </c>
    </row>
    <row r="39" spans="1:3" ht="12.75" x14ac:dyDescent="0.25">
      <c r="A39" s="335" t="s">
        <v>57</v>
      </c>
      <c r="B39" s="352" t="s">
        <v>19</v>
      </c>
      <c r="C39" s="353" t="str">
        <f ca="1">OFFSET(Terméklista!$A$1,MATCH(Termékkód,Terméklista!$A:$A,0)-1,MATCH(B39,Terméklista!$2:$2,0)-1)</f>
        <v>HUF</v>
      </c>
    </row>
    <row r="40" spans="1:3" ht="12.75" x14ac:dyDescent="0.25">
      <c r="A40" s="335"/>
      <c r="B40" s="352" t="s">
        <v>57</v>
      </c>
      <c r="C40" s="353" t="str">
        <f ca="1">VLOOKUP(Deviza,A41:C43,3,0)</f>
        <v>Ft</v>
      </c>
    </row>
    <row r="41" spans="1:3" x14ac:dyDescent="0.2">
      <c r="A41" s="336" t="s">
        <v>28</v>
      </c>
      <c r="B41" s="336" t="s">
        <v>58</v>
      </c>
      <c r="C41" s="336" t="s">
        <v>296</v>
      </c>
    </row>
    <row r="42" spans="1:3" x14ac:dyDescent="0.2">
      <c r="A42" s="336" t="s">
        <v>29</v>
      </c>
      <c r="B42" s="336" t="s">
        <v>59</v>
      </c>
      <c r="C42" s="336" t="s">
        <v>304</v>
      </c>
    </row>
    <row r="43" spans="1:3" x14ac:dyDescent="0.2">
      <c r="A43" s="336" t="s">
        <v>32</v>
      </c>
      <c r="B43" s="336" t="s">
        <v>60</v>
      </c>
      <c r="C43" s="336" t="s">
        <v>305</v>
      </c>
    </row>
    <row r="45" spans="1:3" x14ac:dyDescent="0.2">
      <c r="A45" s="335" t="s">
        <v>9</v>
      </c>
    </row>
    <row r="46" spans="1:3" x14ac:dyDescent="0.2">
      <c r="A46" s="335" t="s">
        <v>301</v>
      </c>
      <c r="C46" s="433" t="str">
        <f ca="1">IF(TartamTermék="WL", "WL",      IF(TartamTermék="FIX", "FIX",         IF(Kalkulátor!E10="FIX",    "FIX",    "WL"                       ))        )</f>
        <v>FIX</v>
      </c>
    </row>
    <row r="47" spans="1:3" x14ac:dyDescent="0.2">
      <c r="A47" s="336" t="s">
        <v>302</v>
      </c>
      <c r="B47" s="356" t="str">
        <f ca="1">IF(C47="fix","fix",    IF(C47="wl / fix", "fix vagy élethosszig szóló", IF(C47="wl", "élethosszig szóló")    )   )</f>
        <v>fix vagy élethosszig szóló</v>
      </c>
      <c r="C47" s="433" t="str">
        <f ca="1">VLOOKUP(Termékkód,Terméklista!$A:$P,6,0)</f>
        <v>WL / FIX</v>
      </c>
    </row>
    <row r="48" spans="1:3" ht="12.75" x14ac:dyDescent="0.25">
      <c r="A48" s="351" t="s">
        <v>267</v>
      </c>
      <c r="B48" s="352" t="s">
        <v>12</v>
      </c>
      <c r="C48" s="353">
        <f ca="1">OFFSET(Terméklista!$A$1,MATCH(Termékkód,Terméklista!$A:$A,0)-1,MATCH(B48,Terméklista!$2:$2,0)-1)</f>
        <v>10</v>
      </c>
    </row>
    <row r="49" spans="1:4" ht="12.75" x14ac:dyDescent="0.25">
      <c r="A49" s="351" t="s">
        <v>268</v>
      </c>
      <c r="B49" s="352" t="s">
        <v>13</v>
      </c>
      <c r="C49" s="354">
        <f ca="1">OFFSET(Terméklista!$A$1,MATCH(Termékkód,Terméklista!$A:$A,0)-1,MATCH(B49,Terméklista!$2:$2,0)-1)</f>
        <v>35</v>
      </c>
    </row>
    <row r="50" spans="1:4" x14ac:dyDescent="0.2">
      <c r="A50" s="336" t="s">
        <v>9</v>
      </c>
      <c r="C50" s="338">
        <f ca="1">YEAR(C52)-YEAR(Kalkulátor!G8)</f>
        <v>20</v>
      </c>
    </row>
    <row r="51" spans="1:4" x14ac:dyDescent="0.2">
      <c r="A51" s="336" t="s">
        <v>104</v>
      </c>
      <c r="B51" s="333">
        <f ca="1">VLOOKUP(Termékkód,Terméklista!$A:$J,9,0)</f>
        <v>10</v>
      </c>
    </row>
    <row r="52" spans="1:4" x14ac:dyDescent="0.2">
      <c r="A52" s="339" t="s">
        <v>46</v>
      </c>
      <c r="B52" s="339"/>
      <c r="C52" s="340">
        <f ca="1">Kalkulátor!G9</f>
        <v>50071</v>
      </c>
    </row>
    <row r="53" spans="1:4" x14ac:dyDescent="0.2">
      <c r="A53" s="339" t="s">
        <v>48</v>
      </c>
      <c r="B53" s="339"/>
      <c r="C53" s="340" t="e">
        <f ca="1">DATE(YEAR(Kalkulátor!G11),MONTH(Kalkulátor!G8),DAY(Kalkulátor!G8))</f>
        <v>#VALUE!</v>
      </c>
      <c r="D53" s="341"/>
    </row>
    <row r="54" spans="1:4" x14ac:dyDescent="0.2">
      <c r="A54" s="342" t="e">
        <f ca="1">YEAR(C54)-YEAR(Kalkulátor!G8)&amp;". bizt. év vége:"</f>
        <v>#VALUE!</v>
      </c>
      <c r="C54" s="343" t="e">
        <f ca="1">DATE(YEAR(Kalkulátor!G11),MONTH(Kalkulátor!G8),DAY(Kalkulátor!G8))-1</f>
        <v>#VALUE!</v>
      </c>
      <c r="D54" s="341"/>
    </row>
    <row r="55" spans="1:4" x14ac:dyDescent="0.2">
      <c r="A55" s="344">
        <f>VLOOKUP(YEAR(Kalkulátor!$G$5),PM!$A$6:$C$12,2)</f>
        <v>65</v>
      </c>
      <c r="B55" s="344" t="s">
        <v>47</v>
      </c>
      <c r="C55" s="344">
        <f>VLOOKUP(YEAR(Kalkulátor!$G$5),PM!$A$6:$C$12,3)</f>
        <v>0</v>
      </c>
      <c r="D55" s="344" t="s">
        <v>2</v>
      </c>
    </row>
    <row r="57" spans="1:4" x14ac:dyDescent="0.2">
      <c r="A57" s="335" t="s">
        <v>263</v>
      </c>
    </row>
    <row r="58" spans="1:4" ht="12.75" x14ac:dyDescent="0.25">
      <c r="A58" s="336" t="s">
        <v>236</v>
      </c>
      <c r="B58" s="352" t="s">
        <v>15</v>
      </c>
      <c r="C58" s="353">
        <f ca="1">OFFSET(Terméklista!$A$1,MATCH(Termékkód,Terméklista!$A:$A,0)-1,MATCH(B58,Terméklista!$2:$2,0)-1)</f>
        <v>18</v>
      </c>
    </row>
    <row r="59" spans="1:4" ht="12.75" x14ac:dyDescent="0.25">
      <c r="A59" s="336" t="s">
        <v>237</v>
      </c>
      <c r="B59" s="432" t="str">
        <f ca="1">IF(TartamWlFix="fix","KorMax","KorMaxWL")</f>
        <v>KorMax</v>
      </c>
      <c r="C59" s="354">
        <f ca="1">OFFSET(Terméklista!$A$1,MATCH(Termékkód,Terméklista!$A:$A,0)-1,MATCH(B59,Terméklista!$2:$2,0)-1)</f>
        <v>65</v>
      </c>
    </row>
    <row r="60" spans="1:4" x14ac:dyDescent="0.2">
      <c r="A60" s="336" t="s">
        <v>265</v>
      </c>
      <c r="B60" s="336" t="s">
        <v>17</v>
      </c>
      <c r="C60" s="336">
        <f ca="1">VLOOKUP(Termékkód,Terméklista!A:AE,   MATCH(B60,Terméklista!$2:$2,0),    0)</f>
        <v>85</v>
      </c>
    </row>
    <row r="64" spans="1:4" x14ac:dyDescent="0.2">
      <c r="A64" s="345" t="s">
        <v>63</v>
      </c>
      <c r="B64" s="345"/>
      <c r="C64" s="345"/>
      <c r="D64" s="345"/>
    </row>
    <row r="65" spans="1:11" x14ac:dyDescent="0.2">
      <c r="A65" s="336" t="s">
        <v>1</v>
      </c>
      <c r="B65" s="336" t="s">
        <v>64</v>
      </c>
    </row>
    <row r="66" spans="1:11" x14ac:dyDescent="0.2">
      <c r="A66" s="336">
        <v>1</v>
      </c>
      <c r="B66" s="346">
        <v>0.8</v>
      </c>
    </row>
    <row r="67" spans="1:11" x14ac:dyDescent="0.2">
      <c r="A67" s="336">
        <v>2</v>
      </c>
      <c r="B67" s="346">
        <v>0.5</v>
      </c>
    </row>
    <row r="68" spans="1:11" x14ac:dyDescent="0.2">
      <c r="A68" s="336">
        <v>3</v>
      </c>
      <c r="B68" s="346">
        <v>0.2</v>
      </c>
    </row>
    <row r="69" spans="1:11" x14ac:dyDescent="0.2">
      <c r="A69" s="336">
        <v>4</v>
      </c>
      <c r="B69" s="346">
        <v>0</v>
      </c>
    </row>
    <row r="70" spans="1:11" x14ac:dyDescent="0.2">
      <c r="A70" s="335" t="s">
        <v>264</v>
      </c>
    </row>
    <row r="71" spans="1:11" ht="45" x14ac:dyDescent="0.2">
      <c r="A71" s="336" t="s">
        <v>103</v>
      </c>
      <c r="C71" s="347" t="s">
        <v>98</v>
      </c>
      <c r="D71" s="347" t="s">
        <v>98</v>
      </c>
      <c r="E71" s="347" t="s">
        <v>99</v>
      </c>
      <c r="F71" s="347" t="s">
        <v>100</v>
      </c>
    </row>
    <row r="72" spans="1:11" x14ac:dyDescent="0.2">
      <c r="A72" s="348">
        <v>1</v>
      </c>
      <c r="B72" s="349" t="str">
        <f ca="1">IF(A72=0,      0,   VLOOKUP(PM!A72,Eszközalap!A:D,4,0))</f>
        <v>Arany</v>
      </c>
      <c r="C72" s="350">
        <f ca="1">VLOOKUP($A72,Eszközalap!$A:$H,MATCH(C$71,Eszközalap!$1:$1,0),0)</f>
        <v>2.3E-2</v>
      </c>
      <c r="D72" s="350">
        <f ca="1">VLOOKUP($A72,Eszközalap!$A:$H,MATCH(D$71,Eszközalap!$1:$1,0),0)</f>
        <v>2.3E-2</v>
      </c>
      <c r="E72" s="350">
        <f ca="1">VLOOKUP($A72,Eszközalap!$A:$H,MATCH(E$71,Eszközalap!$1:$1,0),0)</f>
        <v>2.3E-2</v>
      </c>
      <c r="F72" s="350">
        <f ca="1">VLOOKUP($A72,Eszközalap!$A:$H,MATCH(F$71,Eszközalap!$1:$1,0),0)</f>
        <v>1.7999999999999999E-2</v>
      </c>
      <c r="G72" s="348"/>
      <c r="H72" s="348"/>
      <c r="I72" s="348"/>
      <c r="J72" s="348"/>
      <c r="K72" s="348"/>
    </row>
    <row r="73" spans="1:11" x14ac:dyDescent="0.2">
      <c r="A73" s="348">
        <f ca="1">IF(OR(A72=0,A72=MAX(Eszközalap!A:A)),0,A72+1)</f>
        <v>2</v>
      </c>
      <c r="B73" s="349" t="str">
        <f ca="1">IF(A73=0,      0,   VLOOKUP(PM!A73,Eszközalap!A:D,4,0))</f>
        <v>Cél 2030</v>
      </c>
      <c r="C73" s="350">
        <f ca="1">VLOOKUP($A73,Eszközalap!$A:$H,MATCH(C$71,Eszközalap!$1:$1,0),0)</f>
        <v>2.5499999999999998E-2</v>
      </c>
      <c r="D73" s="350">
        <f ca="1">VLOOKUP($A73,Eszközalap!$A:$H,MATCH(D$71,Eszközalap!$1:$1,0),0)</f>
        <v>2.5499999999999998E-2</v>
      </c>
      <c r="E73" s="350">
        <f ca="1">VLOOKUP($A73,Eszközalap!$A:$H,MATCH(E$71,Eszközalap!$1:$1,0),0)</f>
        <v>2.5499999999999998E-2</v>
      </c>
      <c r="F73" s="350">
        <f ca="1">VLOOKUP($A73,Eszközalap!$A:$H,MATCH(F$71,Eszközalap!$1:$1,0),0)</f>
        <v>2.0499999999999997E-2</v>
      </c>
      <c r="G73" s="348"/>
      <c r="H73" s="348"/>
      <c r="I73" s="348"/>
      <c r="J73" s="348"/>
      <c r="K73" s="348"/>
    </row>
    <row r="74" spans="1:11" x14ac:dyDescent="0.2">
      <c r="A74" s="348">
        <f ca="1">IF(OR(A73=0,A73=MAX(Eszközalap!A:A)),0,A73+1)</f>
        <v>3</v>
      </c>
      <c r="B74" s="349" t="str">
        <f ca="1">IF(A74=0,      0,   VLOOKUP(PM!A74,Eszközalap!A:D,4,0))</f>
        <v>Cél 2035</v>
      </c>
      <c r="C74" s="350">
        <f ca="1">VLOOKUP($A74,Eszközalap!$A:$H,MATCH(C$71,Eszközalap!$1:$1,0),0)</f>
        <v>2.5499999999999998E-2</v>
      </c>
      <c r="D74" s="350">
        <f ca="1">VLOOKUP($A74,Eszközalap!$A:$H,MATCH(D$71,Eszközalap!$1:$1,0),0)</f>
        <v>2.5499999999999998E-2</v>
      </c>
      <c r="E74" s="350">
        <f ca="1">VLOOKUP($A74,Eszközalap!$A:$H,MATCH(E$71,Eszközalap!$1:$1,0),0)</f>
        <v>2.5499999999999998E-2</v>
      </c>
      <c r="F74" s="350">
        <f ca="1">VLOOKUP($A74,Eszközalap!$A:$H,MATCH(F$71,Eszközalap!$1:$1,0),0)</f>
        <v>2.0499999999999997E-2</v>
      </c>
      <c r="G74" s="348"/>
      <c r="H74" s="348"/>
      <c r="I74" s="348"/>
      <c r="J74" s="348"/>
      <c r="K74" s="348"/>
    </row>
    <row r="75" spans="1:11" x14ac:dyDescent="0.2">
      <c r="A75" s="348">
        <f ca="1">IF(OR(A74=0,A74=MAX(Eszközalap!A:A)),0,A74+1)</f>
        <v>4</v>
      </c>
      <c r="B75" s="349" t="str">
        <f ca="1">IF(A75=0,      0,   VLOOKUP(PM!A75,Eszközalap!A:D,4,0))</f>
        <v>Cél 2040</v>
      </c>
      <c r="C75" s="350">
        <f ca="1">VLOOKUP($A75,Eszközalap!$A:$H,MATCH(C$71,Eszközalap!$1:$1,0),0)</f>
        <v>2.5499999999999998E-2</v>
      </c>
      <c r="D75" s="350">
        <f ca="1">VLOOKUP($A75,Eszközalap!$A:$H,MATCH(D$71,Eszközalap!$1:$1,0),0)</f>
        <v>2.5499999999999998E-2</v>
      </c>
      <c r="E75" s="350">
        <f ca="1">VLOOKUP($A75,Eszközalap!$A:$H,MATCH(E$71,Eszközalap!$1:$1,0),0)</f>
        <v>2.5499999999999998E-2</v>
      </c>
      <c r="F75" s="350">
        <f ca="1">VLOOKUP($A75,Eszközalap!$A:$H,MATCH(F$71,Eszközalap!$1:$1,0),0)</f>
        <v>2.0499999999999997E-2</v>
      </c>
      <c r="G75" s="348"/>
      <c r="H75" s="348"/>
      <c r="I75" s="348"/>
      <c r="J75" s="348"/>
      <c r="K75" s="348"/>
    </row>
    <row r="76" spans="1:11" x14ac:dyDescent="0.2">
      <c r="A76" s="348">
        <f ca="1">IF(OR(A75=0,A75=MAX(Eszközalap!A:A)),0,A75+1)</f>
        <v>5</v>
      </c>
      <c r="B76" s="349" t="str">
        <f ca="1">IF(A76=0,      0,   VLOOKUP(PM!A76,Eszközalap!A:D,4,0))</f>
        <v>Cél 2045</v>
      </c>
      <c r="C76" s="350">
        <f ca="1">VLOOKUP($A76,Eszközalap!$A:$H,MATCH(C$71,Eszközalap!$1:$1,0),0)</f>
        <v>2.5499999999999998E-2</v>
      </c>
      <c r="D76" s="350">
        <f ca="1">VLOOKUP($A76,Eszközalap!$A:$H,MATCH(D$71,Eszközalap!$1:$1,0),0)</f>
        <v>2.5499999999999998E-2</v>
      </c>
      <c r="E76" s="350">
        <f ca="1">VLOOKUP($A76,Eszközalap!$A:$H,MATCH(E$71,Eszközalap!$1:$1,0),0)</f>
        <v>2.5499999999999998E-2</v>
      </c>
      <c r="F76" s="350">
        <f ca="1">VLOOKUP($A76,Eszközalap!$A:$H,MATCH(F$71,Eszközalap!$1:$1,0),0)</f>
        <v>2.0499999999999997E-2</v>
      </c>
      <c r="G76" s="348"/>
      <c r="H76" s="348"/>
      <c r="I76" s="348"/>
      <c r="J76" s="348"/>
      <c r="K76" s="348"/>
    </row>
    <row r="77" spans="1:11" x14ac:dyDescent="0.2">
      <c r="A77" s="348">
        <f ca="1">IF(OR(A76=0,A76=MAX(Eszközalap!A:A)),0,A76+1)</f>
        <v>6</v>
      </c>
      <c r="B77" s="349" t="str">
        <f ca="1">IF(A77=0,      0,   VLOOKUP(PM!A77,Eszközalap!A:D,4,0))</f>
        <v>Cél 2050</v>
      </c>
      <c r="C77" s="350">
        <f ca="1">VLOOKUP($A77,Eszközalap!$A:$H,MATCH(C$71,Eszközalap!$1:$1,0),0)</f>
        <v>2.5499999999999998E-2</v>
      </c>
      <c r="D77" s="350">
        <f ca="1">VLOOKUP($A77,Eszközalap!$A:$H,MATCH(D$71,Eszközalap!$1:$1,0),0)</f>
        <v>2.5499999999999998E-2</v>
      </c>
      <c r="E77" s="350">
        <f ca="1">VLOOKUP($A77,Eszközalap!$A:$H,MATCH(E$71,Eszközalap!$1:$1,0),0)</f>
        <v>2.5499999999999998E-2</v>
      </c>
      <c r="F77" s="350">
        <f ca="1">VLOOKUP($A77,Eszközalap!$A:$H,MATCH(F$71,Eszközalap!$1:$1,0),0)</f>
        <v>2.0499999999999997E-2</v>
      </c>
      <c r="G77" s="348"/>
      <c r="H77" s="348"/>
      <c r="I77" s="348"/>
      <c r="J77" s="348"/>
      <c r="K77" s="348"/>
    </row>
    <row r="78" spans="1:11" x14ac:dyDescent="0.2">
      <c r="A78" s="348">
        <f ca="1">IF(OR(A77=0,A77=MAX(Eszközalap!A:A)),0,A77+1)</f>
        <v>7</v>
      </c>
      <c r="B78" s="349" t="str">
        <f ca="1">IF(A78=0,      0,   VLOOKUP(PM!A78,Eszközalap!A:D,4,0))</f>
        <v>Fejlett piaci részvény</v>
      </c>
      <c r="C78" s="350">
        <f ca="1">VLOOKUP($A78,Eszközalap!$A:$H,MATCH(C$71,Eszközalap!$1:$1,0),0)</f>
        <v>2.9000000000000001E-2</v>
      </c>
      <c r="D78" s="350">
        <f ca="1">VLOOKUP($A78,Eszközalap!$A:$H,MATCH(D$71,Eszközalap!$1:$1,0),0)</f>
        <v>2.9000000000000001E-2</v>
      </c>
      <c r="E78" s="350">
        <f ca="1">VLOOKUP($A78,Eszközalap!$A:$H,MATCH(E$71,Eszközalap!$1:$1,0),0)</f>
        <v>2.9000000000000001E-2</v>
      </c>
      <c r="F78" s="350">
        <f ca="1">VLOOKUP($A78,Eszközalap!$A:$H,MATCH(F$71,Eszközalap!$1:$1,0),0)</f>
        <v>2.4E-2</v>
      </c>
      <c r="G78" s="348"/>
      <c r="H78" s="348"/>
      <c r="I78" s="348"/>
      <c r="J78" s="348"/>
      <c r="K78" s="348"/>
    </row>
    <row r="79" spans="1:11" x14ac:dyDescent="0.2">
      <c r="A79" s="348">
        <f ca="1">IF(OR(A78=0,A78=MAX(Eszközalap!A:A)),0,A78+1)</f>
        <v>8</v>
      </c>
      <c r="B79" s="349" t="str">
        <f ca="1">IF(A79=0,      0,   VLOOKUP(PM!A79,Eszközalap!A:D,4,0))</f>
        <v>Feltörekvő piaci részvény</v>
      </c>
      <c r="C79" s="350">
        <f ca="1">VLOOKUP($A79,Eszközalap!$A:$H,MATCH(C$71,Eszközalap!$1:$1,0),0)</f>
        <v>2.9000000000000001E-2</v>
      </c>
      <c r="D79" s="350">
        <f ca="1">VLOOKUP($A79,Eszközalap!$A:$H,MATCH(D$71,Eszközalap!$1:$1,0),0)</f>
        <v>2.9000000000000001E-2</v>
      </c>
      <c r="E79" s="350">
        <f ca="1">VLOOKUP($A79,Eszközalap!$A:$H,MATCH(E$71,Eszközalap!$1:$1,0),0)</f>
        <v>2.9000000000000001E-2</v>
      </c>
      <c r="F79" s="350">
        <f ca="1">VLOOKUP($A79,Eszközalap!$A:$H,MATCH(F$71,Eszközalap!$1:$1,0),0)</f>
        <v>2.4E-2</v>
      </c>
      <c r="G79" s="348"/>
      <c r="H79" s="348"/>
      <c r="I79" s="348"/>
      <c r="J79" s="348"/>
      <c r="K79" s="348"/>
    </row>
    <row r="80" spans="1:11" x14ac:dyDescent="0.2">
      <c r="A80" s="348">
        <f ca="1">IF(OR(A79=0,A79=MAX(Eszközalap!A:A)),0,A79+1)</f>
        <v>9</v>
      </c>
      <c r="B80" s="349" t="str">
        <f ca="1">IF(A80=0,      0,   VLOOKUP(PM!A80,Eszközalap!A:D,4,0))</f>
        <v>Forint Likviditás</v>
      </c>
      <c r="C80" s="350">
        <f ca="1">VLOOKUP($A80,Eszközalap!$A:$H,MATCH(C$71,Eszközalap!$1:$1,0),0)</f>
        <v>2.1999999999999999E-2</v>
      </c>
      <c r="D80" s="350">
        <f ca="1">VLOOKUP($A80,Eszközalap!$A:$H,MATCH(D$71,Eszközalap!$1:$1,0),0)</f>
        <v>2.1999999999999999E-2</v>
      </c>
      <c r="E80" s="350">
        <f ca="1">VLOOKUP($A80,Eszközalap!$A:$H,MATCH(E$71,Eszközalap!$1:$1,0),0)</f>
        <v>2.1999999999999999E-2</v>
      </c>
      <c r="F80" s="350">
        <f ca="1">VLOOKUP($A80,Eszközalap!$A:$H,MATCH(F$71,Eszközalap!$1:$1,0),0)</f>
        <v>1.6999999999999998E-2</v>
      </c>
      <c r="G80" s="348"/>
      <c r="H80" s="348"/>
      <c r="I80" s="348"/>
      <c r="J80" s="348"/>
      <c r="K80" s="348"/>
    </row>
    <row r="81" spans="1:11" x14ac:dyDescent="0.2">
      <c r="A81" s="348">
        <f ca="1">IF(OR(A80=0,A80=MAX(Eszközalap!A:A)),0,A80+1)</f>
        <v>10</v>
      </c>
      <c r="B81" s="349" t="str">
        <f ca="1">IF(A81=0,      0,   VLOOKUP(PM!A81,Eszközalap!A:D,4,0))</f>
        <v>Globális kötvény</v>
      </c>
      <c r="C81" s="350">
        <f ca="1">VLOOKUP($A81,Eszközalap!$A:$H,MATCH(C$71,Eszközalap!$1:$1,0),0)</f>
        <v>2.9499999999999998E-2</v>
      </c>
      <c r="D81" s="350">
        <f ca="1">VLOOKUP($A81,Eszközalap!$A:$H,MATCH(D$71,Eszközalap!$1:$1,0),0)</f>
        <v>2.9499999999999998E-2</v>
      </c>
      <c r="E81" s="350">
        <f ca="1">VLOOKUP($A81,Eszközalap!$A:$H,MATCH(E$71,Eszközalap!$1:$1,0),0)</f>
        <v>2.9499999999999998E-2</v>
      </c>
      <c r="F81" s="350">
        <f ca="1">VLOOKUP($A81,Eszközalap!$A:$H,MATCH(F$71,Eszközalap!$1:$1,0),0)</f>
        <v>2.4499999999999997E-2</v>
      </c>
      <c r="G81" s="348"/>
      <c r="H81" s="348"/>
      <c r="I81" s="348"/>
      <c r="J81" s="348"/>
      <c r="K81" s="348"/>
    </row>
    <row r="82" spans="1:11" x14ac:dyDescent="0.2">
      <c r="A82" s="348">
        <f ca="1">IF(OR(A81=0,A81=MAX(Eszközalap!A:A)),0,A81+1)</f>
        <v>11</v>
      </c>
      <c r="B82" s="349" t="str">
        <f ca="1">IF(A82=0,      0,   VLOOKUP(PM!A82,Eszközalap!A:D,4,0))</f>
        <v>Hazai részvény</v>
      </c>
      <c r="C82" s="350">
        <f ca="1">VLOOKUP($A82,Eszközalap!$A:$H,MATCH(C$71,Eszközalap!$1:$1,0),0)</f>
        <v>2.6499999999999999E-2</v>
      </c>
      <c r="D82" s="350">
        <f ca="1">VLOOKUP($A82,Eszközalap!$A:$H,MATCH(D$71,Eszközalap!$1:$1,0),0)</f>
        <v>2.6499999999999999E-2</v>
      </c>
      <c r="E82" s="350">
        <f ca="1">VLOOKUP($A82,Eszközalap!$A:$H,MATCH(E$71,Eszközalap!$1:$1,0),0)</f>
        <v>2.6499999999999999E-2</v>
      </c>
      <c r="F82" s="350">
        <f ca="1">VLOOKUP($A82,Eszközalap!$A:$H,MATCH(F$71,Eszközalap!$1:$1,0),0)</f>
        <v>2.1499999999999998E-2</v>
      </c>
      <c r="G82" s="348"/>
      <c r="H82" s="348"/>
      <c r="I82" s="348"/>
      <c r="J82" s="348"/>
      <c r="K82" s="348"/>
    </row>
    <row r="83" spans="1:11" x14ac:dyDescent="0.2">
      <c r="A83" s="348">
        <f ca="1">IF(OR(A82=0,A82=MAX(Eszközalap!A:A)),0,A82+1)</f>
        <v>12</v>
      </c>
      <c r="B83" s="349" t="str">
        <f ca="1">IF(A83=0,      0,   VLOOKUP(PM!A83,Eszközalap!A:D,4,0))</f>
        <v>Magyar államkötvény</v>
      </c>
      <c r="C83" s="350">
        <f ca="1">VLOOKUP($A83,Eszközalap!$A:$H,MATCH(C$71,Eszközalap!$1:$1,0),0)</f>
        <v>2.1999999999999999E-2</v>
      </c>
      <c r="D83" s="350">
        <f ca="1">VLOOKUP($A83,Eszközalap!$A:$H,MATCH(D$71,Eszközalap!$1:$1,0),0)</f>
        <v>2.1999999999999999E-2</v>
      </c>
      <c r="E83" s="350">
        <f ca="1">VLOOKUP($A83,Eszközalap!$A:$H,MATCH(E$71,Eszközalap!$1:$1,0),0)</f>
        <v>2.1999999999999999E-2</v>
      </c>
      <c r="F83" s="350">
        <f ca="1">VLOOKUP($A83,Eszközalap!$A:$H,MATCH(F$71,Eszközalap!$1:$1,0),0)</f>
        <v>1.6999999999999998E-2</v>
      </c>
      <c r="G83" s="348"/>
      <c r="H83" s="348"/>
      <c r="I83" s="348"/>
      <c r="J83" s="348"/>
      <c r="K83" s="348"/>
    </row>
    <row r="84" spans="1:11" x14ac:dyDescent="0.2">
      <c r="A84" s="348">
        <f ca="1">IF(OR(A83=0,A83=MAX(Eszközalap!A:A)),0,A83+1)</f>
        <v>13</v>
      </c>
      <c r="B84" s="349" t="str">
        <f ca="1">IF(A84=0,      0,   VLOOKUP(PM!A84,Eszközalap!A:D,4,0))</f>
        <v xml:space="preserve">Menedzselt kiegyensúlyozott </v>
      </c>
      <c r="C84" s="350">
        <f ca="1">VLOOKUP($A84,Eszközalap!$A:$H,MATCH(C$71,Eszközalap!$1:$1,0),0)</f>
        <v>2.9000000000000001E-2</v>
      </c>
      <c r="D84" s="350">
        <f ca="1">VLOOKUP($A84,Eszközalap!$A:$H,MATCH(D$71,Eszközalap!$1:$1,0),0)</f>
        <v>2.9000000000000001E-2</v>
      </c>
      <c r="E84" s="350">
        <f ca="1">VLOOKUP($A84,Eszközalap!$A:$H,MATCH(E$71,Eszközalap!$1:$1,0),0)</f>
        <v>2.9000000000000001E-2</v>
      </c>
      <c r="F84" s="350">
        <f ca="1">VLOOKUP($A84,Eszközalap!$A:$H,MATCH(F$71,Eszközalap!$1:$1,0),0)</f>
        <v>2.4E-2</v>
      </c>
      <c r="G84" s="348"/>
      <c r="H84" s="348"/>
      <c r="I84" s="348"/>
      <c r="J84" s="348"/>
      <c r="K84" s="348"/>
    </row>
    <row r="85" spans="1:11" x14ac:dyDescent="0.2">
      <c r="A85" s="348">
        <f ca="1">IF(OR(A84=0,A84=MAX(Eszközalap!A:A)),0,A84+1)</f>
        <v>14</v>
      </c>
      <c r="B85" s="349" t="str">
        <f ca="1">IF(A85=0,      0,   VLOOKUP(PM!A85,Eszközalap!A:D,4,0))</f>
        <v>Menedzselt konzervatív</v>
      </c>
      <c r="C85" s="350">
        <f ca="1">VLOOKUP($A85,Eszközalap!$A:$H,MATCH(C$71,Eszközalap!$1:$1,0),0)</f>
        <v>2.4500000000000001E-2</v>
      </c>
      <c r="D85" s="350">
        <f ca="1">VLOOKUP($A85,Eszközalap!$A:$H,MATCH(D$71,Eszközalap!$1:$1,0),0)</f>
        <v>2.4500000000000001E-2</v>
      </c>
      <c r="E85" s="350">
        <f ca="1">VLOOKUP($A85,Eszközalap!$A:$H,MATCH(E$71,Eszközalap!$1:$1,0),0)</f>
        <v>2.4500000000000001E-2</v>
      </c>
      <c r="F85" s="350">
        <f ca="1">VLOOKUP($A85,Eszközalap!$A:$H,MATCH(F$71,Eszközalap!$1:$1,0),0)</f>
        <v>1.95E-2</v>
      </c>
      <c r="G85" s="348"/>
      <c r="H85" s="348"/>
      <c r="I85" s="348"/>
      <c r="J85" s="348"/>
      <c r="K85" s="348"/>
    </row>
    <row r="86" spans="1:11" x14ac:dyDescent="0.2">
      <c r="A86" s="348">
        <f ca="1">IF(OR(A85=0,A85=MAX(Eszközalap!A:A)),0,A85+1)</f>
        <v>15</v>
      </c>
      <c r="B86" s="349" t="str">
        <f ca="1">IF(A86=0,      0,   VLOOKUP(PM!A86,Eszközalap!A:D,4,0))</f>
        <v xml:space="preserve">Menedzselt kötvénytúlsúlyos </v>
      </c>
      <c r="C86" s="350">
        <f ca="1">VLOOKUP($A86,Eszközalap!$A:$H,MATCH(C$71,Eszközalap!$1:$1,0),0)</f>
        <v>2.9000000000000001E-2</v>
      </c>
      <c r="D86" s="350">
        <f ca="1">VLOOKUP($A86,Eszközalap!$A:$H,MATCH(D$71,Eszközalap!$1:$1,0),0)</f>
        <v>2.9000000000000001E-2</v>
      </c>
      <c r="E86" s="350">
        <f ca="1">VLOOKUP($A86,Eszközalap!$A:$H,MATCH(E$71,Eszközalap!$1:$1,0),0)</f>
        <v>2.9000000000000001E-2</v>
      </c>
      <c r="F86" s="350">
        <f ca="1">VLOOKUP($A86,Eszközalap!$A:$H,MATCH(F$71,Eszközalap!$1:$1,0),0)</f>
        <v>2.4E-2</v>
      </c>
      <c r="G86" s="348"/>
      <c r="H86" s="348"/>
      <c r="I86" s="348"/>
      <c r="J86" s="348"/>
      <c r="K86" s="348"/>
    </row>
    <row r="87" spans="1:11" x14ac:dyDescent="0.2">
      <c r="A87" s="348">
        <f ca="1">IF(OR(A86=0,A86=MAX(Eszközalap!A:A)),0,A86+1)</f>
        <v>16</v>
      </c>
      <c r="B87" s="349" t="str">
        <f ca="1">IF(A87=0,      0,   VLOOKUP(PM!A87,Eszközalap!A:D,4,0))</f>
        <v xml:space="preserve">Menedzselt részvénytúlsúlyos </v>
      </c>
      <c r="C87" s="350">
        <f ca="1">VLOOKUP($A87,Eszközalap!$A:$H,MATCH(C$71,Eszközalap!$1:$1,0),0)</f>
        <v>2.9000000000000001E-2</v>
      </c>
      <c r="D87" s="350">
        <f ca="1">VLOOKUP($A87,Eszközalap!$A:$H,MATCH(D$71,Eszközalap!$1:$1,0),0)</f>
        <v>2.9000000000000001E-2</v>
      </c>
      <c r="E87" s="350">
        <f ca="1">VLOOKUP($A87,Eszközalap!$A:$H,MATCH(E$71,Eszközalap!$1:$1,0),0)</f>
        <v>2.9000000000000001E-2</v>
      </c>
      <c r="F87" s="350">
        <f ca="1">VLOOKUP($A87,Eszközalap!$A:$H,MATCH(F$71,Eszközalap!$1:$1,0),0)</f>
        <v>2.4E-2</v>
      </c>
      <c r="G87" s="348"/>
      <c r="H87" s="348"/>
      <c r="I87" s="348"/>
      <c r="J87" s="348"/>
      <c r="K87" s="348"/>
    </row>
    <row r="88" spans="1:11" x14ac:dyDescent="0.2">
      <c r="A88" s="348">
        <f ca="1">IF(OR(A87=0,A87=MAX(Eszközalap!A:A)),0,A87+1)</f>
        <v>17</v>
      </c>
      <c r="B88" s="349" t="str">
        <f ca="1">IF(A88=0,      0,   VLOOKUP(PM!A88,Eszközalap!A:D,4,0))</f>
        <v>Nemzetközi Ingatlan</v>
      </c>
      <c r="C88" s="350">
        <f ca="1">VLOOKUP($A88,Eszközalap!$A:$H,MATCH(C$71,Eszközalap!$1:$1,0),0)</f>
        <v>2.9499999999999998E-2</v>
      </c>
      <c r="D88" s="350">
        <f ca="1">VLOOKUP($A88,Eszközalap!$A:$H,MATCH(D$71,Eszközalap!$1:$1,0),0)</f>
        <v>2.9499999999999998E-2</v>
      </c>
      <c r="E88" s="350">
        <f ca="1">VLOOKUP($A88,Eszközalap!$A:$H,MATCH(E$71,Eszközalap!$1:$1,0),0)</f>
        <v>2.9499999999999998E-2</v>
      </c>
      <c r="F88" s="350">
        <f ca="1">VLOOKUP($A88,Eszközalap!$A:$H,MATCH(F$71,Eszközalap!$1:$1,0),0)</f>
        <v>2.4499999999999997E-2</v>
      </c>
      <c r="G88" s="348"/>
      <c r="H88" s="348"/>
      <c r="I88" s="348"/>
      <c r="J88" s="348"/>
      <c r="K88" s="348"/>
    </row>
    <row r="89" spans="1:11" x14ac:dyDescent="0.2">
      <c r="A89" s="348">
        <f ca="1">IF(OR(A88=0,A88=MAX(Eszközalap!A:A)),0,A88+1)</f>
        <v>18</v>
      </c>
      <c r="B89" s="349" t="str">
        <f ca="1">IF(A89=0,      0,   VLOOKUP(PM!A89,Eszközalap!A:D,4,0))</f>
        <v>ProtAktív Globális részvény</v>
      </c>
      <c r="C89" s="350">
        <f ca="1">VLOOKUP($A89,Eszközalap!$A:$H,MATCH(C$71,Eszközalap!$1:$1,0),0)</f>
        <v>2.9000000000000001E-2</v>
      </c>
      <c r="D89" s="350">
        <f ca="1">VLOOKUP($A89,Eszközalap!$A:$H,MATCH(D$71,Eszközalap!$1:$1,0),0)</f>
        <v>2.9000000000000001E-2</v>
      </c>
      <c r="E89" s="350">
        <f ca="1">VLOOKUP($A89,Eszközalap!$A:$H,MATCH(E$71,Eszközalap!$1:$1,0),0)</f>
        <v>2.9000000000000001E-2</v>
      </c>
      <c r="F89" s="350">
        <f ca="1">VLOOKUP($A89,Eszközalap!$A:$H,MATCH(F$71,Eszközalap!$1:$1,0),0)</f>
        <v>2.4E-2</v>
      </c>
      <c r="G89" s="348"/>
      <c r="H89" s="348"/>
      <c r="I89" s="348"/>
      <c r="J89" s="348"/>
      <c r="K89" s="348"/>
    </row>
    <row r="90" spans="1:11" x14ac:dyDescent="0.2">
      <c r="A90" s="348">
        <f ca="1">IF(OR(A89=0,A89=MAX(Eszközalap!A:A)),0,A89+1)</f>
        <v>19</v>
      </c>
      <c r="B90" s="349" t="str">
        <f ca="1">IF(A90=0,      0,   VLOOKUP(PM!A90,Eszközalap!A:D,4,0))</f>
        <v>Rövid lejáratú pénzpiaci</v>
      </c>
      <c r="C90" s="350">
        <f ca="1">VLOOKUP($A90,Eszközalap!$A:$H,MATCH(C$71,Eszközalap!$1:$1,0),0)</f>
        <v>1.95E-2</v>
      </c>
      <c r="D90" s="350">
        <f ca="1">VLOOKUP($A90,Eszközalap!$A:$H,MATCH(D$71,Eszközalap!$1:$1,0),0)</f>
        <v>1.95E-2</v>
      </c>
      <c r="E90" s="350">
        <f ca="1">VLOOKUP($A90,Eszközalap!$A:$H,MATCH(E$71,Eszközalap!$1:$1,0),0)</f>
        <v>1.95E-2</v>
      </c>
      <c r="F90" s="350">
        <f ca="1">VLOOKUP($A90,Eszközalap!$A:$H,MATCH(F$71,Eszközalap!$1:$1,0),0)</f>
        <v>1.4499999999999999E-2</v>
      </c>
      <c r="G90" s="348"/>
      <c r="H90" s="348"/>
      <c r="I90" s="348"/>
      <c r="J90" s="348"/>
      <c r="K90" s="348"/>
    </row>
    <row r="91" spans="1:11" x14ac:dyDescent="0.2">
      <c r="A91" s="348">
        <f ca="1">IF(OR(A90=0,A90=MAX(Eszközalap!A:A)),0,A90+1)</f>
        <v>20</v>
      </c>
      <c r="B91" s="349" t="str">
        <f ca="1">IF(A91=0,      0,   VLOOKUP(PM!A91,Eszközalap!A:D,4,0))</f>
        <v>Spektrum abszolút hozam</v>
      </c>
      <c r="C91" s="350">
        <f ca="1">VLOOKUP($A91,Eszközalap!$A:$H,MATCH(C$71,Eszközalap!$1:$1,0),0)</f>
        <v>2.9000000000000001E-2</v>
      </c>
      <c r="D91" s="350">
        <f ca="1">VLOOKUP($A91,Eszközalap!$A:$H,MATCH(D$71,Eszközalap!$1:$1,0),0)</f>
        <v>2.9000000000000001E-2</v>
      </c>
      <c r="E91" s="350">
        <f ca="1">VLOOKUP($A91,Eszközalap!$A:$H,MATCH(E$71,Eszközalap!$1:$1,0),0)</f>
        <v>2.9000000000000001E-2</v>
      </c>
      <c r="F91" s="350">
        <f ca="1">VLOOKUP($A91,Eszközalap!$A:$H,MATCH(F$71,Eszközalap!$1:$1,0),0)</f>
        <v>2.4E-2</v>
      </c>
      <c r="G91" s="348"/>
      <c r="H91" s="348"/>
      <c r="I91" s="348"/>
      <c r="J91" s="348"/>
      <c r="K91" s="348"/>
    </row>
    <row r="92" spans="1:11" x14ac:dyDescent="0.2">
      <c r="A92" s="348">
        <f ca="1">IF(OR(A91=0,A91=MAX(Eszközalap!A:A)),0,A91+1)</f>
        <v>21</v>
      </c>
      <c r="B92" s="349" t="str">
        <f ca="1">IF(A92=0,      0,   VLOOKUP(PM!A92,Eszközalap!A:D,4,0))</f>
        <v>Új technológiák</v>
      </c>
      <c r="C92" s="350">
        <f ca="1">VLOOKUP($A92,Eszközalap!$A:$H,MATCH(C$71,Eszközalap!$1:$1,0),0)</f>
        <v>2.9499999999999998E-2</v>
      </c>
      <c r="D92" s="350">
        <f ca="1">VLOOKUP($A92,Eszközalap!$A:$H,MATCH(D$71,Eszközalap!$1:$1,0),0)</f>
        <v>2.9499999999999998E-2</v>
      </c>
      <c r="E92" s="350">
        <f ca="1">VLOOKUP($A92,Eszközalap!$A:$H,MATCH(E$71,Eszközalap!$1:$1,0),0)</f>
        <v>2.9499999999999998E-2</v>
      </c>
      <c r="F92" s="350">
        <f ca="1">VLOOKUP($A92,Eszközalap!$A:$H,MATCH(F$71,Eszközalap!$1:$1,0),0)</f>
        <v>2.4499999999999997E-2</v>
      </c>
      <c r="G92" s="348"/>
      <c r="H92" s="348"/>
      <c r="I92" s="348"/>
      <c r="J92" s="348"/>
      <c r="K92" s="348"/>
    </row>
    <row r="94" spans="1:11" x14ac:dyDescent="0.2">
      <c r="A94" s="334" t="str">
        <f ca="1">Kalkulátor!D2&amp;" - "&amp;Kalkulátor!G3&amp;" "&amp;Kalkulátor!G4</f>
        <v>Life Planet Bonus - folyamatos díjas életbiztosítás</v>
      </c>
    </row>
    <row r="95" spans="1:11" x14ac:dyDescent="0.2">
      <c r="A95" s="334" t="str">
        <f ca="1">Kalkulátor!F14&amp;" "&amp;TEXT(Kalkulátor!F13*1000,"# ##0")&amp;" Ft díj, fizetési mód: "&amp;Kalkulátor!G15&amp;", éves díjemelés: "&amp;TEXT(Kalkulátor!F16,"0,0%")&amp;", feltételezett éves hozam: "&amp;TEXT(Kalkulátor!F17,"0,0%")&amp;". "</f>
        <v xml:space="preserve">Negyedéves 150 000 Ft díj, fizetési mód: átutalás, éves díjemelés: 2,5%, feltételezett éves hozam: 5,0%. </v>
      </c>
    </row>
    <row r="96" spans="1:11" x14ac:dyDescent="0.2">
      <c r="A96" s="334" t="str">
        <f>Kalkulátor!A26</f>
        <v xml:space="preserve">A modell a választott, a tartam során állandó éves befektetési hozam feltételezésével mutatja a szerződés befektetési értékének alakulását. A számítás az előírt, automatikusan indexálódó díj megfizetését veszi figyelembe. 
</v>
      </c>
    </row>
    <row r="97" spans="1:3" x14ac:dyDescent="0.2">
      <c r="A97" s="334" t="str">
        <f>Kalkulátor!A26</f>
        <v xml:space="preserve">A modell a választott, a tartam során állandó éves befektetési hozam feltételezésével mutatja a szerződés befektetési értékének alakulását. A számítás az előírt, automatikusan indexálódó díj megfizetését veszi figyelembe. 
</v>
      </c>
    </row>
    <row r="98" spans="1:3" x14ac:dyDescent="0.2">
      <c r="A98" s="511" t="str">
        <f>Kalkulátor!A27&amp;Kalkulátor!A28</f>
        <v xml:space="preserve">A termék befektetési egységekhez kötött életbiztosítás, melynél a befektetési kockázatot 
teljes egészében a szerződő viseli. A hozam mértékére vonatkozóan az UNIQA Biztosító Zrt. semmilyen garanciát nem vállal. </v>
      </c>
    </row>
    <row r="100" spans="1:3" x14ac:dyDescent="0.2">
      <c r="A100" s="455" t="s">
        <v>328</v>
      </c>
      <c r="B100" s="501" t="s">
        <v>329</v>
      </c>
      <c r="C100" s="501" t="s">
        <v>64</v>
      </c>
    </row>
    <row r="101" spans="1:3" x14ac:dyDescent="0.2">
      <c r="A101" s="336">
        <v>0</v>
      </c>
      <c r="B101" s="348">
        <v>0</v>
      </c>
      <c r="C101" s="346">
        <v>0</v>
      </c>
    </row>
    <row r="102" spans="1:3" x14ac:dyDescent="0.2">
      <c r="A102" s="336">
        <v>1</v>
      </c>
      <c r="B102" s="355">
        <f ca="1">OFFSET(PPM!A23,0,MATCH(Termékkód,PPM!$2:$2,0)-1)</f>
        <v>180000</v>
      </c>
      <c r="C102" s="502">
        <f ca="1">OFFSET(PPM!A29,0,MATCH(Termékkód,PPM!$2:$2,0)-1)</f>
        <v>0.01</v>
      </c>
    </row>
    <row r="103" spans="1:3" x14ac:dyDescent="0.2">
      <c r="A103" s="336">
        <v>2</v>
      </c>
      <c r="B103" s="355">
        <f ca="1">OFFSET(PPM!A24,0,MATCH(Termékkód,PPM!$2:$2,0)-1)</f>
        <v>240000</v>
      </c>
      <c r="C103" s="502">
        <f ca="1">OFFSET(PPM!A30,0,MATCH(Termékkód,PPM!$2:$2,0)-1)</f>
        <v>1.4999999999999999E-2</v>
      </c>
    </row>
    <row r="104" spans="1:3" x14ac:dyDescent="0.2">
      <c r="A104" s="336">
        <v>3</v>
      </c>
      <c r="B104" s="355">
        <f ca="1">OFFSET(PPM!A25,0,MATCH(Termékkód,PPM!$2:$2,0)-1)</f>
        <v>270000</v>
      </c>
      <c r="C104" s="502">
        <f ca="1">OFFSET(PPM!A31,0,MATCH(Termékkód,PPM!$2:$2,0)-1)</f>
        <v>0.03</v>
      </c>
    </row>
    <row r="105" spans="1:3" x14ac:dyDescent="0.2">
      <c r="A105" s="336">
        <v>4</v>
      </c>
      <c r="B105" s="355">
        <f ca="1">OFFSET(PPM!A26,0,MATCH(Termékkód,PPM!$2:$2,0)-1)</f>
        <v>360000</v>
      </c>
      <c r="C105" s="502">
        <f ca="1">OFFSET(PPM!A32,0,MATCH(Termékkód,PPM!$2:$2,0)-1)</f>
        <v>3.5000000000000003E-2</v>
      </c>
    </row>
    <row r="106" spans="1:3" x14ac:dyDescent="0.2">
      <c r="A106" s="336">
        <v>5</v>
      </c>
      <c r="B106" s="355">
        <f ca="1">OFFSET(PPM!A27,0,MATCH(Termékkód,PPM!$2:$2,0)-1)</f>
        <v>480000</v>
      </c>
      <c r="C106" s="502">
        <f ca="1">OFFSET(PPM!A33,0,MATCH(Termékkód,PPM!$2:$2,0)-1)</f>
        <v>0.04</v>
      </c>
    </row>
    <row r="107" spans="1:3" x14ac:dyDescent="0.2">
      <c r="A107" s="336">
        <v>6</v>
      </c>
      <c r="B107" s="355">
        <f ca="1">OFFSET(PPM!A28,0,MATCH(Termékkód,PPM!$2:$2,0)-1)</f>
        <v>600000</v>
      </c>
      <c r="C107" s="502">
        <f ca="1">OFFSET(PPM!A34,0,MATCH(Termékkód,PPM!$2:$2,0)-1)</f>
        <v>0.04</v>
      </c>
    </row>
  </sheetData>
  <conditionalFormatting sqref="A2">
    <cfRule type="expression" dxfId="27" priority="3">
      <formula>AND(YEAR($E2)&lt;YEAR(TODAY())+1,$E2&lt;&gt;0)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="85" zoomScaleNormal="85" workbookViewId="0">
      <selection activeCell="C36" sqref="C36"/>
    </sheetView>
  </sheetViews>
  <sheetFormatPr defaultRowHeight="13.5" x14ac:dyDescent="0.2"/>
  <cols>
    <col min="1" max="1" width="45.28515625" style="397" bestFit="1" customWidth="1"/>
    <col min="2" max="2" width="13.42578125" style="390" bestFit="1" customWidth="1"/>
    <col min="3" max="3" width="18.85546875" style="390" bestFit="1" customWidth="1"/>
    <col min="4" max="4" width="14.28515625" style="402" customWidth="1"/>
    <col min="5" max="10" width="9.140625" style="398"/>
    <col min="11" max="12" width="10.42578125" style="398" bestFit="1" customWidth="1"/>
    <col min="13" max="13" width="10.7109375" style="398" customWidth="1"/>
    <col min="14" max="16384" width="9.140625" style="398"/>
  </cols>
  <sheetData>
    <row r="1" spans="1:15" s="395" customFormat="1" ht="20.25" customHeight="1" x14ac:dyDescent="0.25">
      <c r="A1" s="395" t="s">
        <v>234</v>
      </c>
      <c r="B1" s="385" t="s">
        <v>221</v>
      </c>
      <c r="C1" s="385" t="s">
        <v>284</v>
      </c>
      <c r="D1" s="396" t="s">
        <v>222</v>
      </c>
      <c r="E1" s="395" t="s">
        <v>223</v>
      </c>
      <c r="F1" s="395" t="s">
        <v>224</v>
      </c>
      <c r="G1" s="395" t="s">
        <v>225</v>
      </c>
      <c r="H1" s="395" t="s">
        <v>226</v>
      </c>
      <c r="I1" s="395" t="s">
        <v>227</v>
      </c>
      <c r="J1" s="395" t="s">
        <v>228</v>
      </c>
      <c r="K1" s="395" t="s">
        <v>229</v>
      </c>
      <c r="L1" s="395" t="s">
        <v>230</v>
      </c>
      <c r="M1" s="395" t="s">
        <v>231</v>
      </c>
      <c r="N1" s="395" t="s">
        <v>232</v>
      </c>
      <c r="O1" s="395" t="s">
        <v>233</v>
      </c>
    </row>
    <row r="2" spans="1:15" x14ac:dyDescent="0.2">
      <c r="A2" s="397" t="s">
        <v>101</v>
      </c>
      <c r="B2" s="386" t="s">
        <v>4</v>
      </c>
      <c r="C2" s="387"/>
      <c r="D2" s="258"/>
      <c r="E2" s="1">
        <v>122</v>
      </c>
      <c r="F2" s="1">
        <v>129</v>
      </c>
      <c r="G2" s="1">
        <v>142</v>
      </c>
      <c r="H2" s="1">
        <v>143</v>
      </c>
      <c r="I2" s="1">
        <v>144</v>
      </c>
      <c r="J2" s="1">
        <v>145</v>
      </c>
      <c r="K2" s="1">
        <v>178</v>
      </c>
      <c r="L2" s="1">
        <v>187</v>
      </c>
      <c r="M2" s="1">
        <v>230</v>
      </c>
      <c r="N2" s="1">
        <v>240</v>
      </c>
      <c r="O2" s="1">
        <v>208</v>
      </c>
    </row>
    <row r="3" spans="1:15" s="400" customFormat="1" ht="36" x14ac:dyDescent="0.25">
      <c r="A3" s="399" t="s">
        <v>235</v>
      </c>
      <c r="B3" s="388" t="s">
        <v>6</v>
      </c>
      <c r="C3" s="389"/>
      <c r="D3" s="259"/>
      <c r="E3" s="261"/>
      <c r="F3" s="261"/>
      <c r="G3" s="260" t="s">
        <v>35</v>
      </c>
      <c r="H3" s="260" t="s">
        <v>36</v>
      </c>
      <c r="I3" s="260" t="s">
        <v>37</v>
      </c>
      <c r="J3" s="260" t="s">
        <v>38</v>
      </c>
      <c r="K3" s="261"/>
      <c r="L3" s="261"/>
      <c r="M3" s="261" t="s">
        <v>39</v>
      </c>
      <c r="N3" s="261" t="s">
        <v>40</v>
      </c>
      <c r="O3" s="260" t="s">
        <v>41</v>
      </c>
    </row>
    <row r="4" spans="1:15" x14ac:dyDescent="0.2">
      <c r="A4" s="401" t="s">
        <v>202</v>
      </c>
      <c r="B4" s="417" t="s">
        <v>282</v>
      </c>
      <c r="C4" s="418" t="s">
        <v>116</v>
      </c>
      <c r="D4" s="393"/>
      <c r="E4" s="420"/>
      <c r="F4" s="420"/>
      <c r="G4" s="419"/>
      <c r="H4" s="419"/>
      <c r="I4" s="419"/>
      <c r="J4" s="419"/>
      <c r="K4" s="420"/>
      <c r="L4" s="420"/>
      <c r="M4" s="420">
        <v>2.5000000000000001E-2</v>
      </c>
      <c r="N4" s="420">
        <v>2.5000000000000001E-2</v>
      </c>
      <c r="O4" s="419"/>
    </row>
    <row r="5" spans="1:15" x14ac:dyDescent="0.2">
      <c r="A5" s="397" t="s">
        <v>238</v>
      </c>
      <c r="B5" s="416" t="s">
        <v>209</v>
      </c>
      <c r="C5" s="387"/>
      <c r="D5" s="262"/>
      <c r="E5" s="537"/>
      <c r="F5" s="537"/>
      <c r="G5" s="255"/>
      <c r="H5" s="255"/>
      <c r="I5" s="255"/>
      <c r="J5" s="255"/>
      <c r="K5" s="537"/>
      <c r="L5" s="537"/>
      <c r="M5" s="537">
        <v>0.8</v>
      </c>
      <c r="N5" s="537">
        <v>0.8</v>
      </c>
      <c r="O5" s="255"/>
    </row>
    <row r="6" spans="1:15" x14ac:dyDescent="0.2">
      <c r="A6" s="397" t="s">
        <v>239</v>
      </c>
      <c r="B6" s="386" t="s">
        <v>210</v>
      </c>
      <c r="C6" s="387"/>
      <c r="D6" s="262"/>
      <c r="E6" s="537"/>
      <c r="F6" s="537"/>
      <c r="G6" s="255"/>
      <c r="H6" s="255"/>
      <c r="I6" s="255"/>
      <c r="J6" s="255"/>
      <c r="K6" s="537"/>
      <c r="L6" s="537"/>
      <c r="M6" s="537">
        <v>0.5</v>
      </c>
      <c r="N6" s="537">
        <v>0.5</v>
      </c>
      <c r="O6" s="255"/>
    </row>
    <row r="7" spans="1:15" x14ac:dyDescent="0.2">
      <c r="A7" s="397" t="s">
        <v>240</v>
      </c>
      <c r="B7" s="414" t="s">
        <v>211</v>
      </c>
      <c r="C7" s="387"/>
      <c r="D7" s="262"/>
      <c r="E7" s="537"/>
      <c r="F7" s="537"/>
      <c r="G7" s="255"/>
      <c r="H7" s="255"/>
      <c r="I7" s="255"/>
      <c r="J7" s="255"/>
      <c r="K7" s="537"/>
      <c r="L7" s="537"/>
      <c r="M7" s="537">
        <v>0.2</v>
      </c>
      <c r="N7" s="537">
        <v>0.2</v>
      </c>
      <c r="O7" s="255"/>
    </row>
    <row r="8" spans="1:15" x14ac:dyDescent="0.2">
      <c r="A8" s="445" t="s">
        <v>309</v>
      </c>
      <c r="B8" s="414" t="s">
        <v>306</v>
      </c>
      <c r="C8" s="414"/>
      <c r="D8" s="446"/>
      <c r="E8" s="547"/>
      <c r="F8" s="547"/>
      <c r="G8" s="447"/>
      <c r="H8" s="447"/>
      <c r="I8" s="447"/>
      <c r="J8" s="447"/>
      <c r="K8" s="451"/>
      <c r="L8" s="451"/>
      <c r="M8" s="547">
        <v>0.01</v>
      </c>
      <c r="N8" s="547">
        <v>0.01</v>
      </c>
      <c r="O8" s="447"/>
    </row>
    <row r="9" spans="1:15" x14ac:dyDescent="0.2">
      <c r="A9" s="413" t="s">
        <v>307</v>
      </c>
      <c r="B9" s="387" t="s">
        <v>308</v>
      </c>
      <c r="C9" s="387"/>
      <c r="D9" s="262"/>
      <c r="E9" s="449"/>
      <c r="F9" s="548"/>
      <c r="G9" s="448"/>
      <c r="H9" s="448"/>
      <c r="I9" s="448"/>
      <c r="J9" s="448"/>
      <c r="K9" s="449"/>
      <c r="L9" s="449"/>
      <c r="M9" s="548">
        <v>0.01</v>
      </c>
      <c r="N9" s="665">
        <v>0</v>
      </c>
      <c r="O9" s="448"/>
    </row>
    <row r="10" spans="1:15" x14ac:dyDescent="0.2">
      <c r="A10" s="401" t="s">
        <v>241</v>
      </c>
      <c r="B10" s="407" t="s">
        <v>214</v>
      </c>
      <c r="C10" s="407"/>
      <c r="D10" s="393"/>
      <c r="E10" s="450"/>
      <c r="F10" s="536"/>
      <c r="G10" s="394"/>
      <c r="H10" s="394"/>
      <c r="I10" s="394"/>
      <c r="J10" s="394"/>
      <c r="K10" s="536"/>
      <c r="L10" s="450"/>
      <c r="M10" s="664">
        <v>0</v>
      </c>
      <c r="N10" s="664">
        <v>0</v>
      </c>
      <c r="O10" s="394"/>
    </row>
    <row r="11" spans="1:15" x14ac:dyDescent="0.2">
      <c r="A11" s="552" t="s">
        <v>242</v>
      </c>
      <c r="B11" s="553" t="s">
        <v>283</v>
      </c>
      <c r="C11" s="553"/>
      <c r="D11" s="554"/>
      <c r="E11" s="535"/>
      <c r="F11" s="535"/>
      <c r="G11" s="555"/>
      <c r="H11" s="555"/>
      <c r="I11" s="555"/>
      <c r="J11" s="555"/>
      <c r="K11" s="535"/>
      <c r="L11" s="535"/>
      <c r="M11" s="535">
        <v>0.15</v>
      </c>
      <c r="N11" s="535">
        <v>0.15</v>
      </c>
      <c r="O11" s="555"/>
    </row>
    <row r="12" spans="1:15" x14ac:dyDescent="0.25">
      <c r="A12" s="401" t="s">
        <v>243</v>
      </c>
      <c r="B12" s="407" t="s">
        <v>213</v>
      </c>
      <c r="C12" s="410" t="s">
        <v>177</v>
      </c>
      <c r="D12" s="403"/>
      <c r="E12" s="556"/>
      <c r="F12" s="556"/>
      <c r="G12" s="404"/>
      <c r="H12" s="404"/>
      <c r="I12" s="404"/>
      <c r="J12" s="404"/>
      <c r="K12" s="536"/>
      <c r="L12" s="536"/>
      <c r="M12" s="536">
        <v>6.5000000000000002E-2</v>
      </c>
      <c r="N12" s="536">
        <v>6.5000000000000002E-2</v>
      </c>
      <c r="O12" s="404"/>
    </row>
    <row r="13" spans="1:15" x14ac:dyDescent="0.25">
      <c r="A13" s="397" t="s">
        <v>314</v>
      </c>
      <c r="B13" s="390" t="s">
        <v>293</v>
      </c>
      <c r="C13" s="411" t="s">
        <v>175</v>
      </c>
      <c r="D13" s="405"/>
      <c r="E13" s="550"/>
      <c r="F13" s="550"/>
      <c r="G13" s="406"/>
      <c r="H13" s="406"/>
      <c r="I13" s="406"/>
      <c r="J13" s="406"/>
      <c r="K13" s="551"/>
      <c r="L13" s="551"/>
      <c r="M13" s="551">
        <v>6.5000000000000002E-2</v>
      </c>
      <c r="N13" s="551">
        <v>6.5000000000000002E-2</v>
      </c>
    </row>
    <row r="14" spans="1:15" x14ac:dyDescent="0.25">
      <c r="A14" s="406" t="s">
        <v>294</v>
      </c>
      <c r="B14" s="415"/>
      <c r="C14" s="411" t="s">
        <v>179</v>
      </c>
      <c r="D14" s="405"/>
      <c r="E14" s="533"/>
      <c r="F14" s="533"/>
      <c r="G14" s="406"/>
      <c r="H14" s="406"/>
      <c r="I14" s="406"/>
      <c r="J14" s="406"/>
      <c r="K14" s="533"/>
      <c r="L14" s="533"/>
      <c r="M14" s="675">
        <v>1.4999999999999999E-2</v>
      </c>
      <c r="N14" s="675">
        <v>1.4999999999999999E-2</v>
      </c>
      <c r="O14" s="406"/>
    </row>
    <row r="15" spans="1:15" x14ac:dyDescent="0.25">
      <c r="A15" s="404" t="s">
        <v>295</v>
      </c>
      <c r="B15" s="409"/>
      <c r="C15" s="410" t="s">
        <v>181</v>
      </c>
      <c r="D15" s="403"/>
      <c r="E15" s="534"/>
      <c r="F15" s="534"/>
      <c r="G15" s="404"/>
      <c r="H15" s="404"/>
      <c r="I15" s="404"/>
      <c r="J15" s="404"/>
      <c r="K15" s="534"/>
      <c r="L15" s="534"/>
      <c r="M15" s="676">
        <v>1.95E-2</v>
      </c>
      <c r="N15" s="676">
        <v>1.95E-2</v>
      </c>
      <c r="O15" s="404"/>
    </row>
    <row r="16" spans="1:15" x14ac:dyDescent="0.25">
      <c r="A16" s="397" t="s">
        <v>285</v>
      </c>
      <c r="C16" s="408" t="s">
        <v>188</v>
      </c>
      <c r="E16" s="546"/>
      <c r="F16" s="546"/>
      <c r="K16" s="546"/>
      <c r="L16" s="546"/>
      <c r="M16" s="546">
        <v>0.5</v>
      </c>
      <c r="N16" s="546">
        <v>0.5</v>
      </c>
    </row>
    <row r="17" spans="1:15" x14ac:dyDescent="0.25">
      <c r="A17" s="397" t="s">
        <v>286</v>
      </c>
      <c r="C17" s="408" t="s">
        <v>190</v>
      </c>
      <c r="E17" s="546"/>
      <c r="F17" s="546"/>
      <c r="K17" s="546"/>
      <c r="L17" s="546"/>
      <c r="M17" s="546">
        <v>0.75</v>
      </c>
      <c r="N17" s="546">
        <v>0.75</v>
      </c>
    </row>
    <row r="18" spans="1:15" x14ac:dyDescent="0.25">
      <c r="A18" s="401" t="s">
        <v>287</v>
      </c>
      <c r="B18" s="409"/>
      <c r="C18" s="410" t="s">
        <v>191</v>
      </c>
      <c r="D18" s="403"/>
      <c r="E18" s="452"/>
      <c r="F18" s="452"/>
      <c r="G18" s="404"/>
      <c r="H18" s="404"/>
      <c r="I18" s="404"/>
      <c r="J18" s="404"/>
      <c r="K18" s="452"/>
      <c r="L18" s="452"/>
      <c r="M18" s="452">
        <v>0.75</v>
      </c>
      <c r="N18" s="452">
        <v>0.75</v>
      </c>
      <c r="O18" s="404"/>
    </row>
    <row r="19" spans="1:15" x14ac:dyDescent="0.25">
      <c r="A19" s="401" t="s">
        <v>292</v>
      </c>
      <c r="B19" s="409" t="s">
        <v>291</v>
      </c>
      <c r="C19" s="410" t="s">
        <v>291</v>
      </c>
      <c r="D19" s="403"/>
      <c r="E19" s="549"/>
      <c r="F19" s="549"/>
      <c r="G19" s="404"/>
      <c r="H19" s="404"/>
      <c r="I19" s="404"/>
      <c r="J19" s="404"/>
      <c r="K19" s="510"/>
      <c r="L19" s="510"/>
      <c r="M19" s="510">
        <v>7.4999999999999997E-2</v>
      </c>
      <c r="N19" s="510">
        <v>7.4999999999999997E-2</v>
      </c>
      <c r="O19" s="404"/>
    </row>
    <row r="20" spans="1:15" x14ac:dyDescent="0.25">
      <c r="A20" s="397" t="s">
        <v>288</v>
      </c>
      <c r="C20" s="411" t="s">
        <v>217</v>
      </c>
      <c r="E20" s="509"/>
      <c r="F20" s="509"/>
      <c r="K20" s="509"/>
      <c r="L20" s="509"/>
      <c r="M20" s="509">
        <v>0.01</v>
      </c>
      <c r="N20" s="509">
        <v>0.01</v>
      </c>
    </row>
    <row r="21" spans="1:15" x14ac:dyDescent="0.25">
      <c r="A21" s="397" t="s">
        <v>289</v>
      </c>
      <c r="C21" s="412" t="s">
        <v>218</v>
      </c>
      <c r="E21" s="509"/>
      <c r="F21" s="509"/>
      <c r="K21" s="509"/>
      <c r="L21" s="509"/>
      <c r="M21" s="509">
        <v>0.01</v>
      </c>
      <c r="N21" s="509">
        <v>0.01</v>
      </c>
    </row>
    <row r="22" spans="1:15" x14ac:dyDescent="0.25">
      <c r="A22" s="401" t="s">
        <v>290</v>
      </c>
      <c r="B22" s="409"/>
      <c r="C22" s="410" t="s">
        <v>56</v>
      </c>
      <c r="D22" s="403"/>
      <c r="E22" s="510"/>
      <c r="F22" s="510"/>
      <c r="G22" s="404"/>
      <c r="H22" s="404"/>
      <c r="I22" s="404"/>
      <c r="J22" s="404"/>
      <c r="K22" s="510"/>
      <c r="L22" s="510"/>
      <c r="M22" s="510">
        <v>0</v>
      </c>
      <c r="N22" s="510">
        <v>0</v>
      </c>
      <c r="O22" s="404"/>
    </row>
    <row r="23" spans="1:15" x14ac:dyDescent="0.2">
      <c r="A23" s="397" t="s">
        <v>316</v>
      </c>
      <c r="E23" s="505"/>
      <c r="F23" s="505"/>
      <c r="K23" s="505"/>
      <c r="L23" s="505"/>
      <c r="M23" s="505">
        <v>180000</v>
      </c>
      <c r="N23" s="505">
        <v>180000</v>
      </c>
    </row>
    <row r="24" spans="1:15" x14ac:dyDescent="0.2">
      <c r="A24" s="397" t="s">
        <v>317</v>
      </c>
      <c r="E24" s="505"/>
      <c r="F24" s="505"/>
      <c r="K24" s="505"/>
      <c r="L24" s="505"/>
      <c r="M24" s="505">
        <v>240000</v>
      </c>
      <c r="N24" s="505">
        <v>240000</v>
      </c>
    </row>
    <row r="25" spans="1:15" x14ac:dyDescent="0.2">
      <c r="A25" s="397" t="s">
        <v>318</v>
      </c>
      <c r="E25" s="505"/>
      <c r="F25" s="505"/>
      <c r="K25" s="505"/>
      <c r="L25" s="505"/>
      <c r="M25" s="505">
        <v>270000</v>
      </c>
      <c r="N25" s="505">
        <v>270000</v>
      </c>
    </row>
    <row r="26" spans="1:15" x14ac:dyDescent="0.2">
      <c r="A26" s="397" t="s">
        <v>319</v>
      </c>
      <c r="E26" s="505"/>
      <c r="F26" s="505"/>
      <c r="K26" s="505"/>
      <c r="L26" s="505"/>
      <c r="M26" s="505">
        <v>360000</v>
      </c>
      <c r="N26" s="505">
        <v>360000</v>
      </c>
    </row>
    <row r="27" spans="1:15" x14ac:dyDescent="0.2">
      <c r="A27" s="397" t="s">
        <v>320</v>
      </c>
      <c r="E27" s="505"/>
      <c r="F27" s="505"/>
      <c r="K27" s="505"/>
      <c r="L27" s="505"/>
      <c r="M27" s="505">
        <v>480000</v>
      </c>
      <c r="N27" s="505">
        <v>480000</v>
      </c>
    </row>
    <row r="28" spans="1:15" x14ac:dyDescent="0.2">
      <c r="A28" s="401" t="s">
        <v>321</v>
      </c>
      <c r="B28" s="409"/>
      <c r="C28" s="409"/>
      <c r="D28" s="403"/>
      <c r="E28" s="506"/>
      <c r="F28" s="506"/>
      <c r="G28" s="404"/>
      <c r="H28" s="404"/>
      <c r="I28" s="404"/>
      <c r="J28" s="404"/>
      <c r="K28" s="506"/>
      <c r="L28" s="506"/>
      <c r="M28" s="506">
        <v>600000</v>
      </c>
      <c r="N28" s="506">
        <v>600000</v>
      </c>
      <c r="O28" s="404"/>
    </row>
    <row r="29" spans="1:15" x14ac:dyDescent="0.2">
      <c r="A29" s="397" t="s">
        <v>322</v>
      </c>
      <c r="E29" s="507"/>
      <c r="F29" s="507"/>
      <c r="K29" s="507"/>
      <c r="L29" s="507"/>
      <c r="M29" s="507">
        <v>0.01</v>
      </c>
      <c r="N29" s="507">
        <v>0.01</v>
      </c>
    </row>
    <row r="30" spans="1:15" x14ac:dyDescent="0.2">
      <c r="A30" s="397" t="s">
        <v>323</v>
      </c>
      <c r="E30" s="507"/>
      <c r="F30" s="507"/>
      <c r="K30" s="507"/>
      <c r="L30" s="507"/>
      <c r="M30" s="507">
        <v>1.4999999999999999E-2</v>
      </c>
      <c r="N30" s="507">
        <v>1.4999999999999999E-2</v>
      </c>
    </row>
    <row r="31" spans="1:15" x14ac:dyDescent="0.2">
      <c r="A31" s="397" t="s">
        <v>324</v>
      </c>
      <c r="E31" s="507"/>
      <c r="F31" s="507"/>
      <c r="K31" s="507"/>
      <c r="L31" s="507"/>
      <c r="M31" s="507">
        <v>0.03</v>
      </c>
      <c r="N31" s="507">
        <v>0.03</v>
      </c>
    </row>
    <row r="32" spans="1:15" x14ac:dyDescent="0.2">
      <c r="A32" s="397" t="s">
        <v>325</v>
      </c>
      <c r="E32" s="507"/>
      <c r="F32" s="507"/>
      <c r="K32" s="507"/>
      <c r="L32" s="507"/>
      <c r="M32" s="507">
        <v>3.5000000000000003E-2</v>
      </c>
      <c r="N32" s="507">
        <v>3.5000000000000003E-2</v>
      </c>
    </row>
    <row r="33" spans="1:15" x14ac:dyDescent="0.2">
      <c r="A33" s="397" t="s">
        <v>326</v>
      </c>
      <c r="E33" s="507"/>
      <c r="F33" s="507"/>
      <c r="K33" s="507"/>
      <c r="L33" s="507"/>
      <c r="M33" s="507">
        <v>0.04</v>
      </c>
      <c r="N33" s="507">
        <v>0.04</v>
      </c>
    </row>
    <row r="34" spans="1:15" x14ac:dyDescent="0.2">
      <c r="A34" s="401" t="s">
        <v>327</v>
      </c>
      <c r="B34" s="409"/>
      <c r="C34" s="409"/>
      <c r="D34" s="403"/>
      <c r="E34" s="508"/>
      <c r="F34" s="508"/>
      <c r="G34" s="404"/>
      <c r="H34" s="404"/>
      <c r="I34" s="404"/>
      <c r="J34" s="404"/>
      <c r="K34" s="508"/>
      <c r="L34" s="508"/>
      <c r="M34" s="508">
        <v>0.04</v>
      </c>
      <c r="N34" s="508">
        <v>0.04</v>
      </c>
      <c r="O34" s="404"/>
    </row>
    <row r="35" spans="1:15" x14ac:dyDescent="0.2">
      <c r="A35" s="397" t="s">
        <v>342</v>
      </c>
      <c r="C35" s="635" t="s">
        <v>173</v>
      </c>
      <c r="E35" s="505"/>
      <c r="F35" s="505"/>
      <c r="G35" s="606"/>
      <c r="H35" s="606"/>
      <c r="I35" s="606"/>
      <c r="J35" s="606"/>
      <c r="K35" s="505"/>
      <c r="L35" s="505"/>
      <c r="M35" s="505">
        <v>3</v>
      </c>
      <c r="N35" s="505">
        <v>3</v>
      </c>
    </row>
    <row r="36" spans="1:15" x14ac:dyDescent="0.2">
      <c r="A36" s="401" t="s">
        <v>343</v>
      </c>
      <c r="B36" s="409"/>
      <c r="C36" s="636" t="s">
        <v>174</v>
      </c>
      <c r="D36" s="403"/>
      <c r="E36" s="506"/>
      <c r="F36" s="506"/>
      <c r="G36" s="607"/>
      <c r="H36" s="607"/>
      <c r="I36" s="607"/>
      <c r="J36" s="607"/>
      <c r="K36" s="506"/>
      <c r="L36" s="506"/>
      <c r="M36" s="506">
        <v>480000</v>
      </c>
      <c r="N36" s="506">
        <v>480000</v>
      </c>
      <c r="O36" s="404"/>
    </row>
    <row r="37" spans="1:15" x14ac:dyDescent="0.2">
      <c r="C37" s="635" t="s">
        <v>176</v>
      </c>
      <c r="E37" s="673"/>
      <c r="F37" s="673"/>
      <c r="M37" s="673">
        <v>0.65</v>
      </c>
      <c r="N37" s="673">
        <v>0.65</v>
      </c>
    </row>
    <row r="38" spans="1:15" x14ac:dyDescent="0.2">
      <c r="C38" s="635" t="s">
        <v>178</v>
      </c>
      <c r="E38" s="673"/>
      <c r="F38" s="673"/>
      <c r="M38" s="673">
        <v>1.05</v>
      </c>
      <c r="N38" s="673">
        <v>1.05</v>
      </c>
    </row>
    <row r="39" spans="1:15" x14ac:dyDescent="0.2">
      <c r="A39" s="401"/>
      <c r="B39" s="409"/>
      <c r="C39" s="636" t="s">
        <v>180</v>
      </c>
      <c r="D39" s="403"/>
      <c r="E39" s="674"/>
      <c r="F39" s="674"/>
      <c r="G39" s="404"/>
      <c r="H39" s="404"/>
      <c r="I39" s="404"/>
      <c r="J39" s="404"/>
      <c r="K39" s="404"/>
      <c r="L39" s="404"/>
      <c r="M39" s="674">
        <v>0</v>
      </c>
      <c r="N39" s="674">
        <v>0</v>
      </c>
      <c r="O39" s="404"/>
    </row>
    <row r="40" spans="1:15" x14ac:dyDescent="0.2">
      <c r="C40" s="635" t="s">
        <v>351</v>
      </c>
      <c r="M40" s="668">
        <v>24000</v>
      </c>
      <c r="N40" s="668">
        <v>24000</v>
      </c>
    </row>
    <row r="41" spans="1:15" x14ac:dyDescent="0.2">
      <c r="A41" s="401"/>
      <c r="B41" s="409"/>
      <c r="C41" s="636" t="s">
        <v>352</v>
      </c>
      <c r="D41" s="403"/>
      <c r="E41" s="404"/>
      <c r="F41" s="404"/>
      <c r="G41" s="404"/>
      <c r="H41" s="404"/>
      <c r="I41" s="404"/>
      <c r="J41" s="404"/>
      <c r="K41" s="404"/>
      <c r="L41" s="404"/>
      <c r="M41" s="669">
        <v>13400</v>
      </c>
      <c r="N41" s="669">
        <v>13400</v>
      </c>
      <c r="O41" s="404"/>
    </row>
    <row r="42" spans="1:15" x14ac:dyDescent="0.2">
      <c r="C42" s="635" t="s">
        <v>187</v>
      </c>
      <c r="E42" s="677"/>
      <c r="F42" s="677"/>
      <c r="M42" s="677">
        <v>0.5</v>
      </c>
      <c r="N42" s="677">
        <v>0.5</v>
      </c>
    </row>
    <row r="43" spans="1:15" x14ac:dyDescent="0.2">
      <c r="A43" s="401"/>
      <c r="B43" s="409"/>
      <c r="C43" s="636" t="s">
        <v>189</v>
      </c>
      <c r="D43" s="403"/>
      <c r="E43" s="678"/>
      <c r="F43" s="678"/>
      <c r="G43" s="404"/>
      <c r="H43" s="404"/>
      <c r="I43" s="404"/>
      <c r="J43" s="404"/>
      <c r="K43" s="404"/>
      <c r="L43" s="404"/>
      <c r="M43" s="678">
        <v>1</v>
      </c>
      <c r="N43" s="678">
        <v>1</v>
      </c>
      <c r="O43" s="404"/>
    </row>
    <row r="44" spans="1:15" x14ac:dyDescent="0.2">
      <c r="A44" s="637"/>
      <c r="B44" s="638"/>
      <c r="C44" s="639" t="s">
        <v>192</v>
      </c>
      <c r="D44" s="640"/>
      <c r="E44" s="679"/>
      <c r="F44" s="679"/>
      <c r="G44" s="641"/>
      <c r="H44" s="641"/>
      <c r="I44" s="641"/>
      <c r="J44" s="641"/>
      <c r="K44" s="641"/>
      <c r="L44" s="641"/>
      <c r="M44" s="679">
        <v>0</v>
      </c>
      <c r="N44" s="679">
        <v>0</v>
      </c>
      <c r="O44" s="641"/>
    </row>
    <row r="45" spans="1:15" x14ac:dyDescent="0.2">
      <c r="C45" s="635" t="s">
        <v>353</v>
      </c>
      <c r="D45" s="398"/>
      <c r="M45" s="670">
        <v>0.05</v>
      </c>
      <c r="N45" s="670">
        <v>0.05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CC"/>
  </sheetPr>
  <dimension ref="A1:BO569"/>
  <sheetViews>
    <sheetView zoomScale="85" zoomScaleNormal="85" workbookViewId="0">
      <pane ySplit="5" topLeftCell="A12" activePane="bottomLeft" state="frozen"/>
      <selection activeCell="C36" sqref="C36"/>
      <selection pane="bottomLeft" activeCell="C36" sqref="C36"/>
    </sheetView>
  </sheetViews>
  <sheetFormatPr defaultColWidth="9.140625" defaultRowHeight="15" x14ac:dyDescent="0.25"/>
  <cols>
    <col min="1" max="1" width="24.7109375" style="28" bestFit="1" customWidth="1"/>
    <col min="2" max="2" width="13.42578125" style="28" bestFit="1" customWidth="1"/>
    <col min="3" max="3" width="27.140625" style="28" bestFit="1" customWidth="1"/>
    <col min="4" max="4" width="15.140625" style="28" bestFit="1" customWidth="1"/>
    <col min="5" max="5" width="11.7109375" style="23" customWidth="1"/>
    <col min="6" max="6" width="16.42578125" style="23" bestFit="1" customWidth="1"/>
    <col min="7" max="7" width="9.85546875" style="23" customWidth="1"/>
    <col min="8" max="8" width="21" style="23" bestFit="1" customWidth="1"/>
    <col min="9" max="9" width="13.85546875" style="23" bestFit="1" customWidth="1"/>
    <col min="10" max="10" width="10.140625" style="23" bestFit="1" customWidth="1"/>
    <col min="11" max="11" width="17" style="23" bestFit="1" customWidth="1"/>
    <col min="12" max="12" width="17.140625" style="23" customWidth="1"/>
    <col min="13" max="16" width="15.140625" style="23" customWidth="1"/>
    <col min="17" max="17" width="4.140625" style="23" customWidth="1"/>
    <col min="18" max="18" width="3" style="28" customWidth="1"/>
    <col min="19" max="19" width="9.42578125" style="42" customWidth="1"/>
    <col min="20" max="20" width="7.28515625" style="28" customWidth="1"/>
    <col min="21" max="21" width="9.42578125" style="28" customWidth="1"/>
    <col min="22" max="23" width="8.42578125" style="28" customWidth="1"/>
    <col min="24" max="27" width="10.5703125" style="28" customWidth="1"/>
    <col min="28" max="29" width="11" style="28" customWidth="1"/>
    <col min="30" max="30" width="15" style="28" customWidth="1"/>
    <col min="31" max="31" width="8.42578125" style="28" customWidth="1"/>
    <col min="32" max="32" width="10" style="28" customWidth="1"/>
    <col min="33" max="33" width="9.42578125" style="28" customWidth="1"/>
    <col min="34" max="34" width="10" style="28" customWidth="1"/>
    <col min="35" max="35" width="11.7109375" style="28" customWidth="1"/>
    <col min="36" max="36" width="11.5703125" style="28" customWidth="1"/>
    <col min="37" max="37" width="10.5703125" style="28" customWidth="1"/>
    <col min="38" max="38" width="8.42578125" style="28" customWidth="1"/>
    <col min="39" max="39" width="13.5703125" style="28" bestFit="1" customWidth="1"/>
    <col min="40" max="40" width="9" style="28" customWidth="1"/>
    <col min="41" max="41" width="4" style="28" bestFit="1" customWidth="1"/>
    <col min="42" max="42" width="4.7109375" style="28" bestFit="1" customWidth="1"/>
    <col min="43" max="43" width="8.140625" style="124" bestFit="1" customWidth="1"/>
    <col min="44" max="44" width="8.140625" style="28" customWidth="1"/>
    <col min="45" max="45" width="8.140625" style="28" bestFit="1" customWidth="1"/>
    <col min="46" max="46" width="12.140625" style="28" bestFit="1" customWidth="1"/>
    <col min="47" max="47" width="9.85546875" style="28" customWidth="1"/>
    <col min="48" max="48" width="11" style="28" customWidth="1"/>
    <col min="49" max="49" width="7.7109375" style="28" bestFit="1" customWidth="1"/>
    <col min="50" max="50" width="9.5703125" style="28" bestFit="1" customWidth="1"/>
    <col min="51" max="51" width="10.140625" style="28" customWidth="1"/>
    <col min="52" max="52" width="6.42578125" style="28" bestFit="1" customWidth="1"/>
    <col min="53" max="53" width="6.42578125" style="28" customWidth="1"/>
    <col min="54" max="54" width="5.42578125" style="28" bestFit="1" customWidth="1"/>
    <col min="55" max="55" width="9.85546875" style="28" bestFit="1" customWidth="1"/>
    <col min="56" max="56" width="8.7109375" style="28" customWidth="1"/>
    <col min="57" max="57" width="10" style="28" bestFit="1" customWidth="1"/>
    <col min="58" max="58" width="7.7109375" style="28" bestFit="1" customWidth="1"/>
    <col min="59" max="59" width="7.7109375" style="28" customWidth="1"/>
    <col min="60" max="60" width="10.28515625" style="301" customWidth="1"/>
    <col min="61" max="61" width="12.28515625" style="300" customWidth="1"/>
    <col min="62" max="62" width="14.42578125" style="300" customWidth="1"/>
    <col min="63" max="63" width="12" style="300" bestFit="1" customWidth="1"/>
    <col min="64" max="65" width="9.140625" style="28"/>
    <col min="66" max="66" width="11" style="28" bestFit="1" customWidth="1"/>
    <col min="67" max="67" width="10.7109375" style="28" bestFit="1" customWidth="1"/>
    <col min="68" max="16384" width="9.140625" style="28"/>
  </cols>
  <sheetData>
    <row r="1" spans="1:67" ht="27.75" thickTop="1" thickBot="1" x14ac:dyDescent="0.45">
      <c r="A1" s="373" t="s">
        <v>107</v>
      </c>
      <c r="B1" s="374">
        <f>Kalkulátor!F13*1000</f>
        <v>150000</v>
      </c>
      <c r="C1" s="372"/>
      <c r="D1" s="22">
        <v>0</v>
      </c>
      <c r="F1" s="24" t="s">
        <v>108</v>
      </c>
      <c r="G1" s="317">
        <v>0</v>
      </c>
      <c r="H1" s="373" t="s">
        <v>109</v>
      </c>
      <c r="I1" s="604">
        <f ca="1">INDEX(PPM,MATCH(FizMódVálasztott,PPM!C:C,0),MATCH(Termékkód,PPM!$2:$2,0))</f>
        <v>0.01</v>
      </c>
      <c r="J1" s="25"/>
      <c r="K1" s="26"/>
      <c r="L1" s="27"/>
      <c r="M1" s="513" t="s">
        <v>110</v>
      </c>
      <c r="N1" s="514" t="s">
        <v>111</v>
      </c>
      <c r="O1" s="514" t="s">
        <v>112</v>
      </c>
      <c r="P1" s="514" t="s">
        <v>113</v>
      </c>
      <c r="R1" s="530" t="str">
        <f>TermékVálasztott</f>
        <v>Life Planet Bonus</v>
      </c>
      <c r="S1" s="29"/>
      <c r="AA1" s="30"/>
      <c r="AB1" s="30"/>
      <c r="AF1" s="30"/>
      <c r="AG1" s="30"/>
      <c r="AH1" s="30"/>
      <c r="AI1" s="30"/>
      <c r="AJ1" s="30"/>
      <c r="AK1" s="30">
        <f>240/210</f>
        <v>1.1428571428571428</v>
      </c>
      <c r="AL1" s="30"/>
      <c r="AM1" s="30"/>
      <c r="AN1" s="30"/>
      <c r="AQ1" s="31" t="s">
        <v>114</v>
      </c>
      <c r="AR1" s="32"/>
      <c r="AS1" s="32"/>
      <c r="AT1" s="32"/>
      <c r="AU1" s="32"/>
      <c r="AV1" s="32"/>
      <c r="AW1" s="32"/>
      <c r="AX1" s="33"/>
      <c r="AY1" s="34" t="s">
        <v>115</v>
      </c>
      <c r="AZ1" s="32"/>
      <c r="BA1" s="35"/>
      <c r="BB1" s="32"/>
      <c r="BC1" s="32"/>
      <c r="BD1" s="32"/>
      <c r="BE1" s="32"/>
      <c r="BF1" s="32"/>
      <c r="BG1" s="32"/>
      <c r="BH1" s="657" t="s">
        <v>205</v>
      </c>
    </row>
    <row r="2" spans="1:67" ht="15.75" thickTop="1" x14ac:dyDescent="0.25">
      <c r="A2" s="375" t="s">
        <v>116</v>
      </c>
      <c r="B2" s="391">
        <f ca="1">INDEX(PPM,MATCH(A2,PPM!$C:$C,0),MATCH(Termékkód,PPM!$2:$2,0))</f>
        <v>2.5000000000000001E-2</v>
      </c>
      <c r="F2" s="37" t="s">
        <v>117</v>
      </c>
      <c r="G2" s="603">
        <f ca="1">PM!B102</f>
        <v>180000</v>
      </c>
      <c r="H2" s="600" t="s">
        <v>118</v>
      </c>
      <c r="I2" s="605">
        <f ca="1">PM!C102</f>
        <v>0.01</v>
      </c>
      <c r="L2" s="27"/>
      <c r="M2" s="611" t="s">
        <v>291</v>
      </c>
      <c r="N2" s="391">
        <f ca="1">INDEX(PPM,MATCH(M2,PPM!$C:$C,0),MATCH(Termékkód,PPM!$2:$2,0))</f>
        <v>7.4999999999999997E-2</v>
      </c>
      <c r="O2" s="515">
        <v>4</v>
      </c>
      <c r="P2" s="515">
        <f ca="1">MIN(Term,20)</f>
        <v>20</v>
      </c>
      <c r="S2" s="23"/>
      <c r="T2" s="30"/>
      <c r="AQ2" s="38" t="s">
        <v>119</v>
      </c>
      <c r="AR2" s="32"/>
      <c r="AS2" s="32"/>
      <c r="AT2" s="32"/>
      <c r="AU2" s="32"/>
      <c r="AV2" s="32"/>
      <c r="AW2" s="39" t="s">
        <v>120</v>
      </c>
      <c r="AX2" s="33"/>
      <c r="AY2" s="34" t="s">
        <v>119</v>
      </c>
      <c r="AZ2" s="32"/>
      <c r="BA2" s="32"/>
      <c r="BB2" s="32"/>
      <c r="BC2" s="32"/>
      <c r="BD2" s="32"/>
      <c r="BE2" s="32"/>
      <c r="BF2" s="39" t="s">
        <v>121</v>
      </c>
      <c r="BG2" s="39"/>
    </row>
    <row r="3" spans="1:67" x14ac:dyDescent="0.25">
      <c r="A3" s="373" t="s">
        <v>122</v>
      </c>
      <c r="B3" s="374">
        <f>VLOOKUP(Kalkulátor!F14,CFdet!$A$27:$B$30,2,0)</f>
        <v>4</v>
      </c>
      <c r="F3" s="41" t="s">
        <v>123</v>
      </c>
      <c r="G3" s="603">
        <f ca="1">PM!B103</f>
        <v>240000</v>
      </c>
      <c r="H3" s="601" t="s">
        <v>124</v>
      </c>
      <c r="I3" s="605">
        <f ca="1">PM!C103</f>
        <v>1.4999999999999999E-2</v>
      </c>
      <c r="M3" s="516">
        <v>1</v>
      </c>
      <c r="N3" s="516" t="s">
        <v>125</v>
      </c>
      <c r="O3" s="516"/>
      <c r="P3" s="517"/>
      <c r="R3" s="28">
        <v>1</v>
      </c>
      <c r="S3" s="42">
        <f t="shared" ref="S3:AF3" si="0">R3+1</f>
        <v>2</v>
      </c>
      <c r="T3" s="42">
        <f t="shared" si="0"/>
        <v>3</v>
      </c>
      <c r="U3" s="42">
        <f t="shared" si="0"/>
        <v>4</v>
      </c>
      <c r="V3" s="42">
        <f t="shared" si="0"/>
        <v>5</v>
      </c>
      <c r="W3" s="42">
        <f t="shared" si="0"/>
        <v>6</v>
      </c>
      <c r="X3" s="42">
        <f t="shared" si="0"/>
        <v>7</v>
      </c>
      <c r="Y3" s="42">
        <f t="shared" si="0"/>
        <v>8</v>
      </c>
      <c r="Z3" s="42">
        <f t="shared" si="0"/>
        <v>9</v>
      </c>
      <c r="AA3" s="42">
        <f t="shared" si="0"/>
        <v>10</v>
      </c>
      <c r="AB3" s="42">
        <f t="shared" si="0"/>
        <v>11</v>
      </c>
      <c r="AC3" s="42">
        <f t="shared" si="0"/>
        <v>12</v>
      </c>
      <c r="AD3" s="42">
        <f t="shared" si="0"/>
        <v>13</v>
      </c>
      <c r="AE3" s="42">
        <f t="shared" si="0"/>
        <v>14</v>
      </c>
      <c r="AF3" s="42">
        <f t="shared" si="0"/>
        <v>15</v>
      </c>
      <c r="AG3" s="42">
        <v>16</v>
      </c>
      <c r="AH3" s="42">
        <v>17</v>
      </c>
      <c r="AI3" s="42">
        <v>18</v>
      </c>
      <c r="AJ3" s="42">
        <v>19</v>
      </c>
      <c r="AK3" s="42">
        <v>20</v>
      </c>
      <c r="AL3" s="28">
        <v>21</v>
      </c>
      <c r="AM3" s="28">
        <v>22</v>
      </c>
      <c r="AN3" s="28">
        <v>23</v>
      </c>
      <c r="AO3" s="42"/>
      <c r="AP3" s="42"/>
      <c r="AQ3" s="43" t="s">
        <v>126</v>
      </c>
      <c r="AR3" s="42" t="s">
        <v>126</v>
      </c>
      <c r="AS3" s="42" t="s">
        <v>127</v>
      </c>
      <c r="AT3" s="42" t="s">
        <v>127</v>
      </c>
      <c r="AU3" s="42" t="s">
        <v>128</v>
      </c>
      <c r="AV3" s="44" t="s">
        <v>129</v>
      </c>
      <c r="AW3" s="45" t="s">
        <v>127</v>
      </c>
      <c r="AX3" s="46" t="s">
        <v>126</v>
      </c>
      <c r="AY3" s="47" t="s">
        <v>126</v>
      </c>
      <c r="AZ3" s="42" t="s">
        <v>127</v>
      </c>
      <c r="BA3" s="42" t="s">
        <v>130</v>
      </c>
      <c r="BB3" s="42" t="s">
        <v>130</v>
      </c>
      <c r="BC3" s="42" t="s">
        <v>127</v>
      </c>
      <c r="BD3" s="42" t="s">
        <v>131</v>
      </c>
      <c r="BE3" s="44" t="s">
        <v>132</v>
      </c>
      <c r="BF3" s="48" t="s">
        <v>127</v>
      </c>
      <c r="BG3" s="49" t="s">
        <v>127</v>
      </c>
    </row>
    <row r="4" spans="1:67" s="237" customFormat="1" ht="18.75" customHeight="1" x14ac:dyDescent="0.25">
      <c r="A4" s="376"/>
      <c r="B4" s="376"/>
      <c r="C4" s="238"/>
      <c r="E4" s="239"/>
      <c r="F4" s="240" t="s">
        <v>133</v>
      </c>
      <c r="G4" s="603">
        <f ca="1">PM!B104</f>
        <v>270000</v>
      </c>
      <c r="H4" s="602" t="s">
        <v>134</v>
      </c>
      <c r="I4" s="605">
        <f ca="1">PM!C104</f>
        <v>0.03</v>
      </c>
      <c r="J4" s="239"/>
      <c r="K4" s="239"/>
      <c r="L4" s="239"/>
      <c r="M4" s="518"/>
      <c r="N4" s="519" t="s">
        <v>135</v>
      </c>
      <c r="O4" s="520"/>
      <c r="P4" s="520"/>
      <c r="Q4" s="239"/>
      <c r="X4" s="241"/>
      <c r="Y4" s="241">
        <v>20</v>
      </c>
      <c r="AM4" s="241"/>
      <c r="AN4" s="241"/>
      <c r="AO4" s="242" t="s">
        <v>136</v>
      </c>
      <c r="AP4" s="243" t="s">
        <v>137</v>
      </c>
      <c r="AQ4" s="244" t="s">
        <v>138</v>
      </c>
      <c r="AR4" s="242" t="s">
        <v>139</v>
      </c>
      <c r="AS4" s="245" t="s">
        <v>140</v>
      </c>
      <c r="AT4" s="242" t="s">
        <v>141</v>
      </c>
      <c r="AU4" s="246" t="s">
        <v>142</v>
      </c>
      <c r="AV4" s="247" t="s">
        <v>143</v>
      </c>
      <c r="AW4" s="248" t="s">
        <v>144</v>
      </c>
      <c r="AX4" s="243" t="s">
        <v>145</v>
      </c>
      <c r="AY4" s="249" t="s">
        <v>146</v>
      </c>
      <c r="AZ4" s="250" t="s">
        <v>140</v>
      </c>
      <c r="BA4" s="251" t="s">
        <v>147</v>
      </c>
      <c r="BB4" s="251" t="s">
        <v>148</v>
      </c>
      <c r="BC4" s="242" t="s">
        <v>141</v>
      </c>
      <c r="BD4" s="246" t="s">
        <v>142</v>
      </c>
      <c r="BE4" s="252" t="s">
        <v>143</v>
      </c>
      <c r="BF4" s="253" t="s">
        <v>144</v>
      </c>
      <c r="BG4" s="254" t="s">
        <v>142</v>
      </c>
      <c r="BH4" s="302"/>
      <c r="BI4" s="303"/>
      <c r="BJ4" s="303"/>
      <c r="BK4" s="304"/>
    </row>
    <row r="5" spans="1:67" s="237" customFormat="1" ht="90" x14ac:dyDescent="0.25">
      <c r="A5" s="612" t="s">
        <v>149</v>
      </c>
      <c r="B5" s="613">
        <f ca="1">IF(Kalkulátor!G10&gt;47,47,Kalkulátor!G10)</f>
        <v>20</v>
      </c>
      <c r="C5" s="238"/>
      <c r="E5" s="239"/>
      <c r="F5" s="240" t="s">
        <v>150</v>
      </c>
      <c r="G5" s="614">
        <f ca="1">PM!B105</f>
        <v>360000</v>
      </c>
      <c r="H5" s="602" t="s">
        <v>151</v>
      </c>
      <c r="I5" s="615">
        <f ca="1">PM!C105</f>
        <v>3.5000000000000003E-2</v>
      </c>
      <c r="J5" s="616" t="s">
        <v>152</v>
      </c>
      <c r="K5" s="239"/>
      <c r="L5" s="239"/>
      <c r="M5" s="598" t="s">
        <v>313</v>
      </c>
      <c r="N5" s="598" t="s">
        <v>315</v>
      </c>
      <c r="O5" s="598" t="s">
        <v>330</v>
      </c>
      <c r="P5" s="598" t="s">
        <v>334</v>
      </c>
      <c r="Q5" s="239"/>
      <c r="R5" s="617" t="s">
        <v>153</v>
      </c>
      <c r="S5" s="618" t="s">
        <v>154</v>
      </c>
      <c r="T5" s="619" t="s">
        <v>155</v>
      </c>
      <c r="U5" s="619" t="s">
        <v>156</v>
      </c>
      <c r="V5" s="620" t="s">
        <v>157</v>
      </c>
      <c r="W5" s="621" t="s">
        <v>158</v>
      </c>
      <c r="X5" s="531" t="s">
        <v>335</v>
      </c>
      <c r="Y5" s="532" t="s">
        <v>336</v>
      </c>
      <c r="Z5" s="531" t="s">
        <v>337</v>
      </c>
      <c r="AA5" s="541" t="s">
        <v>338</v>
      </c>
      <c r="AB5" s="532" t="s">
        <v>339</v>
      </c>
      <c r="AC5" s="532" t="s">
        <v>340</v>
      </c>
      <c r="AD5" s="557" t="s">
        <v>341</v>
      </c>
      <c r="AE5" s="622" t="s">
        <v>159</v>
      </c>
      <c r="AF5" s="623" t="s">
        <v>160</v>
      </c>
      <c r="AG5" s="621" t="s">
        <v>161</v>
      </c>
      <c r="AH5" s="624" t="s">
        <v>162</v>
      </c>
      <c r="AI5" s="625" t="s">
        <v>163</v>
      </c>
      <c r="AJ5" s="625" t="s">
        <v>164</v>
      </c>
      <c r="AK5" s="619" t="s">
        <v>165</v>
      </c>
      <c r="AL5" s="619" t="s">
        <v>157</v>
      </c>
      <c r="AM5" s="626" t="s">
        <v>166</v>
      </c>
      <c r="AN5" s="619" t="s">
        <v>167</v>
      </c>
      <c r="AO5" s="627">
        <v>0</v>
      </c>
      <c r="AP5" s="627">
        <v>12</v>
      </c>
      <c r="AQ5" s="628"/>
      <c r="AR5" s="629"/>
      <c r="AS5" s="629"/>
      <c r="AT5" s="629"/>
      <c r="AU5" s="629"/>
      <c r="AV5" s="630">
        <v>0</v>
      </c>
      <c r="AW5" s="628"/>
      <c r="AX5" s="631"/>
      <c r="AY5" s="632"/>
      <c r="AZ5" s="629"/>
      <c r="BA5" s="633" t="b">
        <f ca="1">AND(AT6,AU6)</f>
        <v>0</v>
      </c>
      <c r="BB5" s="629"/>
      <c r="BC5" s="629"/>
      <c r="BD5" s="629"/>
      <c r="BE5" s="630">
        <v>0</v>
      </c>
      <c r="BF5" s="628"/>
      <c r="BG5" s="631"/>
      <c r="BH5" s="654" t="s">
        <v>207</v>
      </c>
      <c r="BI5" s="654" t="s">
        <v>208</v>
      </c>
      <c r="BJ5" s="654" t="s">
        <v>250</v>
      </c>
      <c r="BK5" s="654" t="s">
        <v>251</v>
      </c>
      <c r="BL5" s="655" t="s">
        <v>1</v>
      </c>
      <c r="BM5" s="655" t="s">
        <v>348</v>
      </c>
      <c r="BN5" s="656" t="s">
        <v>349</v>
      </c>
      <c r="BO5" s="656" t="s">
        <v>350</v>
      </c>
    </row>
    <row r="6" spans="1:67" x14ac:dyDescent="0.25">
      <c r="A6" s="378" t="s">
        <v>168</v>
      </c>
      <c r="B6" s="377">
        <v>35</v>
      </c>
      <c r="C6" s="52"/>
      <c r="D6" s="52"/>
      <c r="F6" s="41" t="s">
        <v>169</v>
      </c>
      <c r="G6" s="603">
        <f ca="1">PM!B106</f>
        <v>480000</v>
      </c>
      <c r="H6" s="601" t="s">
        <v>170</v>
      </c>
      <c r="I6" s="605">
        <f ca="1">PM!C106</f>
        <v>0.04</v>
      </c>
      <c r="J6" s="26">
        <f t="shared" ref="J6:J52" ca="1" si="1">Pr*(1+Ind)^($R6-1)*$AN6</f>
        <v>150000</v>
      </c>
      <c r="K6" s="325"/>
      <c r="L6" s="500"/>
      <c r="M6" s="504">
        <f ca="1">OFFSET(exportTABLES!$A$1,          MATCH(Ért&amp;$R6,exportTABLES!$A:$A,0)-1,       MATCH(IF(TartamVálasztott&gt;20,20, TartamVálasztott),        exportTABLES!$3:$3,       0)-1)</f>
        <v>2.0000000000000018E-2</v>
      </c>
      <c r="N6" s="503">
        <v>0</v>
      </c>
      <c r="O6" s="504">
        <f t="shared" ref="O6:O52" ca="1" si="2">($R6&lt;=Term) * (IF((CAP=3)*(Pr*(1+Ind)^($R6-1)*$AN6&gt;=PrLim),VLOOKUP(Pr*(1+Ind)^($R6-1)*$AN6,$G$2:$I$7,3,TRUE),
(CAP&gt;=1)*
          IF(Pr*MIN($AN6,IF(CAP=2,$AN6,1))&lt;BL.1,0, IF(Pr*MIN($AN6,IF(CAP=2,$AN6,1))&lt;BL.2,B.1, IF(Pr*MIN($AN6,IF(CAP=2,$AN6,1))&lt;BL.3,B.2, IF(Pr*MIN($AN6,IF(CAP=2,$AN6,1))&lt;BL.4,B.3,IF(Pr*MIN($AN6,IF(CAP=2,$AN6,1))&lt;BL.5,B.4, IF(Pr*MIN($AN6,IF(CAP=2,$AN6,1))&lt;BL.6,B.5,B.6 ))) ) ) ) +
(CAP=0)*IF(Pr*(1+Ind)^($R6-1)*$AN6&lt;BL.1,0, IF(Pr*(1+Ind)^($R6-1)*$AN6&lt;BL.2,B.1, IF(Pr*(1+Ind)^($R6-1)*$AN6&lt;BL.3,B.2, IF(Pr*(1+Ind)^($R6-1)*$AN6&lt;BL.4,B.3, IF(Pr*(1+Ind)^($R6-1)*$AN6&lt;BL.5,B.4, IF(Pr*(1+Ind)^($R6-1)*$AN6&lt;BL.6,B.5, B.6))) ) ) )
))</f>
        <v>0</v>
      </c>
      <c r="P6" s="504">
        <f t="shared" ref="P6:P52" ca="1" si="3">($R6&lt;=TartamVálasztott) *FizMódBonus</f>
        <v>0.01</v>
      </c>
      <c r="R6" s="53">
        <v>1</v>
      </c>
      <c r="S6" s="54">
        <v>0</v>
      </c>
      <c r="T6" s="55">
        <f>IF(TKM=0,yields!B2,yields!C2)</f>
        <v>0.05</v>
      </c>
      <c r="U6" s="55"/>
      <c r="V6" s="56"/>
      <c r="W6" s="57"/>
      <c r="X6" s="529">
        <f ca="1">INDEX(PPM,MATCH("DKK 1",PPM!$B:$B,0),MATCH(Termékkód,PPM!$2:$2,0))</f>
        <v>0.8</v>
      </c>
      <c r="Y6" s="587">
        <f ca="1">SUM($N6:$P6)+IF(RoundSwitch=0,#REF!,$M6)</f>
        <v>3.000000000000002E-2</v>
      </c>
      <c r="Z6" s="571">
        <v>0</v>
      </c>
      <c r="AA6" s="561">
        <f>$Z6</f>
        <v>0</v>
      </c>
      <c r="AB6" s="571">
        <v>0</v>
      </c>
      <c r="AC6" s="561">
        <v>0</v>
      </c>
      <c r="AD6" s="564">
        <v>0</v>
      </c>
      <c r="AE6" s="58">
        <f t="shared" ref="AE6:AE52" si="4">T6</f>
        <v>0.05</v>
      </c>
      <c r="AF6" s="59">
        <f t="shared" ref="AF6:AF52" si="5">(1+$AE6)^(1/12)-1</f>
        <v>4.0741237836483535E-3</v>
      </c>
      <c r="AG6" s="60"/>
      <c r="AH6" s="542">
        <v>0</v>
      </c>
      <c r="AI6" s="61"/>
      <c r="AJ6" s="61">
        <f>(1+$T6)^(1/12)</f>
        <v>1.0040741237836484</v>
      </c>
      <c r="AK6" s="62"/>
      <c r="AL6" s="62"/>
      <c r="AM6" s="63">
        <v>0</v>
      </c>
      <c r="AN6" s="62">
        <v>1</v>
      </c>
      <c r="AO6" s="64">
        <f t="shared" ref="AO6:AO69" si="6">IF(AP5=12,AO5+1,AO5)</f>
        <v>1</v>
      </c>
      <c r="AP6" s="64">
        <f t="shared" ref="AP6:AP69" si="7">IF(AP5&lt;12,AP5+1,1)</f>
        <v>1</v>
      </c>
      <c r="AQ6" s="65">
        <f ca="1">IF( ($AO6*12+$AP6) &gt; (12*(Term+1) ), 0,
IF( OR(Freq=12,
                    MOD($AP6,12/Freq)=1),
          Pr*(1+Ind)^($AO6-1)/Freq,
          0) *VLOOKUP($AO6,Pars,23)
)</f>
        <v>37500</v>
      </c>
      <c r="AR6" s="66">
        <f t="shared" ref="AR6:AR69" ca="1" si="8">IF( ($AO6*12+$AP6) &gt; (12*(Term+1) ), 0,
$AQ6*(1-VLOOKUP($AO6,Pars,7))
)</f>
        <v>7499.9999999999982</v>
      </c>
      <c r="AS6" s="67">
        <f t="shared" ref="AS6:AS69" ca="1" si="9">IF( ($AO6*12+$AP6) &gt; (12*(Term+1) ), 0,
($AV5+$AR6)*IF(OR(TKM=0,TKM=2),VLOOKUP($AO6,Pars,15),TKMm)
)</f>
        <v>30.555928377362644</v>
      </c>
      <c r="AT6" s="66">
        <f ca="1">IF( ($AO6*12+$AP6) &gt; (12*(Term+1) ), 0,
$AV5+$AR6+$AS6
)</f>
        <v>7530.5559283773609</v>
      </c>
      <c r="AU6" s="66">
        <f t="shared" ref="AU6:AU69" ca="1" si="10">$BD6*(1-LBe)</f>
        <v>0</v>
      </c>
      <c r="AV6" s="68">
        <f t="shared" ref="AV6:AV69" ca="1" si="11">IF( ($AO6*12+$AP6) &gt; (12*(Term+1) ), 0,
($AT6-$AW6) +$AU6
)</f>
        <v>7530.5559283773609</v>
      </c>
      <c r="AW6" s="65">
        <f t="shared" ref="AW6:AW69" ca="1" si="12">$AT6* ( VLOOKUP($AO6,Pars,9) /12 )</f>
        <v>0</v>
      </c>
      <c r="AX6" s="69">
        <f t="shared" ref="AX6:AX69" ca="1" si="13">$AQ6*VLOOKUP($AO6,Pars,7)</f>
        <v>30000</v>
      </c>
      <c r="AY6" s="70">
        <f t="shared" ref="AY6:AY69" ca="1" si="14">$AQ6*VLOOKUP($AO6,Pars,8)</f>
        <v>1125.0000000000007</v>
      </c>
      <c r="AZ6" s="67">
        <f t="shared" ref="AZ6:AZ69" ca="1" si="15">($BE5+$AY6)*IF(OR(TKM=0,TKM=2),VLOOKUP($AO6,Pars,15),TKMm)</f>
        <v>4.5833892566044003</v>
      </c>
      <c r="BA6" s="66">
        <f t="shared" ref="BA6:BA69" ca="1" si="16">$AT6* ( VLOOKUP($AO6,Pars,11) /12 )</f>
        <v>0</v>
      </c>
      <c r="BB6" s="66">
        <f t="shared" ref="BB6:BB69" ca="1" si="17">$BC6* ( VLOOKUP($AO6,Pars,12) /12 )</f>
        <v>0</v>
      </c>
      <c r="BC6" s="66">
        <f t="shared" ref="BC6:BC69" ca="1" si="18">$BE5+$AY6+$AZ6</f>
        <v>1129.5833892566052</v>
      </c>
      <c r="BD6" s="66">
        <f t="shared" ref="BD6:BD69" ca="1" si="19">($BC6 -$BF6 +($BA6+$BB6) ) * IF($AP6=12,VLOOKUP($AO6,Pars,13),0)</f>
        <v>0</v>
      </c>
      <c r="BE6" s="71">
        <f ca="1">$BC6 -$BF6 +($BA6+$BB6) -$BD6</f>
        <v>1129.5833892566052</v>
      </c>
      <c r="BF6" s="65">
        <f t="shared" ref="BF6:BF69" ca="1" si="20">$BC6* ( VLOOKUP($AO6,Pars,10) /12 )</f>
        <v>0</v>
      </c>
      <c r="BG6" s="69">
        <f t="shared" ref="BG6:BG69" ca="1" si="21">BD6*LBe</f>
        <v>0</v>
      </c>
      <c r="BL6" s="28">
        <f ca="1">YEAR(Kezdet)</f>
        <v>2017</v>
      </c>
      <c r="BM6" s="28">
        <f ca="1">MONTH(Kezdet)</f>
        <v>2</v>
      </c>
      <c r="BN6" s="236">
        <f t="shared" ref="BN6:BN7" ca="1" si="22">IF(BM6=12,SUMIF(BL:BL,BL6,AQ:AQ),0)</f>
        <v>0</v>
      </c>
      <c r="BO6" s="236">
        <f t="shared" ref="BO6:BO69" ca="1" si="23">MIN(BN6*0.2,130000)</f>
        <v>0</v>
      </c>
    </row>
    <row r="7" spans="1:67" ht="15.75" thickBot="1" x14ac:dyDescent="0.3">
      <c r="C7" s="52"/>
      <c r="D7" s="52"/>
      <c r="F7" s="41" t="s">
        <v>171</v>
      </c>
      <c r="G7" s="603">
        <f ca="1">PM!B107</f>
        <v>600000</v>
      </c>
      <c r="H7" s="601" t="s">
        <v>172</v>
      </c>
      <c r="I7" s="605">
        <f ca="1">PM!C107</f>
        <v>0.04</v>
      </c>
      <c r="J7" s="26">
        <f t="shared" ca="1" si="1"/>
        <v>153750</v>
      </c>
      <c r="K7" s="325"/>
      <c r="L7" s="500"/>
      <c r="M7" s="504">
        <f ca="1">OFFSET(exportTABLES!$A$1,          MATCH(Ért&amp;$R7,exportTABLES!$A:$A,0)-1,       MATCH(IF(TartamVálasztott&gt;20,20, TartamVálasztott),        exportTABLES!$3:$3,       0)-1)</f>
        <v>2.0000000000000018E-2</v>
      </c>
      <c r="N7" s="503">
        <v>0</v>
      </c>
      <c r="O7" s="504">
        <f t="shared" ca="1" si="2"/>
        <v>0</v>
      </c>
      <c r="P7" s="504">
        <f t="shared" ca="1" si="3"/>
        <v>0.01</v>
      </c>
      <c r="R7" s="72">
        <f t="shared" ref="R7:R52" si="24">R6+1</f>
        <v>2</v>
      </c>
      <c r="S7" s="73">
        <f ca="1">$B$12</f>
        <v>0</v>
      </c>
      <c r="T7" s="74">
        <f>IF(TKM=0,yields!B3,yields!C3)</f>
        <v>0.05</v>
      </c>
      <c r="U7" s="74"/>
      <c r="V7" s="75"/>
      <c r="W7" s="76"/>
      <c r="X7" s="529">
        <f ca="1">INDEX(PPM,MATCH("DKK 2",PPM!$B:$B,0),MATCH(Termékkód,PPM!$2:$2,0))</f>
        <v>0.5</v>
      </c>
      <c r="Y7" s="576">
        <f ca="1">SUM($N7:$P7)+IF(RoundSwitch=0,#REF!,$M7)</f>
        <v>3.000000000000002E-2</v>
      </c>
      <c r="Z7" s="572">
        <v>0</v>
      </c>
      <c r="AA7" s="562">
        <f t="shared" ref="AA7" si="25">$Z7</f>
        <v>0</v>
      </c>
      <c r="AB7" s="572">
        <v>0</v>
      </c>
      <c r="AC7" s="562">
        <v>0</v>
      </c>
      <c r="AD7" s="565">
        <v>0</v>
      </c>
      <c r="AE7" s="77">
        <f t="shared" si="4"/>
        <v>0.05</v>
      </c>
      <c r="AF7" s="78">
        <f t="shared" si="5"/>
        <v>4.0741237836483535E-3</v>
      </c>
      <c r="AG7" s="79"/>
      <c r="AH7" s="543">
        <v>0</v>
      </c>
      <c r="AI7" s="80"/>
      <c r="AJ7" s="80">
        <f t="shared" ref="AJ7:AJ52" si="26">(1+$T7)^(1/12)</f>
        <v>1.0040741237836484</v>
      </c>
      <c r="AK7" s="81"/>
      <c r="AL7" s="81"/>
      <c r="AM7" s="63">
        <v>0</v>
      </c>
      <c r="AN7" s="81">
        <f>AN6*(1+AM7)</f>
        <v>1</v>
      </c>
      <c r="AO7" s="64">
        <f t="shared" si="6"/>
        <v>1</v>
      </c>
      <c r="AP7" s="64">
        <f t="shared" si="7"/>
        <v>2</v>
      </c>
      <c r="AQ7" s="65">
        <f t="shared" ref="AQ7:AQ70" ca="1" si="27">IF( ($AO7*12+$AP7) &gt; (12*(Term+1) ), 0,
IF( OR(Freq=12, MOD($AP7,12/Freq)=1), Pr*(1+Ind)^($AO7-1)/Freq, 0) *VLOOKUP($AO7,Pars,23)
)</f>
        <v>0</v>
      </c>
      <c r="AR7" s="66">
        <f t="shared" ca="1" si="8"/>
        <v>0</v>
      </c>
      <c r="AS7" s="66">
        <f t="shared" ca="1" si="9"/>
        <v>30.680417011896314</v>
      </c>
      <c r="AT7" s="66">
        <f t="shared" ref="AT7:AT69" ca="1" si="28">IF( ($AO7*12+$AP7) &gt; (12*(Term+1) ), 0,
$AV6+$AR7+$AS7
)</f>
        <v>7561.2363453892576</v>
      </c>
      <c r="AU7" s="66">
        <f t="shared" ca="1" si="10"/>
        <v>0</v>
      </c>
      <c r="AV7" s="68">
        <f t="shared" ca="1" si="11"/>
        <v>7561.2363453892576</v>
      </c>
      <c r="AW7" s="65">
        <f t="shared" ca="1" si="12"/>
        <v>0</v>
      </c>
      <c r="AX7" s="69">
        <f t="shared" ca="1" si="13"/>
        <v>0</v>
      </c>
      <c r="AY7" s="70">
        <f t="shared" ca="1" si="14"/>
        <v>0</v>
      </c>
      <c r="AZ7" s="66">
        <f t="shared" ca="1" si="15"/>
        <v>4.6020625517844511</v>
      </c>
      <c r="BA7" s="66">
        <f t="shared" ca="1" si="16"/>
        <v>0</v>
      </c>
      <c r="BB7" s="66">
        <f t="shared" ca="1" si="17"/>
        <v>0</v>
      </c>
      <c r="BC7" s="66">
        <f t="shared" ca="1" si="18"/>
        <v>1134.1854518083896</v>
      </c>
      <c r="BD7" s="66">
        <f t="shared" ca="1" si="19"/>
        <v>0</v>
      </c>
      <c r="BE7" s="71">
        <f ca="1">($BC7 -$BF7 +($BA7+$BB7)) -$BD7</f>
        <v>1134.1854518083896</v>
      </c>
      <c r="BF7" s="65">
        <f t="shared" ca="1" si="20"/>
        <v>0</v>
      </c>
      <c r="BG7" s="69">
        <f t="shared" ca="1" si="21"/>
        <v>0</v>
      </c>
      <c r="BH7" s="301">
        <f t="shared" ref="BH7:BH70" ca="1" si="29">IF(AND(BM7=AdóHó,AO7&lt;=TartamVálasztott),MIN(SUMIF(BL:BL,BL7-1,AQ:AQ)*0.2,130000),0)+IF(AND(AO7=TartamVálasztott,AP7=12),MIN(SUMIF(BL:BL,BL7,AQ:AQ)*0.2,130000),0)</f>
        <v>0</v>
      </c>
      <c r="BI7" s="300">
        <f ca="1">IF(AO7&gt;TartamVálasztott,0,   (BI6+BH7)*(1+yields!$D$2)*(1-(0.0099/12)))</f>
        <v>0</v>
      </c>
      <c r="BJ7" s="300">
        <f ca="1">SUM(BH$6:BH7)*-1.2</f>
        <v>0</v>
      </c>
      <c r="BK7" s="300">
        <f t="shared" ref="BK7:BK22" ca="1" si="30">BI7+BJ7</f>
        <v>0</v>
      </c>
      <c r="BL7" s="28">
        <f ca="1">IF(BM6=12,BL6+1,BL6)</f>
        <v>2017</v>
      </c>
      <c r="BM7" s="28">
        <f ca="1">IF(BM6=12,1,BM6+1)</f>
        <v>3</v>
      </c>
      <c r="BN7" s="236">
        <f t="shared" ca="1" si="22"/>
        <v>0</v>
      </c>
      <c r="BO7" s="236">
        <f t="shared" ca="1" si="23"/>
        <v>0</v>
      </c>
    </row>
    <row r="8" spans="1:67" ht="16.5" thickTop="1" thickBot="1" x14ac:dyDescent="0.3">
      <c r="A8" s="666" t="s">
        <v>351</v>
      </c>
      <c r="B8" s="672">
        <f ca="1">INDEX(PPM,MATCH(A8,PPM!C:C,0),MATCH(Termékkód,PPM!$2:$2,0))</f>
        <v>24000</v>
      </c>
      <c r="F8" s="599" t="s">
        <v>173</v>
      </c>
      <c r="G8" s="608">
        <f ca="1">INDEX(PPM,MATCH(F8,PPM!$C:$C,0),MATCH(Termékkód,PPM!$2:$2,0))</f>
        <v>3</v>
      </c>
      <c r="H8" s="82" t="s">
        <v>174</v>
      </c>
      <c r="I8" s="609">
        <f ca="1">INDEX(PPM,MATCH(H8,PPM!$C:$C,0),MATCH(Termékkód,PPM!$2:$2,0))</f>
        <v>480000</v>
      </c>
      <c r="J8" s="51">
        <f t="shared" ca="1" si="1"/>
        <v>157593.75</v>
      </c>
      <c r="K8" s="325"/>
      <c r="L8" s="500"/>
      <c r="M8" s="504">
        <f ca="1">OFFSET(exportTABLES!$A$1,          MATCH(Ért&amp;$R8,exportTABLES!$A:$A,0)-1,       MATCH(IF(TartamVálasztott&gt;20,20, TartamVálasztott),        exportTABLES!$3:$3,       0)-1)</f>
        <v>2.9999999999999971E-2</v>
      </c>
      <c r="N8" s="503">
        <v>0</v>
      </c>
      <c r="O8" s="504">
        <f t="shared" ca="1" si="2"/>
        <v>0</v>
      </c>
      <c r="P8" s="504">
        <f t="shared" ca="1" si="3"/>
        <v>0.01</v>
      </c>
      <c r="R8" s="83">
        <f t="shared" si="24"/>
        <v>3</v>
      </c>
      <c r="S8" s="84">
        <f t="shared" ref="S8:S52" ca="1" si="31">S7</f>
        <v>0</v>
      </c>
      <c r="T8" s="85">
        <f>IF(TKM=0,yields!B4,yields!C4)</f>
        <v>0.05</v>
      </c>
      <c r="U8" s="85"/>
      <c r="V8" s="86"/>
      <c r="W8" s="87"/>
      <c r="X8" s="529">
        <f ca="1">INDEX(PPM,MATCH("DKK 3",PPM!$B:$B,0),MATCH(Termékkód,PPM!$2:$2,0))</f>
        <v>0.2</v>
      </c>
      <c r="Y8" s="588">
        <f ca="1">SUM($N8:$P8)+IF(RoundSwitch=0,#REF!,$M8)</f>
        <v>3.9999999999999973E-2</v>
      </c>
      <c r="Z8" s="573">
        <v>0</v>
      </c>
      <c r="AA8" s="563">
        <f>$Z8</f>
        <v>0</v>
      </c>
      <c r="AB8" s="573">
        <v>0</v>
      </c>
      <c r="AC8" s="563">
        <v>0</v>
      </c>
      <c r="AD8" s="566">
        <v>0</v>
      </c>
      <c r="AE8" s="88">
        <f t="shared" si="4"/>
        <v>0.05</v>
      </c>
      <c r="AF8" s="89">
        <f t="shared" si="5"/>
        <v>4.0741237836483535E-3</v>
      </c>
      <c r="AG8" s="90"/>
      <c r="AH8" s="544">
        <v>0</v>
      </c>
      <c r="AI8" s="91"/>
      <c r="AJ8" s="91">
        <f t="shared" si="26"/>
        <v>1.0040741237836484</v>
      </c>
      <c r="AK8" s="92"/>
      <c r="AL8" s="92"/>
      <c r="AM8" s="93">
        <v>0</v>
      </c>
      <c r="AN8" s="92">
        <f t="shared" ref="AN8:AN52" si="32">AN7*(1+AM8)</f>
        <v>1</v>
      </c>
      <c r="AO8" s="64">
        <f t="shared" si="6"/>
        <v>1</v>
      </c>
      <c r="AP8" s="64">
        <f t="shared" si="7"/>
        <v>3</v>
      </c>
      <c r="AQ8" s="65">
        <f t="shared" ca="1" si="27"/>
        <v>0</v>
      </c>
      <c r="AR8" s="66">
        <f t="shared" ca="1" si="8"/>
        <v>0</v>
      </c>
      <c r="AS8" s="66">
        <f t="shared" ca="1" si="9"/>
        <v>30.805412828536731</v>
      </c>
      <c r="AT8" s="66">
        <f t="shared" ca="1" si="28"/>
        <v>7592.0417582177943</v>
      </c>
      <c r="AU8" s="66">
        <f t="shared" ca="1" si="10"/>
        <v>0</v>
      </c>
      <c r="AV8" s="68">
        <f t="shared" ca="1" si="11"/>
        <v>7592.0417582177943</v>
      </c>
      <c r="AW8" s="65">
        <f t="shared" ca="1" si="12"/>
        <v>0</v>
      </c>
      <c r="AX8" s="69">
        <f t="shared" ca="1" si="13"/>
        <v>0</v>
      </c>
      <c r="AY8" s="70">
        <f t="shared" ca="1" si="14"/>
        <v>0</v>
      </c>
      <c r="AZ8" s="66">
        <f t="shared" ca="1" si="15"/>
        <v>4.6208119242805141</v>
      </c>
      <c r="BA8" s="66">
        <f t="shared" ca="1" si="16"/>
        <v>0</v>
      </c>
      <c r="BB8" s="66">
        <f t="shared" ca="1" si="17"/>
        <v>0</v>
      </c>
      <c r="BC8" s="66">
        <f t="shared" ca="1" si="18"/>
        <v>1138.8062637326702</v>
      </c>
      <c r="BD8" s="66">
        <f t="shared" ca="1" si="19"/>
        <v>0</v>
      </c>
      <c r="BE8" s="71">
        <f t="shared" ref="BE8:BE71" ca="1" si="33">$BC8 -$BF8 +($BA8+$BB8) -$BD8</f>
        <v>1138.8062637326702</v>
      </c>
      <c r="BF8" s="65">
        <f t="shared" ca="1" si="20"/>
        <v>0</v>
      </c>
      <c r="BG8" s="69">
        <f t="shared" ca="1" si="21"/>
        <v>0</v>
      </c>
      <c r="BH8" s="301">
        <f t="shared" ca="1" si="29"/>
        <v>0</v>
      </c>
      <c r="BI8" s="300">
        <f ca="1">IF(AO8&gt;TartamVálasztott,0,   (BI7+BH8)*(1+yields!$D$2)*(1-(0.0099/12)))</f>
        <v>0</v>
      </c>
      <c r="BJ8" s="300">
        <f ca="1">SUM(BH$6:BH8)*-1.2</f>
        <v>0</v>
      </c>
      <c r="BK8" s="300">
        <f t="shared" ca="1" si="30"/>
        <v>0</v>
      </c>
      <c r="BL8" s="28">
        <f t="shared" ref="BL8:BL17" ca="1" si="34">IF(BM7=12,BL7+1,BL7)</f>
        <v>2017</v>
      </c>
      <c r="BM8" s="28">
        <f t="shared" ref="BM8:BM71" ca="1" si="35">IF(BM7=12,1,BM7+1)</f>
        <v>4</v>
      </c>
      <c r="BN8" s="236">
        <f t="shared" ref="BN8:BN71" ca="1" si="36">IF(BM8=12,SUMIF(BL:BL,BL8,AQ:AQ),0)</f>
        <v>0</v>
      </c>
      <c r="BO8" s="236">
        <f t="shared" ca="1" si="23"/>
        <v>0</v>
      </c>
    </row>
    <row r="9" spans="1:67" ht="15.75" thickTop="1" x14ac:dyDescent="0.25">
      <c r="A9" s="667" t="s">
        <v>352</v>
      </c>
      <c r="B9" s="672">
        <f ca="1">INDEX(PPM,MATCH(A9,PPM!C:C,0),MATCH(Termékkód,PPM!$2:$2,0))</f>
        <v>13400</v>
      </c>
      <c r="C9" s="375" t="s">
        <v>175</v>
      </c>
      <c r="D9" s="391">
        <f ca="1">INDEX(PPM,MATCH(C9,PPM!$C:$C,0),MATCH(Termékkód,PPM!$2:$2,0))</f>
        <v>6.5000000000000002E-2</v>
      </c>
      <c r="J9" s="26">
        <f t="shared" ca="1" si="1"/>
        <v>161533.59374999997</v>
      </c>
      <c r="K9" s="325"/>
      <c r="L9" s="500"/>
      <c r="M9" s="504">
        <f ca="1">OFFSET(exportTABLES!$A$1,          MATCH(Ért&amp;$R9,exportTABLES!$A:$A,0)-1,       MATCH(IF(TartamVálasztott&gt;20,20, TartamVálasztott),        exportTABLES!$3:$3,       0)-1)</f>
        <v>0.01</v>
      </c>
      <c r="N9" s="504">
        <f ca="1">IF(R9&lt;=Term,    INDEX(PPM,MATCH("DRK VB",PPM!$B:$B,0),MATCH(Termékkód,PPM!$2:$2,0)),    0)</f>
        <v>7.4999999999999997E-2</v>
      </c>
      <c r="O9" s="504">
        <f t="shared" ca="1" si="2"/>
        <v>0</v>
      </c>
      <c r="P9" s="504">
        <f t="shared" ca="1" si="3"/>
        <v>0.01</v>
      </c>
      <c r="R9" s="72">
        <f t="shared" si="24"/>
        <v>4</v>
      </c>
      <c r="S9" s="94">
        <f t="shared" ca="1" si="31"/>
        <v>0</v>
      </c>
      <c r="T9" s="74">
        <f>IF(TKM=0,yields!B5,yields!C5)</f>
        <v>0.05</v>
      </c>
      <c r="U9" s="74"/>
      <c r="V9" s="75"/>
      <c r="W9" s="76"/>
      <c r="X9" s="529">
        <f ca="1">INDEX(PPM,MATCH("DrK 420",PPM!$B:$B,0),MATCH(Termékkód,PPM!$2:$2,0))</f>
        <v>0.15</v>
      </c>
      <c r="Y9" s="589">
        <f ca="1">SUM($N9:$P9)+IF(RoundSwitch=0,#REF!,$M9)</f>
        <v>9.4999999999999987E-2</v>
      </c>
      <c r="Z9" s="529">
        <f ca="1">$D$12 + (TKM=0)*($D$13-$D$12)</f>
        <v>2.9000000000000001E-2</v>
      </c>
      <c r="AA9" s="574">
        <f t="shared" ref="AA9:AA24" ca="1" si="37">$Z9</f>
        <v>2.9000000000000001E-2</v>
      </c>
      <c r="AB9" s="575">
        <v>5.0000000000000001E-3</v>
      </c>
      <c r="AC9" s="576">
        <f>AB9</f>
        <v>5.0000000000000001E-3</v>
      </c>
      <c r="AD9" s="567">
        <v>0</v>
      </c>
      <c r="AE9" s="558">
        <f t="shared" si="4"/>
        <v>0.05</v>
      </c>
      <c r="AF9" s="78">
        <f t="shared" si="5"/>
        <v>4.0741237836483535E-3</v>
      </c>
      <c r="AG9" s="79"/>
      <c r="AH9" s="543">
        <v>0</v>
      </c>
      <c r="AI9" s="80"/>
      <c r="AJ9" s="80">
        <f t="shared" si="26"/>
        <v>1.0040741237836484</v>
      </c>
      <c r="AK9" s="81"/>
      <c r="AL9" s="81"/>
      <c r="AM9" s="95">
        <v>0</v>
      </c>
      <c r="AN9" s="81">
        <f t="shared" si="32"/>
        <v>1</v>
      </c>
      <c r="AO9" s="64">
        <f t="shared" si="6"/>
        <v>1</v>
      </c>
      <c r="AP9" s="64">
        <f t="shared" si="7"/>
        <v>4</v>
      </c>
      <c r="AQ9" s="65">
        <f t="shared" ca="1" si="27"/>
        <v>37500</v>
      </c>
      <c r="AR9" s="66">
        <f t="shared" ca="1" si="8"/>
        <v>7499.9999999999982</v>
      </c>
      <c r="AS9" s="66">
        <f t="shared" ca="1" si="9"/>
        <v>61.486846270969224</v>
      </c>
      <c r="AT9" s="66">
        <f t="shared" ca="1" si="28"/>
        <v>15153.528604488762</v>
      </c>
      <c r="AU9" s="66">
        <f t="shared" ca="1" si="10"/>
        <v>0</v>
      </c>
      <c r="AV9" s="68">
        <f t="shared" ca="1" si="11"/>
        <v>15153.528604488762</v>
      </c>
      <c r="AW9" s="65">
        <f t="shared" ca="1" si="12"/>
        <v>0</v>
      </c>
      <c r="AX9" s="69">
        <f t="shared" ca="1" si="13"/>
        <v>30000</v>
      </c>
      <c r="AY9" s="70">
        <f t="shared" ca="1" si="14"/>
        <v>1125.0000000000007</v>
      </c>
      <c r="AZ9" s="66">
        <f t="shared" ca="1" si="15"/>
        <v>9.2230269406453917</v>
      </c>
      <c r="BA9" s="66">
        <f t="shared" ca="1" si="16"/>
        <v>0</v>
      </c>
      <c r="BB9" s="66">
        <f t="shared" ca="1" si="17"/>
        <v>0</v>
      </c>
      <c r="BC9" s="66">
        <f t="shared" ca="1" si="18"/>
        <v>2273.0292906733166</v>
      </c>
      <c r="BD9" s="66">
        <f t="shared" ca="1" si="19"/>
        <v>0</v>
      </c>
      <c r="BE9" s="71">
        <f t="shared" ca="1" si="33"/>
        <v>2273.0292906733166</v>
      </c>
      <c r="BF9" s="65">
        <f t="shared" ca="1" si="20"/>
        <v>0</v>
      </c>
      <c r="BG9" s="69">
        <f t="shared" ca="1" si="21"/>
        <v>0</v>
      </c>
      <c r="BH9" s="301">
        <f t="shared" ca="1" si="29"/>
        <v>0</v>
      </c>
      <c r="BI9" s="300">
        <f ca="1">IF(AO9&gt;TartamVálasztott,0,   (BI8+BH9)*(1+yields!$D$2)*(1-(0.0099/12)))</f>
        <v>0</v>
      </c>
      <c r="BJ9" s="300">
        <f ca="1">SUM(BH$6:BH9)*-1.2</f>
        <v>0</v>
      </c>
      <c r="BK9" s="300">
        <f t="shared" ca="1" si="30"/>
        <v>0</v>
      </c>
      <c r="BL9" s="28">
        <f t="shared" ca="1" si="34"/>
        <v>2017</v>
      </c>
      <c r="BM9" s="28">
        <f t="shared" ca="1" si="35"/>
        <v>5</v>
      </c>
      <c r="BN9" s="236">
        <f t="shared" ca="1" si="36"/>
        <v>0</v>
      </c>
      <c r="BO9" s="236">
        <f t="shared" ca="1" si="23"/>
        <v>0</v>
      </c>
    </row>
    <row r="10" spans="1:67" ht="15.75" thickBot="1" x14ac:dyDescent="0.3">
      <c r="A10" s="96" t="s">
        <v>176</v>
      </c>
      <c r="B10" s="391">
        <f ca="1">INDEX(PPM,MATCH(A10,PPM!C:C,0),MATCH(Termékkód,PPM!$2:$2,0))</f>
        <v>0.65</v>
      </c>
      <c r="C10" s="375" t="s">
        <v>177</v>
      </c>
      <c r="D10" s="391">
        <f ca="1">INDEX(PPM,MATCH(C10,PPM!$C:$C,0),MATCH(Termékkód,PPM!$2:$2,0))</f>
        <v>6.5000000000000002E-2</v>
      </c>
      <c r="J10" s="51">
        <f t="shared" ca="1" si="1"/>
        <v>165571.93359374997</v>
      </c>
      <c r="K10" s="325"/>
      <c r="L10" s="500"/>
      <c r="M10" s="597">
        <f ca="1">OFFSET(exportTABLES!$A$1,          MATCH(Ért&amp;$R10,exportTABLES!$A:$A,0)-1,       MATCH(IF(TartamVálasztott&gt;20,20, TartamVálasztott),        exportTABLES!$3:$3,       0)-1)</f>
        <v>1.6400000000000001E-2</v>
      </c>
      <c r="N10" s="597">
        <f ca="1">IF(R10&lt;=Term,    INDEX(PPM,MATCH("DRK VB",PPM!$B:$B,0),MATCH(Termékkód,PPM!$2:$2,0)),    0)</f>
        <v>7.4999999999999997E-2</v>
      </c>
      <c r="O10" s="597">
        <f t="shared" ca="1" si="2"/>
        <v>0</v>
      </c>
      <c r="P10" s="597">
        <f t="shared" ca="1" si="3"/>
        <v>0.01</v>
      </c>
      <c r="R10" s="83">
        <f t="shared" si="24"/>
        <v>5</v>
      </c>
      <c r="S10" s="84">
        <f t="shared" ca="1" si="31"/>
        <v>0</v>
      </c>
      <c r="T10" s="85">
        <f>IF(TKM=0,yields!B6,yields!C6)</f>
        <v>0.05</v>
      </c>
      <c r="U10" s="85"/>
      <c r="V10" s="86"/>
      <c r="W10" s="87"/>
      <c r="X10" s="524">
        <f t="shared" ref="X10:X25" ca="1" si="38">($R10&lt;=Term) * X9</f>
        <v>0.15</v>
      </c>
      <c r="Y10" s="595">
        <f ca="1">SUM($N10:$P10)+IF(RoundSwitch=0,#REF!,$M10)</f>
        <v>0.10139999999999999</v>
      </c>
      <c r="Z10" s="524">
        <f ca="1">$D$12 + (TKM=0)*($D$13-$D$12)</f>
        <v>2.9000000000000001E-2</v>
      </c>
      <c r="AA10" s="577">
        <f t="shared" ca="1" si="37"/>
        <v>2.9000000000000001E-2</v>
      </c>
      <c r="AB10" s="578">
        <f t="shared" ref="AB10:AC25" si="39">AB9</f>
        <v>5.0000000000000001E-3</v>
      </c>
      <c r="AC10" s="578">
        <f>AC9</f>
        <v>5.0000000000000001E-3</v>
      </c>
      <c r="AD10" s="568">
        <f t="shared" ref="AD10:AD52" ca="1" si="40">IF($R10&lt;Term, IF($R10=5,Transf5,IF($R10=10,Transf10,IF($R10=15,Transf15,0)))) + IF($R10=MIN(20,Term),100%,0)</f>
        <v>0.5</v>
      </c>
      <c r="AE10" s="559">
        <f t="shared" si="4"/>
        <v>0.05</v>
      </c>
      <c r="AF10" s="89">
        <f t="shared" si="5"/>
        <v>4.0741237836483535E-3</v>
      </c>
      <c r="AG10" s="90"/>
      <c r="AH10" s="544">
        <v>0</v>
      </c>
      <c r="AI10" s="91"/>
      <c r="AJ10" s="91">
        <f t="shared" si="26"/>
        <v>1.0040741237836484</v>
      </c>
      <c r="AK10" s="92"/>
      <c r="AL10" s="92"/>
      <c r="AM10" s="97">
        <v>0</v>
      </c>
      <c r="AN10" s="92">
        <f t="shared" si="32"/>
        <v>1</v>
      </c>
      <c r="AO10" s="64">
        <f t="shared" si="6"/>
        <v>1</v>
      </c>
      <c r="AP10" s="64">
        <f t="shared" si="7"/>
        <v>5</v>
      </c>
      <c r="AQ10" s="65">
        <f t="shared" ca="1" si="27"/>
        <v>0</v>
      </c>
      <c r="AR10" s="66">
        <f t="shared" ca="1" si="8"/>
        <v>0</v>
      </c>
      <c r="AS10" s="66">
        <f t="shared" ca="1" si="9"/>
        <v>61.737351293743309</v>
      </c>
      <c r="AT10" s="66">
        <f t="shared" ca="1" si="28"/>
        <v>15215.265955782505</v>
      </c>
      <c r="AU10" s="66">
        <f t="shared" ca="1" si="10"/>
        <v>0</v>
      </c>
      <c r="AV10" s="68">
        <f t="shared" ca="1" si="11"/>
        <v>15215.265955782505</v>
      </c>
      <c r="AW10" s="65">
        <f t="shared" ca="1" si="12"/>
        <v>0</v>
      </c>
      <c r="AX10" s="69">
        <f t="shared" ca="1" si="13"/>
        <v>0</v>
      </c>
      <c r="AY10" s="70">
        <f t="shared" ca="1" si="14"/>
        <v>0</v>
      </c>
      <c r="AZ10" s="66">
        <f t="shared" ca="1" si="15"/>
        <v>9.2606026940615056</v>
      </c>
      <c r="BA10" s="66">
        <f t="shared" ca="1" si="16"/>
        <v>0</v>
      </c>
      <c r="BB10" s="66">
        <f t="shared" ca="1" si="17"/>
        <v>0</v>
      </c>
      <c r="BC10" s="66">
        <f t="shared" ca="1" si="18"/>
        <v>2282.2898933673782</v>
      </c>
      <c r="BD10" s="66">
        <f t="shared" ca="1" si="19"/>
        <v>0</v>
      </c>
      <c r="BE10" s="71">
        <f t="shared" ca="1" si="33"/>
        <v>2282.2898933673782</v>
      </c>
      <c r="BF10" s="65">
        <f t="shared" ca="1" si="20"/>
        <v>0</v>
      </c>
      <c r="BG10" s="69">
        <f t="shared" ca="1" si="21"/>
        <v>0</v>
      </c>
      <c r="BH10" s="301">
        <f t="shared" ca="1" si="29"/>
        <v>0</v>
      </c>
      <c r="BI10" s="300">
        <f ca="1">IF(AO10&gt;TartamVálasztott,0,   (BI9+BH10)*(1+yields!$D$2)*(1-(0.0099/12)))</f>
        <v>0</v>
      </c>
      <c r="BJ10" s="300">
        <f ca="1">SUM(BH$6:BH10)*-1.2</f>
        <v>0</v>
      </c>
      <c r="BK10" s="300">
        <f t="shared" ca="1" si="30"/>
        <v>0</v>
      </c>
      <c r="BL10" s="28">
        <f t="shared" ca="1" si="34"/>
        <v>2017</v>
      </c>
      <c r="BM10" s="28">
        <f t="shared" ca="1" si="35"/>
        <v>6</v>
      </c>
      <c r="BN10" s="236">
        <f t="shared" ca="1" si="36"/>
        <v>0</v>
      </c>
      <c r="BO10" s="236">
        <f t="shared" ca="1" si="23"/>
        <v>0</v>
      </c>
    </row>
    <row r="11" spans="1:67" ht="15.75" thickTop="1" x14ac:dyDescent="0.25">
      <c r="A11" s="36" t="s">
        <v>178</v>
      </c>
      <c r="B11" s="391">
        <f ca="1">INDEX(PPM,MATCH(A11,PPM!C:C,0),MATCH(Termékkód,PPM!$2:$2,0))</f>
        <v>1.05</v>
      </c>
      <c r="C11" s="539" t="s">
        <v>179</v>
      </c>
      <c r="D11" s="538">
        <f ca="1">INDEX(PPM,MATCH(C11,PPM!$C:$C,0),MATCH(Termékkód,PPM!$2:$2,0))</f>
        <v>1.4999999999999999E-2</v>
      </c>
      <c r="J11" s="26">
        <f t="shared" ca="1" si="1"/>
        <v>169711.23193359369</v>
      </c>
      <c r="K11" s="325"/>
      <c r="L11" s="500"/>
      <c r="M11" s="596">
        <f ca="1">OFFSET(exportTABLES!$A$1,          MATCH(Ért&amp;$R11,exportTABLES!$A:$A,0)-1,       MATCH(IF(TartamVálasztott&gt;20,20, TartamVálasztott),        exportTABLES!$3:$3,       0)-1)</f>
        <v>2.2800000000000001E-2</v>
      </c>
      <c r="N11" s="596">
        <f ca="1">IF(R11&lt;=Term,    INDEX(PPM,MATCH("DRK VB",PPM!$B:$B,0),MATCH(Termékkód,PPM!$2:$2,0)),    0)</f>
        <v>7.4999999999999997E-2</v>
      </c>
      <c r="O11" s="596">
        <f t="shared" ca="1" si="2"/>
        <v>0</v>
      </c>
      <c r="P11" s="596">
        <f t="shared" ca="1" si="3"/>
        <v>0.01</v>
      </c>
      <c r="R11" s="72">
        <f t="shared" si="24"/>
        <v>6</v>
      </c>
      <c r="S11" s="94">
        <f t="shared" ca="1" si="31"/>
        <v>0</v>
      </c>
      <c r="T11" s="74">
        <f>IF(TKM=0,yields!B7,yields!C7)</f>
        <v>0.05</v>
      </c>
      <c r="U11" s="74"/>
      <c r="V11" s="75"/>
      <c r="W11" s="76"/>
      <c r="X11" s="525">
        <f t="shared" ca="1" si="38"/>
        <v>0.15</v>
      </c>
      <c r="Y11" s="589">
        <f ca="1">SUM($N11:$P11)+IF(RoundSwitch=0,#REF!,$M11)</f>
        <v>0.10779999999999999</v>
      </c>
      <c r="Z11" s="525">
        <f t="shared" ref="Z11:Z25" ca="1" si="41">$D$12 + (TKM=0)*($D$13-$D$12)</f>
        <v>2.9000000000000001E-2</v>
      </c>
      <c r="AA11" s="574">
        <f t="shared" ca="1" si="37"/>
        <v>2.9000000000000001E-2</v>
      </c>
      <c r="AB11" s="579">
        <f t="shared" si="39"/>
        <v>5.0000000000000001E-3</v>
      </c>
      <c r="AC11" s="579">
        <f t="shared" si="39"/>
        <v>5.0000000000000001E-3</v>
      </c>
      <c r="AD11" s="593">
        <f t="shared" ca="1" si="40"/>
        <v>0</v>
      </c>
      <c r="AE11" s="558">
        <f t="shared" si="4"/>
        <v>0.05</v>
      </c>
      <c r="AF11" s="78">
        <f t="shared" si="5"/>
        <v>4.0741237836483535E-3</v>
      </c>
      <c r="AG11" s="79"/>
      <c r="AH11" s="543">
        <v>0</v>
      </c>
      <c r="AI11" s="80"/>
      <c r="AJ11" s="80">
        <f t="shared" si="26"/>
        <v>1.0040741237836484</v>
      </c>
      <c r="AK11" s="81"/>
      <c r="AL11" s="81"/>
      <c r="AM11" s="95">
        <v>0</v>
      </c>
      <c r="AN11" s="81">
        <f t="shared" si="32"/>
        <v>1</v>
      </c>
      <c r="AO11" s="64">
        <f t="shared" si="6"/>
        <v>1</v>
      </c>
      <c r="AP11" s="64">
        <f t="shared" si="7"/>
        <v>6</v>
      </c>
      <c r="AQ11" s="65">
        <f t="shared" ca="1" si="27"/>
        <v>0</v>
      </c>
      <c r="AR11" s="66">
        <f t="shared" ca="1" si="8"/>
        <v>0</v>
      </c>
      <c r="AS11" s="66">
        <f t="shared" ca="1" si="9"/>
        <v>61.988876904988601</v>
      </c>
      <c r="AT11" s="66">
        <f t="shared" ca="1" si="28"/>
        <v>15277.254832687493</v>
      </c>
      <c r="AU11" s="66">
        <f t="shared" ca="1" si="10"/>
        <v>0</v>
      </c>
      <c r="AV11" s="68">
        <f t="shared" ca="1" si="11"/>
        <v>15277.254832687493</v>
      </c>
      <c r="AW11" s="65">
        <f t="shared" ca="1" si="12"/>
        <v>0</v>
      </c>
      <c r="AX11" s="69">
        <f t="shared" ca="1" si="13"/>
        <v>0</v>
      </c>
      <c r="AY11" s="70">
        <f t="shared" ca="1" si="14"/>
        <v>0</v>
      </c>
      <c r="AZ11" s="66">
        <f t="shared" ca="1" si="15"/>
        <v>9.2983315357483001</v>
      </c>
      <c r="BA11" s="66">
        <f t="shared" ca="1" si="16"/>
        <v>0</v>
      </c>
      <c r="BB11" s="66">
        <f t="shared" ca="1" si="17"/>
        <v>0</v>
      </c>
      <c r="BC11" s="66">
        <f t="shared" ca="1" si="18"/>
        <v>2291.5882249031265</v>
      </c>
      <c r="BD11" s="66">
        <f t="shared" ca="1" si="19"/>
        <v>0</v>
      </c>
      <c r="BE11" s="71">
        <f t="shared" ca="1" si="33"/>
        <v>2291.5882249031265</v>
      </c>
      <c r="BF11" s="65">
        <f t="shared" ca="1" si="20"/>
        <v>0</v>
      </c>
      <c r="BG11" s="69">
        <f t="shared" ca="1" si="21"/>
        <v>0</v>
      </c>
      <c r="BH11" s="301">
        <f t="shared" ca="1" si="29"/>
        <v>0</v>
      </c>
      <c r="BI11" s="300">
        <f ca="1">IF(AO11&gt;TartamVálasztott,0,   (BI10+BH11)*(1+yields!$D$2)*(1-(0.0099/12)))</f>
        <v>0</v>
      </c>
      <c r="BJ11" s="300">
        <f ca="1">SUM(BH$6:BH11)*-1.2</f>
        <v>0</v>
      </c>
      <c r="BK11" s="300">
        <f t="shared" ca="1" si="30"/>
        <v>0</v>
      </c>
      <c r="BL11" s="28">
        <f t="shared" ca="1" si="34"/>
        <v>2017</v>
      </c>
      <c r="BM11" s="28">
        <f t="shared" ca="1" si="35"/>
        <v>7</v>
      </c>
      <c r="BN11" s="236">
        <f t="shared" ca="1" si="36"/>
        <v>0</v>
      </c>
      <c r="BO11" s="236">
        <f t="shared" ca="1" si="23"/>
        <v>0</v>
      </c>
    </row>
    <row r="12" spans="1:67" ht="15.75" thickBot="1" x14ac:dyDescent="0.3">
      <c r="A12" s="98" t="s">
        <v>180</v>
      </c>
      <c r="B12" s="391">
        <f ca="1">INDEX(PPM,MATCH(A12,PPM!C:C,0),MATCH(Termékkód,PPM!$2:$2,0))</f>
        <v>0</v>
      </c>
      <c r="C12" s="540" t="s">
        <v>181</v>
      </c>
      <c r="D12" s="538">
        <f ca="1">INDEX(PPM,MATCH(C12,PPM!$C:$C,0),MATCH(Termékkód,PPM!$2:$2,0))</f>
        <v>1.95E-2</v>
      </c>
      <c r="F12" s="40" t="s">
        <v>206</v>
      </c>
      <c r="G12" s="318">
        <v>6</v>
      </c>
      <c r="J12" s="26">
        <f t="shared" ca="1" si="1"/>
        <v>173954.01273193353</v>
      </c>
      <c r="K12" s="325"/>
      <c r="L12" s="500"/>
      <c r="M12" s="504">
        <f ca="1">OFFSET(exportTABLES!$A$1,          MATCH(Ért&amp;$R12,exportTABLES!$A:$A,0)-1,       MATCH(IF(TartamVálasztott&gt;20,20, TartamVálasztott),        exportTABLES!$3:$3,       0)-1)</f>
        <v>2.92E-2</v>
      </c>
      <c r="N12" s="504">
        <f ca="1">IF(R12&lt;=Term,    INDEX(PPM,MATCH("DRK VB",PPM!$B:$B,0),MATCH(Termékkód,PPM!$2:$2,0)),    0)</f>
        <v>7.4999999999999997E-2</v>
      </c>
      <c r="O12" s="504">
        <f t="shared" ca="1" si="2"/>
        <v>0</v>
      </c>
      <c r="P12" s="504">
        <f t="shared" ca="1" si="3"/>
        <v>0.01</v>
      </c>
      <c r="R12" s="72">
        <f t="shared" si="24"/>
        <v>7</v>
      </c>
      <c r="S12" s="94">
        <f t="shared" ca="1" si="31"/>
        <v>0</v>
      </c>
      <c r="T12" s="74">
        <f>IF(TKM=0,yields!B8,yields!C8)</f>
        <v>0.05</v>
      </c>
      <c r="U12" s="74"/>
      <c r="V12" s="75"/>
      <c r="W12" s="76"/>
      <c r="X12" s="526">
        <f t="shared" ca="1" si="38"/>
        <v>0.15</v>
      </c>
      <c r="Y12" s="589">
        <f ca="1">SUM($N12:$P12)+IF(RoundSwitch=0,#REF!,$M12)</f>
        <v>0.1142</v>
      </c>
      <c r="Z12" s="526">
        <f t="shared" ca="1" si="41"/>
        <v>2.9000000000000001E-2</v>
      </c>
      <c r="AA12" s="574">
        <f t="shared" ca="1" si="37"/>
        <v>2.9000000000000001E-2</v>
      </c>
      <c r="AB12" s="579">
        <f t="shared" si="39"/>
        <v>5.0000000000000001E-3</v>
      </c>
      <c r="AC12" s="579">
        <f t="shared" si="39"/>
        <v>5.0000000000000001E-3</v>
      </c>
      <c r="AD12" s="593">
        <f t="shared" ca="1" si="40"/>
        <v>0</v>
      </c>
      <c r="AE12" s="558">
        <f t="shared" si="4"/>
        <v>0.05</v>
      </c>
      <c r="AF12" s="78">
        <f t="shared" si="5"/>
        <v>4.0741237836483535E-3</v>
      </c>
      <c r="AG12" s="79"/>
      <c r="AH12" s="543">
        <v>0</v>
      </c>
      <c r="AI12" s="80"/>
      <c r="AJ12" s="80">
        <f t="shared" si="26"/>
        <v>1.0040741237836484</v>
      </c>
      <c r="AK12" s="81"/>
      <c r="AL12" s="81"/>
      <c r="AM12" s="95">
        <v>0</v>
      </c>
      <c r="AN12" s="81">
        <f t="shared" si="32"/>
        <v>1</v>
      </c>
      <c r="AO12" s="64">
        <f t="shared" si="6"/>
        <v>1</v>
      </c>
      <c r="AP12" s="64">
        <f t="shared" si="7"/>
        <v>7</v>
      </c>
      <c r="AQ12" s="65">
        <f t="shared" ca="1" si="27"/>
        <v>37500</v>
      </c>
      <c r="AR12" s="66">
        <f t="shared" ca="1" si="8"/>
        <v>7499.9999999999982</v>
      </c>
      <c r="AS12" s="66">
        <f t="shared" ca="1" si="9"/>
        <v>92.797355640071501</v>
      </c>
      <c r="AT12" s="66">
        <f t="shared" ca="1" si="28"/>
        <v>22870.052188327561</v>
      </c>
      <c r="AU12" s="66">
        <f t="shared" ca="1" si="10"/>
        <v>0</v>
      </c>
      <c r="AV12" s="68">
        <f t="shared" ca="1" si="11"/>
        <v>22870.052188327561</v>
      </c>
      <c r="AW12" s="65">
        <f t="shared" ca="1" si="12"/>
        <v>0</v>
      </c>
      <c r="AX12" s="69">
        <f t="shared" ca="1" si="13"/>
        <v>30000</v>
      </c>
      <c r="AY12" s="70">
        <f t="shared" ca="1" si="14"/>
        <v>1125.0000000000007</v>
      </c>
      <c r="AZ12" s="66">
        <f t="shared" ca="1" si="15"/>
        <v>13.91960334601074</v>
      </c>
      <c r="BA12" s="66">
        <f t="shared" ca="1" si="16"/>
        <v>0</v>
      </c>
      <c r="BB12" s="66">
        <f t="shared" ca="1" si="17"/>
        <v>0</v>
      </c>
      <c r="BC12" s="66">
        <f t="shared" ca="1" si="18"/>
        <v>3430.5078282491381</v>
      </c>
      <c r="BD12" s="66">
        <f t="shared" ca="1" si="19"/>
        <v>0</v>
      </c>
      <c r="BE12" s="71">
        <f t="shared" ca="1" si="33"/>
        <v>3430.5078282491381</v>
      </c>
      <c r="BF12" s="65">
        <f t="shared" ca="1" si="20"/>
        <v>0</v>
      </c>
      <c r="BG12" s="69">
        <f t="shared" ca="1" si="21"/>
        <v>0</v>
      </c>
      <c r="BH12" s="301">
        <f t="shared" ca="1" si="29"/>
        <v>0</v>
      </c>
      <c r="BI12" s="300">
        <f ca="1">IF(AO12&gt;TartamVálasztott,0,   (BI11+BH12)*(1+yields!$D$2)*(1-(0.0099/12)))</f>
        <v>0</v>
      </c>
      <c r="BJ12" s="300">
        <f ca="1">SUM(BH$6:BH12)*-1.2</f>
        <v>0</v>
      </c>
      <c r="BK12" s="300">
        <f t="shared" ca="1" si="30"/>
        <v>0</v>
      </c>
      <c r="BL12" s="28">
        <f t="shared" ca="1" si="34"/>
        <v>2017</v>
      </c>
      <c r="BM12" s="28">
        <f t="shared" ca="1" si="35"/>
        <v>8</v>
      </c>
      <c r="BN12" s="236">
        <f t="shared" ca="1" si="36"/>
        <v>0</v>
      </c>
      <c r="BO12" s="236">
        <f t="shared" ca="1" si="23"/>
        <v>0</v>
      </c>
    </row>
    <row r="13" spans="1:67" ht="16.5" thickTop="1" thickBot="1" x14ac:dyDescent="0.3">
      <c r="A13" s="671" t="s">
        <v>353</v>
      </c>
      <c r="B13" s="391">
        <f ca="1">INDEX(PPM,MATCH(A13,PPM!C:C,0),MATCH(Termékkód,PPM!$2:$2,0))</f>
        <v>0.05</v>
      </c>
      <c r="C13" s="257" t="s">
        <v>182</v>
      </c>
      <c r="D13" s="320">
        <f ca="1">Kalkulátor!H24</f>
        <v>2.9000000000000001E-2</v>
      </c>
      <c r="F13" s="319" t="s">
        <v>214</v>
      </c>
      <c r="G13" s="610">
        <f ca="1">INDEX(PPM,MATCH(F13,PPM!$B:$B,0),MATCH(Termékkód,PPM!$2:$2,0))</f>
        <v>0</v>
      </c>
      <c r="J13" s="26">
        <f t="shared" ca="1" si="1"/>
        <v>178302.86305023188</v>
      </c>
      <c r="K13" s="325"/>
      <c r="L13" s="500"/>
      <c r="M13" s="504">
        <f ca="1">OFFSET(exportTABLES!$A$1,          MATCH(Ért&amp;$R13,exportTABLES!$A:$A,0)-1,       MATCH(IF(TartamVálasztott&gt;20,20, TartamVálasztott),        exportTABLES!$3:$3,       0)-1)</f>
        <v>3.56E-2</v>
      </c>
      <c r="N13" s="504">
        <f ca="1">IF(R13&lt;=Term,    INDEX(PPM,MATCH("DRK VB",PPM!$B:$B,0),MATCH(Termékkód,PPM!$2:$2,0)),    0)</f>
        <v>7.4999999999999997E-2</v>
      </c>
      <c r="O13" s="504">
        <f t="shared" ca="1" si="2"/>
        <v>0</v>
      </c>
      <c r="P13" s="504">
        <f t="shared" ca="1" si="3"/>
        <v>0.01</v>
      </c>
      <c r="R13" s="72">
        <f t="shared" si="24"/>
        <v>8</v>
      </c>
      <c r="S13" s="94">
        <f t="shared" ca="1" si="31"/>
        <v>0</v>
      </c>
      <c r="T13" s="74">
        <f>IF(TKM=0,yields!B9,yields!C9)</f>
        <v>0.05</v>
      </c>
      <c r="U13" s="74"/>
      <c r="V13" s="75"/>
      <c r="W13" s="76"/>
      <c r="X13" s="526">
        <f t="shared" ca="1" si="38"/>
        <v>0.15</v>
      </c>
      <c r="Y13" s="589">
        <f ca="1">SUM($N13:$P13)+IF(RoundSwitch=0,#REF!,$M13)</f>
        <v>0.12059999999999998</v>
      </c>
      <c r="Z13" s="526">
        <f t="shared" ca="1" si="41"/>
        <v>2.9000000000000001E-2</v>
      </c>
      <c r="AA13" s="574">
        <f t="shared" ca="1" si="37"/>
        <v>2.9000000000000001E-2</v>
      </c>
      <c r="AB13" s="579">
        <f t="shared" si="39"/>
        <v>5.0000000000000001E-3</v>
      </c>
      <c r="AC13" s="579">
        <f t="shared" si="39"/>
        <v>5.0000000000000001E-3</v>
      </c>
      <c r="AD13" s="593">
        <f t="shared" ca="1" si="40"/>
        <v>0</v>
      </c>
      <c r="AE13" s="558">
        <f t="shared" si="4"/>
        <v>0.05</v>
      </c>
      <c r="AF13" s="78">
        <f t="shared" si="5"/>
        <v>4.0741237836483535E-3</v>
      </c>
      <c r="AG13" s="79"/>
      <c r="AH13" s="543">
        <v>0</v>
      </c>
      <c r="AI13" s="80"/>
      <c r="AJ13" s="80">
        <f t="shared" si="26"/>
        <v>1.0040741237836484</v>
      </c>
      <c r="AK13" s="81"/>
      <c r="AL13" s="81"/>
      <c r="AM13" s="95">
        <v>0</v>
      </c>
      <c r="AN13" s="81">
        <f t="shared" si="32"/>
        <v>1</v>
      </c>
      <c r="AO13" s="64">
        <f t="shared" si="6"/>
        <v>1</v>
      </c>
      <c r="AP13" s="64">
        <f t="shared" si="7"/>
        <v>8</v>
      </c>
      <c r="AQ13" s="65">
        <f t="shared" ca="1" si="27"/>
        <v>0</v>
      </c>
      <c r="AR13" s="66">
        <f t="shared" ca="1" si="8"/>
        <v>0</v>
      </c>
      <c r="AS13" s="66">
        <f t="shared" ca="1" si="9"/>
        <v>93.175423553744395</v>
      </c>
      <c r="AT13" s="66">
        <f t="shared" ca="1" si="28"/>
        <v>22963.227611881306</v>
      </c>
      <c r="AU13" s="66">
        <f t="shared" ca="1" si="10"/>
        <v>0</v>
      </c>
      <c r="AV13" s="68">
        <f t="shared" ca="1" si="11"/>
        <v>22963.227611881306</v>
      </c>
      <c r="AW13" s="65">
        <f t="shared" ca="1" si="12"/>
        <v>0</v>
      </c>
      <c r="AX13" s="69">
        <f t="shared" ca="1" si="13"/>
        <v>0</v>
      </c>
      <c r="AY13" s="70">
        <f t="shared" ca="1" si="14"/>
        <v>0</v>
      </c>
      <c r="AZ13" s="66">
        <f t="shared" ca="1" si="15"/>
        <v>13.976313533061674</v>
      </c>
      <c r="BA13" s="66">
        <f t="shared" ca="1" si="16"/>
        <v>0</v>
      </c>
      <c r="BB13" s="66">
        <f t="shared" ca="1" si="17"/>
        <v>0</v>
      </c>
      <c r="BC13" s="66">
        <f t="shared" ca="1" si="18"/>
        <v>3444.4841417821999</v>
      </c>
      <c r="BD13" s="66">
        <f t="shared" ca="1" si="19"/>
        <v>0</v>
      </c>
      <c r="BE13" s="71">
        <f t="shared" ca="1" si="33"/>
        <v>3444.4841417821999</v>
      </c>
      <c r="BF13" s="65">
        <f t="shared" ca="1" si="20"/>
        <v>0</v>
      </c>
      <c r="BG13" s="69">
        <f t="shared" ca="1" si="21"/>
        <v>0</v>
      </c>
      <c r="BH13" s="301">
        <f t="shared" ca="1" si="29"/>
        <v>0</v>
      </c>
      <c r="BI13" s="300">
        <f ca="1">IF(AO13&gt;TartamVálasztott,0,   (BI12+BH13)*(1+yields!$D$2)*(1-(0.0099/12)))</f>
        <v>0</v>
      </c>
      <c r="BJ13" s="300">
        <f ca="1">SUM(BH$6:BH13)*-1.2</f>
        <v>0</v>
      </c>
      <c r="BK13" s="300">
        <f t="shared" ca="1" si="30"/>
        <v>0</v>
      </c>
      <c r="BL13" s="28">
        <f t="shared" ca="1" si="34"/>
        <v>2017</v>
      </c>
      <c r="BM13" s="28">
        <f t="shared" ca="1" si="35"/>
        <v>9</v>
      </c>
      <c r="BN13" s="236">
        <f t="shared" ca="1" si="36"/>
        <v>0</v>
      </c>
      <c r="BO13" s="236">
        <f t="shared" ca="1" si="23"/>
        <v>0</v>
      </c>
    </row>
    <row r="14" spans="1:67" ht="15.75" thickTop="1" x14ac:dyDescent="0.25">
      <c r="B14" s="99">
        <f ca="1">(  ((Term-10)*$D$20+(20-Term)*$D$19)/10*(Term&lt;=20)+(Term&gt;20)*$D$20  ) *$Z$68</f>
        <v>0</v>
      </c>
      <c r="C14" s="23"/>
      <c r="D14" s="23"/>
      <c r="J14" s="26">
        <f t="shared" ca="1" si="1"/>
        <v>182760.43462648767</v>
      </c>
      <c r="K14" s="325"/>
      <c r="L14" s="500"/>
      <c r="M14" s="504">
        <f ca="1">OFFSET(exportTABLES!$A$1,          MATCH(Ért&amp;$R14,exportTABLES!$A:$A,0)-1,       MATCH(IF(TartamVálasztott&gt;20,20, TartamVálasztott),        exportTABLES!$3:$3,       0)-1)</f>
        <v>4.2000000000000003E-2</v>
      </c>
      <c r="N14" s="504">
        <f ca="1">IF(R14&lt;=Term,    INDEX(PPM,MATCH("DRK VB",PPM!$B:$B,0),MATCH(Termékkód,PPM!$2:$2,0)),    0)</f>
        <v>7.4999999999999997E-2</v>
      </c>
      <c r="O14" s="504">
        <f t="shared" ca="1" si="2"/>
        <v>0</v>
      </c>
      <c r="P14" s="504">
        <f t="shared" ca="1" si="3"/>
        <v>0.01</v>
      </c>
      <c r="R14" s="72">
        <f t="shared" si="24"/>
        <v>9</v>
      </c>
      <c r="S14" s="94">
        <f t="shared" ca="1" si="31"/>
        <v>0</v>
      </c>
      <c r="T14" s="74">
        <f>IF(TKM=0,yields!B10,yields!C10)</f>
        <v>0.05</v>
      </c>
      <c r="U14" s="74"/>
      <c r="V14" s="75"/>
      <c r="W14" s="76"/>
      <c r="X14" s="526">
        <f t="shared" ca="1" si="38"/>
        <v>0.15</v>
      </c>
      <c r="Y14" s="589">
        <f ca="1">SUM($N14:$P14)+IF(RoundSwitch=0,#REF!,$M14)</f>
        <v>0.127</v>
      </c>
      <c r="Z14" s="526">
        <f t="shared" ca="1" si="41"/>
        <v>2.9000000000000001E-2</v>
      </c>
      <c r="AA14" s="574">
        <f t="shared" ca="1" si="37"/>
        <v>2.9000000000000001E-2</v>
      </c>
      <c r="AB14" s="579">
        <f t="shared" si="39"/>
        <v>5.0000000000000001E-3</v>
      </c>
      <c r="AC14" s="579">
        <f t="shared" si="39"/>
        <v>5.0000000000000001E-3</v>
      </c>
      <c r="AD14" s="593">
        <f t="shared" ca="1" si="40"/>
        <v>0</v>
      </c>
      <c r="AE14" s="558">
        <f t="shared" si="4"/>
        <v>0.05</v>
      </c>
      <c r="AF14" s="78">
        <f t="shared" si="5"/>
        <v>4.0741237836483535E-3</v>
      </c>
      <c r="AG14" s="79"/>
      <c r="AH14" s="543">
        <v>0</v>
      </c>
      <c r="AI14" s="80"/>
      <c r="AJ14" s="80">
        <f t="shared" si="26"/>
        <v>1.0040741237836484</v>
      </c>
      <c r="AK14" s="81"/>
      <c r="AL14" s="81"/>
      <c r="AM14" s="95">
        <v>0</v>
      </c>
      <c r="AN14" s="81">
        <f t="shared" si="32"/>
        <v>1</v>
      </c>
      <c r="AO14" s="64">
        <f t="shared" si="6"/>
        <v>1</v>
      </c>
      <c r="AP14" s="64">
        <f t="shared" si="7"/>
        <v>9</v>
      </c>
      <c r="AQ14" s="65">
        <f t="shared" ca="1" si="27"/>
        <v>0</v>
      </c>
      <c r="AR14" s="66">
        <f t="shared" ca="1" si="8"/>
        <v>0</v>
      </c>
      <c r="AS14" s="66">
        <f t="shared" ca="1" si="9"/>
        <v>93.555031762896206</v>
      </c>
      <c r="AT14" s="66">
        <f t="shared" ca="1" si="28"/>
        <v>23056.782643644201</v>
      </c>
      <c r="AU14" s="66">
        <f t="shared" ca="1" si="10"/>
        <v>0</v>
      </c>
      <c r="AV14" s="68">
        <f t="shared" ca="1" si="11"/>
        <v>23056.782643644201</v>
      </c>
      <c r="AW14" s="65">
        <f t="shared" ca="1" si="12"/>
        <v>0</v>
      </c>
      <c r="AX14" s="69">
        <f t="shared" ca="1" si="13"/>
        <v>0</v>
      </c>
      <c r="AY14" s="70">
        <f t="shared" ca="1" si="14"/>
        <v>0</v>
      </c>
      <c r="AZ14" s="66">
        <f t="shared" ca="1" si="15"/>
        <v>14.033254764434448</v>
      </c>
      <c r="BA14" s="66">
        <f t="shared" ca="1" si="16"/>
        <v>0</v>
      </c>
      <c r="BB14" s="66">
        <f t="shared" ca="1" si="17"/>
        <v>0</v>
      </c>
      <c r="BC14" s="66">
        <f t="shared" ca="1" si="18"/>
        <v>3458.5173965466342</v>
      </c>
      <c r="BD14" s="66">
        <f t="shared" ca="1" si="19"/>
        <v>0</v>
      </c>
      <c r="BE14" s="71">
        <f t="shared" ca="1" si="33"/>
        <v>3458.5173965466342</v>
      </c>
      <c r="BF14" s="65">
        <f t="shared" ca="1" si="20"/>
        <v>0</v>
      </c>
      <c r="BG14" s="69">
        <f t="shared" ca="1" si="21"/>
        <v>0</v>
      </c>
      <c r="BH14" s="301">
        <f t="shared" ca="1" si="29"/>
        <v>0</v>
      </c>
      <c r="BI14" s="300">
        <f ca="1">IF(AO14&gt;TartamVálasztott,0,   (BI13+BH14)*(1+yields!$D$2)*(1-(0.0099/12)))</f>
        <v>0</v>
      </c>
      <c r="BJ14" s="300">
        <f ca="1">SUM(BH$6:BH14)*-1.2</f>
        <v>0</v>
      </c>
      <c r="BK14" s="300">
        <f t="shared" ca="1" si="30"/>
        <v>0</v>
      </c>
      <c r="BL14" s="28">
        <f t="shared" ca="1" si="34"/>
        <v>2017</v>
      </c>
      <c r="BM14" s="28">
        <f t="shared" ca="1" si="35"/>
        <v>10</v>
      </c>
      <c r="BN14" s="236">
        <f t="shared" ca="1" si="36"/>
        <v>0</v>
      </c>
      <c r="BO14" s="236">
        <f t="shared" ca="1" si="23"/>
        <v>0</v>
      </c>
    </row>
    <row r="15" spans="1:67" ht="15.75" thickBot="1" x14ac:dyDescent="0.3">
      <c r="B15" s="99">
        <f ca="1">(  ((Term-10)*$D$20+(20-Term)*$D$19)/10*(Term&lt;=20)+(Term&gt;20)*$D$20  ) *$D$18</f>
        <v>0</v>
      </c>
      <c r="C15" s="23"/>
      <c r="D15" s="23"/>
      <c r="J15" s="51">
        <f t="shared" ca="1" si="1"/>
        <v>187329.44549214983</v>
      </c>
      <c r="K15" s="325"/>
      <c r="L15" s="500"/>
      <c r="M15" s="597">
        <f ca="1">OFFSET(exportTABLES!$A$1,          MATCH(Ért&amp;$R15,exportTABLES!$A:$A,0)-1,       MATCH(IF(TartamVálasztott&gt;20,20, TartamVálasztott),        exportTABLES!$3:$3,       0)-1)</f>
        <v>4.8400000000000006E-2</v>
      </c>
      <c r="N15" s="597">
        <f ca="1">IF(R15&lt;=Term,    INDEX(PPM,MATCH("DRK VB",PPM!$B:$B,0),MATCH(Termékkód,PPM!$2:$2,0)),    0)</f>
        <v>7.4999999999999997E-2</v>
      </c>
      <c r="O15" s="597">
        <f t="shared" ca="1" si="2"/>
        <v>0</v>
      </c>
      <c r="P15" s="597">
        <f t="shared" ca="1" si="3"/>
        <v>0.01</v>
      </c>
      <c r="R15" s="83">
        <f t="shared" si="24"/>
        <v>10</v>
      </c>
      <c r="S15" s="84">
        <f t="shared" ca="1" si="31"/>
        <v>0</v>
      </c>
      <c r="T15" s="85">
        <f>IF(TKM=0,yields!B11,yields!C11)</f>
        <v>0.05</v>
      </c>
      <c r="U15" s="85"/>
      <c r="V15" s="86"/>
      <c r="W15" s="87"/>
      <c r="X15" s="527">
        <f t="shared" ca="1" si="38"/>
        <v>0.15</v>
      </c>
      <c r="Y15" s="590">
        <f ca="1">SUM($N15:$P15)+IF(RoundSwitch=0,#REF!,$M15)</f>
        <v>0.13339999999999999</v>
      </c>
      <c r="Z15" s="527">
        <f t="shared" ca="1" si="41"/>
        <v>2.9000000000000001E-2</v>
      </c>
      <c r="AA15" s="577">
        <f t="shared" ca="1" si="37"/>
        <v>2.9000000000000001E-2</v>
      </c>
      <c r="AB15" s="578">
        <f t="shared" si="39"/>
        <v>5.0000000000000001E-3</v>
      </c>
      <c r="AC15" s="578">
        <f t="shared" si="39"/>
        <v>5.0000000000000001E-3</v>
      </c>
      <c r="AD15" s="568">
        <f t="shared" ca="1" si="40"/>
        <v>0.75</v>
      </c>
      <c r="AE15" s="559">
        <f t="shared" si="4"/>
        <v>0.05</v>
      </c>
      <c r="AF15" s="89">
        <f t="shared" si="5"/>
        <v>4.0741237836483535E-3</v>
      </c>
      <c r="AG15" s="90"/>
      <c r="AH15" s="544">
        <v>0</v>
      </c>
      <c r="AI15" s="91"/>
      <c r="AJ15" s="91">
        <f t="shared" si="26"/>
        <v>1.0040741237836484</v>
      </c>
      <c r="AK15" s="92"/>
      <c r="AL15" s="92"/>
      <c r="AM15" s="97">
        <v>0</v>
      </c>
      <c r="AN15" s="92">
        <f t="shared" si="32"/>
        <v>1</v>
      </c>
      <c r="AO15" s="64">
        <f t="shared" si="6"/>
        <v>1</v>
      </c>
      <c r="AP15" s="64">
        <f t="shared" si="7"/>
        <v>10</v>
      </c>
      <c r="AQ15" s="65">
        <f t="shared" ca="1" si="27"/>
        <v>37500</v>
      </c>
      <c r="AR15" s="66">
        <f t="shared" ca="1" si="8"/>
        <v>7499.9999999999982</v>
      </c>
      <c r="AS15" s="66">
        <f t="shared" ca="1" si="9"/>
        <v>124.49211492024403</v>
      </c>
      <c r="AT15" s="66">
        <f t="shared" ca="1" si="28"/>
        <v>30681.274758564443</v>
      </c>
      <c r="AU15" s="66">
        <f t="shared" ca="1" si="10"/>
        <v>0</v>
      </c>
      <c r="AV15" s="68">
        <f t="shared" ca="1" si="11"/>
        <v>30681.274758564443</v>
      </c>
      <c r="AW15" s="65">
        <f t="shared" ca="1" si="12"/>
        <v>0</v>
      </c>
      <c r="AX15" s="69">
        <f t="shared" ca="1" si="13"/>
        <v>30000</v>
      </c>
      <c r="AY15" s="70">
        <f t="shared" ca="1" si="14"/>
        <v>1125.0000000000007</v>
      </c>
      <c r="AZ15" s="66">
        <f t="shared" ca="1" si="15"/>
        <v>18.673817238036627</v>
      </c>
      <c r="BA15" s="66">
        <f t="shared" ca="1" si="16"/>
        <v>0</v>
      </c>
      <c r="BB15" s="66">
        <f t="shared" ca="1" si="17"/>
        <v>0</v>
      </c>
      <c r="BC15" s="66">
        <f t="shared" ca="1" si="18"/>
        <v>4602.1912137846712</v>
      </c>
      <c r="BD15" s="66">
        <f t="shared" ca="1" si="19"/>
        <v>0</v>
      </c>
      <c r="BE15" s="71">
        <f t="shared" ca="1" si="33"/>
        <v>4602.1912137846712</v>
      </c>
      <c r="BF15" s="65">
        <f t="shared" ca="1" si="20"/>
        <v>0</v>
      </c>
      <c r="BG15" s="69">
        <f t="shared" ca="1" si="21"/>
        <v>0</v>
      </c>
      <c r="BH15" s="301">
        <f t="shared" ca="1" si="29"/>
        <v>0</v>
      </c>
      <c r="BI15" s="300">
        <f ca="1">IF(AO15&gt;TartamVálasztott,0,   (BI14+BH15)*(1+yields!$D$2)*(1-(0.0099/12)))</f>
        <v>0</v>
      </c>
      <c r="BJ15" s="300">
        <f ca="1">SUM(BH$6:BH15)*-1.2</f>
        <v>0</v>
      </c>
      <c r="BK15" s="300">
        <f t="shared" ca="1" si="30"/>
        <v>0</v>
      </c>
      <c r="BL15" s="28">
        <f t="shared" ca="1" si="34"/>
        <v>2017</v>
      </c>
      <c r="BM15" s="28">
        <f t="shared" ca="1" si="35"/>
        <v>11</v>
      </c>
      <c r="BN15" s="236">
        <f t="shared" ca="1" si="36"/>
        <v>0</v>
      </c>
      <c r="BO15" s="236">
        <f t="shared" ca="1" si="23"/>
        <v>0</v>
      </c>
    </row>
    <row r="16" spans="1:67" x14ac:dyDescent="0.25">
      <c r="A16" s="380" t="s">
        <v>183</v>
      </c>
      <c r="B16" s="379">
        <v>4</v>
      </c>
      <c r="C16" s="23"/>
      <c r="D16" s="23"/>
      <c r="J16" s="26">
        <f t="shared" ca="1" si="1"/>
        <v>192012.68162945355</v>
      </c>
      <c r="K16" s="325"/>
      <c r="L16" s="500"/>
      <c r="M16" s="596">
        <f ca="1">OFFSET(exportTABLES!$A$1,          MATCH(Ért&amp;$R16,exportTABLES!$A:$A,0)-1,       MATCH(IF(TartamVálasztott&gt;20,20, TartamVálasztott),        exportTABLES!$3:$3,       0)-1)</f>
        <v>5.4800000000000008E-2</v>
      </c>
      <c r="N16" s="596">
        <f ca="1">IF(R16&lt;=Term,    INDEX(PPM,MATCH("DRK VB",PPM!$B:$B,0),MATCH(Termékkód,PPM!$2:$2,0)),    0)</f>
        <v>7.4999999999999997E-2</v>
      </c>
      <c r="O16" s="596">
        <f t="shared" ca="1" si="2"/>
        <v>0</v>
      </c>
      <c r="P16" s="596">
        <f t="shared" ca="1" si="3"/>
        <v>0.01</v>
      </c>
      <c r="R16" s="72">
        <f t="shared" si="24"/>
        <v>11</v>
      </c>
      <c r="S16" s="94">
        <f t="shared" ca="1" si="31"/>
        <v>0</v>
      </c>
      <c r="T16" s="74">
        <f>IF(TKM=0,yields!B12,yields!C12)</f>
        <v>0.05</v>
      </c>
      <c r="U16" s="74"/>
      <c r="V16" s="75"/>
      <c r="W16" s="76"/>
      <c r="X16" s="526">
        <f t="shared" ca="1" si="38"/>
        <v>0.15</v>
      </c>
      <c r="Y16" s="589">
        <f ca="1">SUM($N16:$P16)+IF(RoundSwitch=0,#REF!,$M16)</f>
        <v>0.13980000000000001</v>
      </c>
      <c r="Z16" s="526">
        <f t="shared" ca="1" si="41"/>
        <v>2.9000000000000001E-2</v>
      </c>
      <c r="AA16" s="574">
        <f t="shared" ca="1" si="37"/>
        <v>2.9000000000000001E-2</v>
      </c>
      <c r="AB16" s="579">
        <f t="shared" si="39"/>
        <v>5.0000000000000001E-3</v>
      </c>
      <c r="AC16" s="579">
        <f t="shared" si="39"/>
        <v>5.0000000000000001E-3</v>
      </c>
      <c r="AD16" s="593">
        <f t="shared" ca="1" si="40"/>
        <v>0</v>
      </c>
      <c r="AE16" s="558">
        <f t="shared" si="4"/>
        <v>0.05</v>
      </c>
      <c r="AF16" s="78">
        <f t="shared" si="5"/>
        <v>4.0741237836483535E-3</v>
      </c>
      <c r="AG16" s="79"/>
      <c r="AH16" s="543">
        <v>0</v>
      </c>
      <c r="AI16" s="80"/>
      <c r="AJ16" s="80">
        <f t="shared" si="26"/>
        <v>1.0040741237836484</v>
      </c>
      <c r="AK16" s="81"/>
      <c r="AL16" s="81"/>
      <c r="AM16" s="95">
        <v>0</v>
      </c>
      <c r="AN16" s="81">
        <f t="shared" si="32"/>
        <v>1</v>
      </c>
      <c r="AO16" s="64">
        <f t="shared" si="6"/>
        <v>1</v>
      </c>
      <c r="AP16" s="64">
        <f t="shared" si="7"/>
        <v>11</v>
      </c>
      <c r="AQ16" s="65">
        <f t="shared" ca="1" si="27"/>
        <v>0</v>
      </c>
      <c r="AR16" s="66">
        <f t="shared" ca="1" si="8"/>
        <v>0</v>
      </c>
      <c r="AS16" s="66">
        <f t="shared" ca="1" si="9"/>
        <v>124.99931120651729</v>
      </c>
      <c r="AT16" s="66">
        <f t="shared" ca="1" si="28"/>
        <v>30806.27406977096</v>
      </c>
      <c r="AU16" s="66">
        <f t="shared" ca="1" si="10"/>
        <v>0</v>
      </c>
      <c r="AV16" s="68">
        <f t="shared" ca="1" si="11"/>
        <v>30806.27406977096</v>
      </c>
      <c r="AW16" s="65">
        <f t="shared" ca="1" si="12"/>
        <v>0</v>
      </c>
      <c r="AX16" s="69">
        <f t="shared" ca="1" si="13"/>
        <v>0</v>
      </c>
      <c r="AY16" s="70">
        <f t="shared" ca="1" si="14"/>
        <v>0</v>
      </c>
      <c r="AZ16" s="66">
        <f t="shared" ca="1" si="15"/>
        <v>18.749896680977614</v>
      </c>
      <c r="BA16" s="66">
        <f t="shared" ca="1" si="16"/>
        <v>0</v>
      </c>
      <c r="BB16" s="66">
        <f t="shared" ca="1" si="17"/>
        <v>0</v>
      </c>
      <c r="BC16" s="66">
        <f t="shared" ca="1" si="18"/>
        <v>4620.9411104656492</v>
      </c>
      <c r="BD16" s="66">
        <f t="shared" ca="1" si="19"/>
        <v>0</v>
      </c>
      <c r="BE16" s="71">
        <f t="shared" ca="1" si="33"/>
        <v>4620.9411104656492</v>
      </c>
      <c r="BF16" s="65">
        <f t="shared" ca="1" si="20"/>
        <v>0</v>
      </c>
      <c r="BG16" s="69">
        <f t="shared" ca="1" si="21"/>
        <v>0</v>
      </c>
      <c r="BH16" s="301">
        <f t="shared" ca="1" si="29"/>
        <v>0</v>
      </c>
      <c r="BI16" s="300">
        <f ca="1">IF(AO16&gt;TartamVálasztott,0,   (BI15+BH16)*(1+yields!$D$2)*(1-(0.0099/12)))</f>
        <v>0</v>
      </c>
      <c r="BJ16" s="300">
        <f ca="1">SUM(BH$6:BH16)*-1.2</f>
        <v>0</v>
      </c>
      <c r="BK16" s="300">
        <f t="shared" ca="1" si="30"/>
        <v>0</v>
      </c>
      <c r="BL16" s="28">
        <f t="shared" ca="1" si="34"/>
        <v>2017</v>
      </c>
      <c r="BM16" s="28">
        <f t="shared" ca="1" si="35"/>
        <v>12</v>
      </c>
      <c r="BN16" s="236">
        <f t="shared" ca="1" si="36"/>
        <v>150000</v>
      </c>
      <c r="BO16" s="236">
        <f t="shared" ca="1" si="23"/>
        <v>30000</v>
      </c>
    </row>
    <row r="17" spans="1:67" ht="15.75" thickBot="1" x14ac:dyDescent="0.3">
      <c r="A17" s="380" t="s">
        <v>184</v>
      </c>
      <c r="B17" s="379">
        <v>1</v>
      </c>
      <c r="C17" s="23"/>
      <c r="D17" s="23"/>
      <c r="J17" s="26">
        <f t="shared" ca="1" si="1"/>
        <v>196812.9986701899</v>
      </c>
      <c r="K17" s="325"/>
      <c r="L17" s="500"/>
      <c r="M17" s="504">
        <f ca="1">OFFSET(exportTABLES!$A$1,          MATCH(Ért&amp;$R17,exportTABLES!$A:$A,0)-1,       MATCH(IF(TartamVálasztott&gt;20,20, TartamVálasztott),        exportTABLES!$3:$3,       0)-1)</f>
        <v>6.1200000000000011E-2</v>
      </c>
      <c r="N17" s="504">
        <f ca="1">IF(R17&lt;=Term,    INDEX(PPM,MATCH("DRK VB",PPM!$B:$B,0),MATCH(Termékkód,PPM!$2:$2,0)),    0)</f>
        <v>7.4999999999999997E-2</v>
      </c>
      <c r="O17" s="504">
        <f t="shared" ca="1" si="2"/>
        <v>0</v>
      </c>
      <c r="P17" s="504">
        <f t="shared" ca="1" si="3"/>
        <v>0.01</v>
      </c>
      <c r="R17" s="72">
        <f t="shared" si="24"/>
        <v>12</v>
      </c>
      <c r="S17" s="94">
        <f t="shared" ca="1" si="31"/>
        <v>0</v>
      </c>
      <c r="T17" s="74">
        <f>IF(TKM=0,yields!B13,yields!C13)</f>
        <v>0.05</v>
      </c>
      <c r="U17" s="74"/>
      <c r="V17" s="75"/>
      <c r="W17" s="76"/>
      <c r="X17" s="526">
        <f t="shared" ca="1" si="38"/>
        <v>0.15</v>
      </c>
      <c r="Y17" s="589">
        <f ca="1">SUM($N17:$P17)+IF(RoundSwitch=0,#REF!,$M17)</f>
        <v>0.1462</v>
      </c>
      <c r="Z17" s="526">
        <f t="shared" ca="1" si="41"/>
        <v>2.9000000000000001E-2</v>
      </c>
      <c r="AA17" s="574">
        <f t="shared" ca="1" si="37"/>
        <v>2.9000000000000001E-2</v>
      </c>
      <c r="AB17" s="579">
        <f t="shared" si="39"/>
        <v>5.0000000000000001E-3</v>
      </c>
      <c r="AC17" s="579">
        <f t="shared" si="39"/>
        <v>5.0000000000000001E-3</v>
      </c>
      <c r="AD17" s="593">
        <f t="shared" ca="1" si="40"/>
        <v>0</v>
      </c>
      <c r="AE17" s="558">
        <f t="shared" si="4"/>
        <v>0.05</v>
      </c>
      <c r="AF17" s="78">
        <f t="shared" si="5"/>
        <v>4.0741237836483535E-3</v>
      </c>
      <c r="AG17" s="79"/>
      <c r="AH17" s="543">
        <v>0</v>
      </c>
      <c r="AI17" s="80"/>
      <c r="AJ17" s="80">
        <f t="shared" si="26"/>
        <v>1.0040741237836484</v>
      </c>
      <c r="AK17" s="81"/>
      <c r="AL17" s="81"/>
      <c r="AM17" s="95">
        <v>0</v>
      </c>
      <c r="AN17" s="81">
        <f t="shared" si="32"/>
        <v>1</v>
      </c>
      <c r="AO17" s="50">
        <f t="shared" si="6"/>
        <v>1</v>
      </c>
      <c r="AP17" s="50">
        <f t="shared" si="7"/>
        <v>12</v>
      </c>
      <c r="AQ17" s="231">
        <f t="shared" ca="1" si="27"/>
        <v>0</v>
      </c>
      <c r="AR17" s="232">
        <f t="shared" ca="1" si="8"/>
        <v>0</v>
      </c>
      <c r="AS17" s="232">
        <f t="shared" ca="1" si="9"/>
        <v>125.50857387324342</v>
      </c>
      <c r="AT17" s="232">
        <f t="shared" ca="1" si="28"/>
        <v>30931.782643644205</v>
      </c>
      <c r="AU17" s="232">
        <f t="shared" ca="1" si="10"/>
        <v>0</v>
      </c>
      <c r="AV17" s="233">
        <f t="shared" ca="1" si="11"/>
        <v>30931.782643644205</v>
      </c>
      <c r="AW17" s="231">
        <f t="shared" ca="1" si="12"/>
        <v>0</v>
      </c>
      <c r="AX17" s="234">
        <f t="shared" ca="1" si="13"/>
        <v>0</v>
      </c>
      <c r="AY17" s="235">
        <f t="shared" ca="1" si="14"/>
        <v>0</v>
      </c>
      <c r="AZ17" s="232">
        <f t="shared" ca="1" si="15"/>
        <v>18.826286080986534</v>
      </c>
      <c r="BA17" s="232">
        <f t="shared" ca="1" si="16"/>
        <v>0</v>
      </c>
      <c r="BB17" s="232">
        <f t="shared" ca="1" si="17"/>
        <v>0</v>
      </c>
      <c r="BC17" s="232">
        <f t="shared" ca="1" si="18"/>
        <v>4639.7673965466356</v>
      </c>
      <c r="BD17" s="232">
        <f t="shared" ca="1" si="19"/>
        <v>0</v>
      </c>
      <c r="BE17" s="233">
        <f t="shared" ca="1" si="33"/>
        <v>4639.7673965466356</v>
      </c>
      <c r="BF17" s="231">
        <f t="shared" ca="1" si="20"/>
        <v>0</v>
      </c>
      <c r="BG17" s="234">
        <f t="shared" ca="1" si="21"/>
        <v>0</v>
      </c>
      <c r="BH17" s="301">
        <f t="shared" ca="1" si="29"/>
        <v>0</v>
      </c>
      <c r="BI17" s="300">
        <f ca="1">IF(AO17&gt;TartamVálasztott,0,   (BI16+BH17)*(1+yields!$D$2)*(1-(0.0099/12)))</f>
        <v>0</v>
      </c>
      <c r="BJ17" s="300">
        <f ca="1">SUM(BH$6:BH17)*-1.2</f>
        <v>0</v>
      </c>
      <c r="BK17" s="300">
        <f t="shared" ca="1" si="30"/>
        <v>0</v>
      </c>
      <c r="BL17" s="28">
        <f t="shared" ca="1" si="34"/>
        <v>2018</v>
      </c>
      <c r="BM17" s="28">
        <f t="shared" ca="1" si="35"/>
        <v>1</v>
      </c>
      <c r="BN17" s="236">
        <f t="shared" ca="1" si="36"/>
        <v>0</v>
      </c>
      <c r="BO17" s="236">
        <f t="shared" ca="1" si="23"/>
        <v>0</v>
      </c>
    </row>
    <row r="18" spans="1:67" ht="16.5" thickTop="1" thickBot="1" x14ac:dyDescent="0.3">
      <c r="A18" s="381" t="s">
        <v>185</v>
      </c>
      <c r="B18" s="382">
        <v>0.11</v>
      </c>
      <c r="C18" s="100" t="s">
        <v>186</v>
      </c>
      <c r="D18" s="101">
        <f>$AA$68</f>
        <v>0</v>
      </c>
      <c r="J18" s="26">
        <f t="shared" ca="1" si="1"/>
        <v>201733.32363694464</v>
      </c>
      <c r="K18" s="325"/>
      <c r="L18" s="500"/>
      <c r="M18" s="504">
        <f ca="1">OFFSET(exportTABLES!$A$1,          MATCH(Ért&amp;$R18,exportTABLES!$A:$A,0)-1,       MATCH(IF(TartamVálasztott&gt;20,20, TartamVálasztott),        exportTABLES!$3:$3,       0)-1)</f>
        <v>6.7600000000000007E-2</v>
      </c>
      <c r="N18" s="504">
        <f ca="1">IF(R18&lt;=Term,    INDEX(PPM,MATCH("DRK VB",PPM!$B:$B,0),MATCH(Termékkód,PPM!$2:$2,0)),    0)</f>
        <v>7.4999999999999997E-2</v>
      </c>
      <c r="O18" s="504">
        <f t="shared" ca="1" si="2"/>
        <v>0</v>
      </c>
      <c r="P18" s="504">
        <f t="shared" ca="1" si="3"/>
        <v>0.01</v>
      </c>
      <c r="R18" s="72">
        <f t="shared" si="24"/>
        <v>13</v>
      </c>
      <c r="S18" s="94">
        <f t="shared" ca="1" si="31"/>
        <v>0</v>
      </c>
      <c r="T18" s="74">
        <f>IF(TKM=0,yields!B14,yields!C14)</f>
        <v>0.05</v>
      </c>
      <c r="U18" s="74"/>
      <c r="V18" s="75"/>
      <c r="W18" s="76"/>
      <c r="X18" s="526">
        <f t="shared" ca="1" si="38"/>
        <v>0.15</v>
      </c>
      <c r="Y18" s="589">
        <f ca="1">SUM($N18:$P18)+IF(RoundSwitch=0,#REF!,$M18)</f>
        <v>0.15260000000000001</v>
      </c>
      <c r="Z18" s="526">
        <f t="shared" ca="1" si="41"/>
        <v>2.9000000000000001E-2</v>
      </c>
      <c r="AA18" s="574">
        <f t="shared" ca="1" si="37"/>
        <v>2.9000000000000001E-2</v>
      </c>
      <c r="AB18" s="579">
        <f t="shared" si="39"/>
        <v>5.0000000000000001E-3</v>
      </c>
      <c r="AC18" s="579">
        <f t="shared" si="39"/>
        <v>5.0000000000000001E-3</v>
      </c>
      <c r="AD18" s="593">
        <f t="shared" ca="1" si="40"/>
        <v>0</v>
      </c>
      <c r="AE18" s="558">
        <f t="shared" si="4"/>
        <v>0.05</v>
      </c>
      <c r="AF18" s="78">
        <f t="shared" si="5"/>
        <v>4.0741237836483535E-3</v>
      </c>
      <c r="AG18" s="79"/>
      <c r="AH18" s="543">
        <v>0</v>
      </c>
      <c r="AI18" s="80"/>
      <c r="AJ18" s="80">
        <f t="shared" si="26"/>
        <v>1.0040741237836484</v>
      </c>
      <c r="AK18" s="81"/>
      <c r="AL18" s="81"/>
      <c r="AM18" s="95">
        <v>0</v>
      </c>
      <c r="AN18" s="81">
        <f t="shared" si="32"/>
        <v>1</v>
      </c>
      <c r="AO18" s="64">
        <f t="shared" si="6"/>
        <v>2</v>
      </c>
      <c r="AP18" s="64">
        <f t="shared" si="7"/>
        <v>1</v>
      </c>
      <c r="AQ18" s="65">
        <f t="shared" ca="1" si="27"/>
        <v>38437.5</v>
      </c>
      <c r="AR18" s="66">
        <f ca="1">IF( ($AO18*12+$AP18) &gt; (12*(Term+1) ), 0,
$AQ18*(1-VLOOKUP($AO18,Pars,7))
)</f>
        <v>19218.75</v>
      </c>
      <c r="AS18" s="66">
        <f ca="1">IF( ($AO18*12+$AP18) &gt; (12*(Term+1) ), 0,
($AV17+$AR18)*IF(OR(TKM=0,TKM=2),VLOOKUP($AO18,Pars,15),TKMm)
)</f>
        <v>204.319477806104</v>
      </c>
      <c r="AT18" s="66">
        <f ca="1">IF( ($AO18*12+$AP18) &gt; (12*(Term+1) ), 0,
$AV17+$AR18+$AS18
)</f>
        <v>50354.852121450305</v>
      </c>
      <c r="AU18" s="66">
        <f t="shared" ca="1" si="10"/>
        <v>0</v>
      </c>
      <c r="AV18" s="68">
        <f t="shared" ca="1" si="11"/>
        <v>50354.852121450305</v>
      </c>
      <c r="AW18" s="65">
        <f t="shared" ca="1" si="12"/>
        <v>0</v>
      </c>
      <c r="AX18" s="69">
        <f t="shared" ca="1" si="13"/>
        <v>19218.75</v>
      </c>
      <c r="AY18" s="70">
        <f t="shared" ca="1" si="14"/>
        <v>1153.1250000000007</v>
      </c>
      <c r="AZ18" s="66">
        <f t="shared" ca="1" si="15"/>
        <v>23.60096068888636</v>
      </c>
      <c r="BA18" s="66">
        <f t="shared" ca="1" si="16"/>
        <v>0</v>
      </c>
      <c r="BB18" s="66">
        <f t="shared" ca="1" si="17"/>
        <v>0</v>
      </c>
      <c r="BC18" s="66">
        <f t="shared" ca="1" si="18"/>
        <v>5816.493357235523</v>
      </c>
      <c r="BD18" s="66">
        <f t="shared" ca="1" si="19"/>
        <v>0</v>
      </c>
      <c r="BE18" s="71">
        <f t="shared" ca="1" si="33"/>
        <v>5816.493357235523</v>
      </c>
      <c r="BF18" s="65">
        <f t="shared" ca="1" si="20"/>
        <v>0</v>
      </c>
      <c r="BG18" s="69">
        <f t="shared" ca="1" si="21"/>
        <v>0</v>
      </c>
      <c r="BH18" s="301">
        <f t="shared" ca="1" si="29"/>
        <v>0</v>
      </c>
      <c r="BI18" s="300">
        <f ca="1">IF(AO18&gt;TartamVálasztott,0,   (BI17+BH18)*(1+yields!$D$2)*(1-(0.0099/12)))</f>
        <v>0</v>
      </c>
      <c r="BJ18" s="300">
        <f ca="1">SUM(BH$6:BH18)*-1.2</f>
        <v>0</v>
      </c>
      <c r="BK18" s="300">
        <f t="shared" ca="1" si="30"/>
        <v>0</v>
      </c>
      <c r="BL18" s="28">
        <f t="shared" ref="BL18:BL81" ca="1" si="42">IF(BM17=12,BL17+1,BL17)</f>
        <v>2018</v>
      </c>
      <c r="BM18" s="28">
        <f t="shared" ca="1" si="35"/>
        <v>2</v>
      </c>
      <c r="BN18" s="236">
        <f t="shared" ca="1" si="36"/>
        <v>0</v>
      </c>
      <c r="BO18" s="236">
        <f t="shared" ca="1" si="23"/>
        <v>0</v>
      </c>
    </row>
    <row r="19" spans="1:67" ht="15.75" thickTop="1" x14ac:dyDescent="0.25">
      <c r="A19" s="102"/>
      <c r="B19" s="103"/>
      <c r="C19" s="21" t="s">
        <v>187</v>
      </c>
      <c r="D19" s="391">
        <f ca="1">INDEX(PPM,MATCH(C19,PPM!$C:$C,0),MATCH(Termékkód,PPM!$2:$2,0))</f>
        <v>0.5</v>
      </c>
      <c r="J19" s="26">
        <f t="shared" ca="1" si="1"/>
        <v>206776.65672786825</v>
      </c>
      <c r="K19" s="325"/>
      <c r="L19" s="500"/>
      <c r="M19" s="504">
        <f ca="1">OFFSET(exportTABLES!$A$1,          MATCH(Ért&amp;$R19,exportTABLES!$A:$A,0)-1,       MATCH(IF(TartamVálasztott&gt;20,20, TartamVálasztott),        exportTABLES!$3:$3,       0)-1)</f>
        <v>7.400000000000001E-2</v>
      </c>
      <c r="N19" s="504">
        <f ca="1">IF(R19&lt;=Term,    INDEX(PPM,MATCH("DRK VB",PPM!$B:$B,0),MATCH(Termékkód,PPM!$2:$2,0)),    0)</f>
        <v>7.4999999999999997E-2</v>
      </c>
      <c r="O19" s="504">
        <f t="shared" ca="1" si="2"/>
        <v>0</v>
      </c>
      <c r="P19" s="504">
        <f t="shared" ca="1" si="3"/>
        <v>0.01</v>
      </c>
      <c r="R19" s="72">
        <f t="shared" si="24"/>
        <v>14</v>
      </c>
      <c r="S19" s="94">
        <f t="shared" ca="1" si="31"/>
        <v>0</v>
      </c>
      <c r="T19" s="74">
        <f>IF(TKM=0,yields!B15,yields!C15)</f>
        <v>0.05</v>
      </c>
      <c r="U19" s="74"/>
      <c r="V19" s="75"/>
      <c r="W19" s="76"/>
      <c r="X19" s="526">
        <f t="shared" ca="1" si="38"/>
        <v>0.15</v>
      </c>
      <c r="Y19" s="589">
        <f ca="1">SUM($N19:$P19)+IF(RoundSwitch=0,#REF!,$M19)</f>
        <v>0.159</v>
      </c>
      <c r="Z19" s="526">
        <f t="shared" ca="1" si="41"/>
        <v>2.9000000000000001E-2</v>
      </c>
      <c r="AA19" s="574">
        <f t="shared" ca="1" si="37"/>
        <v>2.9000000000000001E-2</v>
      </c>
      <c r="AB19" s="579">
        <f t="shared" si="39"/>
        <v>5.0000000000000001E-3</v>
      </c>
      <c r="AC19" s="579">
        <f t="shared" si="39"/>
        <v>5.0000000000000001E-3</v>
      </c>
      <c r="AD19" s="593">
        <f t="shared" ca="1" si="40"/>
        <v>0</v>
      </c>
      <c r="AE19" s="558">
        <f t="shared" si="4"/>
        <v>0.05</v>
      </c>
      <c r="AF19" s="78">
        <f t="shared" si="5"/>
        <v>4.0741237836483535E-3</v>
      </c>
      <c r="AG19" s="79"/>
      <c r="AH19" s="543">
        <v>0</v>
      </c>
      <c r="AI19" s="80"/>
      <c r="AJ19" s="80">
        <f t="shared" si="26"/>
        <v>1.0040741237836484</v>
      </c>
      <c r="AK19" s="81"/>
      <c r="AL19" s="81"/>
      <c r="AM19" s="95">
        <v>0</v>
      </c>
      <c r="AN19" s="81">
        <f t="shared" si="32"/>
        <v>1</v>
      </c>
      <c r="AO19" s="64">
        <f t="shared" si="6"/>
        <v>2</v>
      </c>
      <c r="AP19" s="64">
        <f t="shared" si="7"/>
        <v>2</v>
      </c>
      <c r="AQ19" s="65">
        <f t="shared" ca="1" si="27"/>
        <v>0</v>
      </c>
      <c r="AR19" s="66">
        <f t="shared" ca="1" si="8"/>
        <v>0</v>
      </c>
      <c r="AS19" s="66">
        <f t="shared" ca="1" si="9"/>
        <v>205.15190065009645</v>
      </c>
      <c r="AT19" s="66">
        <f t="shared" ca="1" si="28"/>
        <v>50560.004022100402</v>
      </c>
      <c r="AU19" s="66">
        <f t="shared" ca="1" si="10"/>
        <v>0</v>
      </c>
      <c r="AV19" s="68">
        <f t="shared" ca="1" si="11"/>
        <v>50560.004022100402</v>
      </c>
      <c r="AW19" s="65">
        <f t="shared" ca="1" si="12"/>
        <v>0</v>
      </c>
      <c r="AX19" s="69">
        <f t="shared" ca="1" si="13"/>
        <v>0</v>
      </c>
      <c r="AY19" s="70">
        <f t="shared" ca="1" si="14"/>
        <v>0</v>
      </c>
      <c r="AZ19" s="66">
        <f t="shared" ca="1" si="15"/>
        <v>23.697113924145903</v>
      </c>
      <c r="BA19" s="66">
        <f t="shared" ca="1" si="16"/>
        <v>0</v>
      </c>
      <c r="BB19" s="66">
        <f t="shared" ca="1" si="17"/>
        <v>0</v>
      </c>
      <c r="BC19" s="66">
        <f t="shared" ca="1" si="18"/>
        <v>5840.190471159669</v>
      </c>
      <c r="BD19" s="66">
        <f t="shared" ca="1" si="19"/>
        <v>0</v>
      </c>
      <c r="BE19" s="71">
        <f t="shared" ca="1" si="33"/>
        <v>5840.190471159669</v>
      </c>
      <c r="BF19" s="65">
        <f t="shared" ca="1" si="20"/>
        <v>0</v>
      </c>
      <c r="BG19" s="69">
        <f t="shared" ca="1" si="21"/>
        <v>0</v>
      </c>
      <c r="BH19" s="301">
        <f t="shared" ca="1" si="29"/>
        <v>0</v>
      </c>
      <c r="BI19" s="300">
        <f ca="1">IF(AO19&gt;TartamVálasztott,0,   (BI18+BH19)*(1+yields!$D$2)*(1-(0.0099/12)))</f>
        <v>0</v>
      </c>
      <c r="BJ19" s="300">
        <f ca="1">SUM(BH$6:BH19)*-1.2</f>
        <v>0</v>
      </c>
      <c r="BK19" s="300">
        <f t="shared" ca="1" si="30"/>
        <v>0</v>
      </c>
      <c r="BL19" s="28">
        <f t="shared" ca="1" si="42"/>
        <v>2018</v>
      </c>
      <c r="BM19" s="28">
        <f t="shared" ca="1" si="35"/>
        <v>3</v>
      </c>
      <c r="BN19" s="236">
        <f t="shared" ca="1" si="36"/>
        <v>0</v>
      </c>
      <c r="BO19" s="236">
        <f t="shared" ca="1" si="23"/>
        <v>0</v>
      </c>
    </row>
    <row r="20" spans="1:67" ht="15.75" thickBot="1" x14ac:dyDescent="0.3">
      <c r="A20" s="384" t="s">
        <v>188</v>
      </c>
      <c r="B20" s="392">
        <f ca="1">INDEX(PPM,MATCH(A20,PPM!C:C,0),MATCH(Termékkód,PPM!$2:$2,0))</f>
        <v>0.5</v>
      </c>
      <c r="C20" s="383" t="s">
        <v>189</v>
      </c>
      <c r="D20" s="391">
        <f ca="1">INDEX(PPM,MATCH(C20,PPM!$C:$C,0),MATCH(Termékkód,PPM!$2:$2,0))</f>
        <v>1</v>
      </c>
      <c r="J20" s="51">
        <f t="shared" ca="1" si="1"/>
        <v>211946.07314606491</v>
      </c>
      <c r="K20" s="325"/>
      <c r="L20" s="500"/>
      <c r="M20" s="504">
        <f ca="1">OFFSET(exportTABLES!$A$1,          MATCH(Ért&amp;$R20,exportTABLES!$A:$A,0)-1,       MATCH(IF(TartamVálasztott&gt;20,20, TartamVálasztott),        exportTABLES!$3:$3,       0)-1)</f>
        <v>8.0400000000000013E-2</v>
      </c>
      <c r="N20" s="504">
        <f ca="1">IF(R20&lt;=Term,    INDEX(PPM,MATCH("DRK VB",PPM!$B:$B,0),MATCH(Termékkód,PPM!$2:$2,0)),    0)</f>
        <v>7.4999999999999997E-2</v>
      </c>
      <c r="O20" s="504">
        <f t="shared" ca="1" si="2"/>
        <v>0</v>
      </c>
      <c r="P20" s="504">
        <f t="shared" ca="1" si="3"/>
        <v>0.01</v>
      </c>
      <c r="R20" s="83">
        <f t="shared" si="24"/>
        <v>15</v>
      </c>
      <c r="S20" s="84">
        <f t="shared" ca="1" si="31"/>
        <v>0</v>
      </c>
      <c r="T20" s="85">
        <f>IF(TKM=0,yields!B16,yields!C16)</f>
        <v>0.05</v>
      </c>
      <c r="U20" s="85"/>
      <c r="V20" s="86"/>
      <c r="W20" s="87"/>
      <c r="X20" s="527">
        <f t="shared" ca="1" si="38"/>
        <v>0.15</v>
      </c>
      <c r="Y20" s="590">
        <f ca="1">SUM($N20:$P20)+IF(RoundSwitch=0,#REF!,$M20)</f>
        <v>0.16539999999999999</v>
      </c>
      <c r="Z20" s="527">
        <f t="shared" ca="1" si="41"/>
        <v>2.9000000000000001E-2</v>
      </c>
      <c r="AA20" s="577">
        <f t="shared" ca="1" si="37"/>
        <v>2.9000000000000001E-2</v>
      </c>
      <c r="AB20" s="578">
        <f t="shared" si="39"/>
        <v>5.0000000000000001E-3</v>
      </c>
      <c r="AC20" s="578">
        <f t="shared" si="39"/>
        <v>5.0000000000000001E-3</v>
      </c>
      <c r="AD20" s="568">
        <f t="shared" ca="1" si="40"/>
        <v>0.75</v>
      </c>
      <c r="AE20" s="559">
        <f t="shared" si="4"/>
        <v>0.05</v>
      </c>
      <c r="AF20" s="89">
        <f t="shared" si="5"/>
        <v>4.0741237836483535E-3</v>
      </c>
      <c r="AG20" s="90"/>
      <c r="AH20" s="544">
        <v>0</v>
      </c>
      <c r="AI20" s="91"/>
      <c r="AJ20" s="91">
        <f t="shared" si="26"/>
        <v>1.0040741237836484</v>
      </c>
      <c r="AK20" s="92"/>
      <c r="AL20" s="92"/>
      <c r="AM20" s="97">
        <v>0</v>
      </c>
      <c r="AN20" s="92">
        <f t="shared" si="32"/>
        <v>1</v>
      </c>
      <c r="AO20" s="64">
        <f t="shared" si="6"/>
        <v>2</v>
      </c>
      <c r="AP20" s="64">
        <f t="shared" si="7"/>
        <v>3</v>
      </c>
      <c r="AQ20" s="65">
        <f t="shared" ca="1" si="27"/>
        <v>0</v>
      </c>
      <c r="AR20" s="66">
        <f t="shared" ca="1" si="8"/>
        <v>0</v>
      </c>
      <c r="AS20" s="66">
        <f t="shared" ca="1" si="9"/>
        <v>205.98771488779565</v>
      </c>
      <c r="AT20" s="66">
        <f t="shared" ca="1" si="28"/>
        <v>50765.991736988195</v>
      </c>
      <c r="AU20" s="66">
        <f t="shared" ca="1" si="10"/>
        <v>0</v>
      </c>
      <c r="AV20" s="68">
        <f t="shared" ca="1" si="11"/>
        <v>50765.991736988195</v>
      </c>
      <c r="AW20" s="65">
        <f t="shared" ca="1" si="12"/>
        <v>0</v>
      </c>
      <c r="AX20" s="69">
        <f t="shared" ca="1" si="13"/>
        <v>0</v>
      </c>
      <c r="AY20" s="70">
        <f t="shared" ca="1" si="14"/>
        <v>0</v>
      </c>
      <c r="AZ20" s="66">
        <f t="shared" ca="1" si="15"/>
        <v>23.793658899588092</v>
      </c>
      <c r="BA20" s="66">
        <f t="shared" ca="1" si="16"/>
        <v>0</v>
      </c>
      <c r="BB20" s="66">
        <f t="shared" ca="1" si="17"/>
        <v>0</v>
      </c>
      <c r="BC20" s="66">
        <f t="shared" ca="1" si="18"/>
        <v>5863.984130059257</v>
      </c>
      <c r="BD20" s="66">
        <f t="shared" ca="1" si="19"/>
        <v>0</v>
      </c>
      <c r="BE20" s="71">
        <f t="shared" ca="1" si="33"/>
        <v>5863.984130059257</v>
      </c>
      <c r="BF20" s="65">
        <f t="shared" ca="1" si="20"/>
        <v>0</v>
      </c>
      <c r="BG20" s="69">
        <f t="shared" ca="1" si="21"/>
        <v>0</v>
      </c>
      <c r="BH20" s="301">
        <f t="shared" ca="1" si="29"/>
        <v>0</v>
      </c>
      <c r="BI20" s="300">
        <f ca="1">IF(AO20&gt;TartamVálasztott,0,   (BI19+BH20)*(1+yields!$D$2)*(1-(0.0099/12)))</f>
        <v>0</v>
      </c>
      <c r="BJ20" s="300">
        <f ca="1">SUM(BH$6:BH20)*-1.2</f>
        <v>0</v>
      </c>
      <c r="BK20" s="300">
        <f t="shared" ca="1" si="30"/>
        <v>0</v>
      </c>
      <c r="BL20" s="28">
        <f t="shared" ca="1" si="42"/>
        <v>2018</v>
      </c>
      <c r="BM20" s="28">
        <f t="shared" ca="1" si="35"/>
        <v>4</v>
      </c>
      <c r="BN20" s="236">
        <f t="shared" ca="1" si="36"/>
        <v>0</v>
      </c>
      <c r="BO20" s="236">
        <f t="shared" ca="1" si="23"/>
        <v>0</v>
      </c>
    </row>
    <row r="21" spans="1:67" ht="15.75" thickTop="1" x14ac:dyDescent="0.25">
      <c r="A21" s="384" t="s">
        <v>190</v>
      </c>
      <c r="B21" s="392">
        <f ca="1">INDEX(PPM,MATCH(A21,PPM!C:C,0),MATCH(Termékkód,PPM!$2:$2,0))</f>
        <v>0.75</v>
      </c>
      <c r="J21" s="26">
        <f t="shared" ca="1" si="1"/>
        <v>217244.72497471658</v>
      </c>
      <c r="K21" s="325"/>
      <c r="L21" s="500"/>
      <c r="M21" s="504">
        <f ca="1">OFFSET(exportTABLES!$A$1,          MATCH(Ért&amp;$R21,exportTABLES!$A:$A,0)-1,       MATCH(IF(TartamVálasztott&gt;20,20, TartamVálasztott),        exportTABLES!$3:$3,       0)-1)</f>
        <v>8.6800000000000016E-2</v>
      </c>
      <c r="N21" s="504">
        <f ca="1">IF(R21&lt;=Term,    INDEX(PPM,MATCH("DRK VB",PPM!$B:$B,0),MATCH(Termékkód,PPM!$2:$2,0)),    0)</f>
        <v>7.4999999999999997E-2</v>
      </c>
      <c r="O21" s="504">
        <f t="shared" ca="1" si="2"/>
        <v>0</v>
      </c>
      <c r="P21" s="504">
        <f t="shared" ca="1" si="3"/>
        <v>0.01</v>
      </c>
      <c r="R21" s="72">
        <f t="shared" si="24"/>
        <v>16</v>
      </c>
      <c r="S21" s="94">
        <f t="shared" ca="1" si="31"/>
        <v>0</v>
      </c>
      <c r="T21" s="74">
        <f>IF(TKM=0,yields!B17,yields!C17)</f>
        <v>0.05</v>
      </c>
      <c r="U21" s="74"/>
      <c r="V21" s="75"/>
      <c r="W21" s="76"/>
      <c r="X21" s="526">
        <f t="shared" ca="1" si="38"/>
        <v>0.15</v>
      </c>
      <c r="Y21" s="589">
        <f ca="1">SUM($N21:$P21)+IF(RoundSwitch=0,#REF!,$M21)</f>
        <v>0.17180000000000001</v>
      </c>
      <c r="Z21" s="526">
        <f t="shared" ca="1" si="41"/>
        <v>2.9000000000000001E-2</v>
      </c>
      <c r="AA21" s="574">
        <f t="shared" ca="1" si="37"/>
        <v>2.9000000000000001E-2</v>
      </c>
      <c r="AB21" s="579">
        <f t="shared" si="39"/>
        <v>5.0000000000000001E-3</v>
      </c>
      <c r="AC21" s="579">
        <f t="shared" si="39"/>
        <v>5.0000000000000001E-3</v>
      </c>
      <c r="AD21" s="593">
        <f t="shared" ca="1" si="40"/>
        <v>0</v>
      </c>
      <c r="AE21" s="558">
        <f t="shared" si="4"/>
        <v>0.05</v>
      </c>
      <c r="AF21" s="78">
        <f t="shared" si="5"/>
        <v>4.0741237836483535E-3</v>
      </c>
      <c r="AG21" s="79"/>
      <c r="AH21" s="543">
        <v>0</v>
      </c>
      <c r="AI21" s="80"/>
      <c r="AJ21" s="80">
        <f t="shared" si="26"/>
        <v>1.0040741237836484</v>
      </c>
      <c r="AK21" s="81"/>
      <c r="AL21" s="81"/>
      <c r="AM21" s="95">
        <v>0</v>
      </c>
      <c r="AN21" s="81">
        <f t="shared" si="32"/>
        <v>1</v>
      </c>
      <c r="AO21" s="64">
        <f t="shared" si="6"/>
        <v>2</v>
      </c>
      <c r="AP21" s="64">
        <f t="shared" si="7"/>
        <v>4</v>
      </c>
      <c r="AQ21" s="65">
        <f t="shared" ca="1" si="27"/>
        <v>38437.5</v>
      </c>
      <c r="AR21" s="66">
        <f t="shared" ca="1" si="8"/>
        <v>19218.75</v>
      </c>
      <c r="AS21" s="66">
        <f t="shared" ca="1" si="9"/>
        <v>285.12650080315115</v>
      </c>
      <c r="AT21" s="66">
        <f t="shared" ca="1" si="28"/>
        <v>70269.868237791336</v>
      </c>
      <c r="AU21" s="66">
        <f t="shared" ca="1" si="10"/>
        <v>0</v>
      </c>
      <c r="AV21" s="68">
        <f t="shared" ca="1" si="11"/>
        <v>70269.868237791336</v>
      </c>
      <c r="AW21" s="65">
        <f t="shared" ca="1" si="12"/>
        <v>0</v>
      </c>
      <c r="AX21" s="69">
        <f t="shared" ca="1" si="13"/>
        <v>19218.75</v>
      </c>
      <c r="AY21" s="70">
        <f t="shared" ca="1" si="14"/>
        <v>1153.1250000000007</v>
      </c>
      <c r="AZ21" s="66">
        <f t="shared" ca="1" si="15"/>
        <v>28.588571199230429</v>
      </c>
      <c r="BA21" s="66">
        <f t="shared" ca="1" si="16"/>
        <v>0</v>
      </c>
      <c r="BB21" s="66">
        <f t="shared" ca="1" si="17"/>
        <v>0</v>
      </c>
      <c r="BC21" s="66">
        <f t="shared" ca="1" si="18"/>
        <v>7045.6977012584885</v>
      </c>
      <c r="BD21" s="66">
        <f t="shared" ca="1" si="19"/>
        <v>0</v>
      </c>
      <c r="BE21" s="71">
        <f t="shared" ca="1" si="33"/>
        <v>7045.6977012584885</v>
      </c>
      <c r="BF21" s="65">
        <f t="shared" ca="1" si="20"/>
        <v>0</v>
      </c>
      <c r="BG21" s="69">
        <f t="shared" ca="1" si="21"/>
        <v>0</v>
      </c>
      <c r="BH21" s="301">
        <f t="shared" ca="1" si="29"/>
        <v>0</v>
      </c>
      <c r="BI21" s="300">
        <f ca="1">IF(AO21&gt;TartamVálasztott,0,   (BI20+BH21)*(1+yields!$D$2)*(1-(0.0099/12)))</f>
        <v>0</v>
      </c>
      <c r="BJ21" s="300">
        <f ca="1">SUM(BH$6:BH21)*-1.2</f>
        <v>0</v>
      </c>
      <c r="BK21" s="300">
        <f t="shared" ca="1" si="30"/>
        <v>0</v>
      </c>
      <c r="BL21" s="28">
        <f t="shared" ca="1" si="42"/>
        <v>2018</v>
      </c>
      <c r="BM21" s="28">
        <f t="shared" ca="1" si="35"/>
        <v>5</v>
      </c>
      <c r="BN21" s="236">
        <f t="shared" ca="1" si="36"/>
        <v>0</v>
      </c>
      <c r="BO21" s="236">
        <f t="shared" ca="1" si="23"/>
        <v>0</v>
      </c>
    </row>
    <row r="22" spans="1:67" x14ac:dyDescent="0.25">
      <c r="A22" s="384" t="s">
        <v>191</v>
      </c>
      <c r="B22" s="392">
        <f ca="1">INDEX(PPM,MATCH(A22,PPM!C:C,0),MATCH(Termékkód,PPM!$2:$2,0))</f>
        <v>0.75</v>
      </c>
      <c r="J22" s="26">
        <f t="shared" ca="1" si="1"/>
        <v>222675.84309908448</v>
      </c>
      <c r="K22" s="325"/>
      <c r="L22" s="500"/>
      <c r="M22" s="504">
        <f ca="1">OFFSET(exportTABLES!$A$1,          MATCH(Ért&amp;$R22,exportTABLES!$A:$A,0)-1,       MATCH(IF(TartamVálasztott&gt;20,20, TartamVálasztott),        exportTABLES!$3:$3,       0)-1)</f>
        <v>9.3200000000000019E-2</v>
      </c>
      <c r="N22" s="504">
        <f ca="1">IF(R22&lt;=Term,    INDEX(PPM,MATCH("DRK VB",PPM!$B:$B,0),MATCH(Termékkód,PPM!$2:$2,0)),    0)</f>
        <v>7.4999999999999997E-2</v>
      </c>
      <c r="O22" s="504">
        <f t="shared" ca="1" si="2"/>
        <v>0</v>
      </c>
      <c r="P22" s="504">
        <f t="shared" ca="1" si="3"/>
        <v>0.01</v>
      </c>
      <c r="R22" s="72">
        <f t="shared" si="24"/>
        <v>17</v>
      </c>
      <c r="S22" s="94">
        <f t="shared" ca="1" si="31"/>
        <v>0</v>
      </c>
      <c r="T22" s="74">
        <f>IF(TKM=0,yields!B18,yields!C18)</f>
        <v>0.05</v>
      </c>
      <c r="U22" s="74"/>
      <c r="V22" s="75"/>
      <c r="W22" s="76"/>
      <c r="X22" s="526">
        <f t="shared" ca="1" si="38"/>
        <v>0.15</v>
      </c>
      <c r="Y22" s="589">
        <f ca="1">SUM($N22:$P22)+IF(RoundSwitch=0,#REF!,$M22)</f>
        <v>0.17820000000000003</v>
      </c>
      <c r="Z22" s="526">
        <f t="shared" ca="1" si="41"/>
        <v>2.9000000000000001E-2</v>
      </c>
      <c r="AA22" s="574">
        <f t="shared" ca="1" si="37"/>
        <v>2.9000000000000001E-2</v>
      </c>
      <c r="AB22" s="579">
        <f t="shared" si="39"/>
        <v>5.0000000000000001E-3</v>
      </c>
      <c r="AC22" s="579">
        <f t="shared" si="39"/>
        <v>5.0000000000000001E-3</v>
      </c>
      <c r="AD22" s="593">
        <f t="shared" ca="1" si="40"/>
        <v>0</v>
      </c>
      <c r="AE22" s="558">
        <f t="shared" si="4"/>
        <v>0.05</v>
      </c>
      <c r="AF22" s="78">
        <f t="shared" si="5"/>
        <v>4.0741237836483535E-3</v>
      </c>
      <c r="AG22" s="79"/>
      <c r="AH22" s="543">
        <v>0</v>
      </c>
      <c r="AI22" s="80"/>
      <c r="AJ22" s="80">
        <f t="shared" si="26"/>
        <v>1.0040741237836484</v>
      </c>
      <c r="AK22" s="81"/>
      <c r="AL22" s="81"/>
      <c r="AM22" s="95">
        <v>0</v>
      </c>
      <c r="AN22" s="81">
        <f t="shared" si="32"/>
        <v>1</v>
      </c>
      <c r="AO22" s="64">
        <f t="shared" si="6"/>
        <v>2</v>
      </c>
      <c r="AP22" s="64">
        <f t="shared" si="7"/>
        <v>5</v>
      </c>
      <c r="AQ22" s="65">
        <f t="shared" ca="1" si="27"/>
        <v>0</v>
      </c>
      <c r="AR22" s="66">
        <f t="shared" ca="1" si="8"/>
        <v>0</v>
      </c>
      <c r="AS22" s="66">
        <f t="shared" ca="1" si="9"/>
        <v>286.28814146142167</v>
      </c>
      <c r="AT22" s="66">
        <f t="shared" ca="1" si="28"/>
        <v>70556.15637925276</v>
      </c>
      <c r="AU22" s="66">
        <f t="shared" ca="1" si="10"/>
        <v>0</v>
      </c>
      <c r="AV22" s="68">
        <f t="shared" ca="1" si="11"/>
        <v>70556.15637925276</v>
      </c>
      <c r="AW22" s="65">
        <f t="shared" ca="1" si="12"/>
        <v>0</v>
      </c>
      <c r="AX22" s="69">
        <f t="shared" ca="1" si="13"/>
        <v>0</v>
      </c>
      <c r="AY22" s="70">
        <f t="shared" ca="1" si="14"/>
        <v>0</v>
      </c>
      <c r="AZ22" s="66">
        <f t="shared" ca="1" si="15"/>
        <v>28.705044577093741</v>
      </c>
      <c r="BA22" s="66">
        <f t="shared" ca="1" si="16"/>
        <v>0</v>
      </c>
      <c r="BB22" s="66">
        <f t="shared" ca="1" si="17"/>
        <v>0</v>
      </c>
      <c r="BC22" s="66">
        <f t="shared" ca="1" si="18"/>
        <v>7074.4027458355822</v>
      </c>
      <c r="BD22" s="66">
        <f t="shared" ca="1" si="19"/>
        <v>0</v>
      </c>
      <c r="BE22" s="71">
        <f t="shared" ca="1" si="33"/>
        <v>7074.4027458355822</v>
      </c>
      <c r="BF22" s="65">
        <f t="shared" ca="1" si="20"/>
        <v>0</v>
      </c>
      <c r="BG22" s="69">
        <f t="shared" ca="1" si="21"/>
        <v>0</v>
      </c>
      <c r="BH22" s="301">
        <f t="shared" ca="1" si="29"/>
        <v>30000</v>
      </c>
      <c r="BI22" s="300">
        <f ca="1">IF(AO22&gt;TartamVálasztott,0,   (BI21+BH22)*(1+yields!$D$2)*(1-(0.0099/12)))</f>
        <v>30097.372878945807</v>
      </c>
      <c r="BJ22" s="300">
        <f ca="1">SUM(BH$6:BH22)*-1.2</f>
        <v>-36000</v>
      </c>
      <c r="BK22" s="300">
        <f t="shared" ca="1" si="30"/>
        <v>-5902.6271210541927</v>
      </c>
      <c r="BL22" s="28">
        <f t="shared" ca="1" si="42"/>
        <v>2018</v>
      </c>
      <c r="BM22" s="28">
        <f t="shared" ca="1" si="35"/>
        <v>6</v>
      </c>
      <c r="BN22" s="236">
        <f t="shared" ca="1" si="36"/>
        <v>0</v>
      </c>
      <c r="BO22" s="236">
        <f t="shared" ca="1" si="23"/>
        <v>0</v>
      </c>
    </row>
    <row r="23" spans="1:67" ht="15.75" thickBot="1" x14ac:dyDescent="0.3">
      <c r="J23" s="26">
        <f t="shared" ca="1" si="1"/>
        <v>228242.73917656156</v>
      </c>
      <c r="K23" s="325"/>
      <c r="L23" s="500"/>
      <c r="M23" s="504">
        <f ca="1">OFFSET(exportTABLES!$A$1,          MATCH(Ért&amp;$R23,exportTABLES!$A:$A,0)-1,       MATCH(IF(TartamVálasztott&gt;20,20, TartamVálasztott),        exportTABLES!$3:$3,       0)-1)</f>
        <v>9.9600000000000022E-2</v>
      </c>
      <c r="N23" s="504">
        <f ca="1">IF(R23&lt;=Term,    INDEX(PPM,MATCH("DRK VB",PPM!$B:$B,0),MATCH(Termékkód,PPM!$2:$2,0)),    0)</f>
        <v>7.4999999999999997E-2</v>
      </c>
      <c r="O23" s="504">
        <f t="shared" ca="1" si="2"/>
        <v>0</v>
      </c>
      <c r="P23" s="504">
        <f t="shared" ca="1" si="3"/>
        <v>0.01</v>
      </c>
      <c r="R23" s="72">
        <f t="shared" si="24"/>
        <v>18</v>
      </c>
      <c r="S23" s="94">
        <f t="shared" ca="1" si="31"/>
        <v>0</v>
      </c>
      <c r="T23" s="74">
        <f>IF(TKM=0,yields!B19,yields!C19)</f>
        <v>0.05</v>
      </c>
      <c r="U23" s="74"/>
      <c r="V23" s="75"/>
      <c r="W23" s="76"/>
      <c r="X23" s="526">
        <f t="shared" ca="1" si="38"/>
        <v>0.15</v>
      </c>
      <c r="Y23" s="589">
        <f ca="1">SUM($N23:$P23)+IF(RoundSwitch=0,#REF!,$M23)</f>
        <v>0.18460000000000001</v>
      </c>
      <c r="Z23" s="526">
        <f t="shared" ca="1" si="41"/>
        <v>2.9000000000000001E-2</v>
      </c>
      <c r="AA23" s="574">
        <f t="shared" ca="1" si="37"/>
        <v>2.9000000000000001E-2</v>
      </c>
      <c r="AB23" s="579">
        <f t="shared" si="39"/>
        <v>5.0000000000000001E-3</v>
      </c>
      <c r="AC23" s="579">
        <f t="shared" si="39"/>
        <v>5.0000000000000001E-3</v>
      </c>
      <c r="AD23" s="593">
        <f t="shared" ca="1" si="40"/>
        <v>0</v>
      </c>
      <c r="AE23" s="558">
        <f t="shared" si="4"/>
        <v>0.05</v>
      </c>
      <c r="AF23" s="78">
        <f t="shared" si="5"/>
        <v>4.0741237836483535E-3</v>
      </c>
      <c r="AG23" s="79"/>
      <c r="AH23" s="543">
        <v>0</v>
      </c>
      <c r="AI23" s="80"/>
      <c r="AJ23" s="80">
        <f t="shared" si="26"/>
        <v>1.0040741237836484</v>
      </c>
      <c r="AK23" s="81"/>
      <c r="AL23" s="81"/>
      <c r="AM23" s="95">
        <v>0</v>
      </c>
      <c r="AN23" s="81">
        <f t="shared" si="32"/>
        <v>1</v>
      </c>
      <c r="AO23" s="64">
        <f t="shared" si="6"/>
        <v>2</v>
      </c>
      <c r="AP23" s="64">
        <f t="shared" si="7"/>
        <v>6</v>
      </c>
      <c r="AQ23" s="65">
        <f t="shared" ca="1" si="27"/>
        <v>0</v>
      </c>
      <c r="AR23" s="66">
        <f t="shared" ca="1" si="8"/>
        <v>0</v>
      </c>
      <c r="AS23" s="66">
        <f t="shared" ca="1" si="9"/>
        <v>287.45451478752619</v>
      </c>
      <c r="AT23" s="66">
        <f t="shared" ca="1" si="28"/>
        <v>70843.610894040292</v>
      </c>
      <c r="AU23" s="66">
        <f t="shared" ca="1" si="10"/>
        <v>0</v>
      </c>
      <c r="AV23" s="68">
        <f t="shared" ca="1" si="11"/>
        <v>70843.610894040292</v>
      </c>
      <c r="AW23" s="65">
        <f t="shared" ca="1" si="12"/>
        <v>0</v>
      </c>
      <c r="AX23" s="69">
        <f t="shared" ca="1" si="13"/>
        <v>0</v>
      </c>
      <c r="AY23" s="70">
        <f t="shared" ca="1" si="14"/>
        <v>0</v>
      </c>
      <c r="AZ23" s="66">
        <f t="shared" ca="1" si="15"/>
        <v>28.821992481915963</v>
      </c>
      <c r="BA23" s="66">
        <f t="shared" ca="1" si="16"/>
        <v>0</v>
      </c>
      <c r="BB23" s="66">
        <f t="shared" ca="1" si="17"/>
        <v>0</v>
      </c>
      <c r="BC23" s="66">
        <f t="shared" ca="1" si="18"/>
        <v>7103.2247383174981</v>
      </c>
      <c r="BD23" s="66">
        <f t="shared" ca="1" si="19"/>
        <v>0</v>
      </c>
      <c r="BE23" s="71">
        <f t="shared" ca="1" si="33"/>
        <v>7103.2247383174981</v>
      </c>
      <c r="BF23" s="65">
        <f t="shared" ca="1" si="20"/>
        <v>0</v>
      </c>
      <c r="BG23" s="69">
        <f t="shared" ca="1" si="21"/>
        <v>0</v>
      </c>
      <c r="BH23" s="301">
        <f t="shared" ca="1" si="29"/>
        <v>0</v>
      </c>
      <c r="BI23" s="300">
        <f ca="1">IF(AO23&gt;TartamVálasztott,0,   (BI22+BH23)*(1+yields!$D$2)*(1-(0.0099/12)))</f>
        <v>30195.061807143422</v>
      </c>
      <c r="BJ23" s="300">
        <f ca="1">SUM(BH$6:BH23)*-1.2</f>
        <v>-36000</v>
      </c>
      <c r="BK23" s="300">
        <f t="shared" ref="BK23:BK86" ca="1" si="43">BI23+BJ23</f>
        <v>-5804.9381928565781</v>
      </c>
      <c r="BL23" s="28">
        <f t="shared" ca="1" si="42"/>
        <v>2018</v>
      </c>
      <c r="BM23" s="28">
        <f t="shared" ca="1" si="35"/>
        <v>7</v>
      </c>
      <c r="BN23" s="236">
        <f t="shared" ca="1" si="36"/>
        <v>0</v>
      </c>
      <c r="BO23" s="236">
        <f t="shared" ca="1" si="23"/>
        <v>0</v>
      </c>
    </row>
    <row r="24" spans="1:67" ht="16.5" thickTop="1" thickBot="1" x14ac:dyDescent="0.3">
      <c r="A24" s="104" t="s">
        <v>192</v>
      </c>
      <c r="B24" s="392">
        <f ca="1">INDEX(PPM,MATCH(A24,PPM!C:C,0),MATCH(Termékkód,PPM!$2:$2,0))</f>
        <v>0</v>
      </c>
      <c r="J24" s="26">
        <f t="shared" ca="1" si="1"/>
        <v>233948.8076559756</v>
      </c>
      <c r="K24" s="325"/>
      <c r="L24" s="500"/>
      <c r="M24" s="504">
        <f ca="1">OFFSET(exportTABLES!$A$1,          MATCH(Ért&amp;$R24,exportTABLES!$A:$A,0)-1,       MATCH(IF(TartamVálasztott&gt;20,20, TartamVálasztott),        exportTABLES!$3:$3,       0)-1)</f>
        <v>0.10600000000000002</v>
      </c>
      <c r="N24" s="504">
        <f ca="1">IF(R24&lt;=Term,    INDEX(PPM,MATCH("DRK VB",PPM!$B:$B,0),MATCH(Termékkód,PPM!$2:$2,0)),    0)</f>
        <v>7.4999999999999997E-2</v>
      </c>
      <c r="O24" s="504">
        <f t="shared" ca="1" si="2"/>
        <v>0</v>
      </c>
      <c r="P24" s="504">
        <f t="shared" ca="1" si="3"/>
        <v>0.01</v>
      </c>
      <c r="R24" s="72">
        <f t="shared" si="24"/>
        <v>19</v>
      </c>
      <c r="S24" s="94">
        <f t="shared" ca="1" si="31"/>
        <v>0</v>
      </c>
      <c r="T24" s="74">
        <f>IF(TKM=0,yields!B20,yields!C20)</f>
        <v>0.05</v>
      </c>
      <c r="U24" s="74"/>
      <c r="V24" s="75"/>
      <c r="W24" s="76"/>
      <c r="X24" s="526">
        <f t="shared" ca="1" si="38"/>
        <v>0.15</v>
      </c>
      <c r="Y24" s="589">
        <f ca="1">SUM($N24:$P24)+IF(RoundSwitch=0,#REF!,$M24)</f>
        <v>0.191</v>
      </c>
      <c r="Z24" s="526">
        <f t="shared" ca="1" si="41"/>
        <v>2.9000000000000001E-2</v>
      </c>
      <c r="AA24" s="574">
        <f t="shared" ca="1" si="37"/>
        <v>2.9000000000000001E-2</v>
      </c>
      <c r="AB24" s="579">
        <f t="shared" si="39"/>
        <v>5.0000000000000001E-3</v>
      </c>
      <c r="AC24" s="579">
        <f t="shared" si="39"/>
        <v>5.0000000000000001E-3</v>
      </c>
      <c r="AD24" s="593">
        <f t="shared" ca="1" si="40"/>
        <v>0</v>
      </c>
      <c r="AE24" s="558">
        <f t="shared" si="4"/>
        <v>0.05</v>
      </c>
      <c r="AF24" s="78">
        <f t="shared" si="5"/>
        <v>4.0741237836483535E-3</v>
      </c>
      <c r="AG24" s="79"/>
      <c r="AH24" s="543">
        <v>0</v>
      </c>
      <c r="AI24" s="80"/>
      <c r="AJ24" s="80">
        <f t="shared" si="26"/>
        <v>1.0040741237836484</v>
      </c>
      <c r="AK24" s="81"/>
      <c r="AL24" s="81"/>
      <c r="AM24" s="95">
        <v>0</v>
      </c>
      <c r="AN24" s="81">
        <f t="shared" si="32"/>
        <v>1</v>
      </c>
      <c r="AO24" s="64">
        <f t="shared" si="6"/>
        <v>2</v>
      </c>
      <c r="AP24" s="64">
        <f t="shared" si="7"/>
        <v>7</v>
      </c>
      <c r="AQ24" s="65">
        <f t="shared" ca="1" si="27"/>
        <v>38437.5</v>
      </c>
      <c r="AR24" s="66">
        <f t="shared" ca="1" si="8"/>
        <v>19218.75</v>
      </c>
      <c r="AS24" s="66">
        <f t="shared" ca="1" si="9"/>
        <v>366.92520652993096</v>
      </c>
      <c r="AT24" s="66">
        <f t="shared" ca="1" si="28"/>
        <v>90429.286100570229</v>
      </c>
      <c r="AU24" s="66">
        <f t="shared" ca="1" si="10"/>
        <v>0</v>
      </c>
      <c r="AV24" s="68">
        <f t="shared" ca="1" si="11"/>
        <v>90429.286100570229</v>
      </c>
      <c r="AW24" s="65">
        <f t="shared" ca="1" si="12"/>
        <v>0</v>
      </c>
      <c r="AX24" s="69">
        <f t="shared" ca="1" si="13"/>
        <v>19218.75</v>
      </c>
      <c r="AY24" s="70">
        <f t="shared" ca="1" si="14"/>
        <v>1153.1250000000007</v>
      </c>
      <c r="AZ24" s="66">
        <f t="shared" ca="1" si="15"/>
        <v>33.637390834998179</v>
      </c>
      <c r="BA24" s="66">
        <f t="shared" ca="1" si="16"/>
        <v>0</v>
      </c>
      <c r="BB24" s="66">
        <f t="shared" ca="1" si="17"/>
        <v>0</v>
      </c>
      <c r="BC24" s="66">
        <f t="shared" ca="1" si="18"/>
        <v>8289.987129152496</v>
      </c>
      <c r="BD24" s="66">
        <f t="shared" ca="1" si="19"/>
        <v>0</v>
      </c>
      <c r="BE24" s="71">
        <f t="shared" ca="1" si="33"/>
        <v>8289.987129152496</v>
      </c>
      <c r="BF24" s="65">
        <f t="shared" ca="1" si="20"/>
        <v>0</v>
      </c>
      <c r="BG24" s="69">
        <f t="shared" ca="1" si="21"/>
        <v>0</v>
      </c>
      <c r="BH24" s="301">
        <f t="shared" ca="1" si="29"/>
        <v>0</v>
      </c>
      <c r="BI24" s="300">
        <f ca="1">IF(AO24&gt;TartamVálasztott,0,   (BI23+BH24)*(1+yields!$D$2)*(1-(0.0099/12)))</f>
        <v>30293.06781041369</v>
      </c>
      <c r="BJ24" s="300">
        <f ca="1">SUM(BH$6:BH24)*-1.2</f>
        <v>-36000</v>
      </c>
      <c r="BK24" s="300">
        <f t="shared" ca="1" si="43"/>
        <v>-5706.9321895863104</v>
      </c>
      <c r="BL24" s="28">
        <f t="shared" ca="1" si="42"/>
        <v>2018</v>
      </c>
      <c r="BM24" s="28">
        <f t="shared" ca="1" si="35"/>
        <v>8</v>
      </c>
      <c r="BN24" s="236">
        <f t="shared" ca="1" si="36"/>
        <v>0</v>
      </c>
      <c r="BO24" s="236">
        <f t="shared" ca="1" si="23"/>
        <v>0</v>
      </c>
    </row>
    <row r="25" spans="1:67" ht="16.5" thickTop="1" thickBot="1" x14ac:dyDescent="0.3">
      <c r="J25" s="105">
        <f t="shared" ca="1" si="1"/>
        <v>239797.52784737499</v>
      </c>
      <c r="K25" s="325"/>
      <c r="L25" s="500"/>
      <c r="M25" s="504">
        <f ca="1">OFFSET(exportTABLES!$A$1,          MATCH(Ért&amp;$R25,exportTABLES!$A:$A,0)-1,       MATCH(IF(TartamVálasztott&gt;20,20, TartamVálasztott),        exportTABLES!$3:$3,       0)-1)</f>
        <v>0.11240000000000003</v>
      </c>
      <c r="N25" s="504">
        <f ca="1">IF(R25&lt;=Term,    INDEX(PPM,MATCH("DRK VB",PPM!$B:$B,0),MATCH(Termékkód,PPM!$2:$2,0)),    0)</f>
        <v>7.4999999999999997E-2</v>
      </c>
      <c r="O25" s="504">
        <f t="shared" ca="1" si="2"/>
        <v>0</v>
      </c>
      <c r="P25" s="504">
        <f t="shared" ca="1" si="3"/>
        <v>0.01</v>
      </c>
      <c r="R25" s="106">
        <f t="shared" si="24"/>
        <v>20</v>
      </c>
      <c r="S25" s="107">
        <f t="shared" ca="1" si="31"/>
        <v>0</v>
      </c>
      <c r="T25" s="108">
        <f>IF(TKM=0,yields!B21,yields!C21)</f>
        <v>0.05</v>
      </c>
      <c r="U25" s="108"/>
      <c r="V25" s="109"/>
      <c r="W25" s="110"/>
      <c r="X25" s="528">
        <f t="shared" ca="1" si="38"/>
        <v>0.15</v>
      </c>
      <c r="Y25" s="591">
        <f ca="1">SUM($N25:$P25)+IF(RoundSwitch=0,#REF!,$M25)</f>
        <v>0.19740000000000002</v>
      </c>
      <c r="Z25" s="527">
        <f t="shared" ca="1" si="41"/>
        <v>2.9000000000000001E-2</v>
      </c>
      <c r="AA25" s="577">
        <f ca="1">$Z25</f>
        <v>2.9000000000000001E-2</v>
      </c>
      <c r="AB25" s="580">
        <f t="shared" si="39"/>
        <v>5.0000000000000001E-3</v>
      </c>
      <c r="AC25" s="580">
        <f t="shared" si="39"/>
        <v>5.0000000000000001E-3</v>
      </c>
      <c r="AD25" s="594">
        <f t="shared" ca="1" si="40"/>
        <v>1</v>
      </c>
      <c r="AE25" s="560">
        <f t="shared" si="4"/>
        <v>0.05</v>
      </c>
      <c r="AF25" s="111">
        <f t="shared" si="5"/>
        <v>4.0741237836483535E-3</v>
      </c>
      <c r="AG25" s="112"/>
      <c r="AH25" s="545">
        <v>0</v>
      </c>
      <c r="AI25" s="113"/>
      <c r="AJ25" s="113">
        <f t="shared" si="26"/>
        <v>1.0040741237836484</v>
      </c>
      <c r="AK25" s="114"/>
      <c r="AL25" s="114"/>
      <c r="AM25" s="115">
        <v>0</v>
      </c>
      <c r="AN25" s="114">
        <f t="shared" si="32"/>
        <v>1</v>
      </c>
      <c r="AO25" s="64">
        <f t="shared" si="6"/>
        <v>2</v>
      </c>
      <c r="AP25" s="64">
        <f t="shared" si="7"/>
        <v>8</v>
      </c>
      <c r="AQ25" s="65">
        <f t="shared" ca="1" si="27"/>
        <v>0</v>
      </c>
      <c r="AR25" s="66">
        <f t="shared" ca="1" si="8"/>
        <v>0</v>
      </c>
      <c r="AS25" s="66">
        <f t="shared" ca="1" si="9"/>
        <v>368.42010524067462</v>
      </c>
      <c r="AT25" s="66">
        <f t="shared" ca="1" si="28"/>
        <v>90797.7062058109</v>
      </c>
      <c r="AU25" s="66">
        <f t="shared" ca="1" si="10"/>
        <v>0</v>
      </c>
      <c r="AV25" s="68">
        <f t="shared" ca="1" si="11"/>
        <v>90797.7062058109</v>
      </c>
      <c r="AW25" s="65">
        <f t="shared" ca="1" si="12"/>
        <v>0</v>
      </c>
      <c r="AX25" s="69">
        <f t="shared" ca="1" si="13"/>
        <v>0</v>
      </c>
      <c r="AY25" s="70">
        <f t="shared" ca="1" si="14"/>
        <v>0</v>
      </c>
      <c r="AZ25" s="66">
        <f t="shared" ca="1" si="15"/>
        <v>33.774433729018916</v>
      </c>
      <c r="BA25" s="66">
        <f t="shared" ca="1" si="16"/>
        <v>0</v>
      </c>
      <c r="BB25" s="66">
        <f t="shared" ca="1" si="17"/>
        <v>0</v>
      </c>
      <c r="BC25" s="66">
        <f t="shared" ca="1" si="18"/>
        <v>8323.7615628815147</v>
      </c>
      <c r="BD25" s="66">
        <f t="shared" ca="1" si="19"/>
        <v>0</v>
      </c>
      <c r="BE25" s="71">
        <f t="shared" ca="1" si="33"/>
        <v>8323.7615628815147</v>
      </c>
      <c r="BF25" s="65">
        <f t="shared" ca="1" si="20"/>
        <v>0</v>
      </c>
      <c r="BG25" s="69">
        <f t="shared" ca="1" si="21"/>
        <v>0</v>
      </c>
      <c r="BH25" s="301">
        <f t="shared" ca="1" si="29"/>
        <v>0</v>
      </c>
      <c r="BI25" s="300">
        <f ca="1">IF(AO25&gt;TartamVálasztott,0,   (BI24+BH25)*(1+yields!$D$2)*(1-(0.0099/12)))</f>
        <v>30391.39191790704</v>
      </c>
      <c r="BJ25" s="300">
        <f ca="1">SUM(BH$6:BH25)*-1.2</f>
        <v>-36000</v>
      </c>
      <c r="BK25" s="300">
        <f t="shared" ca="1" si="43"/>
        <v>-5608.6080820929601</v>
      </c>
      <c r="BL25" s="28">
        <f t="shared" ca="1" si="42"/>
        <v>2018</v>
      </c>
      <c r="BM25" s="28">
        <f t="shared" ca="1" si="35"/>
        <v>9</v>
      </c>
      <c r="BN25" s="236">
        <f t="shared" ca="1" si="36"/>
        <v>0</v>
      </c>
      <c r="BO25" s="236">
        <f t="shared" ca="1" si="23"/>
        <v>0</v>
      </c>
    </row>
    <row r="26" spans="1:67" ht="15.75" thickTop="1" x14ac:dyDescent="0.25">
      <c r="A26" s="316" t="s">
        <v>50</v>
      </c>
      <c r="B26" s="321">
        <f>VLOOKUP(Kalkulátor!F14,CFdet!A27:B30,2,0)</f>
        <v>4</v>
      </c>
      <c r="J26" s="26">
        <f t="shared" ca="1" si="1"/>
        <v>245792.46604355934</v>
      </c>
      <c r="K26" s="325"/>
      <c r="L26" s="500"/>
      <c r="N26" s="503">
        <f t="shared" ref="N26:N52" ca="1" si="44">($R26&gt;=$O$2)*($R26&lt;=$P$2)*$N$2</f>
        <v>0</v>
      </c>
      <c r="O26" s="504">
        <f t="shared" ca="1" si="2"/>
        <v>0</v>
      </c>
      <c r="P26" s="504">
        <f t="shared" ca="1" si="3"/>
        <v>0</v>
      </c>
      <c r="R26" s="72">
        <f t="shared" si="24"/>
        <v>21</v>
      </c>
      <c r="S26" s="94">
        <f t="shared" ca="1" si="31"/>
        <v>0</v>
      </c>
      <c r="T26" s="74">
        <f>IF(TKM=0,yields!B22,yields!C22)</f>
        <v>0.05</v>
      </c>
      <c r="U26" s="74"/>
      <c r="V26" s="75"/>
      <c r="W26" s="76"/>
      <c r="X26" s="529">
        <f t="shared" ref="X26:X52" ca="1" si="45">($R26&lt;=Term) * ($D$10 - ($O26+$P26))</f>
        <v>0</v>
      </c>
      <c r="Y26" s="592">
        <v>0</v>
      </c>
      <c r="Z26" s="523">
        <f ca="1">$D$11 + (TKM&lt;&gt;0)</f>
        <v>1.4999999999999999E-2</v>
      </c>
      <c r="AA26" s="581">
        <v>0</v>
      </c>
      <c r="AB26" s="582">
        <v>0</v>
      </c>
      <c r="AC26" s="582">
        <v>0</v>
      </c>
      <c r="AD26" s="569">
        <f t="shared" ca="1" si="40"/>
        <v>0</v>
      </c>
      <c r="AE26" s="77">
        <f t="shared" si="4"/>
        <v>0.05</v>
      </c>
      <c r="AF26" s="78">
        <f t="shared" si="5"/>
        <v>4.0741237836483535E-3</v>
      </c>
      <c r="AG26" s="79"/>
      <c r="AH26" s="543">
        <v>0</v>
      </c>
      <c r="AI26" s="80"/>
      <c r="AJ26" s="80">
        <f t="shared" si="26"/>
        <v>1.0040741237836484</v>
      </c>
      <c r="AK26" s="81"/>
      <c r="AL26" s="81"/>
      <c r="AM26" s="95">
        <v>0</v>
      </c>
      <c r="AN26" s="81">
        <f t="shared" si="32"/>
        <v>1</v>
      </c>
      <c r="AO26" s="64">
        <f t="shared" si="6"/>
        <v>2</v>
      </c>
      <c r="AP26" s="64">
        <f t="shared" si="7"/>
        <v>9</v>
      </c>
      <c r="AQ26" s="65">
        <f t="shared" ca="1" si="27"/>
        <v>0</v>
      </c>
      <c r="AR26" s="66">
        <f t="shared" ca="1" si="8"/>
        <v>0</v>
      </c>
      <c r="AS26" s="66">
        <f t="shared" ca="1" si="9"/>
        <v>369.92109435380991</v>
      </c>
      <c r="AT26" s="66">
        <f t="shared" ca="1" si="28"/>
        <v>91167.627300164706</v>
      </c>
      <c r="AU26" s="66">
        <f t="shared" ca="1" si="10"/>
        <v>0</v>
      </c>
      <c r="AV26" s="68">
        <f t="shared" ca="1" si="11"/>
        <v>91167.627300164706</v>
      </c>
      <c r="AW26" s="65">
        <f t="shared" ca="1" si="12"/>
        <v>0</v>
      </c>
      <c r="AX26" s="69">
        <f t="shared" ca="1" si="13"/>
        <v>0</v>
      </c>
      <c r="AY26" s="70">
        <f t="shared" ca="1" si="14"/>
        <v>0</v>
      </c>
      <c r="AZ26" s="66">
        <f t="shared" ca="1" si="15"/>
        <v>33.912034952753572</v>
      </c>
      <c r="BA26" s="66">
        <f t="shared" ca="1" si="16"/>
        <v>0</v>
      </c>
      <c r="BB26" s="66">
        <f t="shared" ca="1" si="17"/>
        <v>0</v>
      </c>
      <c r="BC26" s="66">
        <f t="shared" ca="1" si="18"/>
        <v>8357.6735978342676</v>
      </c>
      <c r="BD26" s="66">
        <f t="shared" ca="1" si="19"/>
        <v>0</v>
      </c>
      <c r="BE26" s="71">
        <f t="shared" ca="1" si="33"/>
        <v>8357.6735978342676</v>
      </c>
      <c r="BF26" s="65">
        <f t="shared" ca="1" si="20"/>
        <v>0</v>
      </c>
      <c r="BG26" s="69">
        <f t="shared" ca="1" si="21"/>
        <v>0</v>
      </c>
      <c r="BH26" s="301">
        <f t="shared" ca="1" si="29"/>
        <v>0</v>
      </c>
      <c r="BI26" s="300">
        <f ca="1">IF(AO26&gt;TartamVálasztott,0,   (BI25+BH26)*(1+yields!$D$2)*(1-(0.0099/12)))</f>
        <v>30490.035162114269</v>
      </c>
      <c r="BJ26" s="300">
        <f ca="1">SUM(BH$6:BH26)*-1.2</f>
        <v>-36000</v>
      </c>
      <c r="BK26" s="300">
        <f t="shared" ca="1" si="43"/>
        <v>-5509.964837885731</v>
      </c>
      <c r="BL26" s="28">
        <f t="shared" ca="1" si="42"/>
        <v>2018</v>
      </c>
      <c r="BM26" s="28">
        <f t="shared" ca="1" si="35"/>
        <v>10</v>
      </c>
      <c r="BN26" s="236">
        <f t="shared" ca="1" si="36"/>
        <v>0</v>
      </c>
      <c r="BO26" s="236">
        <f t="shared" ca="1" si="23"/>
        <v>0</v>
      </c>
    </row>
    <row r="27" spans="1:67" x14ac:dyDescent="0.25">
      <c r="A27" s="28" t="s">
        <v>193</v>
      </c>
      <c r="B27" s="28">
        <v>1</v>
      </c>
      <c r="J27" s="26">
        <f t="shared" ca="1" si="1"/>
        <v>251937.27769464828</v>
      </c>
      <c r="K27" s="325"/>
      <c r="L27" s="500"/>
      <c r="N27" s="503">
        <f t="shared" ca="1" si="44"/>
        <v>0</v>
      </c>
      <c r="O27" s="504">
        <f t="shared" ca="1" si="2"/>
        <v>0</v>
      </c>
      <c r="P27" s="504">
        <f t="shared" ca="1" si="3"/>
        <v>0</v>
      </c>
      <c r="R27" s="72">
        <f t="shared" si="24"/>
        <v>22</v>
      </c>
      <c r="S27" s="94">
        <f t="shared" ca="1" si="31"/>
        <v>0</v>
      </c>
      <c r="T27" s="74">
        <f>IF(TKM=0,yields!B23,yields!C23)</f>
        <v>0.05</v>
      </c>
      <c r="U27" s="74"/>
      <c r="V27" s="75"/>
      <c r="W27" s="76"/>
      <c r="X27" s="529">
        <f t="shared" ca="1" si="45"/>
        <v>0</v>
      </c>
      <c r="Y27" s="579">
        <f>Y26</f>
        <v>0</v>
      </c>
      <c r="Z27" s="521">
        <f t="shared" ref="Z27:Z52" ca="1" si="46">$D$11 + (TKM&lt;&gt;0)</f>
        <v>1.4999999999999999E-2</v>
      </c>
      <c r="AA27" s="583">
        <f>AA26</f>
        <v>0</v>
      </c>
      <c r="AB27" s="584">
        <f t="shared" ref="AB27:AC42" si="47">AB26</f>
        <v>0</v>
      </c>
      <c r="AC27" s="584">
        <f t="shared" si="47"/>
        <v>0</v>
      </c>
      <c r="AD27" s="569">
        <f t="shared" ca="1" si="40"/>
        <v>0</v>
      </c>
      <c r="AE27" s="77">
        <f t="shared" si="4"/>
        <v>0.05</v>
      </c>
      <c r="AF27" s="78">
        <f t="shared" si="5"/>
        <v>4.0741237836483535E-3</v>
      </c>
      <c r="AG27" s="79"/>
      <c r="AH27" s="543">
        <v>0</v>
      </c>
      <c r="AI27" s="80"/>
      <c r="AJ27" s="80">
        <f t="shared" si="26"/>
        <v>1.0040741237836484</v>
      </c>
      <c r="AK27" s="81"/>
      <c r="AL27" s="81"/>
      <c r="AM27" s="95">
        <v>0</v>
      </c>
      <c r="AN27" s="81">
        <f t="shared" si="32"/>
        <v>1</v>
      </c>
      <c r="AO27" s="64">
        <f t="shared" si="6"/>
        <v>2</v>
      </c>
      <c r="AP27" s="64">
        <f t="shared" si="7"/>
        <v>10</v>
      </c>
      <c r="AQ27" s="65">
        <f t="shared" ca="1" si="27"/>
        <v>38437.5</v>
      </c>
      <c r="AR27" s="66">
        <f t="shared" ca="1" si="8"/>
        <v>19218.75</v>
      </c>
      <c r="AS27" s="66">
        <f t="shared" ca="1" si="9"/>
        <v>449.72776514938175</v>
      </c>
      <c r="AT27" s="66">
        <f t="shared" ca="1" si="28"/>
        <v>110836.10506531408</v>
      </c>
      <c r="AU27" s="66">
        <f t="shared" ca="1" si="10"/>
        <v>0</v>
      </c>
      <c r="AV27" s="68">
        <f t="shared" ca="1" si="11"/>
        <v>110836.10506531408</v>
      </c>
      <c r="AW27" s="65">
        <f t="shared" ca="1" si="12"/>
        <v>0</v>
      </c>
      <c r="AX27" s="69">
        <f t="shared" ca="1" si="13"/>
        <v>19218.75</v>
      </c>
      <c r="AY27" s="70">
        <f t="shared" ca="1" si="14"/>
        <v>1153.1250000000007</v>
      </c>
      <c r="AZ27" s="66">
        <f t="shared" ca="1" si="15"/>
        <v>38.748170768926002</v>
      </c>
      <c r="BA27" s="66">
        <f t="shared" ca="1" si="16"/>
        <v>0</v>
      </c>
      <c r="BB27" s="66">
        <f t="shared" ca="1" si="17"/>
        <v>0</v>
      </c>
      <c r="BC27" s="66">
        <f t="shared" ca="1" si="18"/>
        <v>9549.5467686031934</v>
      </c>
      <c r="BD27" s="66">
        <f t="shared" ca="1" si="19"/>
        <v>0</v>
      </c>
      <c r="BE27" s="71">
        <f t="shared" ca="1" si="33"/>
        <v>9549.5467686031934</v>
      </c>
      <c r="BF27" s="65">
        <f t="shared" ca="1" si="20"/>
        <v>0</v>
      </c>
      <c r="BG27" s="69">
        <f t="shared" ca="1" si="21"/>
        <v>0</v>
      </c>
      <c r="BH27" s="301">
        <f t="shared" ca="1" si="29"/>
        <v>0</v>
      </c>
      <c r="BI27" s="300">
        <f ca="1">IF(AO27&gt;TartamVálasztott,0,   (BI26+BH27)*(1+yields!$D$2)*(1-(0.0099/12)))</f>
        <v>30588.998578877399</v>
      </c>
      <c r="BJ27" s="300">
        <f ca="1">SUM(BH$6:BH27)*-1.2</f>
        <v>-36000</v>
      </c>
      <c r="BK27" s="300">
        <f t="shared" ca="1" si="43"/>
        <v>-5411.0014211226007</v>
      </c>
      <c r="BL27" s="28">
        <f t="shared" ca="1" si="42"/>
        <v>2018</v>
      </c>
      <c r="BM27" s="28">
        <f t="shared" ca="1" si="35"/>
        <v>11</v>
      </c>
      <c r="BN27" s="236">
        <f t="shared" ca="1" si="36"/>
        <v>0</v>
      </c>
      <c r="BO27" s="236">
        <f t="shared" ca="1" si="23"/>
        <v>0</v>
      </c>
    </row>
    <row r="28" spans="1:67" x14ac:dyDescent="0.25">
      <c r="A28" s="28" t="s">
        <v>194</v>
      </c>
      <c r="B28" s="28">
        <v>2</v>
      </c>
      <c r="J28" s="26">
        <f t="shared" ca="1" si="1"/>
        <v>258235.70963701449</v>
      </c>
      <c r="K28" s="325"/>
      <c r="L28" s="500"/>
      <c r="N28" s="503">
        <f t="shared" ca="1" si="44"/>
        <v>0</v>
      </c>
      <c r="O28" s="504">
        <f t="shared" ca="1" si="2"/>
        <v>0</v>
      </c>
      <c r="P28" s="504">
        <f t="shared" ca="1" si="3"/>
        <v>0</v>
      </c>
      <c r="R28" s="72">
        <f t="shared" si="24"/>
        <v>23</v>
      </c>
      <c r="S28" s="94">
        <f t="shared" ca="1" si="31"/>
        <v>0</v>
      </c>
      <c r="T28" s="74">
        <f>IF(TKM=0,yields!B24,yields!C24)</f>
        <v>0.05</v>
      </c>
      <c r="U28" s="74"/>
      <c r="V28" s="75"/>
      <c r="W28" s="76"/>
      <c r="X28" s="526">
        <f t="shared" ca="1" si="45"/>
        <v>0</v>
      </c>
      <c r="Y28" s="579">
        <f t="shared" ref="Y28:Y52" si="48">Y27</f>
        <v>0</v>
      </c>
      <c r="Z28" s="521">
        <f t="shared" ca="1" si="46"/>
        <v>1.4999999999999999E-2</v>
      </c>
      <c r="AA28" s="583">
        <f t="shared" ref="AA28:AC43" si="49">AA27</f>
        <v>0</v>
      </c>
      <c r="AB28" s="584">
        <f t="shared" si="47"/>
        <v>0</v>
      </c>
      <c r="AC28" s="584">
        <f t="shared" si="47"/>
        <v>0</v>
      </c>
      <c r="AD28" s="569">
        <f t="shared" ca="1" si="40"/>
        <v>0</v>
      </c>
      <c r="AE28" s="77">
        <f t="shared" si="4"/>
        <v>0.05</v>
      </c>
      <c r="AF28" s="78">
        <f t="shared" si="5"/>
        <v>4.0741237836483535E-3</v>
      </c>
      <c r="AG28" s="79"/>
      <c r="AH28" s="543">
        <v>0</v>
      </c>
      <c r="AI28" s="80"/>
      <c r="AJ28" s="80">
        <f t="shared" si="26"/>
        <v>1.0040741237836484</v>
      </c>
      <c r="AK28" s="81"/>
      <c r="AL28" s="81"/>
      <c r="AM28" s="95">
        <v>0</v>
      </c>
      <c r="AN28" s="81">
        <f t="shared" si="32"/>
        <v>1</v>
      </c>
      <c r="AO28" s="64">
        <f t="shared" si="6"/>
        <v>2</v>
      </c>
      <c r="AP28" s="64">
        <f t="shared" si="7"/>
        <v>11</v>
      </c>
      <c r="AQ28" s="65">
        <f t="shared" ca="1" si="27"/>
        <v>0</v>
      </c>
      <c r="AR28" s="66">
        <f t="shared" ca="1" si="8"/>
        <v>0</v>
      </c>
      <c r="AS28" s="66">
        <f t="shared" ca="1" si="9"/>
        <v>451.56001173354383</v>
      </c>
      <c r="AT28" s="66">
        <f t="shared" ca="1" si="28"/>
        <v>111287.66507704763</v>
      </c>
      <c r="AU28" s="66">
        <f t="shared" ca="1" si="10"/>
        <v>0</v>
      </c>
      <c r="AV28" s="68">
        <f t="shared" ca="1" si="11"/>
        <v>111287.66507704763</v>
      </c>
      <c r="AW28" s="65">
        <f t="shared" ca="1" si="12"/>
        <v>0</v>
      </c>
      <c r="AX28" s="69">
        <f t="shared" ca="1" si="13"/>
        <v>0</v>
      </c>
      <c r="AY28" s="70">
        <f t="shared" ca="1" si="14"/>
        <v>0</v>
      </c>
      <c r="AZ28" s="66">
        <f t="shared" ca="1" si="15"/>
        <v>38.90603561302855</v>
      </c>
      <c r="BA28" s="66">
        <f t="shared" ca="1" si="16"/>
        <v>0</v>
      </c>
      <c r="BB28" s="66">
        <f t="shared" ca="1" si="17"/>
        <v>0</v>
      </c>
      <c r="BC28" s="66">
        <f t="shared" ca="1" si="18"/>
        <v>9588.4528042162219</v>
      </c>
      <c r="BD28" s="66">
        <f t="shared" ca="1" si="19"/>
        <v>0</v>
      </c>
      <c r="BE28" s="68">
        <f t="shared" ca="1" si="33"/>
        <v>9588.4528042162219</v>
      </c>
      <c r="BF28" s="65">
        <f t="shared" ca="1" si="20"/>
        <v>0</v>
      </c>
      <c r="BG28" s="69">
        <f t="shared" ca="1" si="21"/>
        <v>0</v>
      </c>
      <c r="BH28" s="301">
        <f t="shared" ca="1" si="29"/>
        <v>0</v>
      </c>
      <c r="BI28" s="300">
        <f ca="1">IF(AO28&gt;TartamVálasztott,0,   (BI27+BH28)*(1+yields!$D$2)*(1-(0.0099/12)))</f>
        <v>30688.283207400549</v>
      </c>
      <c r="BJ28" s="300">
        <f ca="1">SUM(BH$6:BH28)*-1.2</f>
        <v>-36000</v>
      </c>
      <c r="BK28" s="300">
        <f t="shared" ca="1" si="43"/>
        <v>-5311.7167925994509</v>
      </c>
      <c r="BL28" s="28">
        <f t="shared" ca="1" si="42"/>
        <v>2018</v>
      </c>
      <c r="BM28" s="28">
        <f t="shared" ca="1" si="35"/>
        <v>12</v>
      </c>
      <c r="BN28" s="236">
        <f t="shared" ca="1" si="36"/>
        <v>153750</v>
      </c>
      <c r="BO28" s="236">
        <f t="shared" ca="1" si="23"/>
        <v>30750</v>
      </c>
    </row>
    <row r="29" spans="1:67" x14ac:dyDescent="0.25">
      <c r="A29" s="28" t="s">
        <v>195</v>
      </c>
      <c r="B29" s="28">
        <v>4</v>
      </c>
      <c r="J29" s="26">
        <f t="shared" ca="1" si="1"/>
        <v>264691.60237793985</v>
      </c>
      <c r="K29" s="325"/>
      <c r="L29" s="500"/>
      <c r="N29" s="503">
        <f t="shared" ca="1" si="44"/>
        <v>0</v>
      </c>
      <c r="O29" s="504">
        <f t="shared" ca="1" si="2"/>
        <v>0</v>
      </c>
      <c r="P29" s="504">
        <f t="shared" ca="1" si="3"/>
        <v>0</v>
      </c>
      <c r="R29" s="72">
        <f t="shared" si="24"/>
        <v>24</v>
      </c>
      <c r="S29" s="94">
        <f t="shared" ca="1" si="31"/>
        <v>0</v>
      </c>
      <c r="T29" s="74">
        <f>IF(TKM=0,yields!B25,yields!C25)</f>
        <v>0.05</v>
      </c>
      <c r="U29" s="74"/>
      <c r="V29" s="75"/>
      <c r="W29" s="76"/>
      <c r="X29" s="526">
        <f t="shared" ca="1" si="45"/>
        <v>0</v>
      </c>
      <c r="Y29" s="579">
        <f t="shared" si="48"/>
        <v>0</v>
      </c>
      <c r="Z29" s="521">
        <f t="shared" ca="1" si="46"/>
        <v>1.4999999999999999E-2</v>
      </c>
      <c r="AA29" s="583">
        <f t="shared" si="49"/>
        <v>0</v>
      </c>
      <c r="AB29" s="584">
        <f t="shared" si="47"/>
        <v>0</v>
      </c>
      <c r="AC29" s="584">
        <f t="shared" si="47"/>
        <v>0</v>
      </c>
      <c r="AD29" s="569">
        <f t="shared" ca="1" si="40"/>
        <v>0</v>
      </c>
      <c r="AE29" s="77">
        <f t="shared" si="4"/>
        <v>0.05</v>
      </c>
      <c r="AF29" s="78">
        <f t="shared" si="5"/>
        <v>4.0741237836483535E-3</v>
      </c>
      <c r="AG29" s="79"/>
      <c r="AH29" s="543">
        <v>0</v>
      </c>
      <c r="AI29" s="80"/>
      <c r="AJ29" s="80">
        <f t="shared" si="26"/>
        <v>1.0040741237836484</v>
      </c>
      <c r="AK29" s="81"/>
      <c r="AL29" s="81"/>
      <c r="AM29" s="95">
        <v>0</v>
      </c>
      <c r="AN29" s="81">
        <f t="shared" si="32"/>
        <v>1</v>
      </c>
      <c r="AO29" s="50">
        <f t="shared" si="6"/>
        <v>2</v>
      </c>
      <c r="AP29" s="50">
        <f t="shared" si="7"/>
        <v>12</v>
      </c>
      <c r="AQ29" s="231">
        <f t="shared" ca="1" si="27"/>
        <v>0</v>
      </c>
      <c r="AR29" s="232">
        <f t="shared" ca="1" si="8"/>
        <v>0</v>
      </c>
      <c r="AS29" s="232">
        <f t="shared" ca="1" si="9"/>
        <v>453.39972311709198</v>
      </c>
      <c r="AT29" s="232">
        <f t="shared" ca="1" si="28"/>
        <v>111741.06480016472</v>
      </c>
      <c r="AU29" s="232">
        <f t="shared" ca="1" si="10"/>
        <v>0</v>
      </c>
      <c r="AV29" s="233">
        <f t="shared" ca="1" si="11"/>
        <v>111741.06480016472</v>
      </c>
      <c r="AW29" s="231">
        <f t="shared" ca="1" si="12"/>
        <v>0</v>
      </c>
      <c r="AX29" s="234">
        <f t="shared" ca="1" si="13"/>
        <v>0</v>
      </c>
      <c r="AY29" s="235">
        <f t="shared" ca="1" si="14"/>
        <v>0</v>
      </c>
      <c r="AZ29" s="232">
        <f t="shared" ca="1" si="15"/>
        <v>39.064543618047061</v>
      </c>
      <c r="BA29" s="232">
        <f t="shared" ca="1" si="16"/>
        <v>0</v>
      </c>
      <c r="BB29" s="232">
        <f t="shared" ca="1" si="17"/>
        <v>0</v>
      </c>
      <c r="BC29" s="232">
        <f t="shared" ca="1" si="18"/>
        <v>9627.5173478342695</v>
      </c>
      <c r="BD29" s="232">
        <f t="shared" ca="1" si="19"/>
        <v>0</v>
      </c>
      <c r="BE29" s="233">
        <f t="shared" ca="1" si="33"/>
        <v>9627.5173478342695</v>
      </c>
      <c r="BF29" s="231">
        <f t="shared" ca="1" si="20"/>
        <v>0</v>
      </c>
      <c r="BG29" s="234">
        <f t="shared" ca="1" si="21"/>
        <v>0</v>
      </c>
      <c r="BH29" s="301">
        <f t="shared" ca="1" si="29"/>
        <v>0</v>
      </c>
      <c r="BI29" s="300">
        <f ca="1">IF(AO29&gt;TartamVálasztott,0,   (BI28+BH29)*(1+yields!$D$2)*(1-(0.0099/12)))</f>
        <v>30787.890090260844</v>
      </c>
      <c r="BJ29" s="300">
        <f ca="1">SUM(BH$6:BH29)*-1.2</f>
        <v>-36000</v>
      </c>
      <c r="BK29" s="300">
        <f t="shared" ca="1" si="43"/>
        <v>-5212.1099097391561</v>
      </c>
      <c r="BL29" s="28">
        <f t="shared" ca="1" si="42"/>
        <v>2019</v>
      </c>
      <c r="BM29" s="28">
        <f t="shared" ca="1" si="35"/>
        <v>1</v>
      </c>
      <c r="BN29" s="236">
        <f t="shared" ca="1" si="36"/>
        <v>0</v>
      </c>
      <c r="BO29" s="236">
        <f t="shared" ca="1" si="23"/>
        <v>0</v>
      </c>
    </row>
    <row r="30" spans="1:67" x14ac:dyDescent="0.25">
      <c r="A30" s="28" t="s">
        <v>105</v>
      </c>
      <c r="B30" s="28">
        <v>12</v>
      </c>
      <c r="J30" s="26">
        <f t="shared" ca="1" si="1"/>
        <v>271308.89243738836</v>
      </c>
      <c r="K30" s="325"/>
      <c r="L30" s="500"/>
      <c r="N30" s="503">
        <f t="shared" ca="1" si="44"/>
        <v>0</v>
      </c>
      <c r="O30" s="504">
        <f t="shared" ca="1" si="2"/>
        <v>0</v>
      </c>
      <c r="P30" s="504">
        <f t="shared" ca="1" si="3"/>
        <v>0</v>
      </c>
      <c r="R30" s="72">
        <f>R29+1</f>
        <v>25</v>
      </c>
      <c r="S30" s="94">
        <f ca="1">S29</f>
        <v>0</v>
      </c>
      <c r="T30" s="74">
        <f>IF(TKM=0,yields!B26,yields!C26)</f>
        <v>0.05</v>
      </c>
      <c r="U30" s="74"/>
      <c r="V30" s="75"/>
      <c r="W30" s="76"/>
      <c r="X30" s="526">
        <f t="shared" ca="1" si="45"/>
        <v>0</v>
      </c>
      <c r="Y30" s="579">
        <f t="shared" si="48"/>
        <v>0</v>
      </c>
      <c r="Z30" s="521">
        <f t="shared" ca="1" si="46"/>
        <v>1.4999999999999999E-2</v>
      </c>
      <c r="AA30" s="583">
        <f>AA29</f>
        <v>0</v>
      </c>
      <c r="AB30" s="584">
        <f>AB29</f>
        <v>0</v>
      </c>
      <c r="AC30" s="584">
        <f>AC29</f>
        <v>0</v>
      </c>
      <c r="AD30" s="569">
        <f t="shared" ca="1" si="40"/>
        <v>0</v>
      </c>
      <c r="AE30" s="77">
        <f t="shared" si="4"/>
        <v>0.05</v>
      </c>
      <c r="AF30" s="78">
        <f>(1+$AE30)^(1/12)-1</f>
        <v>4.0741237836483535E-3</v>
      </c>
      <c r="AG30" s="79"/>
      <c r="AH30" s="543">
        <v>0</v>
      </c>
      <c r="AI30" s="80"/>
      <c r="AJ30" s="80">
        <f>(1+$T30)^(1/12)</f>
        <v>1.0040741237836484</v>
      </c>
      <c r="AK30" s="81"/>
      <c r="AL30" s="81"/>
      <c r="AM30" s="95">
        <v>0</v>
      </c>
      <c r="AN30" s="81">
        <f>AN29*(1+AM30)</f>
        <v>1</v>
      </c>
      <c r="AO30" s="64">
        <f>IF(AP29=12,AO29+1,AO29)</f>
        <v>3</v>
      </c>
      <c r="AP30" s="64">
        <f>IF(AP29&lt;12,AP29+1,1)</f>
        <v>1</v>
      </c>
      <c r="AQ30" s="65">
        <f t="shared" ca="1" si="27"/>
        <v>39398.4375</v>
      </c>
      <c r="AR30" s="66">
        <f t="shared" ca="1" si="8"/>
        <v>31518.75</v>
      </c>
      <c r="AS30" s="66">
        <f t="shared" ca="1" si="9"/>
        <v>583.65821871840944</v>
      </c>
      <c r="AT30" s="66">
        <f t="shared" ca="1" si="28"/>
        <v>143843.47301888312</v>
      </c>
      <c r="AU30" s="66">
        <f t="shared" ca="1" si="10"/>
        <v>0</v>
      </c>
      <c r="AV30" s="68">
        <f t="shared" ca="1" si="11"/>
        <v>143843.47301888312</v>
      </c>
      <c r="AW30" s="65">
        <f t="shared" ca="1" si="12"/>
        <v>0</v>
      </c>
      <c r="AX30" s="69">
        <f t="shared" ca="1" si="13"/>
        <v>7879.6875</v>
      </c>
      <c r="AY30" s="70">
        <f t="shared" ca="1" si="14"/>
        <v>1575.9374999999989</v>
      </c>
      <c r="AZ30" s="66">
        <f t="shared" ca="1" si="15"/>
        <v>45.644261854592038</v>
      </c>
      <c r="BA30" s="66">
        <f t="shared" ca="1" si="16"/>
        <v>0</v>
      </c>
      <c r="BB30" s="66">
        <f t="shared" ca="1" si="17"/>
        <v>0</v>
      </c>
      <c r="BC30" s="66">
        <f t="shared" ca="1" si="18"/>
        <v>11249.099109688859</v>
      </c>
      <c r="BD30" s="66">
        <f t="shared" ca="1" si="19"/>
        <v>0</v>
      </c>
      <c r="BE30" s="71">
        <f t="shared" ca="1" si="33"/>
        <v>11249.099109688859</v>
      </c>
      <c r="BF30" s="65">
        <f t="shared" ca="1" si="20"/>
        <v>0</v>
      </c>
      <c r="BG30" s="69">
        <f t="shared" ca="1" si="21"/>
        <v>0</v>
      </c>
      <c r="BH30" s="301">
        <f t="shared" ca="1" si="29"/>
        <v>0</v>
      </c>
      <c r="BI30" s="300">
        <f ca="1">IF(AO30&gt;TartamVálasztott,0,   (BI29+BH30)*(1+yields!$D$2)*(1-(0.0099/12)))</f>
        <v>30887.820273419369</v>
      </c>
      <c r="BJ30" s="300">
        <f ca="1">SUM(BH$6:BH30)*-1.2</f>
        <v>-36000</v>
      </c>
      <c r="BK30" s="300">
        <f t="shared" ca="1" si="43"/>
        <v>-5112.1797265806308</v>
      </c>
      <c r="BL30" s="28">
        <f t="shared" ca="1" si="42"/>
        <v>2019</v>
      </c>
      <c r="BM30" s="28">
        <f t="shared" ca="1" si="35"/>
        <v>2</v>
      </c>
      <c r="BN30" s="236">
        <f t="shared" ca="1" si="36"/>
        <v>0</v>
      </c>
      <c r="BO30" s="236">
        <f t="shared" ca="1" si="23"/>
        <v>0</v>
      </c>
    </row>
    <row r="31" spans="1:67" x14ac:dyDescent="0.25">
      <c r="A31" s="116" t="s">
        <v>303</v>
      </c>
      <c r="B31" s="28">
        <v>9</v>
      </c>
      <c r="J31" s="26">
        <f t="shared" ca="1" si="1"/>
        <v>278091.61474832299</v>
      </c>
      <c r="K31" s="325"/>
      <c r="L31" s="500"/>
      <c r="N31" s="503">
        <f t="shared" ca="1" si="44"/>
        <v>0</v>
      </c>
      <c r="O31" s="504">
        <f t="shared" ca="1" si="2"/>
        <v>0</v>
      </c>
      <c r="P31" s="504">
        <f t="shared" ca="1" si="3"/>
        <v>0</v>
      </c>
      <c r="R31" s="72">
        <f t="shared" si="24"/>
        <v>26</v>
      </c>
      <c r="S31" s="94">
        <f t="shared" ca="1" si="31"/>
        <v>0</v>
      </c>
      <c r="T31" s="74">
        <f>IF(TKM=0,yields!B27,yields!C27)</f>
        <v>0.05</v>
      </c>
      <c r="U31" s="74"/>
      <c r="V31" s="75"/>
      <c r="W31" s="76"/>
      <c r="X31" s="526">
        <f t="shared" ca="1" si="45"/>
        <v>0</v>
      </c>
      <c r="Y31" s="579">
        <f t="shared" si="48"/>
        <v>0</v>
      </c>
      <c r="Z31" s="521">
        <f t="shared" ca="1" si="46"/>
        <v>1.4999999999999999E-2</v>
      </c>
      <c r="AA31" s="583">
        <f t="shared" si="49"/>
        <v>0</v>
      </c>
      <c r="AB31" s="584">
        <f t="shared" si="47"/>
        <v>0</v>
      </c>
      <c r="AC31" s="584">
        <f t="shared" si="47"/>
        <v>0</v>
      </c>
      <c r="AD31" s="569">
        <f t="shared" ca="1" si="40"/>
        <v>0</v>
      </c>
      <c r="AE31" s="77">
        <f t="shared" si="4"/>
        <v>0.05</v>
      </c>
      <c r="AF31" s="78">
        <f>(1+$AE31)^(1/12)-1</f>
        <v>4.0741237836483535E-3</v>
      </c>
      <c r="AG31" s="79"/>
      <c r="AH31" s="543">
        <v>0</v>
      </c>
      <c r="AI31" s="80"/>
      <c r="AJ31" s="80">
        <f>(1+$T31)^(1/12)</f>
        <v>1.0040741237836484</v>
      </c>
      <c r="AK31" s="81"/>
      <c r="AL31" s="81"/>
      <c r="AM31" s="95">
        <v>0</v>
      </c>
      <c r="AN31" s="81">
        <f t="shared" si="32"/>
        <v>1</v>
      </c>
      <c r="AO31" s="64">
        <f t="shared" si="6"/>
        <v>3</v>
      </c>
      <c r="AP31" s="64">
        <f t="shared" si="7"/>
        <v>2</v>
      </c>
      <c r="AQ31" s="65">
        <f t="shared" ca="1" si="27"/>
        <v>0</v>
      </c>
      <c r="AR31" s="66">
        <f t="shared" ca="1" si="8"/>
        <v>0</v>
      </c>
      <c r="AS31" s="66">
        <f t="shared" ca="1" si="9"/>
        <v>586.03611454881195</v>
      </c>
      <c r="AT31" s="66">
        <f t="shared" ca="1" si="28"/>
        <v>144429.50913343191</v>
      </c>
      <c r="AU31" s="66">
        <f t="shared" ca="1" si="10"/>
        <v>0</v>
      </c>
      <c r="AV31" s="68">
        <f t="shared" ca="1" si="11"/>
        <v>144429.50913343191</v>
      </c>
      <c r="AW31" s="65">
        <f t="shared" ca="1" si="12"/>
        <v>0</v>
      </c>
      <c r="AX31" s="69">
        <f t="shared" ca="1" si="13"/>
        <v>0</v>
      </c>
      <c r="AY31" s="70">
        <f t="shared" ca="1" si="14"/>
        <v>0</v>
      </c>
      <c r="AZ31" s="66">
        <f t="shared" ca="1" si="15"/>
        <v>45.830222227400903</v>
      </c>
      <c r="BA31" s="66">
        <f t="shared" ca="1" si="16"/>
        <v>0</v>
      </c>
      <c r="BB31" s="66">
        <f t="shared" ca="1" si="17"/>
        <v>0</v>
      </c>
      <c r="BC31" s="66">
        <f t="shared" ca="1" si="18"/>
        <v>11294.929331916261</v>
      </c>
      <c r="BD31" s="66">
        <f t="shared" ca="1" si="19"/>
        <v>0</v>
      </c>
      <c r="BE31" s="71">
        <f t="shared" ca="1" si="33"/>
        <v>11294.929331916261</v>
      </c>
      <c r="BF31" s="65">
        <f t="shared" ca="1" si="20"/>
        <v>0</v>
      </c>
      <c r="BG31" s="69">
        <f t="shared" ca="1" si="21"/>
        <v>0</v>
      </c>
      <c r="BH31" s="301">
        <f t="shared" ca="1" si="29"/>
        <v>0</v>
      </c>
      <c r="BI31" s="300">
        <f ca="1">IF(AO31&gt;TartamVálasztott,0,   (BI30+BH31)*(1+yields!$D$2)*(1-(0.0099/12)))</f>
        <v>30988.074806232151</v>
      </c>
      <c r="BJ31" s="300">
        <f ca="1">SUM(BH$6:BH31)*-1.2</f>
        <v>-36000</v>
      </c>
      <c r="BK31" s="300">
        <f t="shared" ca="1" si="43"/>
        <v>-5011.9251937678491</v>
      </c>
      <c r="BL31" s="28">
        <f t="shared" ca="1" si="42"/>
        <v>2019</v>
      </c>
      <c r="BM31" s="28">
        <f t="shared" ca="1" si="35"/>
        <v>3</v>
      </c>
      <c r="BN31" s="236">
        <f t="shared" ca="1" si="36"/>
        <v>0</v>
      </c>
      <c r="BO31" s="236">
        <f t="shared" ca="1" si="23"/>
        <v>0</v>
      </c>
    </row>
    <row r="32" spans="1:67" x14ac:dyDescent="0.25">
      <c r="J32" s="26">
        <f t="shared" ca="1" si="1"/>
        <v>285043.90511703107</v>
      </c>
      <c r="K32" s="325"/>
      <c r="L32" s="500"/>
      <c r="N32" s="503">
        <f t="shared" ca="1" si="44"/>
        <v>0</v>
      </c>
      <c r="O32" s="504">
        <f t="shared" ca="1" si="2"/>
        <v>0</v>
      </c>
      <c r="P32" s="504">
        <f t="shared" ca="1" si="3"/>
        <v>0</v>
      </c>
      <c r="R32" s="72">
        <f>R31+1</f>
        <v>27</v>
      </c>
      <c r="S32" s="94">
        <f ca="1">S31</f>
        <v>0</v>
      </c>
      <c r="T32" s="74">
        <f>IF(TKM=0,yields!B28,yields!C28)</f>
        <v>0.05</v>
      </c>
      <c r="U32" s="74"/>
      <c r="V32" s="75"/>
      <c r="W32" s="76"/>
      <c r="X32" s="526">
        <f t="shared" ca="1" si="45"/>
        <v>0</v>
      </c>
      <c r="Y32" s="579">
        <f>Y31</f>
        <v>0</v>
      </c>
      <c r="Z32" s="521">
        <f t="shared" ca="1" si="46"/>
        <v>1.4999999999999999E-2</v>
      </c>
      <c r="AA32" s="583">
        <f>AA31</f>
        <v>0</v>
      </c>
      <c r="AB32" s="584">
        <f>AB31</f>
        <v>0</v>
      </c>
      <c r="AC32" s="584">
        <f>AC31</f>
        <v>0</v>
      </c>
      <c r="AD32" s="569">
        <f t="shared" ca="1" si="40"/>
        <v>0</v>
      </c>
      <c r="AE32" s="77">
        <f t="shared" si="4"/>
        <v>0.05</v>
      </c>
      <c r="AF32" s="78">
        <f>(1+$AE32)^(1/12)-1</f>
        <v>4.0741237836483535E-3</v>
      </c>
      <c r="AG32" s="79"/>
      <c r="AH32" s="543">
        <v>0</v>
      </c>
      <c r="AI32" s="80"/>
      <c r="AJ32" s="80">
        <f>(1+$T32)^(1/12)</f>
        <v>1.0040741237836484</v>
      </c>
      <c r="AK32" s="81"/>
      <c r="AL32" s="81"/>
      <c r="AM32" s="95">
        <v>0</v>
      </c>
      <c r="AN32" s="81">
        <f>AN31*(1+AM32)</f>
        <v>1</v>
      </c>
      <c r="AO32" s="64">
        <f>IF(AP31=12,AO31+1,AO31)</f>
        <v>3</v>
      </c>
      <c r="AP32" s="64">
        <f>IF(AP31&lt;12,AP31+1,1)</f>
        <v>3</v>
      </c>
      <c r="AQ32" s="65">
        <f t="shared" ca="1" si="27"/>
        <v>0</v>
      </c>
      <c r="AR32" s="66">
        <f t="shared" ca="1" si="8"/>
        <v>0</v>
      </c>
      <c r="AS32" s="66">
        <f t="shared" ca="1" si="9"/>
        <v>588.42369822117212</v>
      </c>
      <c r="AT32" s="66">
        <f t="shared" ca="1" si="28"/>
        <v>145017.93283165307</v>
      </c>
      <c r="AU32" s="66">
        <f t="shared" ca="1" si="10"/>
        <v>0</v>
      </c>
      <c r="AV32" s="68">
        <f t="shared" ca="1" si="11"/>
        <v>145017.93283165307</v>
      </c>
      <c r="AW32" s="65">
        <f t="shared" ca="1" si="12"/>
        <v>0</v>
      </c>
      <c r="AX32" s="69">
        <f t="shared" ca="1" si="13"/>
        <v>0</v>
      </c>
      <c r="AY32" s="70">
        <f t="shared" ca="1" si="14"/>
        <v>0</v>
      </c>
      <c r="AZ32" s="66">
        <f t="shared" ca="1" si="15"/>
        <v>46.016940225787444</v>
      </c>
      <c r="BA32" s="66">
        <f t="shared" ca="1" si="16"/>
        <v>0</v>
      </c>
      <c r="BB32" s="66">
        <f t="shared" ca="1" si="17"/>
        <v>0</v>
      </c>
      <c r="BC32" s="66">
        <f t="shared" ca="1" si="18"/>
        <v>11340.946272142048</v>
      </c>
      <c r="BD32" s="66">
        <f t="shared" ca="1" si="19"/>
        <v>0</v>
      </c>
      <c r="BE32" s="71">
        <f t="shared" ca="1" si="33"/>
        <v>11340.946272142048</v>
      </c>
      <c r="BF32" s="65">
        <f t="shared" ca="1" si="20"/>
        <v>0</v>
      </c>
      <c r="BG32" s="69">
        <f t="shared" ca="1" si="21"/>
        <v>0</v>
      </c>
      <c r="BH32" s="301">
        <f t="shared" ca="1" si="29"/>
        <v>0</v>
      </c>
      <c r="BI32" s="300">
        <f ca="1">IF(AO32&gt;TartamVálasztott,0,   (BI31+BH32)*(1+yields!$D$2)*(1-(0.0099/12)))</f>
        <v>31088.654741461178</v>
      </c>
      <c r="BJ32" s="300">
        <f ca="1">SUM(BH$6:BH32)*-1.2</f>
        <v>-36000</v>
      </c>
      <c r="BK32" s="300">
        <f t="shared" ca="1" si="43"/>
        <v>-4911.3452585388222</v>
      </c>
      <c r="BL32" s="28">
        <f t="shared" ca="1" si="42"/>
        <v>2019</v>
      </c>
      <c r="BM32" s="28">
        <f t="shared" ca="1" si="35"/>
        <v>4</v>
      </c>
      <c r="BN32" s="236">
        <f t="shared" ca="1" si="36"/>
        <v>0</v>
      </c>
      <c r="BO32" s="236">
        <f t="shared" ca="1" si="23"/>
        <v>0</v>
      </c>
    </row>
    <row r="33" spans="1:67" x14ac:dyDescent="0.25">
      <c r="J33" s="26">
        <f t="shared" ca="1" si="1"/>
        <v>292170.00274495682</v>
      </c>
      <c r="K33" s="325"/>
      <c r="L33" s="500"/>
      <c r="N33" s="503">
        <f t="shared" ca="1" si="44"/>
        <v>0</v>
      </c>
      <c r="O33" s="504">
        <f t="shared" ca="1" si="2"/>
        <v>0</v>
      </c>
      <c r="P33" s="504">
        <f t="shared" ca="1" si="3"/>
        <v>0</v>
      </c>
      <c r="R33" s="72">
        <f t="shared" si="24"/>
        <v>28</v>
      </c>
      <c r="S33" s="94">
        <f t="shared" ca="1" si="31"/>
        <v>0</v>
      </c>
      <c r="T33" s="74">
        <f>IF(TKM=0,yields!B29,yields!C29)</f>
        <v>0.05</v>
      </c>
      <c r="U33" s="74"/>
      <c r="V33" s="75"/>
      <c r="W33" s="76"/>
      <c r="X33" s="526">
        <f t="shared" ca="1" si="45"/>
        <v>0</v>
      </c>
      <c r="Y33" s="579">
        <f t="shared" si="48"/>
        <v>0</v>
      </c>
      <c r="Z33" s="521">
        <f t="shared" ca="1" si="46"/>
        <v>1.4999999999999999E-2</v>
      </c>
      <c r="AA33" s="583">
        <f t="shared" si="49"/>
        <v>0</v>
      </c>
      <c r="AB33" s="584">
        <f t="shared" si="47"/>
        <v>0</v>
      </c>
      <c r="AC33" s="584">
        <f t="shared" si="47"/>
        <v>0</v>
      </c>
      <c r="AD33" s="569">
        <f t="shared" ca="1" si="40"/>
        <v>0</v>
      </c>
      <c r="AE33" s="77">
        <f t="shared" si="4"/>
        <v>0.05</v>
      </c>
      <c r="AF33" s="78">
        <f>(1+$AE33)^(1/12)-1</f>
        <v>4.0741237836483535E-3</v>
      </c>
      <c r="AG33" s="79"/>
      <c r="AH33" s="543">
        <v>0</v>
      </c>
      <c r="AI33" s="80"/>
      <c r="AJ33" s="80">
        <f>(1+$T33)^(1/12)</f>
        <v>1.0040741237836484</v>
      </c>
      <c r="AK33" s="81"/>
      <c r="AL33" s="81"/>
      <c r="AM33" s="95">
        <v>0</v>
      </c>
      <c r="AN33" s="81">
        <f t="shared" si="32"/>
        <v>1</v>
      </c>
      <c r="AO33" s="64">
        <f t="shared" si="6"/>
        <v>3</v>
      </c>
      <c r="AP33" s="64">
        <f t="shared" si="7"/>
        <v>4</v>
      </c>
      <c r="AQ33" s="65">
        <f t="shared" ca="1" si="27"/>
        <v>39398.4375</v>
      </c>
      <c r="AR33" s="66">
        <f t="shared" ca="1" si="8"/>
        <v>31518.75</v>
      </c>
      <c r="AS33" s="66">
        <f t="shared" ca="1" si="9"/>
        <v>719.23229821082373</v>
      </c>
      <c r="AT33" s="66">
        <f t="shared" ca="1" si="28"/>
        <v>177255.91512986389</v>
      </c>
      <c r="AU33" s="66">
        <f t="shared" ca="1" si="10"/>
        <v>0</v>
      </c>
      <c r="AV33" s="68">
        <f t="shared" ca="1" si="11"/>
        <v>177255.91512986389</v>
      </c>
      <c r="AW33" s="65">
        <f t="shared" ca="1" si="12"/>
        <v>0</v>
      </c>
      <c r="AX33" s="69">
        <f t="shared" ca="1" si="13"/>
        <v>7879.6875</v>
      </c>
      <c r="AY33" s="70">
        <f t="shared" ca="1" si="14"/>
        <v>1575.9374999999989</v>
      </c>
      <c r="AZ33" s="66">
        <f t="shared" ca="1" si="15"/>
        <v>52.624983386705367</v>
      </c>
      <c r="BA33" s="66">
        <f t="shared" ca="1" si="16"/>
        <v>0</v>
      </c>
      <c r="BB33" s="66">
        <f t="shared" ca="1" si="17"/>
        <v>0</v>
      </c>
      <c r="BC33" s="66">
        <f t="shared" ca="1" si="18"/>
        <v>12969.508755528752</v>
      </c>
      <c r="BD33" s="66">
        <f t="shared" ca="1" si="19"/>
        <v>0</v>
      </c>
      <c r="BE33" s="71">
        <f t="shared" ca="1" si="33"/>
        <v>12969.508755528752</v>
      </c>
      <c r="BF33" s="65">
        <f t="shared" ca="1" si="20"/>
        <v>0</v>
      </c>
      <c r="BG33" s="69">
        <f t="shared" ca="1" si="21"/>
        <v>0</v>
      </c>
      <c r="BH33" s="301">
        <f t="shared" ca="1" si="29"/>
        <v>0</v>
      </c>
      <c r="BI33" s="300">
        <f ca="1">IF(AO33&gt;TartamVálasztott,0,   (BI32+BH33)*(1+yields!$D$2)*(1-(0.0099/12)))</f>
        <v>31189.56113528545</v>
      </c>
      <c r="BJ33" s="300">
        <f ca="1">SUM(BH$6:BH33)*-1.2</f>
        <v>-36000</v>
      </c>
      <c r="BK33" s="300">
        <f t="shared" ca="1" si="43"/>
        <v>-4810.4388647145497</v>
      </c>
      <c r="BL33" s="28">
        <f t="shared" ca="1" si="42"/>
        <v>2019</v>
      </c>
      <c r="BM33" s="28">
        <f t="shared" ca="1" si="35"/>
        <v>5</v>
      </c>
      <c r="BN33" s="236">
        <f t="shared" ca="1" si="36"/>
        <v>0</v>
      </c>
      <c r="BO33" s="236">
        <f t="shared" ca="1" si="23"/>
        <v>0</v>
      </c>
    </row>
    <row r="34" spans="1:67" x14ac:dyDescent="0.25">
      <c r="J34" s="26">
        <f t="shared" ca="1" si="1"/>
        <v>299474.25281358074</v>
      </c>
      <c r="K34" s="325"/>
      <c r="L34" s="500"/>
      <c r="N34" s="503">
        <f t="shared" ca="1" si="44"/>
        <v>0</v>
      </c>
      <c r="O34" s="504">
        <f t="shared" ca="1" si="2"/>
        <v>0</v>
      </c>
      <c r="P34" s="504">
        <f t="shared" ca="1" si="3"/>
        <v>0</v>
      </c>
      <c r="R34" s="72">
        <f t="shared" si="24"/>
        <v>29</v>
      </c>
      <c r="S34" s="94">
        <f t="shared" ca="1" si="31"/>
        <v>0</v>
      </c>
      <c r="T34" s="74">
        <f>IF(TKM=0,yields!B30,yields!C30)</f>
        <v>0.05</v>
      </c>
      <c r="U34" s="74"/>
      <c r="V34" s="75"/>
      <c r="W34" s="76"/>
      <c r="X34" s="526">
        <f t="shared" ca="1" si="45"/>
        <v>0</v>
      </c>
      <c r="Y34" s="579">
        <f t="shared" si="48"/>
        <v>0</v>
      </c>
      <c r="Z34" s="521">
        <f t="shared" ca="1" si="46"/>
        <v>1.4999999999999999E-2</v>
      </c>
      <c r="AA34" s="583">
        <f t="shared" si="49"/>
        <v>0</v>
      </c>
      <c r="AB34" s="584">
        <f t="shared" si="47"/>
        <v>0</v>
      </c>
      <c r="AC34" s="584">
        <f t="shared" si="47"/>
        <v>0</v>
      </c>
      <c r="AD34" s="569">
        <f t="shared" ca="1" si="40"/>
        <v>0</v>
      </c>
      <c r="AE34" s="77">
        <f t="shared" si="4"/>
        <v>0.05</v>
      </c>
      <c r="AF34" s="78">
        <f>(1+$AE34)^(1/12)-1</f>
        <v>4.0741237836483535E-3</v>
      </c>
      <c r="AG34" s="79"/>
      <c r="AH34" s="543">
        <v>0</v>
      </c>
      <c r="AI34" s="80"/>
      <c r="AJ34" s="80">
        <f>(1+$T34)^(1/12)</f>
        <v>1.0040741237836484</v>
      </c>
      <c r="AK34" s="81"/>
      <c r="AL34" s="81"/>
      <c r="AM34" s="95">
        <v>0</v>
      </c>
      <c r="AN34" s="81">
        <f t="shared" si="32"/>
        <v>1</v>
      </c>
      <c r="AO34" s="64">
        <f t="shared" si="6"/>
        <v>3</v>
      </c>
      <c r="AP34" s="64">
        <f t="shared" si="7"/>
        <v>5</v>
      </c>
      <c r="AQ34" s="65">
        <f t="shared" ca="1" si="27"/>
        <v>0</v>
      </c>
      <c r="AR34" s="66">
        <f t="shared" ca="1" si="8"/>
        <v>0</v>
      </c>
      <c r="AS34" s="66">
        <f t="shared" ca="1" si="9"/>
        <v>722.16253962293251</v>
      </c>
      <c r="AT34" s="66">
        <f t="shared" ca="1" si="28"/>
        <v>177978.07766948681</v>
      </c>
      <c r="AU34" s="66">
        <f t="shared" ca="1" si="10"/>
        <v>0</v>
      </c>
      <c r="AV34" s="68">
        <f t="shared" ca="1" si="11"/>
        <v>177978.07766948681</v>
      </c>
      <c r="AW34" s="65">
        <f t="shared" ca="1" si="12"/>
        <v>0</v>
      </c>
      <c r="AX34" s="69">
        <f t="shared" ca="1" si="13"/>
        <v>0</v>
      </c>
      <c r="AY34" s="70">
        <f t="shared" ca="1" si="14"/>
        <v>0</v>
      </c>
      <c r="AZ34" s="66">
        <f t="shared" ca="1" si="15"/>
        <v>52.839384083135243</v>
      </c>
      <c r="BA34" s="66">
        <f t="shared" ca="1" si="16"/>
        <v>0</v>
      </c>
      <c r="BB34" s="66">
        <f t="shared" ca="1" si="17"/>
        <v>0</v>
      </c>
      <c r="BC34" s="66">
        <f t="shared" ca="1" si="18"/>
        <v>13022.348139611888</v>
      </c>
      <c r="BD34" s="66">
        <f t="shared" ca="1" si="19"/>
        <v>0</v>
      </c>
      <c r="BE34" s="71">
        <f t="shared" ca="1" si="33"/>
        <v>13022.348139611888</v>
      </c>
      <c r="BF34" s="65">
        <f t="shared" ca="1" si="20"/>
        <v>0</v>
      </c>
      <c r="BG34" s="69">
        <f t="shared" ca="1" si="21"/>
        <v>0</v>
      </c>
      <c r="BH34" s="301">
        <f t="shared" ca="1" si="29"/>
        <v>30750</v>
      </c>
      <c r="BI34" s="300">
        <f ca="1">IF(AO34&gt;TartamVálasztott,0,   (BI33+BH34)*(1+yields!$D$2)*(1-(0.0099/12)))</f>
        <v>62140.602248231531</v>
      </c>
      <c r="BJ34" s="300">
        <f ca="1">SUM(BH$6:BH34)*-1.2</f>
        <v>-72900</v>
      </c>
      <c r="BK34" s="300">
        <f t="shared" ca="1" si="43"/>
        <v>-10759.397751768469</v>
      </c>
      <c r="BL34" s="28">
        <f t="shared" ca="1" si="42"/>
        <v>2019</v>
      </c>
      <c r="BM34" s="28">
        <f t="shared" ca="1" si="35"/>
        <v>6</v>
      </c>
      <c r="BN34" s="236">
        <f t="shared" ca="1" si="36"/>
        <v>0</v>
      </c>
      <c r="BO34" s="236">
        <f t="shared" ca="1" si="23"/>
        <v>0</v>
      </c>
    </row>
    <row r="35" spans="1:67" x14ac:dyDescent="0.25">
      <c r="J35" s="26">
        <f t="shared" ca="1" si="1"/>
        <v>306961.10913392028</v>
      </c>
      <c r="K35" s="325"/>
      <c r="L35" s="500"/>
      <c r="N35" s="503">
        <f t="shared" ca="1" si="44"/>
        <v>0</v>
      </c>
      <c r="O35" s="504">
        <f t="shared" ca="1" si="2"/>
        <v>0</v>
      </c>
      <c r="P35" s="504">
        <f t="shared" ca="1" si="3"/>
        <v>0</v>
      </c>
      <c r="R35" s="72">
        <f>R34+1</f>
        <v>30</v>
      </c>
      <c r="S35" s="94">
        <f ca="1">S34</f>
        <v>0</v>
      </c>
      <c r="T35" s="74">
        <f>IF(TKM=0,yields!B31,yields!C31)</f>
        <v>0.05</v>
      </c>
      <c r="U35" s="74"/>
      <c r="V35" s="75"/>
      <c r="W35" s="76"/>
      <c r="X35" s="526">
        <f t="shared" ca="1" si="45"/>
        <v>0</v>
      </c>
      <c r="Y35" s="579">
        <f t="shared" si="48"/>
        <v>0</v>
      </c>
      <c r="Z35" s="521">
        <f t="shared" ca="1" si="46"/>
        <v>1.4999999999999999E-2</v>
      </c>
      <c r="AA35" s="583">
        <f>AA34</f>
        <v>0</v>
      </c>
      <c r="AB35" s="584">
        <f>AB34</f>
        <v>0</v>
      </c>
      <c r="AC35" s="584">
        <f>AC34</f>
        <v>0</v>
      </c>
      <c r="AD35" s="569">
        <f t="shared" ca="1" si="40"/>
        <v>0</v>
      </c>
      <c r="AE35" s="77">
        <f t="shared" si="4"/>
        <v>0.05</v>
      </c>
      <c r="AF35" s="78">
        <f t="shared" si="5"/>
        <v>4.0741237836483535E-3</v>
      </c>
      <c r="AG35" s="79"/>
      <c r="AH35" s="543">
        <v>0</v>
      </c>
      <c r="AI35" s="80"/>
      <c r="AJ35" s="80">
        <f t="shared" si="26"/>
        <v>1.0040741237836484</v>
      </c>
      <c r="AK35" s="81"/>
      <c r="AL35" s="81"/>
      <c r="AM35" s="95">
        <v>0</v>
      </c>
      <c r="AN35" s="81">
        <f>AN34*(1+AM35)</f>
        <v>1</v>
      </c>
      <c r="AO35" s="64">
        <f>IF(AP34=12,AO34+1,AO34)</f>
        <v>3</v>
      </c>
      <c r="AP35" s="64">
        <f>IF(AP34&lt;12,AP34+1,1)</f>
        <v>6</v>
      </c>
      <c r="AQ35" s="65">
        <f t="shared" ca="1" si="27"/>
        <v>0</v>
      </c>
      <c r="AR35" s="66">
        <f t="shared" ca="1" si="8"/>
        <v>0</v>
      </c>
      <c r="AS35" s="66">
        <f t="shared" ca="1" si="9"/>
        <v>725.10471920127009</v>
      </c>
      <c r="AT35" s="66">
        <f t="shared" ca="1" si="28"/>
        <v>178703.18238868809</v>
      </c>
      <c r="AU35" s="66">
        <f t="shared" ca="1" si="10"/>
        <v>0</v>
      </c>
      <c r="AV35" s="68">
        <f t="shared" ca="1" si="11"/>
        <v>178703.18238868809</v>
      </c>
      <c r="AW35" s="65">
        <f t="shared" ca="1" si="12"/>
        <v>0</v>
      </c>
      <c r="AX35" s="69">
        <f t="shared" ca="1" si="13"/>
        <v>0</v>
      </c>
      <c r="AY35" s="70">
        <f t="shared" ca="1" si="14"/>
        <v>0</v>
      </c>
      <c r="AZ35" s="66">
        <f t="shared" ca="1" si="15"/>
        <v>53.05465827454168</v>
      </c>
      <c r="BA35" s="66">
        <f t="shared" ca="1" si="16"/>
        <v>0</v>
      </c>
      <c r="BB35" s="66">
        <f t="shared" ca="1" si="17"/>
        <v>0</v>
      </c>
      <c r="BC35" s="66">
        <f t="shared" ca="1" si="18"/>
        <v>13075.402797886429</v>
      </c>
      <c r="BD35" s="66">
        <f t="shared" ca="1" si="19"/>
        <v>0</v>
      </c>
      <c r="BE35" s="71">
        <f t="shared" ca="1" si="33"/>
        <v>13075.402797886429</v>
      </c>
      <c r="BF35" s="65">
        <f t="shared" ca="1" si="20"/>
        <v>0</v>
      </c>
      <c r="BG35" s="69">
        <f t="shared" ca="1" si="21"/>
        <v>0</v>
      </c>
      <c r="BH35" s="301">
        <f t="shared" ca="1" si="29"/>
        <v>0</v>
      </c>
      <c r="BI35" s="300">
        <f ca="1">IF(AO35&gt;TartamVálasztott,0,   (BI34+BH35)*(1+yields!$D$2)*(1-(0.0099/12)))</f>
        <v>62342.295892909417</v>
      </c>
      <c r="BJ35" s="300">
        <f ca="1">SUM(BH$6:BH35)*-1.2</f>
        <v>-72900</v>
      </c>
      <c r="BK35" s="300">
        <f t="shared" ca="1" si="43"/>
        <v>-10557.704107090583</v>
      </c>
      <c r="BL35" s="28">
        <f t="shared" ca="1" si="42"/>
        <v>2019</v>
      </c>
      <c r="BM35" s="28">
        <f t="shared" ca="1" si="35"/>
        <v>7</v>
      </c>
      <c r="BN35" s="236">
        <f t="shared" ca="1" si="36"/>
        <v>0</v>
      </c>
      <c r="BO35" s="236">
        <f t="shared" ca="1" si="23"/>
        <v>0</v>
      </c>
    </row>
    <row r="36" spans="1:67" x14ac:dyDescent="0.25">
      <c r="J36" s="26">
        <f t="shared" ca="1" si="1"/>
        <v>314635.13686226821</v>
      </c>
      <c r="K36" s="325"/>
      <c r="L36" s="500"/>
      <c r="N36" s="503">
        <f t="shared" ca="1" si="44"/>
        <v>0</v>
      </c>
      <c r="O36" s="504">
        <f t="shared" ca="1" si="2"/>
        <v>0</v>
      </c>
      <c r="P36" s="504">
        <f t="shared" ca="1" si="3"/>
        <v>0</v>
      </c>
      <c r="R36" s="72">
        <f t="shared" si="24"/>
        <v>31</v>
      </c>
      <c r="S36" s="94">
        <f t="shared" ca="1" si="31"/>
        <v>0</v>
      </c>
      <c r="T36" s="74">
        <f>IF(TKM=0,yields!B32,yields!C32)</f>
        <v>0.05</v>
      </c>
      <c r="U36" s="74"/>
      <c r="V36" s="75"/>
      <c r="W36" s="76"/>
      <c r="X36" s="526">
        <f t="shared" ca="1" si="45"/>
        <v>0</v>
      </c>
      <c r="Y36" s="579">
        <f t="shared" si="48"/>
        <v>0</v>
      </c>
      <c r="Z36" s="521">
        <f t="shared" ca="1" si="46"/>
        <v>1.4999999999999999E-2</v>
      </c>
      <c r="AA36" s="583">
        <f t="shared" si="49"/>
        <v>0</v>
      </c>
      <c r="AB36" s="584">
        <f t="shared" si="47"/>
        <v>0</v>
      </c>
      <c r="AC36" s="584">
        <f t="shared" si="47"/>
        <v>0</v>
      </c>
      <c r="AD36" s="569">
        <f t="shared" ca="1" si="40"/>
        <v>0</v>
      </c>
      <c r="AE36" s="77">
        <f t="shared" si="4"/>
        <v>0.05</v>
      </c>
      <c r="AF36" s="78">
        <f t="shared" si="5"/>
        <v>4.0741237836483535E-3</v>
      </c>
      <c r="AG36" s="79"/>
      <c r="AH36" s="543">
        <v>0</v>
      </c>
      <c r="AI36" s="80"/>
      <c r="AJ36" s="80">
        <f t="shared" si="26"/>
        <v>1.0040741237836484</v>
      </c>
      <c r="AK36" s="81"/>
      <c r="AL36" s="81"/>
      <c r="AM36" s="95">
        <v>0</v>
      </c>
      <c r="AN36" s="81">
        <f t="shared" si="32"/>
        <v>1</v>
      </c>
      <c r="AO36" s="64">
        <f t="shared" si="6"/>
        <v>3</v>
      </c>
      <c r="AP36" s="64">
        <f t="shared" si="7"/>
        <v>7</v>
      </c>
      <c r="AQ36" s="65">
        <f t="shared" ca="1" si="27"/>
        <v>39398.4375</v>
      </c>
      <c r="AR36" s="66">
        <f t="shared" ca="1" si="8"/>
        <v>31518.75</v>
      </c>
      <c r="AS36" s="66">
        <f t="shared" ca="1" si="9"/>
        <v>856.4701745892703</v>
      </c>
      <c r="AT36" s="66">
        <f t="shared" ca="1" si="28"/>
        <v>211078.40256327737</v>
      </c>
      <c r="AU36" s="66">
        <f t="shared" ca="1" si="10"/>
        <v>0</v>
      </c>
      <c r="AV36" s="68">
        <f t="shared" ca="1" si="11"/>
        <v>211078.40256327737</v>
      </c>
      <c r="AW36" s="65">
        <f t="shared" ca="1" si="12"/>
        <v>0</v>
      </c>
      <c r="AX36" s="69">
        <f t="shared" ca="1" si="13"/>
        <v>7879.6875</v>
      </c>
      <c r="AY36" s="70">
        <f t="shared" ca="1" si="14"/>
        <v>1575.9374999999989</v>
      </c>
      <c r="AZ36" s="66">
        <f t="shared" ca="1" si="15"/>
        <v>59.691373969944642</v>
      </c>
      <c r="BA36" s="66">
        <f t="shared" ca="1" si="16"/>
        <v>0</v>
      </c>
      <c r="BB36" s="66">
        <f t="shared" ca="1" si="17"/>
        <v>0</v>
      </c>
      <c r="BC36" s="66">
        <f t="shared" ca="1" si="18"/>
        <v>14711.031671856372</v>
      </c>
      <c r="BD36" s="66">
        <f t="shared" ca="1" si="19"/>
        <v>0</v>
      </c>
      <c r="BE36" s="71">
        <f t="shared" ca="1" si="33"/>
        <v>14711.031671856372</v>
      </c>
      <c r="BF36" s="65">
        <f t="shared" ca="1" si="20"/>
        <v>0</v>
      </c>
      <c r="BG36" s="69">
        <f t="shared" ca="1" si="21"/>
        <v>0</v>
      </c>
      <c r="BH36" s="301">
        <f t="shared" ca="1" si="29"/>
        <v>0</v>
      </c>
      <c r="BI36" s="300">
        <f ca="1">IF(AO36&gt;TartamVálasztott,0,   (BI35+BH36)*(1+yields!$D$2)*(1-(0.0099/12)))</f>
        <v>62544.644187282218</v>
      </c>
      <c r="BJ36" s="300">
        <f ca="1">SUM(BH$6:BH36)*-1.2</f>
        <v>-72900</v>
      </c>
      <c r="BK36" s="300">
        <f t="shared" ca="1" si="43"/>
        <v>-10355.355812717782</v>
      </c>
      <c r="BL36" s="28">
        <f t="shared" ca="1" si="42"/>
        <v>2019</v>
      </c>
      <c r="BM36" s="28">
        <f t="shared" ca="1" si="35"/>
        <v>8</v>
      </c>
      <c r="BN36" s="236">
        <f t="shared" ca="1" si="36"/>
        <v>0</v>
      </c>
      <c r="BO36" s="236">
        <f t="shared" ca="1" si="23"/>
        <v>0</v>
      </c>
    </row>
    <row r="37" spans="1:67" x14ac:dyDescent="0.25">
      <c r="J37" s="26">
        <f t="shared" ca="1" si="1"/>
        <v>322501.01528382499</v>
      </c>
      <c r="K37" s="325"/>
      <c r="L37" s="500"/>
      <c r="N37" s="503">
        <f t="shared" ca="1" si="44"/>
        <v>0</v>
      </c>
      <c r="O37" s="504">
        <f t="shared" ca="1" si="2"/>
        <v>0</v>
      </c>
      <c r="P37" s="504">
        <f t="shared" ca="1" si="3"/>
        <v>0</v>
      </c>
      <c r="R37" s="72">
        <f t="shared" si="24"/>
        <v>32</v>
      </c>
      <c r="S37" s="94">
        <f t="shared" ca="1" si="31"/>
        <v>0</v>
      </c>
      <c r="T37" s="74">
        <f>IF(TKM=0,yields!B33,yields!C33)</f>
        <v>0.05</v>
      </c>
      <c r="U37" s="74"/>
      <c r="V37" s="75"/>
      <c r="W37" s="76"/>
      <c r="X37" s="526">
        <f t="shared" ca="1" si="45"/>
        <v>0</v>
      </c>
      <c r="Y37" s="579">
        <f t="shared" si="48"/>
        <v>0</v>
      </c>
      <c r="Z37" s="521">
        <f t="shared" ca="1" si="46"/>
        <v>1.4999999999999999E-2</v>
      </c>
      <c r="AA37" s="583">
        <f t="shared" si="49"/>
        <v>0</v>
      </c>
      <c r="AB37" s="584">
        <f t="shared" si="47"/>
        <v>0</v>
      </c>
      <c r="AC37" s="584">
        <f t="shared" si="47"/>
        <v>0</v>
      </c>
      <c r="AD37" s="569">
        <f t="shared" ca="1" si="40"/>
        <v>0</v>
      </c>
      <c r="AE37" s="77">
        <f t="shared" si="4"/>
        <v>0.05</v>
      </c>
      <c r="AF37" s="78">
        <f t="shared" si="5"/>
        <v>4.0741237836483535E-3</v>
      </c>
      <c r="AG37" s="79"/>
      <c r="AH37" s="543">
        <v>0</v>
      </c>
      <c r="AI37" s="80"/>
      <c r="AJ37" s="80">
        <f t="shared" si="26"/>
        <v>1.0040741237836484</v>
      </c>
      <c r="AK37" s="81"/>
      <c r="AL37" s="81"/>
      <c r="AM37" s="95">
        <v>0</v>
      </c>
      <c r="AN37" s="81">
        <f t="shared" si="32"/>
        <v>1</v>
      </c>
      <c r="AO37" s="64">
        <f t="shared" si="6"/>
        <v>3</v>
      </c>
      <c r="AP37" s="64">
        <f t="shared" si="7"/>
        <v>8</v>
      </c>
      <c r="AQ37" s="65">
        <f t="shared" ca="1" si="27"/>
        <v>0</v>
      </c>
      <c r="AR37" s="66">
        <f t="shared" ca="1" si="8"/>
        <v>0</v>
      </c>
      <c r="AS37" s="66">
        <f t="shared" ca="1" si="9"/>
        <v>859.95954009754996</v>
      </c>
      <c r="AT37" s="66">
        <f t="shared" ca="1" si="28"/>
        <v>211938.36210337491</v>
      </c>
      <c r="AU37" s="66">
        <f t="shared" ca="1" si="10"/>
        <v>0</v>
      </c>
      <c r="AV37" s="68">
        <f t="shared" ca="1" si="11"/>
        <v>211938.36210337491</v>
      </c>
      <c r="AW37" s="65">
        <f t="shared" ca="1" si="12"/>
        <v>0</v>
      </c>
      <c r="AX37" s="69">
        <f t="shared" ca="1" si="13"/>
        <v>0</v>
      </c>
      <c r="AY37" s="70">
        <f t="shared" ca="1" si="14"/>
        <v>0</v>
      </c>
      <c r="AZ37" s="66">
        <f t="shared" ca="1" si="15"/>
        <v>59.934564016314248</v>
      </c>
      <c r="BA37" s="66">
        <f t="shared" ca="1" si="16"/>
        <v>0</v>
      </c>
      <c r="BB37" s="66">
        <f t="shared" ca="1" si="17"/>
        <v>0</v>
      </c>
      <c r="BC37" s="66">
        <f t="shared" ca="1" si="18"/>
        <v>14770.966235872686</v>
      </c>
      <c r="BD37" s="66">
        <f t="shared" ca="1" si="19"/>
        <v>0</v>
      </c>
      <c r="BE37" s="71">
        <f t="shared" ca="1" si="33"/>
        <v>14770.966235872686</v>
      </c>
      <c r="BF37" s="65">
        <f t="shared" ca="1" si="20"/>
        <v>0</v>
      </c>
      <c r="BG37" s="69">
        <f t="shared" ca="1" si="21"/>
        <v>0</v>
      </c>
      <c r="BH37" s="301">
        <f t="shared" ca="1" si="29"/>
        <v>0</v>
      </c>
      <c r="BI37" s="300">
        <f ca="1">IF(AO37&gt;TartamVálasztott,0,   (BI36+BH37)*(1+yields!$D$2)*(1-(0.0099/12)))</f>
        <v>62747.649256187447</v>
      </c>
      <c r="BJ37" s="300">
        <f ca="1">SUM(BH$6:BH37)*-1.2</f>
        <v>-72900</v>
      </c>
      <c r="BK37" s="300">
        <f t="shared" ca="1" si="43"/>
        <v>-10152.350743812553</v>
      </c>
      <c r="BL37" s="28">
        <f t="shared" ca="1" si="42"/>
        <v>2019</v>
      </c>
      <c r="BM37" s="28">
        <f t="shared" ca="1" si="35"/>
        <v>9</v>
      </c>
      <c r="BN37" s="236">
        <f t="shared" ca="1" si="36"/>
        <v>0</v>
      </c>
      <c r="BO37" s="236">
        <f t="shared" ca="1" si="23"/>
        <v>0</v>
      </c>
    </row>
    <row r="38" spans="1:67" x14ac:dyDescent="0.25">
      <c r="A38" s="116" t="s">
        <v>216</v>
      </c>
      <c r="J38" s="26">
        <f t="shared" ca="1" si="1"/>
        <v>330563.54066592053</v>
      </c>
      <c r="K38" s="325"/>
      <c r="L38" s="500"/>
      <c r="N38" s="503">
        <f t="shared" ca="1" si="44"/>
        <v>0</v>
      </c>
      <c r="O38" s="504">
        <f t="shared" ca="1" si="2"/>
        <v>0</v>
      </c>
      <c r="P38" s="504">
        <f t="shared" ca="1" si="3"/>
        <v>0</v>
      </c>
      <c r="R38" s="72">
        <f t="shared" si="24"/>
        <v>33</v>
      </c>
      <c r="S38" s="94">
        <f t="shared" ca="1" si="31"/>
        <v>0</v>
      </c>
      <c r="T38" s="74">
        <f>IF(TKM=0,yields!B34,yields!C34)</f>
        <v>0.05</v>
      </c>
      <c r="U38" s="74"/>
      <c r="V38" s="75"/>
      <c r="W38" s="76"/>
      <c r="X38" s="526">
        <f t="shared" ca="1" si="45"/>
        <v>0</v>
      </c>
      <c r="Y38" s="579">
        <f t="shared" si="48"/>
        <v>0</v>
      </c>
      <c r="Z38" s="521">
        <f t="shared" ca="1" si="46"/>
        <v>1.4999999999999999E-2</v>
      </c>
      <c r="AA38" s="583">
        <f t="shared" si="49"/>
        <v>0</v>
      </c>
      <c r="AB38" s="584">
        <f t="shared" si="47"/>
        <v>0</v>
      </c>
      <c r="AC38" s="584">
        <f t="shared" si="47"/>
        <v>0</v>
      </c>
      <c r="AD38" s="569">
        <f t="shared" ca="1" si="40"/>
        <v>0</v>
      </c>
      <c r="AE38" s="77">
        <f t="shared" si="4"/>
        <v>0.05</v>
      </c>
      <c r="AF38" s="78">
        <f t="shared" si="5"/>
        <v>4.0741237836483535E-3</v>
      </c>
      <c r="AG38" s="79"/>
      <c r="AH38" s="543">
        <v>0</v>
      </c>
      <c r="AI38" s="80"/>
      <c r="AJ38" s="80">
        <f t="shared" si="26"/>
        <v>1.0040741237836484</v>
      </c>
      <c r="AK38" s="81"/>
      <c r="AL38" s="81"/>
      <c r="AM38" s="95">
        <v>0</v>
      </c>
      <c r="AN38" s="81">
        <f t="shared" si="32"/>
        <v>1</v>
      </c>
      <c r="AO38" s="64">
        <f t="shared" si="6"/>
        <v>3</v>
      </c>
      <c r="AP38" s="64">
        <f t="shared" si="7"/>
        <v>9</v>
      </c>
      <c r="AQ38" s="65">
        <f t="shared" ca="1" si="27"/>
        <v>0</v>
      </c>
      <c r="AR38" s="66">
        <f t="shared" ca="1" si="8"/>
        <v>0</v>
      </c>
      <c r="AS38" s="66">
        <f t="shared" ca="1" si="9"/>
        <v>863.4631217128366</v>
      </c>
      <c r="AT38" s="66">
        <f t="shared" ca="1" si="28"/>
        <v>212801.82522508776</v>
      </c>
      <c r="AU38" s="66">
        <f t="shared" ca="1" si="10"/>
        <v>0</v>
      </c>
      <c r="AV38" s="68">
        <f t="shared" ca="1" si="11"/>
        <v>212801.82522508776</v>
      </c>
      <c r="AW38" s="65">
        <f t="shared" ca="1" si="12"/>
        <v>0</v>
      </c>
      <c r="AX38" s="69">
        <f t="shared" ca="1" si="13"/>
        <v>0</v>
      </c>
      <c r="AY38" s="70">
        <f t="shared" ca="1" si="14"/>
        <v>0</v>
      </c>
      <c r="AZ38" s="66">
        <f t="shared" ca="1" si="15"/>
        <v>60.178744849035702</v>
      </c>
      <c r="BA38" s="66">
        <f t="shared" ca="1" si="16"/>
        <v>0</v>
      </c>
      <c r="BB38" s="66">
        <f t="shared" ca="1" si="17"/>
        <v>0</v>
      </c>
      <c r="BC38" s="66">
        <f t="shared" ca="1" si="18"/>
        <v>14831.144980721721</v>
      </c>
      <c r="BD38" s="66">
        <f t="shared" ca="1" si="19"/>
        <v>0</v>
      </c>
      <c r="BE38" s="71">
        <f t="shared" ca="1" si="33"/>
        <v>14831.144980721721</v>
      </c>
      <c r="BF38" s="65">
        <f t="shared" ca="1" si="20"/>
        <v>0</v>
      </c>
      <c r="BG38" s="69">
        <f t="shared" ca="1" si="21"/>
        <v>0</v>
      </c>
      <c r="BH38" s="301">
        <f t="shared" ca="1" si="29"/>
        <v>0</v>
      </c>
      <c r="BI38" s="300">
        <f ca="1">IF(AO38&gt;TartamVálasztott,0,   (BI37+BH38)*(1+yields!$D$2)*(1-(0.0099/12)))</f>
        <v>62951.313231359338</v>
      </c>
      <c r="BJ38" s="300">
        <f ca="1">SUM(BH$6:BH38)*-1.2</f>
        <v>-72900</v>
      </c>
      <c r="BK38" s="300">
        <f t="shared" ca="1" si="43"/>
        <v>-9948.6867686406622</v>
      </c>
      <c r="BL38" s="28">
        <f t="shared" ca="1" si="42"/>
        <v>2019</v>
      </c>
      <c r="BM38" s="28">
        <f t="shared" ca="1" si="35"/>
        <v>10</v>
      </c>
      <c r="BN38" s="236">
        <f t="shared" ca="1" si="36"/>
        <v>0</v>
      </c>
      <c r="BO38" s="236">
        <f t="shared" ca="1" si="23"/>
        <v>0</v>
      </c>
    </row>
    <row r="39" spans="1:67" x14ac:dyDescent="0.25">
      <c r="A39" s="117">
        <v>0</v>
      </c>
      <c r="J39" s="26">
        <f t="shared" ca="1" si="1"/>
        <v>338827.62918256852</v>
      </c>
      <c r="K39" s="325"/>
      <c r="L39" s="500"/>
      <c r="N39" s="503">
        <f t="shared" ca="1" si="44"/>
        <v>0</v>
      </c>
      <c r="O39" s="504">
        <f t="shared" ca="1" si="2"/>
        <v>0</v>
      </c>
      <c r="P39" s="504">
        <f t="shared" ca="1" si="3"/>
        <v>0</v>
      </c>
      <c r="R39" s="72">
        <f t="shared" si="24"/>
        <v>34</v>
      </c>
      <c r="S39" s="94">
        <f t="shared" ca="1" si="31"/>
        <v>0</v>
      </c>
      <c r="T39" s="74">
        <f>IF(TKM=0,yields!B35,yields!C35)</f>
        <v>0.05</v>
      </c>
      <c r="U39" s="74"/>
      <c r="V39" s="75"/>
      <c r="W39" s="76"/>
      <c r="X39" s="526">
        <f t="shared" ca="1" si="45"/>
        <v>0</v>
      </c>
      <c r="Y39" s="579">
        <f t="shared" si="48"/>
        <v>0</v>
      </c>
      <c r="Z39" s="521">
        <f t="shared" ca="1" si="46"/>
        <v>1.4999999999999999E-2</v>
      </c>
      <c r="AA39" s="583">
        <f t="shared" si="49"/>
        <v>0</v>
      </c>
      <c r="AB39" s="584">
        <f t="shared" si="47"/>
        <v>0</v>
      </c>
      <c r="AC39" s="584">
        <f t="shared" si="47"/>
        <v>0</v>
      </c>
      <c r="AD39" s="569">
        <f t="shared" ca="1" si="40"/>
        <v>0</v>
      </c>
      <c r="AE39" s="77">
        <f t="shared" si="4"/>
        <v>0.05</v>
      </c>
      <c r="AF39" s="78">
        <f t="shared" si="5"/>
        <v>4.0741237836483535E-3</v>
      </c>
      <c r="AG39" s="79"/>
      <c r="AH39" s="543">
        <v>0</v>
      </c>
      <c r="AI39" s="80"/>
      <c r="AJ39" s="80">
        <f t="shared" si="26"/>
        <v>1.0040741237836484</v>
      </c>
      <c r="AK39" s="81"/>
      <c r="AL39" s="81"/>
      <c r="AM39" s="95">
        <v>0</v>
      </c>
      <c r="AN39" s="81">
        <f t="shared" si="32"/>
        <v>1</v>
      </c>
      <c r="AO39" s="64">
        <f t="shared" si="6"/>
        <v>3</v>
      </c>
      <c r="AP39" s="64">
        <f t="shared" si="7"/>
        <v>10</v>
      </c>
      <c r="AQ39" s="65">
        <f t="shared" ca="1" si="27"/>
        <v>39398.4375</v>
      </c>
      <c r="AR39" s="66">
        <f t="shared" ca="1" si="8"/>
        <v>31518.75</v>
      </c>
      <c r="AS39" s="66">
        <f t="shared" ca="1" si="9"/>
        <v>995.39226635917669</v>
      </c>
      <c r="AT39" s="66">
        <f t="shared" ca="1" si="28"/>
        <v>245315.96749144694</v>
      </c>
      <c r="AU39" s="66">
        <f t="shared" ca="1" si="10"/>
        <v>0</v>
      </c>
      <c r="AV39" s="68">
        <f t="shared" ca="1" si="11"/>
        <v>245315.96749144694</v>
      </c>
      <c r="AW39" s="65">
        <f t="shared" ca="1" si="12"/>
        <v>0</v>
      </c>
      <c r="AX39" s="69">
        <f t="shared" ca="1" si="13"/>
        <v>7879.6875</v>
      </c>
      <c r="AY39" s="70">
        <f t="shared" ca="1" si="14"/>
        <v>1575.9374999999989</v>
      </c>
      <c r="AZ39" s="66">
        <f t="shared" ca="1" si="15"/>
        <v>66.844484954988587</v>
      </c>
      <c r="BA39" s="66">
        <f t="shared" ca="1" si="16"/>
        <v>0</v>
      </c>
      <c r="BB39" s="66">
        <f t="shared" ca="1" si="17"/>
        <v>0</v>
      </c>
      <c r="BC39" s="66">
        <f t="shared" ca="1" si="18"/>
        <v>16473.92696567671</v>
      </c>
      <c r="BD39" s="66">
        <f t="shared" ca="1" si="19"/>
        <v>0</v>
      </c>
      <c r="BE39" s="71">
        <f t="shared" ca="1" si="33"/>
        <v>16473.92696567671</v>
      </c>
      <c r="BF39" s="65">
        <f t="shared" ca="1" si="20"/>
        <v>0</v>
      </c>
      <c r="BG39" s="69">
        <f t="shared" ca="1" si="21"/>
        <v>0</v>
      </c>
      <c r="BH39" s="301">
        <f t="shared" ca="1" si="29"/>
        <v>0</v>
      </c>
      <c r="BI39" s="300">
        <f ca="1">IF(AO39&gt;TartamVálasztott,0,   (BI38+BH39)*(1+yields!$D$2)*(1-(0.0099/12)))</f>
        <v>63155.63825145123</v>
      </c>
      <c r="BJ39" s="300">
        <f ca="1">SUM(BH$6:BH39)*-1.2</f>
        <v>-72900</v>
      </c>
      <c r="BK39" s="300">
        <f t="shared" ca="1" si="43"/>
        <v>-9744.3617485487703</v>
      </c>
      <c r="BL39" s="28">
        <f t="shared" ca="1" si="42"/>
        <v>2019</v>
      </c>
      <c r="BM39" s="28">
        <f t="shared" ca="1" si="35"/>
        <v>11</v>
      </c>
      <c r="BN39" s="236">
        <f t="shared" ca="1" si="36"/>
        <v>0</v>
      </c>
      <c r="BO39" s="236">
        <f t="shared" ca="1" si="23"/>
        <v>0</v>
      </c>
    </row>
    <row r="40" spans="1:67" x14ac:dyDescent="0.25">
      <c r="A40" s="117">
        <v>0.01</v>
      </c>
      <c r="J40" s="26">
        <f t="shared" ca="1" si="1"/>
        <v>347298.31991213275</v>
      </c>
      <c r="K40" s="325"/>
      <c r="L40" s="500"/>
      <c r="N40" s="503">
        <f t="shared" ca="1" si="44"/>
        <v>0</v>
      </c>
      <c r="O40" s="504">
        <f t="shared" ca="1" si="2"/>
        <v>0</v>
      </c>
      <c r="P40" s="504">
        <f t="shared" ca="1" si="3"/>
        <v>0</v>
      </c>
      <c r="R40" s="72">
        <f t="shared" si="24"/>
        <v>35</v>
      </c>
      <c r="S40" s="94">
        <f t="shared" ca="1" si="31"/>
        <v>0</v>
      </c>
      <c r="T40" s="74">
        <f>IF(TKM=0,yields!B36,yields!C36)</f>
        <v>0.05</v>
      </c>
      <c r="U40" s="74"/>
      <c r="V40" s="75"/>
      <c r="W40" s="76"/>
      <c r="X40" s="526">
        <f t="shared" ca="1" si="45"/>
        <v>0</v>
      </c>
      <c r="Y40" s="579">
        <f t="shared" si="48"/>
        <v>0</v>
      </c>
      <c r="Z40" s="521">
        <f t="shared" ca="1" si="46"/>
        <v>1.4999999999999999E-2</v>
      </c>
      <c r="AA40" s="583">
        <f t="shared" si="49"/>
        <v>0</v>
      </c>
      <c r="AB40" s="584">
        <f t="shared" si="47"/>
        <v>0</v>
      </c>
      <c r="AC40" s="584">
        <f t="shared" si="47"/>
        <v>0</v>
      </c>
      <c r="AD40" s="569">
        <f t="shared" ca="1" si="40"/>
        <v>0</v>
      </c>
      <c r="AE40" s="77">
        <f t="shared" si="4"/>
        <v>0.05</v>
      </c>
      <c r="AF40" s="78">
        <f t="shared" si="5"/>
        <v>4.0741237836483535E-3</v>
      </c>
      <c r="AG40" s="79"/>
      <c r="AH40" s="543">
        <v>0</v>
      </c>
      <c r="AI40" s="80"/>
      <c r="AJ40" s="80">
        <f t="shared" si="26"/>
        <v>1.0040741237836484</v>
      </c>
      <c r="AK40" s="81"/>
      <c r="AL40" s="81"/>
      <c r="AM40" s="95">
        <v>0</v>
      </c>
      <c r="AN40" s="81">
        <f t="shared" si="32"/>
        <v>1</v>
      </c>
      <c r="AO40" s="64">
        <f t="shared" si="6"/>
        <v>3</v>
      </c>
      <c r="AP40" s="64">
        <f t="shared" si="7"/>
        <v>11</v>
      </c>
      <c r="AQ40" s="65">
        <f t="shared" ca="1" si="27"/>
        <v>0</v>
      </c>
      <c r="AR40" s="66">
        <f t="shared" ca="1" si="8"/>
        <v>0</v>
      </c>
      <c r="AS40" s="66">
        <f t="shared" ca="1" si="9"/>
        <v>999.44761766561032</v>
      </c>
      <c r="AT40" s="66">
        <f t="shared" ca="1" si="28"/>
        <v>246315.41510911254</v>
      </c>
      <c r="AU40" s="66">
        <f t="shared" ca="1" si="10"/>
        <v>0</v>
      </c>
      <c r="AV40" s="68">
        <f t="shared" ca="1" si="11"/>
        <v>246315.41510911254</v>
      </c>
      <c r="AW40" s="65">
        <f t="shared" ca="1" si="12"/>
        <v>0</v>
      </c>
      <c r="AX40" s="69">
        <f t="shared" ca="1" si="13"/>
        <v>0</v>
      </c>
      <c r="AY40" s="70">
        <f t="shared" ca="1" si="14"/>
        <v>0</v>
      </c>
      <c r="AZ40" s="66">
        <f t="shared" ca="1" si="15"/>
        <v>67.116817660949437</v>
      </c>
      <c r="BA40" s="66">
        <f t="shared" ca="1" si="16"/>
        <v>0</v>
      </c>
      <c r="BB40" s="66">
        <f t="shared" ca="1" si="17"/>
        <v>0</v>
      </c>
      <c r="BC40" s="66">
        <f t="shared" ca="1" si="18"/>
        <v>16541.04378333766</v>
      </c>
      <c r="BD40" s="66">
        <f t="shared" ca="1" si="19"/>
        <v>0</v>
      </c>
      <c r="BE40" s="71">
        <f t="shared" ca="1" si="33"/>
        <v>16541.04378333766</v>
      </c>
      <c r="BF40" s="65">
        <f t="shared" ca="1" si="20"/>
        <v>0</v>
      </c>
      <c r="BG40" s="69">
        <f t="shared" ca="1" si="21"/>
        <v>0</v>
      </c>
      <c r="BH40" s="301">
        <f t="shared" ca="1" si="29"/>
        <v>0</v>
      </c>
      <c r="BI40" s="300">
        <f ca="1">IF(AO40&gt;TartamVálasztott,0,   (BI39+BH40)*(1+yields!$D$2)*(1-(0.0099/12)))</f>
        <v>63360.626462058019</v>
      </c>
      <c r="BJ40" s="300">
        <f ca="1">SUM(BH$6:BH40)*-1.2</f>
        <v>-72900</v>
      </c>
      <c r="BK40" s="300">
        <f t="shared" ca="1" si="43"/>
        <v>-9539.3735379419813</v>
      </c>
      <c r="BL40" s="28">
        <f t="shared" ca="1" si="42"/>
        <v>2019</v>
      </c>
      <c r="BM40" s="28">
        <f t="shared" ca="1" si="35"/>
        <v>12</v>
      </c>
      <c r="BN40" s="236">
        <f t="shared" ca="1" si="36"/>
        <v>157593.75</v>
      </c>
      <c r="BO40" s="236">
        <f t="shared" ca="1" si="23"/>
        <v>31518.75</v>
      </c>
    </row>
    <row r="41" spans="1:67" x14ac:dyDescent="0.25">
      <c r="A41" s="117">
        <v>0.02</v>
      </c>
      <c r="J41" s="26">
        <f t="shared" ca="1" si="1"/>
        <v>355980.77790993603</v>
      </c>
      <c r="K41" s="325"/>
      <c r="L41" s="500"/>
      <c r="N41" s="503">
        <f t="shared" ca="1" si="44"/>
        <v>0</v>
      </c>
      <c r="O41" s="504">
        <f t="shared" ca="1" si="2"/>
        <v>0</v>
      </c>
      <c r="P41" s="504">
        <f t="shared" ca="1" si="3"/>
        <v>0</v>
      </c>
      <c r="R41" s="72">
        <f t="shared" si="24"/>
        <v>36</v>
      </c>
      <c r="S41" s="94">
        <f t="shared" ca="1" si="31"/>
        <v>0</v>
      </c>
      <c r="T41" s="74">
        <f>IF(TKM=0,yields!B37,yields!C37)</f>
        <v>0.05</v>
      </c>
      <c r="U41" s="74"/>
      <c r="V41" s="75"/>
      <c r="W41" s="76"/>
      <c r="X41" s="526">
        <f t="shared" ca="1" si="45"/>
        <v>0</v>
      </c>
      <c r="Y41" s="579">
        <f t="shared" si="48"/>
        <v>0</v>
      </c>
      <c r="Z41" s="521">
        <f t="shared" ca="1" si="46"/>
        <v>1.4999999999999999E-2</v>
      </c>
      <c r="AA41" s="583">
        <f t="shared" si="49"/>
        <v>0</v>
      </c>
      <c r="AB41" s="584">
        <f t="shared" si="47"/>
        <v>0</v>
      </c>
      <c r="AC41" s="584">
        <f t="shared" si="47"/>
        <v>0</v>
      </c>
      <c r="AD41" s="569">
        <f t="shared" ca="1" si="40"/>
        <v>0</v>
      </c>
      <c r="AE41" s="77">
        <f t="shared" si="4"/>
        <v>0.05</v>
      </c>
      <c r="AF41" s="78">
        <f t="shared" si="5"/>
        <v>4.0741237836483535E-3</v>
      </c>
      <c r="AG41" s="79"/>
      <c r="AH41" s="543">
        <v>0</v>
      </c>
      <c r="AI41" s="80"/>
      <c r="AJ41" s="80">
        <f t="shared" si="26"/>
        <v>1.0040741237836484</v>
      </c>
      <c r="AK41" s="81"/>
      <c r="AL41" s="81"/>
      <c r="AM41" s="95">
        <v>0</v>
      </c>
      <c r="AN41" s="81">
        <f t="shared" si="32"/>
        <v>1</v>
      </c>
      <c r="AO41" s="118">
        <f t="shared" si="6"/>
        <v>3</v>
      </c>
      <c r="AP41" s="118">
        <f t="shared" si="7"/>
        <v>12</v>
      </c>
      <c r="AQ41" s="119">
        <f t="shared" ca="1" si="27"/>
        <v>0</v>
      </c>
      <c r="AR41" s="120">
        <f t="shared" ca="1" si="8"/>
        <v>0</v>
      </c>
      <c r="AS41" s="120">
        <f t="shared" ca="1" si="9"/>
        <v>1003.5194909752524</v>
      </c>
      <c r="AT41" s="120">
        <f t="shared" ca="1" si="28"/>
        <v>247318.93460008778</v>
      </c>
      <c r="AU41" s="120">
        <f t="shared" ca="1" si="10"/>
        <v>0</v>
      </c>
      <c r="AV41" s="121">
        <f t="shared" ca="1" si="11"/>
        <v>247318.93460008778</v>
      </c>
      <c r="AW41" s="119">
        <f t="shared" ca="1" si="12"/>
        <v>0</v>
      </c>
      <c r="AX41" s="122">
        <f t="shared" ca="1" si="13"/>
        <v>0</v>
      </c>
      <c r="AY41" s="123">
        <f t="shared" ca="1" si="14"/>
        <v>0</v>
      </c>
      <c r="AZ41" s="120">
        <f t="shared" ca="1" si="15"/>
        <v>67.390259884064704</v>
      </c>
      <c r="BA41" s="120">
        <f t="shared" ca="1" si="16"/>
        <v>0</v>
      </c>
      <c r="BB41" s="120">
        <f t="shared" ca="1" si="17"/>
        <v>0</v>
      </c>
      <c r="BC41" s="120">
        <f t="shared" ca="1" si="18"/>
        <v>16608.434043221725</v>
      </c>
      <c r="BD41" s="120">
        <f t="shared" ca="1" si="19"/>
        <v>0</v>
      </c>
      <c r="BE41" s="121">
        <f t="shared" ca="1" si="33"/>
        <v>16608.434043221725</v>
      </c>
      <c r="BF41" s="119">
        <f t="shared" ca="1" si="20"/>
        <v>0</v>
      </c>
      <c r="BG41" s="122">
        <f t="shared" ca="1" si="21"/>
        <v>0</v>
      </c>
      <c r="BH41" s="301">
        <f t="shared" ca="1" si="29"/>
        <v>0</v>
      </c>
      <c r="BI41" s="300">
        <f ca="1">IF(AO41&gt;TartamVálasztott,0,   (BI40+BH41)*(1+yields!$D$2)*(1-(0.0099/12)))</f>
        <v>63566.280015738696</v>
      </c>
      <c r="BJ41" s="300">
        <f ca="1">SUM(BH$6:BH41)*-1.2</f>
        <v>-72900</v>
      </c>
      <c r="BK41" s="300">
        <f t="shared" ca="1" si="43"/>
        <v>-9333.7199842613045</v>
      </c>
      <c r="BL41" s="28">
        <f t="shared" ca="1" si="42"/>
        <v>2020</v>
      </c>
      <c r="BM41" s="28">
        <f t="shared" ca="1" si="35"/>
        <v>1</v>
      </c>
      <c r="BN41" s="236">
        <f t="shared" ca="1" si="36"/>
        <v>0</v>
      </c>
      <c r="BO41" s="236">
        <f t="shared" ca="1" si="23"/>
        <v>0</v>
      </c>
    </row>
    <row r="42" spans="1:67" x14ac:dyDescent="0.25">
      <c r="A42" s="117">
        <v>0.03</v>
      </c>
      <c r="J42" s="26">
        <f t="shared" ca="1" si="1"/>
        <v>364880.29735768447</v>
      </c>
      <c r="K42" s="325"/>
      <c r="L42" s="500"/>
      <c r="N42" s="503">
        <f t="shared" ca="1" si="44"/>
        <v>0</v>
      </c>
      <c r="O42" s="504">
        <f t="shared" ca="1" si="2"/>
        <v>0</v>
      </c>
      <c r="P42" s="504">
        <f t="shared" ca="1" si="3"/>
        <v>0</v>
      </c>
      <c r="R42" s="72">
        <f t="shared" si="24"/>
        <v>37</v>
      </c>
      <c r="S42" s="94">
        <f t="shared" ca="1" si="31"/>
        <v>0</v>
      </c>
      <c r="T42" s="74">
        <f>IF(TKM=0,yields!B38,yields!C38)</f>
        <v>0.05</v>
      </c>
      <c r="U42" s="74"/>
      <c r="V42" s="75"/>
      <c r="W42" s="76"/>
      <c r="X42" s="526">
        <f t="shared" ca="1" si="45"/>
        <v>0</v>
      </c>
      <c r="Y42" s="579">
        <f t="shared" si="48"/>
        <v>0</v>
      </c>
      <c r="Z42" s="521">
        <f t="shared" ca="1" si="46"/>
        <v>1.4999999999999999E-2</v>
      </c>
      <c r="AA42" s="583">
        <f t="shared" si="49"/>
        <v>0</v>
      </c>
      <c r="AB42" s="584">
        <f t="shared" si="47"/>
        <v>0</v>
      </c>
      <c r="AC42" s="584">
        <f t="shared" si="47"/>
        <v>0</v>
      </c>
      <c r="AD42" s="569">
        <f t="shared" ca="1" si="40"/>
        <v>0</v>
      </c>
      <c r="AE42" s="77">
        <f t="shared" si="4"/>
        <v>0.05</v>
      </c>
      <c r="AF42" s="78">
        <f t="shared" si="5"/>
        <v>4.0741237836483535E-3</v>
      </c>
      <c r="AG42" s="79"/>
      <c r="AH42" s="543">
        <v>0</v>
      </c>
      <c r="AI42" s="80"/>
      <c r="AJ42" s="80">
        <f t="shared" si="26"/>
        <v>1.0040741237836484</v>
      </c>
      <c r="AK42" s="81"/>
      <c r="AL42" s="81"/>
      <c r="AM42" s="95">
        <v>0</v>
      </c>
      <c r="AN42" s="81">
        <f t="shared" si="32"/>
        <v>1</v>
      </c>
      <c r="AO42" s="28">
        <f t="shared" si="6"/>
        <v>4</v>
      </c>
      <c r="AP42" s="28">
        <f t="shared" si="7"/>
        <v>1</v>
      </c>
      <c r="AQ42" s="65">
        <f t="shared" ca="1" si="27"/>
        <v>40383.398437499993</v>
      </c>
      <c r="AR42" s="66">
        <f t="shared" ca="1" si="8"/>
        <v>34325.888671874993</v>
      </c>
      <c r="AS42" s="66">
        <f t="shared" ca="1" si="9"/>
        <v>1147.4558730337408</v>
      </c>
      <c r="AT42" s="66">
        <f t="shared" ca="1" si="28"/>
        <v>282792.27914499649</v>
      </c>
      <c r="AU42" s="66">
        <f t="shared" ca="1" si="10"/>
        <v>0</v>
      </c>
      <c r="AV42" s="68">
        <f t="shared" ca="1" si="11"/>
        <v>282108.86447039607</v>
      </c>
      <c r="AW42" s="65">
        <f t="shared" ca="1" si="12"/>
        <v>683.41467460040826</v>
      </c>
      <c r="AX42" s="69">
        <f t="shared" ca="1" si="13"/>
        <v>6057.5097656249991</v>
      </c>
      <c r="AY42" s="70">
        <f t="shared" ca="1" si="14"/>
        <v>3836.4228515624986</v>
      </c>
      <c r="AZ42" s="66">
        <f t="shared" ca="1" si="15"/>
        <v>83.294877728327435</v>
      </c>
      <c r="BA42" s="66">
        <f t="shared" ca="1" si="16"/>
        <v>117.83011631041521</v>
      </c>
      <c r="BB42" s="66">
        <f t="shared" ca="1" si="17"/>
        <v>8.5533965718802314</v>
      </c>
      <c r="BC42" s="66">
        <f t="shared" ca="1" si="18"/>
        <v>20528.151772512552</v>
      </c>
      <c r="BD42" s="66">
        <f t="shared" ca="1" si="19"/>
        <v>0</v>
      </c>
      <c r="BE42" s="71">
        <f t="shared" ca="1" si="33"/>
        <v>20604.925585277942</v>
      </c>
      <c r="BF42" s="65">
        <f t="shared" ca="1" si="20"/>
        <v>49.609700116905337</v>
      </c>
      <c r="BG42" s="69">
        <f t="shared" ca="1" si="21"/>
        <v>0</v>
      </c>
      <c r="BH42" s="301">
        <f t="shared" ca="1" si="29"/>
        <v>0</v>
      </c>
      <c r="BI42" s="300">
        <f ca="1">IF(AO42&gt;TartamVálasztott,0,   (BI41+BH42)*(1+yields!$D$2)*(1-(0.0099/12)))</f>
        <v>63772.60107203896</v>
      </c>
      <c r="BJ42" s="300">
        <f ca="1">SUM(BH$6:BH42)*-1.2</f>
        <v>-72900</v>
      </c>
      <c r="BK42" s="300">
        <f t="shared" ca="1" si="43"/>
        <v>-9127.3989279610396</v>
      </c>
      <c r="BL42" s="28">
        <f t="shared" ca="1" si="42"/>
        <v>2020</v>
      </c>
      <c r="BM42" s="28">
        <f t="shared" ca="1" si="35"/>
        <v>2</v>
      </c>
      <c r="BN42" s="236">
        <f t="shared" ca="1" si="36"/>
        <v>0</v>
      </c>
      <c r="BO42" s="236">
        <f t="shared" ca="1" si="23"/>
        <v>0</v>
      </c>
    </row>
    <row r="43" spans="1:67" x14ac:dyDescent="0.25">
      <c r="A43" s="117">
        <v>0.04</v>
      </c>
      <c r="J43" s="26">
        <f t="shared" ca="1" si="1"/>
        <v>374002.30479162652</v>
      </c>
      <c r="K43" s="325"/>
      <c r="L43" s="500"/>
      <c r="N43" s="503">
        <f t="shared" ca="1" si="44"/>
        <v>0</v>
      </c>
      <c r="O43" s="504">
        <f t="shared" ca="1" si="2"/>
        <v>0</v>
      </c>
      <c r="P43" s="504">
        <f t="shared" ca="1" si="3"/>
        <v>0</v>
      </c>
      <c r="R43" s="72">
        <f t="shared" si="24"/>
        <v>38</v>
      </c>
      <c r="S43" s="94">
        <f t="shared" ca="1" si="31"/>
        <v>0</v>
      </c>
      <c r="T43" s="74">
        <f>IF(TKM=0,yields!B39,yields!C39)</f>
        <v>0.05</v>
      </c>
      <c r="U43" s="74"/>
      <c r="V43" s="75"/>
      <c r="W43" s="76"/>
      <c r="X43" s="526">
        <f t="shared" ca="1" si="45"/>
        <v>0</v>
      </c>
      <c r="Y43" s="579">
        <f t="shared" si="48"/>
        <v>0</v>
      </c>
      <c r="Z43" s="521">
        <f t="shared" ca="1" si="46"/>
        <v>1.4999999999999999E-2</v>
      </c>
      <c r="AA43" s="583">
        <f t="shared" si="49"/>
        <v>0</v>
      </c>
      <c r="AB43" s="584">
        <f t="shared" si="49"/>
        <v>0</v>
      </c>
      <c r="AC43" s="584">
        <f t="shared" si="49"/>
        <v>0</v>
      </c>
      <c r="AD43" s="569">
        <f t="shared" ca="1" si="40"/>
        <v>0</v>
      </c>
      <c r="AE43" s="77">
        <f t="shared" si="4"/>
        <v>0.05</v>
      </c>
      <c r="AF43" s="78">
        <f t="shared" si="5"/>
        <v>4.0741237836483535E-3</v>
      </c>
      <c r="AG43" s="79"/>
      <c r="AH43" s="543">
        <v>0</v>
      </c>
      <c r="AI43" s="80"/>
      <c r="AJ43" s="80">
        <f t="shared" si="26"/>
        <v>1.0040741237836484</v>
      </c>
      <c r="AK43" s="81"/>
      <c r="AL43" s="81"/>
      <c r="AM43" s="95">
        <v>0</v>
      </c>
      <c r="AN43" s="81">
        <f t="shared" si="32"/>
        <v>1</v>
      </c>
      <c r="AO43" s="28">
        <f t="shared" si="6"/>
        <v>4</v>
      </c>
      <c r="AP43" s="28">
        <f t="shared" si="7"/>
        <v>2</v>
      </c>
      <c r="AQ43" s="65">
        <f t="shared" ca="1" si="27"/>
        <v>0</v>
      </c>
      <c r="AR43" s="66">
        <f t="shared" ca="1" si="8"/>
        <v>0</v>
      </c>
      <c r="AS43" s="66">
        <f t="shared" ca="1" si="9"/>
        <v>1149.3464343168705</v>
      </c>
      <c r="AT43" s="66">
        <f t="shared" ca="1" si="28"/>
        <v>283258.21090471296</v>
      </c>
      <c r="AU43" s="66">
        <f t="shared" ca="1" si="10"/>
        <v>0</v>
      </c>
      <c r="AV43" s="68">
        <f t="shared" ca="1" si="11"/>
        <v>282573.67022835993</v>
      </c>
      <c r="AW43" s="65">
        <f t="shared" ca="1" si="12"/>
        <v>684.54067635305637</v>
      </c>
      <c r="AX43" s="69">
        <f t="shared" ca="1" si="13"/>
        <v>0</v>
      </c>
      <c r="AY43" s="70">
        <f t="shared" ca="1" si="14"/>
        <v>0</v>
      </c>
      <c r="AZ43" s="66">
        <f t="shared" ca="1" si="15"/>
        <v>83.947017387285342</v>
      </c>
      <c r="BA43" s="66">
        <f t="shared" ca="1" si="16"/>
        <v>118.02425454363041</v>
      </c>
      <c r="BB43" s="66">
        <f t="shared" ca="1" si="17"/>
        <v>8.6203635844438455</v>
      </c>
      <c r="BC43" s="66">
        <f t="shared" ca="1" si="18"/>
        <v>20688.872602665229</v>
      </c>
      <c r="BD43" s="66">
        <f t="shared" ca="1" si="19"/>
        <v>0</v>
      </c>
      <c r="BE43" s="71">
        <f t="shared" ca="1" si="33"/>
        <v>20765.519112003527</v>
      </c>
      <c r="BF43" s="65">
        <f t="shared" ca="1" si="20"/>
        <v>49.998108789774307</v>
      </c>
      <c r="BG43" s="69">
        <f t="shared" ca="1" si="21"/>
        <v>0</v>
      </c>
      <c r="BH43" s="301">
        <f t="shared" ca="1" si="29"/>
        <v>0</v>
      </c>
      <c r="BI43" s="300">
        <f ca="1">IF(AO43&gt;TartamVálasztott,0,   (BI42+BH43)*(1+yields!$D$2)*(1-(0.0099/12)))</f>
        <v>63979.591797513858</v>
      </c>
      <c r="BJ43" s="300">
        <f ca="1">SUM(BH$6:BH43)*-1.2</f>
        <v>-72900</v>
      </c>
      <c r="BK43" s="300">
        <f t="shared" ca="1" si="43"/>
        <v>-8920.4082024861418</v>
      </c>
      <c r="BL43" s="28">
        <f t="shared" ca="1" si="42"/>
        <v>2020</v>
      </c>
      <c r="BM43" s="28">
        <f t="shared" ca="1" si="35"/>
        <v>3</v>
      </c>
      <c r="BN43" s="236">
        <f t="shared" ca="1" si="36"/>
        <v>0</v>
      </c>
      <c r="BO43" s="236">
        <f t="shared" ca="1" si="23"/>
        <v>0</v>
      </c>
    </row>
    <row r="44" spans="1:67" x14ac:dyDescent="0.25">
      <c r="A44" s="117">
        <v>0.05</v>
      </c>
      <c r="J44" s="26">
        <f t="shared" ca="1" si="1"/>
        <v>383352.36241141713</v>
      </c>
      <c r="K44" s="325"/>
      <c r="L44" s="500"/>
      <c r="N44" s="503">
        <f t="shared" ca="1" si="44"/>
        <v>0</v>
      </c>
      <c r="O44" s="504">
        <f t="shared" ca="1" si="2"/>
        <v>0</v>
      </c>
      <c r="P44" s="504">
        <f t="shared" ca="1" si="3"/>
        <v>0</v>
      </c>
      <c r="R44" s="72">
        <f t="shared" si="24"/>
        <v>39</v>
      </c>
      <c r="S44" s="94">
        <f t="shared" ca="1" si="31"/>
        <v>0</v>
      </c>
      <c r="T44" s="74">
        <f>IF(TKM=0,yields!B40,yields!C40)</f>
        <v>0.05</v>
      </c>
      <c r="U44" s="74"/>
      <c r="V44" s="75"/>
      <c r="W44" s="76"/>
      <c r="X44" s="526">
        <f t="shared" ca="1" si="45"/>
        <v>0</v>
      </c>
      <c r="Y44" s="579">
        <f t="shared" si="48"/>
        <v>0</v>
      </c>
      <c r="Z44" s="521">
        <f t="shared" ca="1" si="46"/>
        <v>1.4999999999999999E-2</v>
      </c>
      <c r="AA44" s="583">
        <f t="shared" ref="AA44:AC52" si="50">AA43</f>
        <v>0</v>
      </c>
      <c r="AB44" s="584">
        <f t="shared" si="50"/>
        <v>0</v>
      </c>
      <c r="AC44" s="584">
        <f t="shared" si="50"/>
        <v>0</v>
      </c>
      <c r="AD44" s="569">
        <f t="shared" ca="1" si="40"/>
        <v>0</v>
      </c>
      <c r="AE44" s="77">
        <f t="shared" si="4"/>
        <v>0.05</v>
      </c>
      <c r="AF44" s="78">
        <f t="shared" si="5"/>
        <v>4.0741237836483535E-3</v>
      </c>
      <c r="AG44" s="79"/>
      <c r="AH44" s="543">
        <v>0</v>
      </c>
      <c r="AI44" s="80"/>
      <c r="AJ44" s="80">
        <f t="shared" si="26"/>
        <v>1.0040741237836484</v>
      </c>
      <c r="AK44" s="81"/>
      <c r="AL44" s="81"/>
      <c r="AM44" s="95">
        <v>0</v>
      </c>
      <c r="AN44" s="81">
        <f t="shared" si="32"/>
        <v>1</v>
      </c>
      <c r="AO44" s="28">
        <f t="shared" si="6"/>
        <v>4</v>
      </c>
      <c r="AP44" s="28">
        <f t="shared" si="7"/>
        <v>3</v>
      </c>
      <c r="AQ44" s="65">
        <f t="shared" ca="1" si="27"/>
        <v>0</v>
      </c>
      <c r="AR44" s="66">
        <f t="shared" ca="1" si="8"/>
        <v>0</v>
      </c>
      <c r="AS44" s="66">
        <f t="shared" ca="1" si="9"/>
        <v>1151.2401105101678</v>
      </c>
      <c r="AT44" s="66">
        <f t="shared" ca="1" si="28"/>
        <v>283724.91033887008</v>
      </c>
      <c r="AU44" s="66">
        <f t="shared" ca="1" si="10"/>
        <v>0</v>
      </c>
      <c r="AV44" s="68">
        <f t="shared" ca="1" si="11"/>
        <v>283039.24180555117</v>
      </c>
      <c r="AW44" s="65">
        <f t="shared" ca="1" si="12"/>
        <v>685.66853331893606</v>
      </c>
      <c r="AX44" s="69">
        <f t="shared" ca="1" si="13"/>
        <v>0</v>
      </c>
      <c r="AY44" s="70">
        <f t="shared" ca="1" si="14"/>
        <v>0</v>
      </c>
      <c r="AZ44" s="66">
        <f t="shared" ca="1" si="15"/>
        <v>84.601295294018001</v>
      </c>
      <c r="BA44" s="66">
        <f t="shared" ca="1" si="16"/>
        <v>118.21871264119588</v>
      </c>
      <c r="BB44" s="66">
        <f t="shared" ca="1" si="17"/>
        <v>8.6875501697073112</v>
      </c>
      <c r="BC44" s="66">
        <f t="shared" ca="1" si="18"/>
        <v>20850.120407297545</v>
      </c>
      <c r="BD44" s="66">
        <f t="shared" ca="1" si="19"/>
        <v>0</v>
      </c>
      <c r="BE44" s="71">
        <f t="shared" ca="1" si="33"/>
        <v>20926.638879124144</v>
      </c>
      <c r="BF44" s="65">
        <f t="shared" ca="1" si="20"/>
        <v>50.387790984302406</v>
      </c>
      <c r="BG44" s="69">
        <f t="shared" ca="1" si="21"/>
        <v>0</v>
      </c>
      <c r="BH44" s="301">
        <f t="shared" ca="1" si="29"/>
        <v>0</v>
      </c>
      <c r="BI44" s="300">
        <f ca="1">IF(AO44&gt;TartamVálasztott,0,   (BI43+BH44)*(1+yields!$D$2)*(1-(0.0099/12)))</f>
        <v>64187.254365750574</v>
      </c>
      <c r="BJ44" s="300">
        <f ca="1">SUM(BH$6:BH44)*-1.2</f>
        <v>-72900</v>
      </c>
      <c r="BK44" s="300">
        <f t="shared" ca="1" si="43"/>
        <v>-8712.7456342494261</v>
      </c>
      <c r="BL44" s="28">
        <f t="shared" ca="1" si="42"/>
        <v>2020</v>
      </c>
      <c r="BM44" s="28">
        <f t="shared" ca="1" si="35"/>
        <v>4</v>
      </c>
      <c r="BN44" s="236">
        <f t="shared" ca="1" si="36"/>
        <v>0</v>
      </c>
      <c r="BO44" s="236">
        <f t="shared" ca="1" si="23"/>
        <v>0</v>
      </c>
    </row>
    <row r="45" spans="1:67" x14ac:dyDescent="0.25">
      <c r="A45" s="117">
        <v>0.06</v>
      </c>
      <c r="J45" s="26">
        <f t="shared" ca="1" si="1"/>
        <v>392936.17147170258</v>
      </c>
      <c r="K45" s="325"/>
      <c r="L45" s="500"/>
      <c r="N45" s="503">
        <f t="shared" ca="1" si="44"/>
        <v>0</v>
      </c>
      <c r="O45" s="504">
        <f t="shared" ca="1" si="2"/>
        <v>0</v>
      </c>
      <c r="P45" s="504">
        <f t="shared" ca="1" si="3"/>
        <v>0</v>
      </c>
      <c r="R45" s="72">
        <f t="shared" si="24"/>
        <v>40</v>
      </c>
      <c r="S45" s="94">
        <f t="shared" ca="1" si="31"/>
        <v>0</v>
      </c>
      <c r="T45" s="74">
        <f>IF(TKM=0,yields!B41,yields!C41)</f>
        <v>0.05</v>
      </c>
      <c r="U45" s="74"/>
      <c r="V45" s="75"/>
      <c r="W45" s="76"/>
      <c r="X45" s="526">
        <f t="shared" ca="1" si="45"/>
        <v>0</v>
      </c>
      <c r="Y45" s="579">
        <f t="shared" si="48"/>
        <v>0</v>
      </c>
      <c r="Z45" s="521">
        <f t="shared" ca="1" si="46"/>
        <v>1.4999999999999999E-2</v>
      </c>
      <c r="AA45" s="583">
        <f t="shared" si="50"/>
        <v>0</v>
      </c>
      <c r="AB45" s="584">
        <f t="shared" si="50"/>
        <v>0</v>
      </c>
      <c r="AC45" s="584">
        <f t="shared" si="50"/>
        <v>0</v>
      </c>
      <c r="AD45" s="569">
        <f t="shared" ca="1" si="40"/>
        <v>0</v>
      </c>
      <c r="AE45" s="77">
        <f t="shared" si="4"/>
        <v>0.05</v>
      </c>
      <c r="AF45" s="78">
        <f t="shared" si="5"/>
        <v>4.0741237836483535E-3</v>
      </c>
      <c r="AG45" s="79"/>
      <c r="AH45" s="543">
        <v>0</v>
      </c>
      <c r="AI45" s="80"/>
      <c r="AJ45" s="80">
        <f t="shared" si="26"/>
        <v>1.0040741237836484</v>
      </c>
      <c r="AK45" s="81"/>
      <c r="AL45" s="81"/>
      <c r="AM45" s="95">
        <v>0</v>
      </c>
      <c r="AN45" s="81">
        <f t="shared" si="32"/>
        <v>1</v>
      </c>
      <c r="AO45" s="28">
        <f t="shared" si="6"/>
        <v>4</v>
      </c>
      <c r="AP45" s="28">
        <f t="shared" si="7"/>
        <v>4</v>
      </c>
      <c r="AQ45" s="65">
        <f t="shared" ca="1" si="27"/>
        <v>40383.398437499993</v>
      </c>
      <c r="AR45" s="66">
        <f t="shared" ca="1" si="8"/>
        <v>34325.888671874993</v>
      </c>
      <c r="AS45" s="66">
        <f t="shared" ca="1" si="9"/>
        <v>1292.9848261787449</v>
      </c>
      <c r="AT45" s="66">
        <f t="shared" ca="1" si="28"/>
        <v>318658.11530360492</v>
      </c>
      <c r="AU45" s="66">
        <f t="shared" ca="1" si="10"/>
        <v>0</v>
      </c>
      <c r="AV45" s="68">
        <f t="shared" ca="1" si="11"/>
        <v>317888.02485828788</v>
      </c>
      <c r="AW45" s="65">
        <f t="shared" ca="1" si="12"/>
        <v>770.09044531704524</v>
      </c>
      <c r="AX45" s="69">
        <f t="shared" ca="1" si="13"/>
        <v>6057.5097656249991</v>
      </c>
      <c r="AY45" s="70">
        <f t="shared" ca="1" si="14"/>
        <v>3836.4228515624986</v>
      </c>
      <c r="AZ45" s="66">
        <f t="shared" ca="1" si="15"/>
        <v>100.88777875294282</v>
      </c>
      <c r="BA45" s="66">
        <f t="shared" ca="1" si="16"/>
        <v>132.77421470983541</v>
      </c>
      <c r="BB45" s="66">
        <f t="shared" ca="1" si="17"/>
        <v>10.359978962266496</v>
      </c>
      <c r="BC45" s="66">
        <f t="shared" ca="1" si="18"/>
        <v>24863.949509439586</v>
      </c>
      <c r="BD45" s="66">
        <f t="shared" ca="1" si="19"/>
        <v>0</v>
      </c>
      <c r="BE45" s="71">
        <f t="shared" ca="1" si="33"/>
        <v>24946.995825130543</v>
      </c>
      <c r="BF45" s="65">
        <f t="shared" ca="1" si="20"/>
        <v>60.087877981145667</v>
      </c>
      <c r="BG45" s="69">
        <f t="shared" ca="1" si="21"/>
        <v>0</v>
      </c>
      <c r="BH45" s="301">
        <f t="shared" ca="1" si="29"/>
        <v>0</v>
      </c>
      <c r="BI45" s="300">
        <f ca="1">IF(AO45&gt;TartamVálasztott,0,   (BI44+BH45)*(1+yields!$D$2)*(1-(0.0099/12)))</f>
        <v>64395.590957391236</v>
      </c>
      <c r="BJ45" s="300">
        <f ca="1">SUM(BH$6:BH45)*-1.2</f>
        <v>-72900</v>
      </c>
      <c r="BK45" s="300">
        <f t="shared" ca="1" si="43"/>
        <v>-8504.4090426087641</v>
      </c>
      <c r="BL45" s="28">
        <f t="shared" ca="1" si="42"/>
        <v>2020</v>
      </c>
      <c r="BM45" s="28">
        <f t="shared" ca="1" si="35"/>
        <v>5</v>
      </c>
      <c r="BN45" s="236">
        <f t="shared" ca="1" si="36"/>
        <v>0</v>
      </c>
      <c r="BO45" s="236">
        <f t="shared" ca="1" si="23"/>
        <v>0</v>
      </c>
    </row>
    <row r="46" spans="1:67" x14ac:dyDescent="0.25">
      <c r="A46" s="117">
        <v>7.0000000000000007E-2</v>
      </c>
      <c r="J46" s="26">
        <f t="shared" ca="1" si="1"/>
        <v>402759.57575849508</v>
      </c>
      <c r="K46" s="325"/>
      <c r="L46" s="500"/>
      <c r="N46" s="503">
        <f t="shared" ca="1" si="44"/>
        <v>0</v>
      </c>
      <c r="O46" s="504">
        <f t="shared" ca="1" si="2"/>
        <v>0</v>
      </c>
      <c r="P46" s="504">
        <f t="shared" ca="1" si="3"/>
        <v>0</v>
      </c>
      <c r="R46" s="72">
        <f t="shared" si="24"/>
        <v>41</v>
      </c>
      <c r="S46" s="94">
        <f t="shared" ca="1" si="31"/>
        <v>0</v>
      </c>
      <c r="T46" s="74">
        <f>IF(TKM=0,yields!B42,yields!C42)</f>
        <v>0.05</v>
      </c>
      <c r="U46" s="74"/>
      <c r="V46" s="75"/>
      <c r="W46" s="76"/>
      <c r="X46" s="526">
        <f t="shared" ca="1" si="45"/>
        <v>0</v>
      </c>
      <c r="Y46" s="579">
        <f t="shared" si="48"/>
        <v>0</v>
      </c>
      <c r="Z46" s="521">
        <f t="shared" ca="1" si="46"/>
        <v>1.4999999999999999E-2</v>
      </c>
      <c r="AA46" s="583">
        <f t="shared" si="50"/>
        <v>0</v>
      </c>
      <c r="AB46" s="584">
        <f t="shared" si="50"/>
        <v>0</v>
      </c>
      <c r="AC46" s="584">
        <f t="shared" si="50"/>
        <v>0</v>
      </c>
      <c r="AD46" s="569">
        <f t="shared" ca="1" si="40"/>
        <v>0</v>
      </c>
      <c r="AE46" s="77">
        <f t="shared" si="4"/>
        <v>0.05</v>
      </c>
      <c r="AF46" s="78">
        <f t="shared" si="5"/>
        <v>4.0741237836483535E-3</v>
      </c>
      <c r="AG46" s="79"/>
      <c r="AH46" s="543">
        <v>0</v>
      </c>
      <c r="AI46" s="80"/>
      <c r="AJ46" s="80">
        <f t="shared" si="26"/>
        <v>1.0040741237836484</v>
      </c>
      <c r="AK46" s="81"/>
      <c r="AL46" s="81"/>
      <c r="AM46" s="95">
        <v>0</v>
      </c>
      <c r="AN46" s="81">
        <f t="shared" si="32"/>
        <v>1</v>
      </c>
      <c r="AO46" s="28">
        <f t="shared" si="6"/>
        <v>4</v>
      </c>
      <c r="AP46" s="28">
        <f t="shared" si="7"/>
        <v>5</v>
      </c>
      <c r="AQ46" s="65">
        <f t="shared" ca="1" si="27"/>
        <v>0</v>
      </c>
      <c r="AR46" s="66">
        <f t="shared" ca="1" si="8"/>
        <v>0</v>
      </c>
      <c r="AS46" s="66">
        <f t="shared" ca="1" si="9"/>
        <v>1295.1151626121498</v>
      </c>
      <c r="AT46" s="66">
        <f t="shared" ca="1" si="28"/>
        <v>319183.14002090006</v>
      </c>
      <c r="AU46" s="66">
        <f t="shared" ca="1" si="10"/>
        <v>0</v>
      </c>
      <c r="AV46" s="68">
        <f t="shared" ca="1" si="11"/>
        <v>318411.78076584957</v>
      </c>
      <c r="AW46" s="65">
        <f t="shared" ca="1" si="12"/>
        <v>771.35925505050852</v>
      </c>
      <c r="AX46" s="69">
        <f t="shared" ca="1" si="13"/>
        <v>0</v>
      </c>
      <c r="AY46" s="70">
        <f t="shared" ca="1" si="14"/>
        <v>0</v>
      </c>
      <c r="AZ46" s="66">
        <f t="shared" ca="1" si="15"/>
        <v>101.63714902174053</v>
      </c>
      <c r="BA46" s="66">
        <f t="shared" ca="1" si="16"/>
        <v>132.99297500870836</v>
      </c>
      <c r="BB46" s="66">
        <f t="shared" ca="1" si="17"/>
        <v>10.436930405896785</v>
      </c>
      <c r="BC46" s="66">
        <f t="shared" ca="1" si="18"/>
        <v>25048.632974152282</v>
      </c>
      <c r="BD46" s="66">
        <f t="shared" ca="1" si="19"/>
        <v>0</v>
      </c>
      <c r="BE46" s="71">
        <f t="shared" ca="1" si="33"/>
        <v>25131.528683212688</v>
      </c>
      <c r="BF46" s="65">
        <f t="shared" ca="1" si="20"/>
        <v>60.534196354201349</v>
      </c>
      <c r="BG46" s="69">
        <f t="shared" ca="1" si="21"/>
        <v>0</v>
      </c>
      <c r="BH46" s="301">
        <f t="shared" ca="1" si="29"/>
        <v>31518.75</v>
      </c>
      <c r="BI46" s="300">
        <f ca="1">IF(AO46&gt;TartamVálasztott,0,   (BI45+BH46)*(1+yields!$D$2)*(1-(0.0099/12)))</f>
        <v>96225.656141098269</v>
      </c>
      <c r="BJ46" s="300">
        <f ca="1">SUM(BH$6:BH46)*-1.2</f>
        <v>-110722.5</v>
      </c>
      <c r="BK46" s="300">
        <f t="shared" ca="1" si="43"/>
        <v>-14496.843858901731</v>
      </c>
      <c r="BL46" s="28">
        <f t="shared" ca="1" si="42"/>
        <v>2020</v>
      </c>
      <c r="BM46" s="28">
        <f t="shared" ca="1" si="35"/>
        <v>6</v>
      </c>
      <c r="BN46" s="236">
        <f t="shared" ca="1" si="36"/>
        <v>0</v>
      </c>
      <c r="BO46" s="236">
        <f t="shared" ca="1" si="23"/>
        <v>0</v>
      </c>
    </row>
    <row r="47" spans="1:67" x14ac:dyDescent="0.25">
      <c r="A47" s="117">
        <v>0.08</v>
      </c>
      <c r="J47" s="26">
        <f t="shared" ca="1" si="1"/>
        <v>412828.56515245745</v>
      </c>
      <c r="K47" s="325"/>
      <c r="L47" s="500"/>
      <c r="N47" s="503">
        <f t="shared" ca="1" si="44"/>
        <v>0</v>
      </c>
      <c r="O47" s="504">
        <f t="shared" ca="1" si="2"/>
        <v>0</v>
      </c>
      <c r="P47" s="504">
        <f t="shared" ca="1" si="3"/>
        <v>0</v>
      </c>
      <c r="R47" s="72">
        <f t="shared" si="24"/>
        <v>42</v>
      </c>
      <c r="S47" s="94">
        <f t="shared" ca="1" si="31"/>
        <v>0</v>
      </c>
      <c r="T47" s="74">
        <f>IF(TKM=0,yields!B43,yields!C43)</f>
        <v>0.05</v>
      </c>
      <c r="U47" s="74"/>
      <c r="V47" s="75"/>
      <c r="W47" s="76"/>
      <c r="X47" s="526">
        <f t="shared" ca="1" si="45"/>
        <v>0</v>
      </c>
      <c r="Y47" s="579">
        <f t="shared" si="48"/>
        <v>0</v>
      </c>
      <c r="Z47" s="521">
        <f t="shared" ca="1" si="46"/>
        <v>1.4999999999999999E-2</v>
      </c>
      <c r="AA47" s="583">
        <f t="shared" si="50"/>
        <v>0</v>
      </c>
      <c r="AB47" s="584">
        <f t="shared" si="50"/>
        <v>0</v>
      </c>
      <c r="AC47" s="584">
        <f t="shared" si="50"/>
        <v>0</v>
      </c>
      <c r="AD47" s="569">
        <f t="shared" ca="1" si="40"/>
        <v>0</v>
      </c>
      <c r="AE47" s="77">
        <f t="shared" si="4"/>
        <v>0.05</v>
      </c>
      <c r="AF47" s="78">
        <f t="shared" si="5"/>
        <v>4.0741237836483535E-3</v>
      </c>
      <c r="AG47" s="79"/>
      <c r="AH47" s="543">
        <v>0</v>
      </c>
      <c r="AI47" s="80"/>
      <c r="AJ47" s="80">
        <f t="shared" si="26"/>
        <v>1.0040741237836484</v>
      </c>
      <c r="AK47" s="81"/>
      <c r="AL47" s="81"/>
      <c r="AM47" s="95">
        <v>0</v>
      </c>
      <c r="AN47" s="81">
        <f t="shared" si="32"/>
        <v>1</v>
      </c>
      <c r="AO47" s="28">
        <f t="shared" si="6"/>
        <v>4</v>
      </c>
      <c r="AP47" s="28">
        <f t="shared" si="7"/>
        <v>6</v>
      </c>
      <c r="AQ47" s="65">
        <f t="shared" ca="1" si="27"/>
        <v>0</v>
      </c>
      <c r="AR47" s="66">
        <f t="shared" ca="1" si="8"/>
        <v>0</v>
      </c>
      <c r="AS47" s="66">
        <f t="shared" ca="1" si="9"/>
        <v>1297.2490090119732</v>
      </c>
      <c r="AT47" s="66">
        <f t="shared" ca="1" si="28"/>
        <v>319709.02977486153</v>
      </c>
      <c r="AU47" s="66">
        <f t="shared" ca="1" si="10"/>
        <v>0</v>
      </c>
      <c r="AV47" s="68">
        <f t="shared" ca="1" si="11"/>
        <v>318936.39961957227</v>
      </c>
      <c r="AW47" s="65">
        <f t="shared" ca="1" si="12"/>
        <v>772.63015528924871</v>
      </c>
      <c r="AX47" s="69">
        <f t="shared" ca="1" si="13"/>
        <v>0</v>
      </c>
      <c r="AY47" s="70">
        <f t="shared" ca="1" si="14"/>
        <v>0</v>
      </c>
      <c r="AZ47" s="66">
        <f t="shared" ca="1" si="15"/>
        <v>102.38895872771759</v>
      </c>
      <c r="BA47" s="66">
        <f t="shared" ca="1" si="16"/>
        <v>133.21209573952564</v>
      </c>
      <c r="BB47" s="66">
        <f t="shared" ca="1" si="17"/>
        <v>10.514132350808504</v>
      </c>
      <c r="BC47" s="66">
        <f t="shared" ca="1" si="18"/>
        <v>25233.917641940407</v>
      </c>
      <c r="BD47" s="66">
        <f t="shared" ca="1" si="19"/>
        <v>0</v>
      </c>
      <c r="BE47" s="71">
        <f t="shared" ca="1" si="33"/>
        <v>25316.661902396052</v>
      </c>
      <c r="BF47" s="65">
        <f t="shared" ca="1" si="20"/>
        <v>60.981967634689319</v>
      </c>
      <c r="BG47" s="69">
        <f t="shared" ca="1" si="21"/>
        <v>0</v>
      </c>
      <c r="BH47" s="301">
        <f t="shared" ca="1" si="29"/>
        <v>0</v>
      </c>
      <c r="BI47" s="300">
        <f ca="1">IF(AO47&gt;TartamVálasztott,0,   (BI46+BH47)*(1+yields!$D$2)*(1-(0.0099/12)))</f>
        <v>96537.9817799952</v>
      </c>
      <c r="BJ47" s="300">
        <f ca="1">SUM(BH$6:BH47)*-1.2</f>
        <v>-110722.5</v>
      </c>
      <c r="BK47" s="300">
        <f t="shared" ca="1" si="43"/>
        <v>-14184.5182200048</v>
      </c>
      <c r="BL47" s="28">
        <f t="shared" ca="1" si="42"/>
        <v>2020</v>
      </c>
      <c r="BM47" s="28">
        <f t="shared" ca="1" si="35"/>
        <v>7</v>
      </c>
      <c r="BN47" s="236">
        <f t="shared" ca="1" si="36"/>
        <v>0</v>
      </c>
      <c r="BO47" s="236">
        <f t="shared" ca="1" si="23"/>
        <v>0</v>
      </c>
    </row>
    <row r="48" spans="1:67" x14ac:dyDescent="0.25">
      <c r="A48" s="117">
        <v>0.09</v>
      </c>
      <c r="J48" s="26">
        <f t="shared" ca="1" si="1"/>
        <v>423149.27928126889</v>
      </c>
      <c r="K48" s="325"/>
      <c r="L48" s="500"/>
      <c r="N48" s="503">
        <f t="shared" ca="1" si="44"/>
        <v>0</v>
      </c>
      <c r="O48" s="504">
        <f t="shared" ca="1" si="2"/>
        <v>0</v>
      </c>
      <c r="P48" s="504">
        <f t="shared" ca="1" si="3"/>
        <v>0</v>
      </c>
      <c r="R48" s="72">
        <f t="shared" si="24"/>
        <v>43</v>
      </c>
      <c r="S48" s="94">
        <f t="shared" ca="1" si="31"/>
        <v>0</v>
      </c>
      <c r="T48" s="74">
        <f>IF(TKM=0,yields!B44,yields!C44)</f>
        <v>0.05</v>
      </c>
      <c r="U48" s="74"/>
      <c r="V48" s="75"/>
      <c r="W48" s="76"/>
      <c r="X48" s="526">
        <f t="shared" ca="1" si="45"/>
        <v>0</v>
      </c>
      <c r="Y48" s="579">
        <f t="shared" si="48"/>
        <v>0</v>
      </c>
      <c r="Z48" s="521">
        <f t="shared" ca="1" si="46"/>
        <v>1.4999999999999999E-2</v>
      </c>
      <c r="AA48" s="583">
        <f t="shared" si="50"/>
        <v>0</v>
      </c>
      <c r="AB48" s="584">
        <f t="shared" si="50"/>
        <v>0</v>
      </c>
      <c r="AC48" s="584">
        <f t="shared" si="50"/>
        <v>0</v>
      </c>
      <c r="AD48" s="569">
        <f t="shared" ca="1" si="40"/>
        <v>0</v>
      </c>
      <c r="AE48" s="77">
        <f t="shared" si="4"/>
        <v>0.05</v>
      </c>
      <c r="AF48" s="78">
        <f t="shared" si="5"/>
        <v>4.0741237836483535E-3</v>
      </c>
      <c r="AG48" s="79"/>
      <c r="AH48" s="543">
        <v>0</v>
      </c>
      <c r="AI48" s="80"/>
      <c r="AJ48" s="80">
        <f t="shared" si="26"/>
        <v>1.0040741237836484</v>
      </c>
      <c r="AK48" s="81"/>
      <c r="AL48" s="81"/>
      <c r="AM48" s="95">
        <v>0</v>
      </c>
      <c r="AN48" s="81">
        <f t="shared" si="32"/>
        <v>1</v>
      </c>
      <c r="AO48" s="28">
        <f t="shared" si="6"/>
        <v>4</v>
      </c>
      <c r="AP48" s="28">
        <f t="shared" si="7"/>
        <v>7</v>
      </c>
      <c r="AQ48" s="65">
        <f t="shared" ca="1" si="27"/>
        <v>40383.398437499993</v>
      </c>
      <c r="AR48" s="66">
        <f t="shared" ca="1" si="8"/>
        <v>34325.888671874993</v>
      </c>
      <c r="AS48" s="66">
        <f t="shared" ca="1" si="9"/>
        <v>1439.2342905942266</v>
      </c>
      <c r="AT48" s="66">
        <f t="shared" ca="1" si="28"/>
        <v>354701.52258204151</v>
      </c>
      <c r="AU48" s="66">
        <f t="shared" ca="1" si="10"/>
        <v>0</v>
      </c>
      <c r="AV48" s="68">
        <f t="shared" ca="1" si="11"/>
        <v>353844.32723580155</v>
      </c>
      <c r="AW48" s="65">
        <f t="shared" ca="1" si="12"/>
        <v>857.19534623993366</v>
      </c>
      <c r="AX48" s="69">
        <f t="shared" ca="1" si="13"/>
        <v>6057.5097656249991</v>
      </c>
      <c r="AY48" s="70">
        <f t="shared" ca="1" si="14"/>
        <v>3836.4228515624986</v>
      </c>
      <c r="AZ48" s="66">
        <f t="shared" ca="1" si="15"/>
        <v>118.77327596281874</v>
      </c>
      <c r="BA48" s="66">
        <f t="shared" ca="1" si="16"/>
        <v>147.79230107585065</v>
      </c>
      <c r="BB48" s="66">
        <f t="shared" ca="1" si="17"/>
        <v>12.196607512467239</v>
      </c>
      <c r="BC48" s="66">
        <f t="shared" ca="1" si="18"/>
        <v>29271.858029921372</v>
      </c>
      <c r="BD48" s="66">
        <f t="shared" ca="1" si="19"/>
        <v>0</v>
      </c>
      <c r="BE48" s="71">
        <f t="shared" ca="1" si="33"/>
        <v>29361.10661493738</v>
      </c>
      <c r="BF48" s="65">
        <f t="shared" ca="1" si="20"/>
        <v>70.74032357230999</v>
      </c>
      <c r="BG48" s="69">
        <f t="shared" ca="1" si="21"/>
        <v>0</v>
      </c>
      <c r="BH48" s="301">
        <f t="shared" ca="1" si="29"/>
        <v>0</v>
      </c>
      <c r="BI48" s="300">
        <f ca="1">IF(AO48&gt;TartamVálasztott,0,   (BI47+BH48)*(1+yields!$D$2)*(1-(0.0099/12)))</f>
        <v>96851.321153779718</v>
      </c>
      <c r="BJ48" s="300">
        <f ca="1">SUM(BH$6:BH48)*-1.2</f>
        <v>-110722.5</v>
      </c>
      <c r="BK48" s="300">
        <f t="shared" ca="1" si="43"/>
        <v>-13871.178846220282</v>
      </c>
      <c r="BL48" s="28">
        <f t="shared" ca="1" si="42"/>
        <v>2020</v>
      </c>
      <c r="BM48" s="28">
        <f t="shared" ca="1" si="35"/>
        <v>8</v>
      </c>
      <c r="BN48" s="236">
        <f t="shared" ca="1" si="36"/>
        <v>0</v>
      </c>
      <c r="BO48" s="236">
        <f t="shared" ca="1" si="23"/>
        <v>0</v>
      </c>
    </row>
    <row r="49" spans="1:67" x14ac:dyDescent="0.25">
      <c r="J49" s="26">
        <f t="shared" ca="1" si="1"/>
        <v>433728.01126330061</v>
      </c>
      <c r="K49" s="325"/>
      <c r="L49" s="500"/>
      <c r="N49" s="503">
        <f t="shared" ca="1" si="44"/>
        <v>0</v>
      </c>
      <c r="O49" s="504">
        <f t="shared" ca="1" si="2"/>
        <v>0</v>
      </c>
      <c r="P49" s="504">
        <f t="shared" ca="1" si="3"/>
        <v>0</v>
      </c>
      <c r="R49" s="72">
        <f t="shared" si="24"/>
        <v>44</v>
      </c>
      <c r="S49" s="94">
        <f t="shared" ca="1" si="31"/>
        <v>0</v>
      </c>
      <c r="T49" s="74">
        <f>IF(TKM=0,yields!B45,yields!C45)</f>
        <v>0.05</v>
      </c>
      <c r="U49" s="74"/>
      <c r="V49" s="75"/>
      <c r="W49" s="76"/>
      <c r="X49" s="526">
        <f t="shared" ca="1" si="45"/>
        <v>0</v>
      </c>
      <c r="Y49" s="579">
        <f t="shared" si="48"/>
        <v>0</v>
      </c>
      <c r="Z49" s="521">
        <f t="shared" ca="1" si="46"/>
        <v>1.4999999999999999E-2</v>
      </c>
      <c r="AA49" s="583">
        <f t="shared" si="50"/>
        <v>0</v>
      </c>
      <c r="AB49" s="584">
        <f t="shared" si="50"/>
        <v>0</v>
      </c>
      <c r="AC49" s="584">
        <f t="shared" si="50"/>
        <v>0</v>
      </c>
      <c r="AD49" s="569">
        <f t="shared" ca="1" si="40"/>
        <v>0</v>
      </c>
      <c r="AE49" s="77">
        <f t="shared" si="4"/>
        <v>0.05</v>
      </c>
      <c r="AF49" s="78">
        <f t="shared" si="5"/>
        <v>4.0741237836483535E-3</v>
      </c>
      <c r="AG49" s="79"/>
      <c r="AH49" s="543">
        <v>0</v>
      </c>
      <c r="AI49" s="80"/>
      <c r="AJ49" s="80">
        <f t="shared" si="26"/>
        <v>1.0040741237836484</v>
      </c>
      <c r="AK49" s="81"/>
      <c r="AL49" s="81"/>
      <c r="AM49" s="95">
        <v>0</v>
      </c>
      <c r="AN49" s="81">
        <f t="shared" si="32"/>
        <v>1</v>
      </c>
      <c r="AO49" s="28">
        <f t="shared" si="6"/>
        <v>4</v>
      </c>
      <c r="AP49" s="28">
        <f t="shared" si="7"/>
        <v>8</v>
      </c>
      <c r="AQ49" s="65">
        <f t="shared" ca="1" si="27"/>
        <v>0</v>
      </c>
      <c r="AR49" s="66">
        <f t="shared" ca="1" si="8"/>
        <v>0</v>
      </c>
      <c r="AS49" s="66">
        <f t="shared" ca="1" si="9"/>
        <v>1441.60558930043</v>
      </c>
      <c r="AT49" s="66">
        <f t="shared" ca="1" si="28"/>
        <v>355285.93282510201</v>
      </c>
      <c r="AU49" s="66">
        <f t="shared" ca="1" si="10"/>
        <v>0</v>
      </c>
      <c r="AV49" s="68">
        <f t="shared" ca="1" si="11"/>
        <v>354427.325154108</v>
      </c>
      <c r="AW49" s="65">
        <f t="shared" ca="1" si="12"/>
        <v>858.60767099399652</v>
      </c>
      <c r="AX49" s="69">
        <f t="shared" ca="1" si="13"/>
        <v>0</v>
      </c>
      <c r="AY49" s="70">
        <f t="shared" ca="1" si="14"/>
        <v>0</v>
      </c>
      <c r="AZ49" s="66">
        <f t="shared" ca="1" si="15"/>
        <v>119.62078277415138</v>
      </c>
      <c r="BA49" s="66">
        <f t="shared" ca="1" si="16"/>
        <v>148.0358053437925</v>
      </c>
      <c r="BB49" s="66">
        <f t="shared" ca="1" si="17"/>
        <v>12.28363641571314</v>
      </c>
      <c r="BC49" s="66">
        <f t="shared" ca="1" si="18"/>
        <v>29480.727397711533</v>
      </c>
      <c r="BD49" s="66">
        <f t="shared" ca="1" si="19"/>
        <v>0</v>
      </c>
      <c r="BE49" s="71">
        <f t="shared" ca="1" si="33"/>
        <v>29569.801748259903</v>
      </c>
      <c r="BF49" s="65">
        <f t="shared" ca="1" si="20"/>
        <v>71.245091211136213</v>
      </c>
      <c r="BG49" s="69">
        <f t="shared" ca="1" si="21"/>
        <v>0</v>
      </c>
      <c r="BH49" s="301">
        <f t="shared" ca="1" si="29"/>
        <v>0</v>
      </c>
      <c r="BI49" s="300">
        <f ca="1">IF(AO49&gt;TartamVálasztott,0,   (BI48+BH49)*(1+yields!$D$2)*(1-(0.0099/12)))</f>
        <v>97165.677552794674</v>
      </c>
      <c r="BJ49" s="300">
        <f ca="1">SUM(BH$6:BH49)*-1.2</f>
        <v>-110722.5</v>
      </c>
      <c r="BK49" s="300">
        <f t="shared" ca="1" si="43"/>
        <v>-13556.822447205326</v>
      </c>
      <c r="BL49" s="28">
        <f t="shared" ca="1" si="42"/>
        <v>2020</v>
      </c>
      <c r="BM49" s="28">
        <f t="shared" ca="1" si="35"/>
        <v>9</v>
      </c>
      <c r="BN49" s="236">
        <f t="shared" ca="1" si="36"/>
        <v>0</v>
      </c>
      <c r="BO49" s="236">
        <f t="shared" ca="1" si="23"/>
        <v>0</v>
      </c>
    </row>
    <row r="50" spans="1:67" x14ac:dyDescent="0.25">
      <c r="J50" s="26">
        <f t="shared" ca="1" si="1"/>
        <v>444571.21154488303</v>
      </c>
      <c r="K50" s="325"/>
      <c r="L50" s="500"/>
      <c r="N50" s="503">
        <f t="shared" ca="1" si="44"/>
        <v>0</v>
      </c>
      <c r="O50" s="504">
        <f t="shared" ca="1" si="2"/>
        <v>0</v>
      </c>
      <c r="P50" s="504">
        <f t="shared" ca="1" si="3"/>
        <v>0</v>
      </c>
      <c r="R50" s="72">
        <f t="shared" si="24"/>
        <v>45</v>
      </c>
      <c r="S50" s="94">
        <f t="shared" ca="1" si="31"/>
        <v>0</v>
      </c>
      <c r="T50" s="74">
        <f>IF(TKM=0,yields!B46,yields!C46)</f>
        <v>0.05</v>
      </c>
      <c r="U50" s="74"/>
      <c r="V50" s="75"/>
      <c r="W50" s="76"/>
      <c r="X50" s="526">
        <f t="shared" ca="1" si="45"/>
        <v>0</v>
      </c>
      <c r="Y50" s="579">
        <f t="shared" si="48"/>
        <v>0</v>
      </c>
      <c r="Z50" s="521">
        <f t="shared" ca="1" si="46"/>
        <v>1.4999999999999999E-2</v>
      </c>
      <c r="AA50" s="583">
        <f t="shared" si="50"/>
        <v>0</v>
      </c>
      <c r="AB50" s="584">
        <f t="shared" si="50"/>
        <v>0</v>
      </c>
      <c r="AC50" s="584">
        <f t="shared" si="50"/>
        <v>0</v>
      </c>
      <c r="AD50" s="569">
        <f t="shared" ca="1" si="40"/>
        <v>0</v>
      </c>
      <c r="AE50" s="77">
        <f t="shared" si="4"/>
        <v>0.05</v>
      </c>
      <c r="AF50" s="78">
        <f t="shared" si="5"/>
        <v>4.0741237836483535E-3</v>
      </c>
      <c r="AG50" s="79"/>
      <c r="AH50" s="543">
        <v>0</v>
      </c>
      <c r="AI50" s="80"/>
      <c r="AJ50" s="80">
        <f t="shared" si="26"/>
        <v>1.0040741237836484</v>
      </c>
      <c r="AK50" s="81"/>
      <c r="AL50" s="81"/>
      <c r="AM50" s="95">
        <v>0</v>
      </c>
      <c r="AN50" s="81">
        <f t="shared" si="32"/>
        <v>1</v>
      </c>
      <c r="AO50" s="28">
        <f t="shared" si="6"/>
        <v>4</v>
      </c>
      <c r="AP50" s="28">
        <f t="shared" si="7"/>
        <v>9</v>
      </c>
      <c r="AQ50" s="65">
        <f t="shared" ca="1" si="27"/>
        <v>0</v>
      </c>
      <c r="AR50" s="66">
        <f t="shared" ca="1" si="8"/>
        <v>0</v>
      </c>
      <c r="AS50" s="66">
        <f t="shared" ca="1" si="9"/>
        <v>1443.9807949852197</v>
      </c>
      <c r="AT50" s="66">
        <f t="shared" ca="1" si="28"/>
        <v>355871.30594909319</v>
      </c>
      <c r="AU50" s="66">
        <f t="shared" ca="1" si="10"/>
        <v>0</v>
      </c>
      <c r="AV50" s="68">
        <f t="shared" ca="1" si="11"/>
        <v>355011.28362638288</v>
      </c>
      <c r="AW50" s="65">
        <f t="shared" ca="1" si="12"/>
        <v>860.02232271030857</v>
      </c>
      <c r="AX50" s="69">
        <f t="shared" ca="1" si="13"/>
        <v>0</v>
      </c>
      <c r="AY50" s="70">
        <f t="shared" ca="1" si="14"/>
        <v>0</v>
      </c>
      <c r="AZ50" s="66">
        <f t="shared" ca="1" si="15"/>
        <v>120.47103258035233</v>
      </c>
      <c r="BA50" s="66">
        <f t="shared" ca="1" si="16"/>
        <v>148.27971081212218</v>
      </c>
      <c r="BB50" s="66">
        <f t="shared" ca="1" si="17"/>
        <v>12.370946992016775</v>
      </c>
      <c r="BC50" s="66">
        <f t="shared" ca="1" si="18"/>
        <v>29690.272780840256</v>
      </c>
      <c r="BD50" s="66">
        <f t="shared" ca="1" si="19"/>
        <v>0</v>
      </c>
      <c r="BE50" s="71">
        <f t="shared" ca="1" si="33"/>
        <v>29779.171946090697</v>
      </c>
      <c r="BF50" s="65">
        <f t="shared" ca="1" si="20"/>
        <v>71.75149255369729</v>
      </c>
      <c r="BG50" s="69">
        <f t="shared" ca="1" si="21"/>
        <v>0</v>
      </c>
      <c r="BH50" s="301">
        <f t="shared" ca="1" si="29"/>
        <v>0</v>
      </c>
      <c r="BI50" s="300">
        <f ca="1">IF(AO50&gt;TartamVálasztott,0,   (BI49+BH50)*(1+yields!$D$2)*(1-(0.0099/12)))</f>
        <v>97481.054278062526</v>
      </c>
      <c r="BJ50" s="300">
        <f ca="1">SUM(BH$6:BH50)*-1.2</f>
        <v>-110722.5</v>
      </c>
      <c r="BK50" s="300">
        <f t="shared" ca="1" si="43"/>
        <v>-13241.445721937474</v>
      </c>
      <c r="BL50" s="28">
        <f t="shared" ca="1" si="42"/>
        <v>2020</v>
      </c>
      <c r="BM50" s="28">
        <f t="shared" ca="1" si="35"/>
        <v>10</v>
      </c>
      <c r="BN50" s="236">
        <f t="shared" ca="1" si="36"/>
        <v>0</v>
      </c>
      <c r="BO50" s="236">
        <f t="shared" ca="1" si="23"/>
        <v>0</v>
      </c>
    </row>
    <row r="51" spans="1:67" x14ac:dyDescent="0.25">
      <c r="A51" s="116" t="s">
        <v>220</v>
      </c>
      <c r="B51" s="236">
        <f>Pr/CFdet!B26</f>
        <v>37500</v>
      </c>
      <c r="J51" s="26">
        <f t="shared" ca="1" si="1"/>
        <v>455685.4918335051</v>
      </c>
      <c r="K51" s="325"/>
      <c r="L51" s="500"/>
      <c r="N51" s="503">
        <f t="shared" ca="1" si="44"/>
        <v>0</v>
      </c>
      <c r="O51" s="504">
        <f t="shared" ca="1" si="2"/>
        <v>0</v>
      </c>
      <c r="P51" s="504">
        <f t="shared" ca="1" si="3"/>
        <v>0</v>
      </c>
      <c r="R51" s="72">
        <f t="shared" si="24"/>
        <v>46</v>
      </c>
      <c r="S51" s="94">
        <f t="shared" ca="1" si="31"/>
        <v>0</v>
      </c>
      <c r="T51" s="74">
        <f>IF(TKM=0,yields!B47,yields!C47)</f>
        <v>0.05</v>
      </c>
      <c r="U51" s="74"/>
      <c r="V51" s="75"/>
      <c r="W51" s="76"/>
      <c r="X51" s="526">
        <f t="shared" ca="1" si="45"/>
        <v>0</v>
      </c>
      <c r="Y51" s="579">
        <f t="shared" si="48"/>
        <v>0</v>
      </c>
      <c r="Z51" s="521">
        <f t="shared" ca="1" si="46"/>
        <v>1.4999999999999999E-2</v>
      </c>
      <c r="AA51" s="583">
        <f t="shared" si="50"/>
        <v>0</v>
      </c>
      <c r="AB51" s="584">
        <f t="shared" si="50"/>
        <v>0</v>
      </c>
      <c r="AC51" s="584">
        <f t="shared" si="50"/>
        <v>0</v>
      </c>
      <c r="AD51" s="569">
        <f t="shared" ca="1" si="40"/>
        <v>0</v>
      </c>
      <c r="AE51" s="77">
        <f t="shared" si="4"/>
        <v>0.05</v>
      </c>
      <c r="AF51" s="78">
        <f t="shared" si="5"/>
        <v>4.0741237836483535E-3</v>
      </c>
      <c r="AG51" s="79"/>
      <c r="AH51" s="543">
        <v>0</v>
      </c>
      <c r="AI51" s="80"/>
      <c r="AJ51" s="80">
        <f t="shared" si="26"/>
        <v>1.0040741237836484</v>
      </c>
      <c r="AK51" s="81"/>
      <c r="AL51" s="81"/>
      <c r="AM51" s="95">
        <v>0</v>
      </c>
      <c r="AN51" s="81">
        <f t="shared" si="32"/>
        <v>1</v>
      </c>
      <c r="AO51" s="28">
        <f t="shared" si="6"/>
        <v>4</v>
      </c>
      <c r="AP51" s="28">
        <f t="shared" si="7"/>
        <v>10</v>
      </c>
      <c r="AQ51" s="65">
        <f t="shared" ca="1" si="27"/>
        <v>40383.398437499993</v>
      </c>
      <c r="AR51" s="66">
        <f t="shared" ca="1" si="8"/>
        <v>34325.888671874993</v>
      </c>
      <c r="AS51" s="66">
        <f t="shared" ca="1" si="9"/>
        <v>1586.2078335187293</v>
      </c>
      <c r="AT51" s="66">
        <f t="shared" ca="1" si="28"/>
        <v>390923.38013177662</v>
      </c>
      <c r="AU51" s="66">
        <f t="shared" ca="1" si="10"/>
        <v>0</v>
      </c>
      <c r="AV51" s="68">
        <f t="shared" ca="1" si="11"/>
        <v>389978.64862979151</v>
      </c>
      <c r="AW51" s="65">
        <f t="shared" ca="1" si="12"/>
        <v>944.7315019851269</v>
      </c>
      <c r="AX51" s="69">
        <f t="shared" ca="1" si="13"/>
        <v>6057.5097656249991</v>
      </c>
      <c r="AY51" s="70">
        <f t="shared" ca="1" si="14"/>
        <v>3836.4228515624986</v>
      </c>
      <c r="AZ51" s="66">
        <f t="shared" ca="1" si="15"/>
        <v>136.95409426660476</v>
      </c>
      <c r="BA51" s="66">
        <f t="shared" ca="1" si="16"/>
        <v>162.88474172157359</v>
      </c>
      <c r="BB51" s="66">
        <f t="shared" ca="1" si="17"/>
        <v>14.063562038299919</v>
      </c>
      <c r="BC51" s="66">
        <f t="shared" ca="1" si="18"/>
        <v>33752.548891919803</v>
      </c>
      <c r="BD51" s="66">
        <f t="shared" ca="1" si="19"/>
        <v>0</v>
      </c>
      <c r="BE51" s="71">
        <f t="shared" ca="1" si="33"/>
        <v>33847.928535857543</v>
      </c>
      <c r="BF51" s="65">
        <f t="shared" ca="1" si="20"/>
        <v>81.568659822139523</v>
      </c>
      <c r="BG51" s="69">
        <f t="shared" ca="1" si="21"/>
        <v>0</v>
      </c>
      <c r="BH51" s="301">
        <f t="shared" ca="1" si="29"/>
        <v>0</v>
      </c>
      <c r="BI51" s="300">
        <f ca="1">IF(AO51&gt;TartamVálasztott,0,   (BI50+BH51)*(1+yields!$D$2)*(1-(0.0099/12)))</f>
        <v>97797.454641320102</v>
      </c>
      <c r="BJ51" s="300">
        <f ca="1">SUM(BH$6:BH51)*-1.2</f>
        <v>-110722.5</v>
      </c>
      <c r="BK51" s="300">
        <f t="shared" ca="1" si="43"/>
        <v>-12925.045358679898</v>
      </c>
      <c r="BL51" s="28">
        <f t="shared" ca="1" si="42"/>
        <v>2020</v>
      </c>
      <c r="BM51" s="28">
        <f t="shared" ca="1" si="35"/>
        <v>11</v>
      </c>
      <c r="BN51" s="236">
        <f t="shared" ca="1" si="36"/>
        <v>0</v>
      </c>
      <c r="BO51" s="236">
        <f t="shared" ca="1" si="23"/>
        <v>0</v>
      </c>
    </row>
    <row r="52" spans="1:67" x14ac:dyDescent="0.25">
      <c r="A52" s="116"/>
      <c r="J52" s="26">
        <f t="shared" ca="1" si="1"/>
        <v>467077.62912934268</v>
      </c>
      <c r="K52" s="325"/>
      <c r="L52" s="500"/>
      <c r="N52" s="503">
        <f t="shared" ca="1" si="44"/>
        <v>0</v>
      </c>
      <c r="O52" s="504">
        <f t="shared" ca="1" si="2"/>
        <v>0</v>
      </c>
      <c r="P52" s="504">
        <f t="shared" ca="1" si="3"/>
        <v>0</v>
      </c>
      <c r="R52" s="83">
        <f t="shared" si="24"/>
        <v>47</v>
      </c>
      <c r="S52" s="84">
        <f t="shared" ca="1" si="31"/>
        <v>0</v>
      </c>
      <c r="T52" s="85">
        <f>IF(TKM=0,yields!B48,yields!C48)</f>
        <v>0.05</v>
      </c>
      <c r="U52" s="85"/>
      <c r="V52" s="86"/>
      <c r="W52" s="87"/>
      <c r="X52" s="526">
        <f t="shared" ca="1" si="45"/>
        <v>0</v>
      </c>
      <c r="Y52" s="578">
        <f t="shared" si="48"/>
        <v>0</v>
      </c>
      <c r="Z52" s="522">
        <f t="shared" ca="1" si="46"/>
        <v>1.4999999999999999E-2</v>
      </c>
      <c r="AA52" s="585">
        <f t="shared" si="50"/>
        <v>0</v>
      </c>
      <c r="AB52" s="586">
        <f t="shared" si="50"/>
        <v>0</v>
      </c>
      <c r="AC52" s="586">
        <f t="shared" si="50"/>
        <v>0</v>
      </c>
      <c r="AD52" s="570">
        <f t="shared" ca="1" si="40"/>
        <v>0</v>
      </c>
      <c r="AE52" s="88">
        <f t="shared" si="4"/>
        <v>0.05</v>
      </c>
      <c r="AF52" s="89">
        <f t="shared" si="5"/>
        <v>4.0741237836483535E-3</v>
      </c>
      <c r="AG52" s="90"/>
      <c r="AH52" s="544">
        <v>0</v>
      </c>
      <c r="AI52" s="91"/>
      <c r="AJ52" s="91">
        <f t="shared" si="26"/>
        <v>1.0040741237836484</v>
      </c>
      <c r="AK52" s="92"/>
      <c r="AL52" s="92"/>
      <c r="AM52" s="97">
        <v>0</v>
      </c>
      <c r="AN52" s="92">
        <f t="shared" si="32"/>
        <v>1</v>
      </c>
      <c r="AO52" s="28">
        <f t="shared" si="6"/>
        <v>4</v>
      </c>
      <c r="AP52" s="28">
        <f t="shared" si="7"/>
        <v>11</v>
      </c>
      <c r="AQ52" s="65">
        <f t="shared" ca="1" si="27"/>
        <v>0</v>
      </c>
      <c r="AR52" s="66">
        <f t="shared" ca="1" si="8"/>
        <v>0</v>
      </c>
      <c r="AS52" s="66">
        <f t="shared" ca="1" si="9"/>
        <v>1588.821287497678</v>
      </c>
      <c r="AT52" s="66">
        <f t="shared" ca="1" si="28"/>
        <v>391567.46991728921</v>
      </c>
      <c r="AU52" s="66">
        <f t="shared" ca="1" si="10"/>
        <v>0</v>
      </c>
      <c r="AV52" s="68">
        <f t="shared" ca="1" si="11"/>
        <v>390621.18186498911</v>
      </c>
      <c r="AW52" s="65">
        <f t="shared" ca="1" si="12"/>
        <v>946.28805230011562</v>
      </c>
      <c r="AX52" s="69">
        <f t="shared" ca="1" si="13"/>
        <v>0</v>
      </c>
      <c r="AY52" s="70">
        <f t="shared" ca="1" si="14"/>
        <v>0</v>
      </c>
      <c r="AZ52" s="66">
        <f t="shared" ca="1" si="15"/>
        <v>137.90065067516701</v>
      </c>
      <c r="BA52" s="66">
        <f t="shared" ca="1" si="16"/>
        <v>163.15311246553719</v>
      </c>
      <c r="BB52" s="66">
        <f t="shared" ca="1" si="17"/>
        <v>14.160762161055297</v>
      </c>
      <c r="BC52" s="66">
        <f t="shared" ca="1" si="18"/>
        <v>33985.829186532712</v>
      </c>
      <c r="BD52" s="66">
        <f t="shared" ca="1" si="19"/>
        <v>0</v>
      </c>
      <c r="BE52" s="71">
        <f t="shared" ca="1" si="33"/>
        <v>34081.01064062518</v>
      </c>
      <c r="BF52" s="65">
        <f t="shared" ca="1" si="20"/>
        <v>82.132420534120726</v>
      </c>
      <c r="BG52" s="69">
        <f t="shared" ca="1" si="21"/>
        <v>0</v>
      </c>
      <c r="BH52" s="301">
        <f t="shared" ca="1" si="29"/>
        <v>0</v>
      </c>
      <c r="BI52" s="300">
        <f ca="1">IF(AO52&gt;TartamVálasztott,0,   (BI51+BH52)*(1+yields!$D$2)*(1-(0.0099/12)))</f>
        <v>98114.881965053355</v>
      </c>
      <c r="BJ52" s="300">
        <f ca="1">SUM(BH$6:BH52)*-1.2</f>
        <v>-110722.5</v>
      </c>
      <c r="BK52" s="300">
        <f t="shared" ca="1" si="43"/>
        <v>-12607.618034946645</v>
      </c>
      <c r="BL52" s="28">
        <f t="shared" ca="1" si="42"/>
        <v>2020</v>
      </c>
      <c r="BM52" s="28">
        <f t="shared" ca="1" si="35"/>
        <v>12</v>
      </c>
      <c r="BN52" s="236">
        <f t="shared" ca="1" si="36"/>
        <v>161533.59374999997</v>
      </c>
      <c r="BO52" s="236">
        <f t="shared" ca="1" si="23"/>
        <v>32306.718749999996</v>
      </c>
    </row>
    <row r="53" spans="1:67" x14ac:dyDescent="0.25">
      <c r="R53" s="124"/>
      <c r="S53" s="125"/>
      <c r="AM53" s="30"/>
      <c r="AN53" s="30"/>
      <c r="AO53" s="28">
        <f t="shared" si="6"/>
        <v>4</v>
      </c>
      <c r="AP53" s="28">
        <f t="shared" si="7"/>
        <v>12</v>
      </c>
      <c r="AQ53" s="65">
        <f t="shared" ca="1" si="27"/>
        <v>0</v>
      </c>
      <c r="AR53" s="66">
        <f t="shared" ca="1" si="8"/>
        <v>0</v>
      </c>
      <c r="AS53" s="66">
        <f t="shared" ca="1" si="9"/>
        <v>1591.4390474329809</v>
      </c>
      <c r="AT53" s="66">
        <f t="shared" ca="1" si="28"/>
        <v>392212.62091242208</v>
      </c>
      <c r="AU53" s="66">
        <f t="shared" ca="1" si="10"/>
        <v>0</v>
      </c>
      <c r="AV53" s="68">
        <f t="shared" ca="1" si="11"/>
        <v>391264.77374521707</v>
      </c>
      <c r="AW53" s="65">
        <f t="shared" ca="1" si="12"/>
        <v>947.84716720502001</v>
      </c>
      <c r="AX53" s="69">
        <f t="shared" ca="1" si="13"/>
        <v>0</v>
      </c>
      <c r="AY53" s="70">
        <f t="shared" ca="1" si="14"/>
        <v>0</v>
      </c>
      <c r="AZ53" s="66">
        <f t="shared" ca="1" si="15"/>
        <v>138.85025602174366</v>
      </c>
      <c r="BA53" s="66">
        <f t="shared" ca="1" si="16"/>
        <v>163.42192538017588</v>
      </c>
      <c r="BB53" s="66">
        <f t="shared" ca="1" si="17"/>
        <v>14.258275373602887</v>
      </c>
      <c r="BC53" s="66">
        <f ca="1">$BE52+$AY53+$AZ53</f>
        <v>34219.860896646926</v>
      </c>
      <c r="BD53" s="66">
        <f t="shared" ca="1" si="19"/>
        <v>0</v>
      </c>
      <c r="BE53" s="71">
        <f t="shared" ca="1" si="33"/>
        <v>34314.843100233804</v>
      </c>
      <c r="BF53" s="65">
        <f t="shared" ca="1" si="20"/>
        <v>82.697997166896741</v>
      </c>
      <c r="BG53" s="69">
        <f t="shared" ca="1" si="21"/>
        <v>0</v>
      </c>
      <c r="BH53" s="301">
        <f t="shared" ca="1" si="29"/>
        <v>0</v>
      </c>
      <c r="BI53" s="300">
        <f ca="1">IF(AO53&gt;TartamVálasztott,0,   (BI52+BH53)*(1+yields!$D$2)*(1-(0.0099/12)))</f>
        <v>98433.339582532193</v>
      </c>
      <c r="BJ53" s="300">
        <f ca="1">SUM(BH$6:BH53)*-1.2</f>
        <v>-110722.5</v>
      </c>
      <c r="BK53" s="300">
        <f t="shared" ca="1" si="43"/>
        <v>-12289.160417467807</v>
      </c>
      <c r="BL53" s="28">
        <f t="shared" ca="1" si="42"/>
        <v>2021</v>
      </c>
      <c r="BM53" s="28">
        <f t="shared" ca="1" si="35"/>
        <v>1</v>
      </c>
      <c r="BN53" s="236">
        <f t="shared" ca="1" si="36"/>
        <v>0</v>
      </c>
      <c r="BO53" s="236">
        <f t="shared" ca="1" si="23"/>
        <v>0</v>
      </c>
    </row>
    <row r="54" spans="1:67" x14ac:dyDescent="0.25">
      <c r="AO54" s="28">
        <f t="shared" si="6"/>
        <v>5</v>
      </c>
      <c r="AP54" s="28">
        <f t="shared" si="7"/>
        <v>1</v>
      </c>
      <c r="AQ54" s="65">
        <f t="shared" ca="1" si="27"/>
        <v>41392.983398437493</v>
      </c>
      <c r="AR54" s="66">
        <f ca="1">IF( ($AO54*12+$AP54) &gt; (12*(Term+1) ), 0,
$AQ54*(1-VLOOKUP($AO54,Pars,7))
)</f>
        <v>35184.035888671868</v>
      </c>
      <c r="AS54" s="66">
        <f t="shared" ca="1" si="9"/>
        <v>1737.4052378379561</v>
      </c>
      <c r="AT54" s="66">
        <f t="shared" ca="1" si="28"/>
        <v>428186.21487172687</v>
      </c>
      <c r="AU54" s="66">
        <f t="shared" ca="1" si="10"/>
        <v>0</v>
      </c>
      <c r="AV54" s="68">
        <f t="shared" ca="1" si="11"/>
        <v>427151.43151912017</v>
      </c>
      <c r="AW54" s="65">
        <f t="shared" ca="1" si="12"/>
        <v>1034.7833526066734</v>
      </c>
      <c r="AX54" s="69">
        <f t="shared" ca="1" si="13"/>
        <v>6208.9475097656241</v>
      </c>
      <c r="AY54" s="70">
        <f t="shared" ca="1" si="14"/>
        <v>4197.2485166015613</v>
      </c>
      <c r="AZ54" s="66">
        <f t="shared" ca="1" si="15"/>
        <v>156.90302841419333</v>
      </c>
      <c r="BA54" s="66">
        <f t="shared" ca="1" si="16"/>
        <v>178.41092286321955</v>
      </c>
      <c r="BB54" s="66">
        <f t="shared" ca="1" si="17"/>
        <v>16.112081102187318</v>
      </c>
      <c r="BC54" s="66">
        <f ca="1">$BE53+$AY54+$AZ54</f>
        <v>38668.994645249557</v>
      </c>
      <c r="BD54" s="66">
        <f t="shared" ca="1" si="19"/>
        <v>0</v>
      </c>
      <c r="BE54" s="71">
        <f t="shared" ca="1" si="33"/>
        <v>38770.067578822272</v>
      </c>
      <c r="BF54" s="65">
        <f t="shared" ca="1" si="20"/>
        <v>93.450070392686428</v>
      </c>
      <c r="BG54" s="69">
        <f t="shared" ca="1" si="21"/>
        <v>0</v>
      </c>
      <c r="BH54" s="301">
        <f t="shared" ca="1" si="29"/>
        <v>0</v>
      </c>
      <c r="BI54" s="300">
        <f ca="1">IF(AO54&gt;TartamVálasztott,0,   (BI53+BH54)*(1+yields!$D$2)*(1-(0.0099/12)))</f>
        <v>98752.830837845569</v>
      </c>
      <c r="BJ54" s="300">
        <f ca="1">SUM(BH$6:BH54)*-1.2</f>
        <v>-110722.5</v>
      </c>
      <c r="BK54" s="300">
        <f t="shared" ca="1" si="43"/>
        <v>-11969.669162154431</v>
      </c>
      <c r="BL54" s="28">
        <f t="shared" ca="1" si="42"/>
        <v>2021</v>
      </c>
      <c r="BM54" s="28">
        <f t="shared" ca="1" si="35"/>
        <v>2</v>
      </c>
      <c r="BN54" s="236">
        <f t="shared" ca="1" si="36"/>
        <v>0</v>
      </c>
      <c r="BO54" s="236">
        <f t="shared" ca="1" si="23"/>
        <v>0</v>
      </c>
    </row>
    <row r="55" spans="1:67" x14ac:dyDescent="0.25">
      <c r="AO55" s="28">
        <f t="shared" si="6"/>
        <v>5</v>
      </c>
      <c r="AP55" s="28">
        <f t="shared" si="7"/>
        <v>2</v>
      </c>
      <c r="AQ55" s="65">
        <f t="shared" ca="1" si="27"/>
        <v>0</v>
      </c>
      <c r="AR55" s="66">
        <f t="shared" ca="1" si="8"/>
        <v>0</v>
      </c>
      <c r="AS55" s="66">
        <f t="shared" ca="1" si="9"/>
        <v>1740.2678063714884</v>
      </c>
      <c r="AT55" s="66">
        <f t="shared" ca="1" si="28"/>
        <v>428891.69932549167</v>
      </c>
      <c r="AU55" s="66">
        <f t="shared" ca="1" si="10"/>
        <v>0</v>
      </c>
      <c r="AV55" s="68">
        <f t="shared" ca="1" si="11"/>
        <v>427855.21105212171</v>
      </c>
      <c r="AW55" s="65">
        <f t="shared" ca="1" si="12"/>
        <v>1036.4882733699383</v>
      </c>
      <c r="AX55" s="69">
        <f t="shared" ca="1" si="13"/>
        <v>0</v>
      </c>
      <c r="AY55" s="70">
        <f t="shared" ca="1" si="14"/>
        <v>0</v>
      </c>
      <c r="AZ55" s="66">
        <f t="shared" ca="1" si="15"/>
        <v>157.95405441653375</v>
      </c>
      <c r="BA55" s="66">
        <f t="shared" ca="1" si="16"/>
        <v>178.70487471895487</v>
      </c>
      <c r="BB55" s="66">
        <f t="shared" ca="1" si="17"/>
        <v>16.220009013849506</v>
      </c>
      <c r="BC55" s="66">
        <f t="shared" ca="1" si="18"/>
        <v>38928.021633238808</v>
      </c>
      <c r="BD55" s="66">
        <f t="shared" ca="1" si="19"/>
        <v>0</v>
      </c>
      <c r="BE55" s="71">
        <f t="shared" ca="1" si="33"/>
        <v>39028.870464691288</v>
      </c>
      <c r="BF55" s="65">
        <f t="shared" ca="1" si="20"/>
        <v>94.076052280327119</v>
      </c>
      <c r="BG55" s="69">
        <f t="shared" ca="1" si="21"/>
        <v>0</v>
      </c>
      <c r="BH55" s="301">
        <f t="shared" ca="1" si="29"/>
        <v>0</v>
      </c>
      <c r="BI55" s="300">
        <f ca="1">IF(AO55&gt;TartamVálasztott,0,   (BI54+BH55)*(1+yields!$D$2)*(1-(0.0099/12)))</f>
        <v>99073.35908593655</v>
      </c>
      <c r="BJ55" s="300">
        <f ca="1">SUM(BH$6:BH55)*-1.2</f>
        <v>-110722.5</v>
      </c>
      <c r="BK55" s="300">
        <f t="shared" ca="1" si="43"/>
        <v>-11649.14091406345</v>
      </c>
      <c r="BL55" s="28">
        <f t="shared" ca="1" si="42"/>
        <v>2021</v>
      </c>
      <c r="BM55" s="28">
        <f t="shared" ca="1" si="35"/>
        <v>3</v>
      </c>
      <c r="BN55" s="236">
        <f t="shared" ca="1" si="36"/>
        <v>0</v>
      </c>
      <c r="BO55" s="236">
        <f t="shared" ca="1" si="23"/>
        <v>0</v>
      </c>
    </row>
    <row r="56" spans="1:67" x14ac:dyDescent="0.25">
      <c r="AM56" s="30"/>
      <c r="AN56" s="30"/>
      <c r="AO56" s="28">
        <f t="shared" si="6"/>
        <v>5</v>
      </c>
      <c r="AP56" s="28">
        <f t="shared" si="7"/>
        <v>3</v>
      </c>
      <c r="AQ56" s="65">
        <f t="shared" ca="1" si="27"/>
        <v>0</v>
      </c>
      <c r="AR56" s="66">
        <f t="shared" ca="1" si="8"/>
        <v>0</v>
      </c>
      <c r="AS56" s="66">
        <f t="shared" ca="1" si="9"/>
        <v>1743.135091305335</v>
      </c>
      <c r="AT56" s="66">
        <f t="shared" ca="1" si="28"/>
        <v>429598.34614342707</v>
      </c>
      <c r="AU56" s="66">
        <f t="shared" ca="1" si="10"/>
        <v>0</v>
      </c>
      <c r="AV56" s="68">
        <f t="shared" ca="1" si="11"/>
        <v>428560.15014024713</v>
      </c>
      <c r="AW56" s="65">
        <f t="shared" ca="1" si="12"/>
        <v>1038.1960031799488</v>
      </c>
      <c r="AX56" s="69">
        <f t="shared" ca="1" si="13"/>
        <v>0</v>
      </c>
      <c r="AY56" s="70">
        <f t="shared" ca="1" si="14"/>
        <v>0</v>
      </c>
      <c r="AZ56" s="66">
        <f t="shared" ca="1" si="15"/>
        <v>159.00844940912955</v>
      </c>
      <c r="BA56" s="66">
        <f t="shared" ca="1" si="16"/>
        <v>178.99931089309462</v>
      </c>
      <c r="BB56" s="66">
        <f t="shared" ca="1" si="17"/>
        <v>16.328282880875175</v>
      </c>
      <c r="BC56" s="66">
        <f t="shared" ca="1" si="18"/>
        <v>39187.878914100416</v>
      </c>
      <c r="BD56" s="66">
        <f t="shared" ca="1" si="19"/>
        <v>0</v>
      </c>
      <c r="BE56" s="71">
        <f t="shared" ca="1" si="33"/>
        <v>39288.502467165308</v>
      </c>
      <c r="BF56" s="65">
        <f t="shared" ca="1" si="20"/>
        <v>94.704040709076011</v>
      </c>
      <c r="BG56" s="69">
        <f t="shared" ca="1" si="21"/>
        <v>0</v>
      </c>
      <c r="BH56" s="301">
        <f t="shared" ca="1" si="29"/>
        <v>0</v>
      </c>
      <c r="BI56" s="300">
        <f ca="1">IF(AO56&gt;TartamVálasztott,0,   (BI55+BH56)*(1+yields!$D$2)*(1-(0.0099/12)))</f>
        <v>99394.927692637531</v>
      </c>
      <c r="BJ56" s="300">
        <f ca="1">SUM(BH$6:BH56)*-1.2</f>
        <v>-110722.5</v>
      </c>
      <c r="BK56" s="300">
        <f t="shared" ca="1" si="43"/>
        <v>-11327.572307362469</v>
      </c>
      <c r="BL56" s="28">
        <f t="shared" ca="1" si="42"/>
        <v>2021</v>
      </c>
      <c r="BM56" s="28">
        <f t="shared" ca="1" si="35"/>
        <v>4</v>
      </c>
      <c r="BN56" s="236">
        <f t="shared" ca="1" si="36"/>
        <v>0</v>
      </c>
      <c r="BO56" s="236">
        <f t="shared" ca="1" si="23"/>
        <v>0</v>
      </c>
    </row>
    <row r="57" spans="1:67" x14ac:dyDescent="0.25">
      <c r="AM57" s="30"/>
      <c r="AN57" s="30"/>
      <c r="AO57" s="28">
        <f t="shared" si="6"/>
        <v>5</v>
      </c>
      <c r="AP57" s="28">
        <f t="shared" si="7"/>
        <v>4</v>
      </c>
      <c r="AQ57" s="65">
        <f t="shared" ca="1" si="27"/>
        <v>41392.983398437493</v>
      </c>
      <c r="AR57" s="66">
        <f t="shared" ca="1" si="8"/>
        <v>35184.035888671868</v>
      </c>
      <c r="AS57" s="66">
        <f t="shared" ca="1" si="9"/>
        <v>1889.3512178290655</v>
      </c>
      <c r="AT57" s="66">
        <f t="shared" ca="1" si="28"/>
        <v>465633.53724674805</v>
      </c>
      <c r="AU57" s="66">
        <f t="shared" ca="1" si="10"/>
        <v>0</v>
      </c>
      <c r="AV57" s="68">
        <f t="shared" ca="1" si="11"/>
        <v>464508.25619840174</v>
      </c>
      <c r="AW57" s="65">
        <f t="shared" ca="1" si="12"/>
        <v>1125.2810483463079</v>
      </c>
      <c r="AX57" s="69">
        <f t="shared" ca="1" si="13"/>
        <v>6208.9475097656241</v>
      </c>
      <c r="AY57" s="70">
        <f t="shared" ca="1" si="14"/>
        <v>4197.2485166015613</v>
      </c>
      <c r="AZ57" s="66">
        <f t="shared" ca="1" si="15"/>
        <v>177.16633233277437</v>
      </c>
      <c r="BA57" s="66">
        <f t="shared" ca="1" si="16"/>
        <v>194.01397385281169</v>
      </c>
      <c r="BB57" s="66">
        <f t="shared" ca="1" si="17"/>
        <v>18.192882215041518</v>
      </c>
      <c r="BC57" s="66">
        <f t="shared" ca="1" si="18"/>
        <v>43662.917316099643</v>
      </c>
      <c r="BD57" s="66">
        <f t="shared" ca="1" si="19"/>
        <v>0</v>
      </c>
      <c r="BE57" s="71">
        <f t="shared" ca="1" si="33"/>
        <v>43769.605455320256</v>
      </c>
      <c r="BF57" s="65">
        <f t="shared" ca="1" si="20"/>
        <v>105.51871684724081</v>
      </c>
      <c r="BG57" s="69">
        <f t="shared" ca="1" si="21"/>
        <v>0</v>
      </c>
      <c r="BH57" s="301">
        <f t="shared" ca="1" si="29"/>
        <v>0</v>
      </c>
      <c r="BI57" s="300">
        <f ca="1">IF(AO57&gt;TartamVálasztott,0,   (BI56+BH57)*(1+yields!$D$2)*(1-(0.0099/12)))</f>
        <v>99717.540034705613</v>
      </c>
      <c r="BJ57" s="300">
        <f ca="1">SUM(BH$6:BH57)*-1.2</f>
        <v>-110722.5</v>
      </c>
      <c r="BK57" s="300">
        <f t="shared" ca="1" si="43"/>
        <v>-11004.959965294387</v>
      </c>
      <c r="BL57" s="28">
        <f t="shared" ca="1" si="42"/>
        <v>2021</v>
      </c>
      <c r="BM57" s="28">
        <f t="shared" ca="1" si="35"/>
        <v>5</v>
      </c>
      <c r="BN57" s="236">
        <f t="shared" ca="1" si="36"/>
        <v>0</v>
      </c>
      <c r="BO57" s="236">
        <f t="shared" ca="1" si="23"/>
        <v>0</v>
      </c>
    </row>
    <row r="58" spans="1:67" x14ac:dyDescent="0.25">
      <c r="AM58" s="30"/>
      <c r="AN58" s="30"/>
      <c r="AO58" s="28">
        <f t="shared" si="6"/>
        <v>5</v>
      </c>
      <c r="AP58" s="28">
        <f t="shared" si="7"/>
        <v>5</v>
      </c>
      <c r="AQ58" s="65">
        <f t="shared" ca="1" si="27"/>
        <v>0</v>
      </c>
      <c r="AR58" s="66">
        <f t="shared" ca="1" si="8"/>
        <v>0</v>
      </c>
      <c r="AS58" s="66">
        <f t="shared" ca="1" si="9"/>
        <v>1892.4641342789312</v>
      </c>
      <c r="AT58" s="66">
        <f t="shared" ca="1" si="28"/>
        <v>466400.72033268068</v>
      </c>
      <c r="AU58" s="66">
        <f t="shared" ca="1" si="10"/>
        <v>0</v>
      </c>
      <c r="AV58" s="68">
        <f t="shared" ca="1" si="11"/>
        <v>465273.58525854337</v>
      </c>
      <c r="AW58" s="65">
        <f t="shared" ca="1" si="12"/>
        <v>1127.1350741373117</v>
      </c>
      <c r="AX58" s="69">
        <f t="shared" ca="1" si="13"/>
        <v>0</v>
      </c>
      <c r="AY58" s="70">
        <f t="shared" ca="1" si="14"/>
        <v>0</v>
      </c>
      <c r="AZ58" s="66">
        <f t="shared" ca="1" si="15"/>
        <v>178.32279058642499</v>
      </c>
      <c r="BA58" s="66">
        <f t="shared" ca="1" si="16"/>
        <v>194.33363347195029</v>
      </c>
      <c r="BB58" s="66">
        <f t="shared" ca="1" si="17"/>
        <v>18.311636769127784</v>
      </c>
      <c r="BC58" s="66">
        <f t="shared" ca="1" si="18"/>
        <v>43947.928245906682</v>
      </c>
      <c r="BD58" s="66">
        <f t="shared" ca="1" si="19"/>
        <v>0</v>
      </c>
      <c r="BE58" s="71">
        <f t="shared" ca="1" si="33"/>
        <v>44054.366022886818</v>
      </c>
      <c r="BF58" s="65">
        <f t="shared" ca="1" si="20"/>
        <v>106.20749326094115</v>
      </c>
      <c r="BG58" s="69">
        <f t="shared" ca="1" si="21"/>
        <v>0</v>
      </c>
      <c r="BH58" s="301">
        <f t="shared" ca="1" si="29"/>
        <v>32306.718749999996</v>
      </c>
      <c r="BI58" s="300">
        <f ca="1">IF(AO58&gt;TartamVálasztott,0,   (BI57+BH58)*(1+yields!$D$2)*(1-(0.0099/12)))</f>
        <v>132452.77819032402</v>
      </c>
      <c r="BJ58" s="300">
        <f ca="1">SUM(BH$6:BH58)*-1.2</f>
        <v>-149490.5625</v>
      </c>
      <c r="BK58" s="300">
        <f t="shared" ca="1" si="43"/>
        <v>-17037.784309675975</v>
      </c>
      <c r="BL58" s="28">
        <f t="shared" ca="1" si="42"/>
        <v>2021</v>
      </c>
      <c r="BM58" s="28">
        <f t="shared" ca="1" si="35"/>
        <v>6</v>
      </c>
      <c r="BN58" s="236">
        <f t="shared" ca="1" si="36"/>
        <v>0</v>
      </c>
      <c r="BO58" s="236">
        <f t="shared" ca="1" si="23"/>
        <v>0</v>
      </c>
    </row>
    <row r="59" spans="1:67" x14ac:dyDescent="0.25">
      <c r="AM59" s="30"/>
      <c r="AN59" s="30"/>
      <c r="AO59" s="28">
        <f t="shared" si="6"/>
        <v>5</v>
      </c>
      <c r="AP59" s="28">
        <f t="shared" si="7"/>
        <v>6</v>
      </c>
      <c r="AQ59" s="65">
        <f t="shared" ca="1" si="27"/>
        <v>0</v>
      </c>
      <c r="AR59" s="66">
        <f t="shared" ca="1" si="8"/>
        <v>0</v>
      </c>
      <c r="AS59" s="66">
        <f t="shared" ca="1" si="9"/>
        <v>1895.5821796051714</v>
      </c>
      <c r="AT59" s="66">
        <f t="shared" ca="1" si="28"/>
        <v>467169.16743814852</v>
      </c>
      <c r="AU59" s="66">
        <f t="shared" ca="1" si="10"/>
        <v>0</v>
      </c>
      <c r="AV59" s="68">
        <f t="shared" ca="1" si="11"/>
        <v>466040.17528350634</v>
      </c>
      <c r="AW59" s="65">
        <f t="shared" ca="1" si="12"/>
        <v>1128.9921546421924</v>
      </c>
      <c r="AX59" s="69">
        <f t="shared" ca="1" si="13"/>
        <v>0</v>
      </c>
      <c r="AY59" s="70">
        <f t="shared" ca="1" si="14"/>
        <v>0</v>
      </c>
      <c r="AZ59" s="66">
        <f t="shared" ca="1" si="15"/>
        <v>179.48294038739311</v>
      </c>
      <c r="BA59" s="66">
        <f t="shared" ca="1" si="16"/>
        <v>194.65381976589524</v>
      </c>
      <c r="BB59" s="66">
        <f t="shared" ca="1" si="17"/>
        <v>18.430770401364256</v>
      </c>
      <c r="BC59" s="66">
        <f t="shared" ca="1" si="18"/>
        <v>44233.848963274213</v>
      </c>
      <c r="BD59" s="66">
        <f t="shared" ca="1" si="19"/>
        <v>0</v>
      </c>
      <c r="BE59" s="71">
        <f t="shared" ca="1" si="33"/>
        <v>44340.035085113559</v>
      </c>
      <c r="BF59" s="65">
        <f t="shared" ca="1" si="20"/>
        <v>106.89846832791268</v>
      </c>
      <c r="BG59" s="69">
        <f t="shared" ca="1" si="21"/>
        <v>0</v>
      </c>
      <c r="BH59" s="301">
        <f t="shared" ca="1" si="29"/>
        <v>0</v>
      </c>
      <c r="BI59" s="300">
        <f ca="1">IF(AO59&gt;TartamVálasztott,0,   (BI58+BH59)*(1+yields!$D$2)*(1-(0.0099/12)))</f>
        <v>132882.6884682161</v>
      </c>
      <c r="BJ59" s="300">
        <f ca="1">SUM(BH$6:BH59)*-1.2</f>
        <v>-149490.5625</v>
      </c>
      <c r="BK59" s="300">
        <f t="shared" ca="1" si="43"/>
        <v>-16607.874031783896</v>
      </c>
      <c r="BL59" s="28">
        <f t="shared" ca="1" si="42"/>
        <v>2021</v>
      </c>
      <c r="BM59" s="28">
        <f t="shared" ca="1" si="35"/>
        <v>7</v>
      </c>
      <c r="BN59" s="236">
        <f t="shared" ca="1" si="36"/>
        <v>0</v>
      </c>
      <c r="BO59" s="236">
        <f t="shared" ca="1" si="23"/>
        <v>0</v>
      </c>
    </row>
    <row r="60" spans="1:67" x14ac:dyDescent="0.25">
      <c r="AM60" s="30"/>
      <c r="AN60" s="30"/>
      <c r="AO60" s="28">
        <f t="shared" si="6"/>
        <v>5</v>
      </c>
      <c r="AP60" s="28">
        <f t="shared" si="7"/>
        <v>7</v>
      </c>
      <c r="AQ60" s="65">
        <f t="shared" ca="1" si="27"/>
        <v>41392.983398437493</v>
      </c>
      <c r="AR60" s="66">
        <f t="shared" ca="1" si="8"/>
        <v>35184.035888671868</v>
      </c>
      <c r="AS60" s="66">
        <f t="shared" ca="1" si="9"/>
        <v>2042.049479676956</v>
      </c>
      <c r="AT60" s="66">
        <f t="shared" ca="1" si="28"/>
        <v>503266.26065185515</v>
      </c>
      <c r="AU60" s="66">
        <f t="shared" ca="1" si="10"/>
        <v>0</v>
      </c>
      <c r="AV60" s="68">
        <f t="shared" ca="1" si="11"/>
        <v>502050.03385527985</v>
      </c>
      <c r="AW60" s="65">
        <f t="shared" ca="1" si="12"/>
        <v>1216.2267965753167</v>
      </c>
      <c r="AX60" s="69">
        <f t="shared" ca="1" si="13"/>
        <v>6208.9475097656241</v>
      </c>
      <c r="AY60" s="70">
        <f t="shared" ca="1" si="14"/>
        <v>4197.2485166015613</v>
      </c>
      <c r="AZ60" s="66">
        <f t="shared" ca="1" si="15"/>
        <v>197.7469015154328</v>
      </c>
      <c r="BA60" s="66">
        <f t="shared" ca="1" si="16"/>
        <v>209.69427527160633</v>
      </c>
      <c r="BB60" s="66">
        <f t="shared" ca="1" si="17"/>
        <v>20.306262709679398</v>
      </c>
      <c r="BC60" s="66">
        <f t="shared" ca="1" si="18"/>
        <v>48735.030503230555</v>
      </c>
      <c r="BD60" s="66">
        <f t="shared" ca="1" si="19"/>
        <v>0</v>
      </c>
      <c r="BE60" s="71">
        <f t="shared" ca="1" si="33"/>
        <v>48847.2547174957</v>
      </c>
      <c r="BF60" s="65">
        <f t="shared" ca="1" si="20"/>
        <v>117.77632371614051</v>
      </c>
      <c r="BG60" s="69">
        <f t="shared" ca="1" si="21"/>
        <v>0</v>
      </c>
      <c r="BH60" s="301">
        <f t="shared" ca="1" si="29"/>
        <v>0</v>
      </c>
      <c r="BI60" s="300">
        <f ca="1">IF(AO60&gt;TartamVálasztott,0,   (BI59+BH60)*(1+yields!$D$2)*(1-(0.0099/12)))</f>
        <v>133313.99413282308</v>
      </c>
      <c r="BJ60" s="300">
        <f ca="1">SUM(BH$6:BH60)*-1.2</f>
        <v>-149490.5625</v>
      </c>
      <c r="BK60" s="300">
        <f t="shared" ca="1" si="43"/>
        <v>-16176.568367176922</v>
      </c>
      <c r="BL60" s="28">
        <f t="shared" ca="1" si="42"/>
        <v>2021</v>
      </c>
      <c r="BM60" s="28">
        <f t="shared" ca="1" si="35"/>
        <v>8</v>
      </c>
      <c r="BN60" s="236">
        <f t="shared" ca="1" si="36"/>
        <v>0</v>
      </c>
      <c r="BO60" s="236">
        <f t="shared" ca="1" si="23"/>
        <v>0</v>
      </c>
    </row>
    <row r="61" spans="1:67" x14ac:dyDescent="0.25">
      <c r="AM61" s="30"/>
      <c r="AN61" s="30"/>
      <c r="AO61" s="28">
        <f t="shared" si="6"/>
        <v>5</v>
      </c>
      <c r="AP61" s="28">
        <f t="shared" si="7"/>
        <v>8</v>
      </c>
      <c r="AQ61" s="65">
        <f t="shared" ca="1" si="27"/>
        <v>0</v>
      </c>
      <c r="AR61" s="66">
        <f t="shared" ca="1" si="8"/>
        <v>0</v>
      </c>
      <c r="AS61" s="66">
        <f t="shared" ca="1" si="9"/>
        <v>2045.4139835112567</v>
      </c>
      <c r="AT61" s="66">
        <f t="shared" ca="1" si="28"/>
        <v>504095.44783879112</v>
      </c>
      <c r="AU61" s="66">
        <f t="shared" ca="1" si="10"/>
        <v>0</v>
      </c>
      <c r="AV61" s="68">
        <f t="shared" ca="1" si="11"/>
        <v>502877.21717318072</v>
      </c>
      <c r="AW61" s="65">
        <f t="shared" ca="1" si="12"/>
        <v>1218.230665610412</v>
      </c>
      <c r="AX61" s="69">
        <f t="shared" ca="1" si="13"/>
        <v>0</v>
      </c>
      <c r="AY61" s="70">
        <f t="shared" ca="1" si="14"/>
        <v>0</v>
      </c>
      <c r="AZ61" s="66">
        <f t="shared" ca="1" si="15"/>
        <v>199.00976221047847</v>
      </c>
      <c r="BA61" s="66">
        <f t="shared" ca="1" si="16"/>
        <v>210.03976993282964</v>
      </c>
      <c r="BB61" s="66">
        <f t="shared" ca="1" si="17"/>
        <v>20.43594353321091</v>
      </c>
      <c r="BC61" s="66">
        <f t="shared" ca="1" si="18"/>
        <v>49046.26447970618</v>
      </c>
      <c r="BD61" s="66">
        <f t="shared" ca="1" si="19"/>
        <v>0</v>
      </c>
      <c r="BE61" s="71">
        <f t="shared" ca="1" si="33"/>
        <v>49158.211720679596</v>
      </c>
      <c r="BF61" s="65">
        <f t="shared" ca="1" si="20"/>
        <v>118.52847249262328</v>
      </c>
      <c r="BG61" s="69">
        <f t="shared" ca="1" si="21"/>
        <v>0</v>
      </c>
      <c r="BH61" s="301">
        <f t="shared" ca="1" si="29"/>
        <v>0</v>
      </c>
      <c r="BI61" s="300">
        <f ca="1">IF(AO61&gt;TartamVálasztott,0,   (BI60+BH61)*(1+yields!$D$2)*(1-(0.0099/12)))</f>
        <v>133746.69971323898</v>
      </c>
      <c r="BJ61" s="300">
        <f ca="1">SUM(BH$6:BH61)*-1.2</f>
        <v>-149490.5625</v>
      </c>
      <c r="BK61" s="300">
        <f t="shared" ca="1" si="43"/>
        <v>-15743.862786761019</v>
      </c>
      <c r="BL61" s="28">
        <f t="shared" ca="1" si="42"/>
        <v>2021</v>
      </c>
      <c r="BM61" s="28">
        <f t="shared" ca="1" si="35"/>
        <v>9</v>
      </c>
      <c r="BN61" s="236">
        <f t="shared" ca="1" si="36"/>
        <v>0</v>
      </c>
      <c r="BO61" s="236">
        <f t="shared" ca="1" si="23"/>
        <v>0</v>
      </c>
    </row>
    <row r="62" spans="1:67" x14ac:dyDescent="0.25">
      <c r="AM62" s="30"/>
      <c r="AN62" s="30"/>
      <c r="AO62" s="28">
        <f t="shared" si="6"/>
        <v>5</v>
      </c>
      <c r="AP62" s="28">
        <f t="shared" si="7"/>
        <v>9</v>
      </c>
      <c r="AQ62" s="65">
        <f t="shared" ca="1" si="27"/>
        <v>0</v>
      </c>
      <c r="AR62" s="66">
        <f t="shared" ca="1" si="8"/>
        <v>0</v>
      </c>
      <c r="AS62" s="66">
        <f t="shared" ca="1" si="9"/>
        <v>2048.7840307401539</v>
      </c>
      <c r="AT62" s="66">
        <f t="shared" ca="1" si="28"/>
        <v>504926.00120392087</v>
      </c>
      <c r="AU62" s="66">
        <f t="shared" ca="1" si="10"/>
        <v>0</v>
      </c>
      <c r="AV62" s="68">
        <f t="shared" ca="1" si="11"/>
        <v>503705.76336767804</v>
      </c>
      <c r="AW62" s="65">
        <f t="shared" ca="1" si="12"/>
        <v>1220.2378362428087</v>
      </c>
      <c r="AX62" s="69">
        <f t="shared" ca="1" si="13"/>
        <v>0</v>
      </c>
      <c r="AY62" s="70">
        <f t="shared" ca="1" si="14"/>
        <v>0</v>
      </c>
      <c r="AZ62" s="66">
        <f t="shared" ca="1" si="15"/>
        <v>200.27663953284198</v>
      </c>
      <c r="BA62" s="66">
        <f t="shared" ca="1" si="16"/>
        <v>210.38583383496703</v>
      </c>
      <c r="BB62" s="66">
        <f t="shared" ca="1" si="17"/>
        <v>20.566036816755183</v>
      </c>
      <c r="BC62" s="66">
        <f t="shared" ca="1" si="18"/>
        <v>49358.488360212439</v>
      </c>
      <c r="BD62" s="66">
        <f t="shared" ca="1" si="19"/>
        <v>0</v>
      </c>
      <c r="BE62" s="71">
        <f t="shared" ca="1" si="33"/>
        <v>49470.157217326981</v>
      </c>
      <c r="BF62" s="65">
        <f t="shared" ca="1" si="20"/>
        <v>119.28301353718007</v>
      </c>
      <c r="BG62" s="69">
        <f t="shared" ca="1" si="21"/>
        <v>0</v>
      </c>
      <c r="BH62" s="301">
        <f t="shared" ca="1" si="29"/>
        <v>0</v>
      </c>
      <c r="BI62" s="300">
        <f ca="1">IF(AO62&gt;TartamVálasztott,0,   (BI61+BH62)*(1+yields!$D$2)*(1-(0.0099/12)))</f>
        <v>134180.80975325828</v>
      </c>
      <c r="BJ62" s="300">
        <f ca="1">SUM(BH$6:BH62)*-1.2</f>
        <v>-149490.5625</v>
      </c>
      <c r="BK62" s="300">
        <f t="shared" ca="1" si="43"/>
        <v>-15309.752746741724</v>
      </c>
      <c r="BL62" s="28">
        <f t="shared" ca="1" si="42"/>
        <v>2021</v>
      </c>
      <c r="BM62" s="28">
        <f t="shared" ca="1" si="35"/>
        <v>10</v>
      </c>
      <c r="BN62" s="236">
        <f t="shared" ca="1" si="36"/>
        <v>0</v>
      </c>
      <c r="BO62" s="236">
        <f t="shared" ca="1" si="23"/>
        <v>0</v>
      </c>
    </row>
    <row r="63" spans="1:67" x14ac:dyDescent="0.25">
      <c r="AM63" s="30"/>
      <c r="AN63" s="30"/>
      <c r="AO63" s="28">
        <f t="shared" si="6"/>
        <v>5</v>
      </c>
      <c r="AP63" s="28">
        <f t="shared" si="7"/>
        <v>10</v>
      </c>
      <c r="AQ63" s="65">
        <f t="shared" ca="1" si="27"/>
        <v>41392.983398437493</v>
      </c>
      <c r="AR63" s="66">
        <f t="shared" ca="1" si="8"/>
        <v>35184.035888671868</v>
      </c>
      <c r="AS63" s="66">
        <f t="shared" ca="1" si="9"/>
        <v>2195.5037479157818</v>
      </c>
      <c r="AT63" s="66">
        <f t="shared" ca="1" si="28"/>
        <v>541085.30300426565</v>
      </c>
      <c r="AU63" s="66">
        <f t="shared" ca="1" si="10"/>
        <v>0</v>
      </c>
      <c r="AV63" s="68">
        <f t="shared" ca="1" si="11"/>
        <v>539777.68018867204</v>
      </c>
      <c r="AW63" s="65">
        <f t="shared" ca="1" si="12"/>
        <v>1307.6228155936421</v>
      </c>
      <c r="AX63" s="69">
        <f t="shared" ca="1" si="13"/>
        <v>6208.9475097656241</v>
      </c>
      <c r="AY63" s="70">
        <f t="shared" ca="1" si="14"/>
        <v>4197.2485166015613</v>
      </c>
      <c r="AZ63" s="66">
        <f t="shared" ca="1" si="15"/>
        <v>218.64765410730431</v>
      </c>
      <c r="BA63" s="66">
        <f t="shared" ca="1" si="16"/>
        <v>225.45220958511069</v>
      </c>
      <c r="BB63" s="66">
        <f t="shared" ca="1" si="17"/>
        <v>22.45252224501494</v>
      </c>
      <c r="BC63" s="66">
        <f t="shared" ca="1" si="18"/>
        <v>53886.053388035849</v>
      </c>
      <c r="BD63" s="66">
        <f t="shared" ca="1" si="19"/>
        <v>0</v>
      </c>
      <c r="BE63" s="71">
        <f t="shared" ca="1" si="33"/>
        <v>54003.733490844883</v>
      </c>
      <c r="BF63" s="65">
        <f t="shared" ca="1" si="20"/>
        <v>130.22462902108663</v>
      </c>
      <c r="BG63" s="69">
        <f t="shared" ca="1" si="21"/>
        <v>0</v>
      </c>
      <c r="BH63" s="301">
        <f t="shared" ca="1" si="29"/>
        <v>0</v>
      </c>
      <c r="BI63" s="300">
        <f ca="1">IF(AO63&gt;TartamVálasztott,0,   (BI62+BH63)*(1+yields!$D$2)*(1-(0.0099/12)))</f>
        <v>134616.32881142345</v>
      </c>
      <c r="BJ63" s="300">
        <f ca="1">SUM(BH$6:BH63)*-1.2</f>
        <v>-149490.5625</v>
      </c>
      <c r="BK63" s="300">
        <f t="shared" ca="1" si="43"/>
        <v>-14874.233688576554</v>
      </c>
      <c r="BL63" s="28">
        <f t="shared" ca="1" si="42"/>
        <v>2021</v>
      </c>
      <c r="BM63" s="28">
        <f t="shared" ca="1" si="35"/>
        <v>11</v>
      </c>
      <c r="BN63" s="236">
        <f t="shared" ca="1" si="36"/>
        <v>0</v>
      </c>
      <c r="BO63" s="236">
        <f t="shared" ca="1" si="23"/>
        <v>0</v>
      </c>
    </row>
    <row r="64" spans="1:67" x14ac:dyDescent="0.25">
      <c r="AM64" s="30"/>
      <c r="AN64" s="30"/>
      <c r="AO64" s="28">
        <f t="shared" si="6"/>
        <v>5</v>
      </c>
      <c r="AP64" s="28">
        <f t="shared" si="7"/>
        <v>11</v>
      </c>
      <c r="AQ64" s="65">
        <f t="shared" ca="1" si="27"/>
        <v>0</v>
      </c>
      <c r="AR64" s="66">
        <f t="shared" ca="1" si="8"/>
        <v>0</v>
      </c>
      <c r="AS64" s="66">
        <f t="shared" ca="1" si="9"/>
        <v>2199.1210847392035</v>
      </c>
      <c r="AT64" s="66">
        <f t="shared" ca="1" si="28"/>
        <v>541976.80127341126</v>
      </c>
      <c r="AU64" s="66">
        <f t="shared" ca="1" si="10"/>
        <v>0</v>
      </c>
      <c r="AV64" s="68">
        <f t="shared" ca="1" si="11"/>
        <v>540667.02400366717</v>
      </c>
      <c r="AW64" s="65">
        <f t="shared" ca="1" si="12"/>
        <v>1309.7772697440773</v>
      </c>
      <c r="AX64" s="69">
        <f t="shared" ca="1" si="13"/>
        <v>0</v>
      </c>
      <c r="AY64" s="70">
        <f t="shared" ca="1" si="14"/>
        <v>0</v>
      </c>
      <c r="AZ64" s="66">
        <f t="shared" ca="1" si="15"/>
        <v>220.01789502085825</v>
      </c>
      <c r="BA64" s="66">
        <f t="shared" ca="1" si="16"/>
        <v>225.82366719725471</v>
      </c>
      <c r="BB64" s="66">
        <f t="shared" ca="1" si="17"/>
        <v>22.593229744110726</v>
      </c>
      <c r="BC64" s="66">
        <f t="shared" ca="1" si="18"/>
        <v>54223.75138586574</v>
      </c>
      <c r="BD64" s="66">
        <f t="shared" ca="1" si="19"/>
        <v>0</v>
      </c>
      <c r="BE64" s="71">
        <f t="shared" ca="1" si="33"/>
        <v>54341.127550291261</v>
      </c>
      <c r="BF64" s="65">
        <f t="shared" ca="1" si="20"/>
        <v>131.04073251584222</v>
      </c>
      <c r="BG64" s="69">
        <f t="shared" ca="1" si="21"/>
        <v>0</v>
      </c>
      <c r="BH64" s="301">
        <f t="shared" ca="1" si="29"/>
        <v>0</v>
      </c>
      <c r="BI64" s="300">
        <f ca="1">IF(AO64&gt;TartamVálasztott,0,   (BI63+BH64)*(1+yields!$D$2)*(1-(0.0099/12)))</f>
        <v>135053.26146107289</v>
      </c>
      <c r="BJ64" s="300">
        <f ca="1">SUM(BH$6:BH64)*-1.2</f>
        <v>-149490.5625</v>
      </c>
      <c r="BK64" s="300">
        <f t="shared" ca="1" si="43"/>
        <v>-14437.301038927108</v>
      </c>
      <c r="BL64" s="28">
        <f t="shared" ca="1" si="42"/>
        <v>2021</v>
      </c>
      <c r="BM64" s="28">
        <f t="shared" ca="1" si="35"/>
        <v>12</v>
      </c>
      <c r="BN64" s="236">
        <f t="shared" ca="1" si="36"/>
        <v>165571.93359374997</v>
      </c>
      <c r="BO64" s="236">
        <f t="shared" ca="1" si="23"/>
        <v>33114.386718749993</v>
      </c>
    </row>
    <row r="65" spans="39:67" x14ac:dyDescent="0.25">
      <c r="AM65" s="30"/>
      <c r="AN65" s="30"/>
      <c r="AO65" s="126">
        <f t="shared" si="6"/>
        <v>5</v>
      </c>
      <c r="AP65" s="126">
        <f t="shared" si="7"/>
        <v>12</v>
      </c>
      <c r="AQ65" s="127">
        <f t="shared" ca="1" si="27"/>
        <v>0</v>
      </c>
      <c r="AR65" s="128">
        <f t="shared" ca="1" si="8"/>
        <v>0</v>
      </c>
      <c r="AS65" s="128">
        <f t="shared" ca="1" si="9"/>
        <v>2202.7443815277156</v>
      </c>
      <c r="AT65" s="128">
        <f t="shared" ca="1" si="28"/>
        <v>542869.76838519494</v>
      </c>
      <c r="AU65" s="128">
        <f t="shared" ca="1" si="10"/>
        <v>27339.795363620193</v>
      </c>
      <c r="AV65" s="129">
        <f t="shared" ca="1" si="11"/>
        <v>568897.6284752175</v>
      </c>
      <c r="AW65" s="127">
        <f t="shared" ca="1" si="12"/>
        <v>1311.9352735975544</v>
      </c>
      <c r="AX65" s="130">
        <f t="shared" ca="1" si="13"/>
        <v>0</v>
      </c>
      <c r="AY65" s="131">
        <f t="shared" ca="1" si="14"/>
        <v>0</v>
      </c>
      <c r="AZ65" s="128">
        <f t="shared" ca="1" si="15"/>
        <v>221.39248018291042</v>
      </c>
      <c r="BA65" s="128">
        <f t="shared" ca="1" si="16"/>
        <v>226.19573682716458</v>
      </c>
      <c r="BB65" s="128">
        <f ca="1">$BC65* ( VLOOKUP($AO65,Pars,12) /12 )</f>
        <v>22.734383346030906</v>
      </c>
      <c r="BC65" s="128">
        <f ca="1">$BE64+$AY65+$AZ65</f>
        <v>54562.520030474174</v>
      </c>
      <c r="BD65" s="128">
        <f t="shared" ca="1" si="19"/>
        <v>27339.795363620193</v>
      </c>
      <c r="BE65" s="129">
        <f t="shared" ca="1" si="33"/>
        <v>27339.795363620193</v>
      </c>
      <c r="BF65" s="127">
        <f t="shared" ca="1" si="20"/>
        <v>131.85942340697926</v>
      </c>
      <c r="BG65" s="130">
        <f t="shared" ca="1" si="21"/>
        <v>0</v>
      </c>
      <c r="BH65" s="301">
        <f t="shared" ca="1" si="29"/>
        <v>0</v>
      </c>
      <c r="BI65" s="300">
        <f ca="1">IF(AO65&gt;TartamVálasztott,0,   (BI64+BH65)*(1+yields!$D$2)*(1-(0.0099/12)))</f>
        <v>135491.61229038908</v>
      </c>
      <c r="BJ65" s="300">
        <f ca="1">SUM(BH$6:BH65)*-1.2</f>
        <v>-149490.5625</v>
      </c>
      <c r="BK65" s="300">
        <f t="shared" ca="1" si="43"/>
        <v>-13998.950209610921</v>
      </c>
      <c r="BL65" s="28">
        <f t="shared" ca="1" si="42"/>
        <v>2022</v>
      </c>
      <c r="BM65" s="28">
        <f t="shared" ca="1" si="35"/>
        <v>1</v>
      </c>
      <c r="BN65" s="236">
        <f t="shared" ca="1" si="36"/>
        <v>0</v>
      </c>
      <c r="BO65" s="236">
        <f t="shared" ca="1" si="23"/>
        <v>0</v>
      </c>
    </row>
    <row r="66" spans="39:67" x14ac:dyDescent="0.25">
      <c r="AM66" s="30"/>
      <c r="AN66" s="30"/>
      <c r="AO66" s="28">
        <f t="shared" si="6"/>
        <v>6</v>
      </c>
      <c r="AP66" s="28">
        <f t="shared" si="7"/>
        <v>1</v>
      </c>
      <c r="AQ66" s="65">
        <f t="shared" ca="1" si="27"/>
        <v>42427.807983398423</v>
      </c>
      <c r="AR66" s="66">
        <f t="shared" ca="1" si="8"/>
        <v>36063.636785888659</v>
      </c>
      <c r="AS66" s="66">
        <f t="shared" ca="1" si="9"/>
        <v>2464.6870789862733</v>
      </c>
      <c r="AT66" s="66">
        <f t="shared" ca="1" si="28"/>
        <v>607425.95234009251</v>
      </c>
      <c r="AU66" s="66">
        <f t="shared" ca="1" si="10"/>
        <v>0</v>
      </c>
      <c r="AV66" s="68">
        <f t="shared" ca="1" si="11"/>
        <v>605958.006288604</v>
      </c>
      <c r="AW66" s="65">
        <f t="shared" ca="1" si="12"/>
        <v>1467.946051488557</v>
      </c>
      <c r="AX66" s="69">
        <f t="shared" ca="1" si="13"/>
        <v>6364.1711975097633</v>
      </c>
      <c r="AY66" s="70">
        <f t="shared" ca="1" si="14"/>
        <v>4573.7177006103493</v>
      </c>
      <c r="AZ66" s="66">
        <f t="shared" ca="1" si="15"/>
        <v>130.0196025947541</v>
      </c>
      <c r="BA66" s="66">
        <f t="shared" ca="1" si="16"/>
        <v>253.0941468083719</v>
      </c>
      <c r="BB66" s="66">
        <f t="shared" ca="1" si="17"/>
        <v>13.351471944510541</v>
      </c>
      <c r="BC66" s="66">
        <f t="shared" ca="1" si="18"/>
        <v>32043.532666825296</v>
      </c>
      <c r="BD66" s="66">
        <f t="shared" ca="1" si="19"/>
        <v>0</v>
      </c>
      <c r="BE66" s="71">
        <f t="shared" ca="1" si="33"/>
        <v>32232.539748300016</v>
      </c>
      <c r="BF66" s="65">
        <f t="shared" ca="1" si="20"/>
        <v>77.438537278161135</v>
      </c>
      <c r="BG66" s="69">
        <f t="shared" ca="1" si="21"/>
        <v>0</v>
      </c>
      <c r="BH66" s="301">
        <f t="shared" ca="1" si="29"/>
        <v>0</v>
      </c>
      <c r="BI66" s="300">
        <f ca="1">IF(AO66&gt;TartamVálasztott,0,   (BI65+BH66)*(1+yields!$D$2)*(1-(0.0099/12)))</f>
        <v>135931.38590244655</v>
      </c>
      <c r="BJ66" s="300">
        <f ca="1">SUM(BH$6:BH66)*-1.2</f>
        <v>-149490.5625</v>
      </c>
      <c r="BK66" s="300">
        <f t="shared" ca="1" si="43"/>
        <v>-13559.176597553451</v>
      </c>
      <c r="BL66" s="28">
        <f t="shared" ca="1" si="42"/>
        <v>2022</v>
      </c>
      <c r="BM66" s="28">
        <f t="shared" ca="1" si="35"/>
        <v>2</v>
      </c>
      <c r="BN66" s="236">
        <f t="shared" ca="1" si="36"/>
        <v>0</v>
      </c>
      <c r="BO66" s="236">
        <f t="shared" ca="1" si="23"/>
        <v>0</v>
      </c>
    </row>
    <row r="67" spans="39:67" x14ac:dyDescent="0.25">
      <c r="AM67" s="30"/>
      <c r="AN67" s="30"/>
      <c r="AO67" s="28">
        <f t="shared" si="6"/>
        <v>6</v>
      </c>
      <c r="AP67" s="28">
        <f t="shared" si="7"/>
        <v>2</v>
      </c>
      <c r="AQ67" s="65">
        <f t="shared" ca="1" si="27"/>
        <v>0</v>
      </c>
      <c r="AR67" s="66">
        <f t="shared" ca="1" si="8"/>
        <v>0</v>
      </c>
      <c r="AS67" s="66">
        <f t="shared" ca="1" si="9"/>
        <v>2468.7479253125402</v>
      </c>
      <c r="AT67" s="66">
        <f t="shared" ca="1" si="28"/>
        <v>608426.75421391649</v>
      </c>
      <c r="AU67" s="66">
        <f t="shared" ca="1" si="10"/>
        <v>0</v>
      </c>
      <c r="AV67" s="68">
        <f t="shared" ca="1" si="11"/>
        <v>606956.38955789956</v>
      </c>
      <c r="AW67" s="65">
        <f t="shared" ca="1" si="12"/>
        <v>1470.364656016965</v>
      </c>
      <c r="AX67" s="69">
        <f t="shared" ca="1" si="13"/>
        <v>0</v>
      </c>
      <c r="AY67" s="70">
        <f t="shared" ca="1" si="14"/>
        <v>0</v>
      </c>
      <c r="AZ67" s="66">
        <f t="shared" ca="1" si="15"/>
        <v>131.31935679594</v>
      </c>
      <c r="BA67" s="66">
        <f t="shared" ca="1" si="16"/>
        <v>253.51114758913189</v>
      </c>
      <c r="BB67" s="66">
        <f t="shared" ca="1" si="17"/>
        <v>13.484941293789982</v>
      </c>
      <c r="BC67" s="66">
        <f t="shared" ca="1" si="18"/>
        <v>32363.859105095955</v>
      </c>
      <c r="BD67" s="66">
        <f t="shared" ca="1" si="19"/>
        <v>0</v>
      </c>
      <c r="BE67" s="71">
        <f t="shared" ca="1" si="33"/>
        <v>32552.642534474897</v>
      </c>
      <c r="BF67" s="65">
        <f t="shared" ca="1" si="20"/>
        <v>78.212659503981897</v>
      </c>
      <c r="BG67" s="69">
        <f t="shared" ca="1" si="21"/>
        <v>0</v>
      </c>
      <c r="BH67" s="301">
        <f t="shared" ca="1" si="29"/>
        <v>0</v>
      </c>
      <c r="BI67" s="300">
        <f ca="1">IF(AO67&gt;TartamVálasztott,0,   (BI66+BH67)*(1+yields!$D$2)*(1-(0.0099/12)))</f>
        <v>136372.58691526036</v>
      </c>
      <c r="BJ67" s="300">
        <f ca="1">SUM(BH$6:BH67)*-1.2</f>
        <v>-149490.5625</v>
      </c>
      <c r="BK67" s="300">
        <f t="shared" ca="1" si="43"/>
        <v>-13117.975584739645</v>
      </c>
      <c r="BL67" s="28">
        <f t="shared" ca="1" si="42"/>
        <v>2022</v>
      </c>
      <c r="BM67" s="28">
        <f t="shared" ca="1" si="35"/>
        <v>3</v>
      </c>
      <c r="BN67" s="236">
        <f t="shared" ca="1" si="36"/>
        <v>0</v>
      </c>
      <c r="BO67" s="236">
        <f t="shared" ca="1" si="23"/>
        <v>0</v>
      </c>
    </row>
    <row r="68" spans="39:67" x14ac:dyDescent="0.25">
      <c r="AM68" s="30"/>
      <c r="AN68" s="30"/>
      <c r="AO68" s="28">
        <f t="shared" si="6"/>
        <v>6</v>
      </c>
      <c r="AP68" s="28">
        <f t="shared" si="7"/>
        <v>3</v>
      </c>
      <c r="AQ68" s="65">
        <f t="shared" ca="1" si="27"/>
        <v>0</v>
      </c>
      <c r="AR68" s="66">
        <f t="shared" ca="1" si="8"/>
        <v>0</v>
      </c>
      <c r="AS68" s="66">
        <f t="shared" ca="1" si="9"/>
        <v>2472.8154623351738</v>
      </c>
      <c r="AT68" s="66">
        <f t="shared" ca="1" si="28"/>
        <v>609429.20502023469</v>
      </c>
      <c r="AU68" s="66">
        <f t="shared" ca="1" si="10"/>
        <v>0</v>
      </c>
      <c r="AV68" s="68">
        <f t="shared" ca="1" si="11"/>
        <v>607956.41777476913</v>
      </c>
      <c r="AW68" s="65">
        <f t="shared" ca="1" si="12"/>
        <v>1472.7872454655671</v>
      </c>
      <c r="AX68" s="69">
        <f t="shared" ca="1" si="13"/>
        <v>0</v>
      </c>
      <c r="AY68" s="70">
        <f t="shared" ca="1" si="14"/>
        <v>0</v>
      </c>
      <c r="AZ68" s="66">
        <f t="shared" ca="1" si="15"/>
        <v>132.62349517030719</v>
      </c>
      <c r="BA68" s="66">
        <f t="shared" ca="1" si="16"/>
        <v>253.92883542509782</v>
      </c>
      <c r="BB68" s="66">
        <f t="shared" ca="1" si="17"/>
        <v>13.618860845685504</v>
      </c>
      <c r="BC68" s="66">
        <f t="shared" ca="1" si="18"/>
        <v>32685.266029645205</v>
      </c>
      <c r="BD68" s="66">
        <f t="shared" ca="1" si="19"/>
        <v>0</v>
      </c>
      <c r="BE68" s="71">
        <f t="shared" ca="1" si="33"/>
        <v>32873.824333011013</v>
      </c>
      <c r="BF68" s="65">
        <f t="shared" ca="1" si="20"/>
        <v>78.989392904975915</v>
      </c>
      <c r="BG68" s="69">
        <f t="shared" ca="1" si="21"/>
        <v>0</v>
      </c>
      <c r="BH68" s="301">
        <f t="shared" ca="1" si="29"/>
        <v>0</v>
      </c>
      <c r="BI68" s="300">
        <f ca="1">IF(AO68&gt;TartamVálasztott,0,   (BI67+BH68)*(1+yields!$D$2)*(1-(0.0099/12)))</f>
        <v>136815.21996183458</v>
      </c>
      <c r="BJ68" s="300">
        <f ca="1">SUM(BH$6:BH68)*-1.2</f>
        <v>-149490.5625</v>
      </c>
      <c r="BK68" s="300">
        <f t="shared" ca="1" si="43"/>
        <v>-12675.342538165423</v>
      </c>
      <c r="BL68" s="28">
        <f t="shared" ca="1" si="42"/>
        <v>2022</v>
      </c>
      <c r="BM68" s="28">
        <f t="shared" ca="1" si="35"/>
        <v>4</v>
      </c>
      <c r="BN68" s="236">
        <f t="shared" ca="1" si="36"/>
        <v>0</v>
      </c>
      <c r="BO68" s="236">
        <f t="shared" ca="1" si="23"/>
        <v>0</v>
      </c>
    </row>
    <row r="69" spans="39:67" x14ac:dyDescent="0.25">
      <c r="AM69" s="30"/>
      <c r="AN69" s="30"/>
      <c r="AO69" s="28">
        <f t="shared" si="6"/>
        <v>6</v>
      </c>
      <c r="AP69" s="28">
        <f t="shared" si="7"/>
        <v>4</v>
      </c>
      <c r="AQ69" s="65">
        <f t="shared" ca="1" si="27"/>
        <v>42427.807983398423</v>
      </c>
      <c r="AR69" s="66">
        <f t="shared" ca="1" si="8"/>
        <v>36063.636785888659</v>
      </c>
      <c r="AS69" s="66">
        <f t="shared" ca="1" si="9"/>
        <v>2623.8174214320861</v>
      </c>
      <c r="AT69" s="66">
        <f t="shared" ca="1" si="28"/>
        <v>646643.87198208994</v>
      </c>
      <c r="AU69" s="66">
        <f t="shared" ca="1" si="10"/>
        <v>0</v>
      </c>
      <c r="AV69" s="68">
        <f t="shared" ca="1" si="11"/>
        <v>645081.14929146657</v>
      </c>
      <c r="AW69" s="65">
        <f t="shared" ca="1" si="12"/>
        <v>1562.7226906233841</v>
      </c>
      <c r="AX69" s="69">
        <f t="shared" ca="1" si="13"/>
        <v>6364.1711975097633</v>
      </c>
      <c r="AY69" s="70">
        <f t="shared" ca="1" si="14"/>
        <v>4573.7177006103493</v>
      </c>
      <c r="AZ69" s="66">
        <f t="shared" ca="1" si="15"/>
        <v>152.56592163834824</v>
      </c>
      <c r="BA69" s="66">
        <f t="shared" ca="1" si="16"/>
        <v>269.43494665920417</v>
      </c>
      <c r="BB69" s="66">
        <f t="shared" ca="1" si="17"/>
        <v>15.666711648024883</v>
      </c>
      <c r="BC69" s="66">
        <f t="shared" ca="1" si="18"/>
        <v>37600.107955259715</v>
      </c>
      <c r="BD69" s="66">
        <f t="shared" ca="1" si="19"/>
        <v>0</v>
      </c>
      <c r="BE69" s="71">
        <f t="shared" ca="1" si="33"/>
        <v>37794.3426860084</v>
      </c>
      <c r="BF69" s="65">
        <f t="shared" ca="1" si="20"/>
        <v>90.866927558544319</v>
      </c>
      <c r="BG69" s="69">
        <f t="shared" ca="1" si="21"/>
        <v>0</v>
      </c>
      <c r="BH69" s="301">
        <f t="shared" ca="1" si="29"/>
        <v>0</v>
      </c>
      <c r="BI69" s="300">
        <f ca="1">IF(AO69&gt;TartamVálasztott,0,   (BI68+BH69)*(1+yields!$D$2)*(1-(0.0099/12)))</f>
        <v>137259.28969021083</v>
      </c>
      <c r="BJ69" s="300">
        <f ca="1">SUM(BH$6:BH69)*-1.2</f>
        <v>-149490.5625</v>
      </c>
      <c r="BK69" s="300">
        <f t="shared" ca="1" si="43"/>
        <v>-12231.272809789167</v>
      </c>
      <c r="BL69" s="28">
        <f t="shared" ca="1" si="42"/>
        <v>2022</v>
      </c>
      <c r="BM69" s="28">
        <f t="shared" ca="1" si="35"/>
        <v>5</v>
      </c>
      <c r="BN69" s="236">
        <f t="shared" ca="1" si="36"/>
        <v>0</v>
      </c>
      <c r="BO69" s="236">
        <f t="shared" ca="1" si="23"/>
        <v>0</v>
      </c>
    </row>
    <row r="70" spans="39:67" x14ac:dyDescent="0.25">
      <c r="AM70" s="30"/>
      <c r="AN70" s="30"/>
      <c r="AO70" s="28">
        <f t="shared" ref="AO70:AO133" si="51">IF(AP69=12,AO69+1,AO69)</f>
        <v>6</v>
      </c>
      <c r="AP70" s="28">
        <f t="shared" ref="AP70:AP133" si="52">IF(AP69&lt;12,AP69+1,1)</f>
        <v>5</v>
      </c>
      <c r="AQ70" s="65">
        <f t="shared" ca="1" si="27"/>
        <v>0</v>
      </c>
      <c r="AR70" s="66">
        <f t="shared" ref="AR70:AR133" ca="1" si="53">IF( ($AO70*12+$AP70) &gt; (12*(Term+1) ), 0,
$AQ70*(1-VLOOKUP($AO70,Pars,7))
)</f>
        <v>0</v>
      </c>
      <c r="AS70" s="66">
        <f t="shared" ref="AS70:AS133" ca="1" si="54">IF( ($AO70*12+$AP70) &gt; (12*(Term+1) ), 0,
($AV69+$AR70)*IF(OR(TKM=0,TKM=2),VLOOKUP($AO70,Pars,15),TKMm)
)</f>
        <v>2628.1404527115783</v>
      </c>
      <c r="AT70" s="66">
        <f t="shared" ref="AT70:AT133" ca="1" si="55">IF( ($AO70*12+$AP70) &gt; (12*(Term+1) ), 0,
$AV69+$AR70+$AS70
)</f>
        <v>647709.28974417818</v>
      </c>
      <c r="AU70" s="66">
        <f t="shared" ref="AU70:AU133" ca="1" si="56">$BD70*(1-LBe)</f>
        <v>0</v>
      </c>
      <c r="AV70" s="68">
        <f t="shared" ref="AV70:AV133" ca="1" si="57">IF( ($AO70*12+$AP70) &gt; (12*(Term+1) ), 0,
($AT70-$AW70) +$AU70
)</f>
        <v>646143.99229396309</v>
      </c>
      <c r="AW70" s="65">
        <f t="shared" ref="AW70:AW133" ca="1" si="58">$AT70* ( VLOOKUP($AO70,Pars,9) /12 )</f>
        <v>1565.2974502150973</v>
      </c>
      <c r="AX70" s="69">
        <f t="shared" ref="AX70:AX133" ca="1" si="59">$AQ70*VLOOKUP($AO70,Pars,7)</f>
        <v>0</v>
      </c>
      <c r="AY70" s="70">
        <f t="shared" ref="AY70:AY133" ca="1" si="60">$AQ70*VLOOKUP($AO70,Pars,8)</f>
        <v>0</v>
      </c>
      <c r="AZ70" s="66">
        <f t="shared" ref="AZ70:AZ133" ca="1" si="61">($BE69+$AY70)*IF(OR(TKM=0,TKM=2),VLOOKUP($AO70,Pars,15),TKMm)</f>
        <v>153.97883042442302</v>
      </c>
      <c r="BA70" s="66">
        <f t="shared" ref="BA70:BA133" ca="1" si="62">$AT70* ( VLOOKUP($AO70,Pars,11) /12 )</f>
        <v>269.8788707267409</v>
      </c>
      <c r="BB70" s="66">
        <f t="shared" ref="BB70:BB133" ca="1" si="63">$BC70* ( VLOOKUP($AO70,Pars,12) /12 )</f>
        <v>15.81180063184701</v>
      </c>
      <c r="BC70" s="66">
        <f t="shared" ref="BC70:BC133" ca="1" si="64">$BE69+$AY70+$AZ70</f>
        <v>37948.321516432821</v>
      </c>
      <c r="BD70" s="66">
        <f t="shared" ref="BD70:BD133" ca="1" si="65">($BC70 -$BF70 +($BA70+$BB70) ) * IF($AP70=12,VLOOKUP($AO70,Pars,13),0)</f>
        <v>0</v>
      </c>
      <c r="BE70" s="71">
        <f t="shared" ca="1" si="33"/>
        <v>38142.303744126693</v>
      </c>
      <c r="BF70" s="65">
        <f t="shared" ref="BF70:BF133" ca="1" si="66">$BC70* ( VLOOKUP($AO70,Pars,10) /12 )</f>
        <v>91.708443664712661</v>
      </c>
      <c r="BG70" s="69">
        <f t="shared" ref="BG70:BG133" ca="1" si="67">BD70*LBe</f>
        <v>0</v>
      </c>
      <c r="BH70" s="301">
        <f t="shared" ca="1" si="29"/>
        <v>33114.386718749993</v>
      </c>
      <c r="BI70" s="300">
        <f ca="1">IF(AO70&gt;TartamVálasztott,0,   (BI69+BH70)*(1+yields!$D$2)*(1-(0.0099/12)))</f>
        <v>170926.66892124488</v>
      </c>
      <c r="BJ70" s="300">
        <f ca="1">SUM(BH$6:BH70)*-1.2</f>
        <v>-189227.82656250001</v>
      </c>
      <c r="BK70" s="300">
        <f t="shared" ca="1" si="43"/>
        <v>-18301.157641255122</v>
      </c>
      <c r="BL70" s="28">
        <f t="shared" ca="1" si="42"/>
        <v>2022</v>
      </c>
      <c r="BM70" s="28">
        <f t="shared" ca="1" si="35"/>
        <v>6</v>
      </c>
      <c r="BN70" s="236">
        <f t="shared" ca="1" si="36"/>
        <v>0</v>
      </c>
      <c r="BO70" s="236">
        <f t="shared" ref="BO70:BO133" ca="1" si="68">MIN(BN70*0.2,130000)</f>
        <v>0</v>
      </c>
    </row>
    <row r="71" spans="39:67" x14ac:dyDescent="0.25">
      <c r="AM71" s="30"/>
      <c r="AN71" s="30"/>
      <c r="AO71" s="28">
        <f t="shared" si="51"/>
        <v>6</v>
      </c>
      <c r="AP71" s="28">
        <f t="shared" si="52"/>
        <v>6</v>
      </c>
      <c r="AQ71" s="65">
        <f t="shared" ref="AQ71:AQ134" ca="1" si="69">IF( ($AO71*12+$AP71) &gt; (12*(Term+1) ), 0,
IF( OR(Freq=12, MOD($AP71,12/Freq)=1), Pr*(1+Ind)^($AO71-1)/Freq, 0) *VLOOKUP($AO71,Pars,23)
)</f>
        <v>0</v>
      </c>
      <c r="AR71" s="66">
        <f t="shared" ca="1" si="53"/>
        <v>0</v>
      </c>
      <c r="AS71" s="66">
        <f t="shared" ca="1" si="54"/>
        <v>2632.4706066663334</v>
      </c>
      <c r="AT71" s="66">
        <f t="shared" ca="1" si="55"/>
        <v>648776.46290062938</v>
      </c>
      <c r="AU71" s="66">
        <f t="shared" ca="1" si="56"/>
        <v>0</v>
      </c>
      <c r="AV71" s="68">
        <f t="shared" ca="1" si="57"/>
        <v>647208.58644861949</v>
      </c>
      <c r="AW71" s="65">
        <f t="shared" ca="1" si="58"/>
        <v>1567.8764520098543</v>
      </c>
      <c r="AX71" s="69">
        <f t="shared" ca="1" si="59"/>
        <v>0</v>
      </c>
      <c r="AY71" s="70">
        <f t="shared" ca="1" si="60"/>
        <v>0</v>
      </c>
      <c r="AZ71" s="66">
        <f t="shared" ca="1" si="61"/>
        <v>155.3964668470862</v>
      </c>
      <c r="BA71" s="66">
        <f t="shared" ca="1" si="62"/>
        <v>270.32352620859558</v>
      </c>
      <c r="BB71" s="66">
        <f t="shared" ca="1" si="63"/>
        <v>15.957375087905742</v>
      </c>
      <c r="BC71" s="66">
        <f t="shared" ca="1" si="64"/>
        <v>38297.70021097378</v>
      </c>
      <c r="BD71" s="66">
        <f t="shared" ca="1" si="65"/>
        <v>0</v>
      </c>
      <c r="BE71" s="71">
        <f t="shared" ca="1" si="33"/>
        <v>38491.428336760429</v>
      </c>
      <c r="BF71" s="65">
        <f t="shared" ca="1" si="66"/>
        <v>92.552775509853305</v>
      </c>
      <c r="BG71" s="69">
        <f t="shared" ca="1" si="67"/>
        <v>0</v>
      </c>
      <c r="BH71" s="301">
        <f t="shared" ref="BH71:BH134" ca="1" si="70">IF(AND(BM71=AdóHó,AO71&lt;=TartamVálasztott),MIN(SUMIF(BL:BL,BL71-1,AQ:AQ)*0.2,130000),0)+IF(AND(AO71=TartamVálasztott,AP71=12),MIN(SUMIF(BL:BL,BL71,AQ:AQ)*0.2,130000),0)</f>
        <v>0</v>
      </c>
      <c r="BI71" s="300">
        <f ca="1">IF(AO71&gt;TartamVálasztott,0,   (BI70+BH71)*(1+yields!$D$2)*(1-(0.0099/12)))</f>
        <v>171481.45631596082</v>
      </c>
      <c r="BJ71" s="300">
        <f ca="1">SUM(BH$6:BH71)*-1.2</f>
        <v>-189227.82656250001</v>
      </c>
      <c r="BK71" s="300">
        <f t="shared" ca="1" si="43"/>
        <v>-17746.370246539183</v>
      </c>
      <c r="BL71" s="28">
        <f t="shared" ca="1" si="42"/>
        <v>2022</v>
      </c>
      <c r="BM71" s="28">
        <f t="shared" ca="1" si="35"/>
        <v>7</v>
      </c>
      <c r="BN71" s="236">
        <f t="shared" ca="1" si="36"/>
        <v>0</v>
      </c>
      <c r="BO71" s="236">
        <f t="shared" ca="1" si="68"/>
        <v>0</v>
      </c>
    </row>
    <row r="72" spans="39:67" x14ac:dyDescent="0.25">
      <c r="AM72" s="30"/>
      <c r="AN72" s="30"/>
      <c r="AO72" s="28">
        <f t="shared" si="51"/>
        <v>6</v>
      </c>
      <c r="AP72" s="28">
        <f t="shared" si="52"/>
        <v>7</v>
      </c>
      <c r="AQ72" s="65">
        <f t="shared" ca="1" si="69"/>
        <v>42427.807983398423</v>
      </c>
      <c r="AR72" s="66">
        <f t="shared" ca="1" si="53"/>
        <v>36063.636785888659</v>
      </c>
      <c r="AS72" s="66">
        <f t="shared" ca="1" si="54"/>
        <v>2783.7356153859969</v>
      </c>
      <c r="AT72" s="66">
        <f t="shared" ca="1" si="55"/>
        <v>686055.95884989423</v>
      </c>
      <c r="AU72" s="66">
        <f t="shared" ca="1" si="56"/>
        <v>0</v>
      </c>
      <c r="AV72" s="68">
        <f t="shared" ca="1" si="57"/>
        <v>684397.99028267362</v>
      </c>
      <c r="AW72" s="65">
        <f t="shared" ca="1" si="58"/>
        <v>1657.9685672205778</v>
      </c>
      <c r="AX72" s="69">
        <f t="shared" ca="1" si="59"/>
        <v>6364.1711975097633</v>
      </c>
      <c r="AY72" s="70">
        <f t="shared" ca="1" si="60"/>
        <v>4573.7177006103493</v>
      </c>
      <c r="AZ72" s="66">
        <f t="shared" ca="1" si="61"/>
        <v>175.45273571714193</v>
      </c>
      <c r="BA72" s="66">
        <f t="shared" ca="1" si="62"/>
        <v>285.85664952078929</v>
      </c>
      <c r="BB72" s="66">
        <f t="shared" ca="1" si="63"/>
        <v>18.016916155453302</v>
      </c>
      <c r="BC72" s="66">
        <f t="shared" ca="1" si="64"/>
        <v>43240.598773087921</v>
      </c>
      <c r="BD72" s="66">
        <f t="shared" ca="1" si="65"/>
        <v>0</v>
      </c>
      <c r="BE72" s="71">
        <f t="shared" ref="BE72:BE135" ca="1" si="71">$BC72 -$BF72 +($BA72+$BB72) -$BD72</f>
        <v>43439.974225062535</v>
      </c>
      <c r="BF72" s="65">
        <f t="shared" ca="1" si="66"/>
        <v>104.49811370162915</v>
      </c>
      <c r="BG72" s="69">
        <f t="shared" ca="1" si="67"/>
        <v>0</v>
      </c>
      <c r="BH72" s="301">
        <f t="shared" ca="1" si="70"/>
        <v>0</v>
      </c>
      <c r="BI72" s="300">
        <f ca="1">IF(AO72&gt;TartamVálasztott,0,   (BI71+BH72)*(1+yields!$D$2)*(1-(0.0099/12)))</f>
        <v>172038.04441887097</v>
      </c>
      <c r="BJ72" s="300">
        <f ca="1">SUM(BH$6:BH72)*-1.2</f>
        <v>-189227.82656250001</v>
      </c>
      <c r="BK72" s="300">
        <f t="shared" ca="1" si="43"/>
        <v>-17189.78214362904</v>
      </c>
      <c r="BL72" s="28">
        <f t="shared" ca="1" si="42"/>
        <v>2022</v>
      </c>
      <c r="BM72" s="28">
        <f t="shared" ref="BM72:BM135" ca="1" si="72">IF(BM71=12,1,BM71+1)</f>
        <v>8</v>
      </c>
      <c r="BN72" s="236">
        <f t="shared" ref="BN72:BN135" ca="1" si="73">IF(BM72=12,SUMIF(BL:BL,BL72,AQ:AQ),0)</f>
        <v>0</v>
      </c>
      <c r="BO72" s="236">
        <f t="shared" ca="1" si="68"/>
        <v>0</v>
      </c>
    </row>
    <row r="73" spans="39:67" x14ac:dyDescent="0.25">
      <c r="AM73" s="30"/>
      <c r="AN73" s="30"/>
      <c r="AO73" s="28">
        <f t="shared" si="51"/>
        <v>6</v>
      </c>
      <c r="AP73" s="28">
        <f t="shared" si="52"/>
        <v>8</v>
      </c>
      <c r="AQ73" s="65">
        <f t="shared" ca="1" si="69"/>
        <v>0</v>
      </c>
      <c r="AR73" s="66">
        <f t="shared" ca="1" si="53"/>
        <v>0</v>
      </c>
      <c r="AS73" s="66">
        <f t="shared" ca="1" si="54"/>
        <v>2788.3221296917754</v>
      </c>
      <c r="AT73" s="66">
        <f t="shared" ca="1" si="55"/>
        <v>687186.31241236534</v>
      </c>
      <c r="AU73" s="66">
        <f t="shared" ca="1" si="56"/>
        <v>0</v>
      </c>
      <c r="AV73" s="68">
        <f t="shared" ca="1" si="57"/>
        <v>685525.6121573688</v>
      </c>
      <c r="AW73" s="65">
        <f t="shared" ca="1" si="58"/>
        <v>1660.7002549965496</v>
      </c>
      <c r="AX73" s="69">
        <f t="shared" ca="1" si="59"/>
        <v>0</v>
      </c>
      <c r="AY73" s="70">
        <f t="shared" ca="1" si="60"/>
        <v>0</v>
      </c>
      <c r="AZ73" s="66">
        <f t="shared" ca="1" si="61"/>
        <v>176.97983215139874</v>
      </c>
      <c r="BA73" s="66">
        <f t="shared" ca="1" si="62"/>
        <v>286.3276301718189</v>
      </c>
      <c r="BB73" s="66">
        <f t="shared" ca="1" si="63"/>
        <v>18.173730857172472</v>
      </c>
      <c r="BC73" s="66">
        <f t="shared" ca="1" si="64"/>
        <v>43616.95405721393</v>
      </c>
      <c r="BD73" s="66">
        <f t="shared" ca="1" si="65"/>
        <v>0</v>
      </c>
      <c r="BE73" s="71">
        <f t="shared" ca="1" si="71"/>
        <v>43816.047779271321</v>
      </c>
      <c r="BF73" s="65">
        <f t="shared" ca="1" si="66"/>
        <v>105.40763897160033</v>
      </c>
      <c r="BG73" s="69">
        <f t="shared" ca="1" si="67"/>
        <v>0</v>
      </c>
      <c r="BH73" s="301">
        <f t="shared" ca="1" si="70"/>
        <v>0</v>
      </c>
      <c r="BI73" s="300">
        <f ca="1">IF(AO73&gt;TartamVálasztott,0,   (BI72+BH73)*(1+yields!$D$2)*(1-(0.0099/12)))</f>
        <v>172596.43907464671</v>
      </c>
      <c r="BJ73" s="300">
        <f ca="1">SUM(BH$6:BH73)*-1.2</f>
        <v>-189227.82656250001</v>
      </c>
      <c r="BK73" s="300">
        <f t="shared" ca="1" si="43"/>
        <v>-16631.387487853295</v>
      </c>
      <c r="BL73" s="28">
        <f t="shared" ca="1" si="42"/>
        <v>2022</v>
      </c>
      <c r="BM73" s="28">
        <f t="shared" ca="1" si="72"/>
        <v>9</v>
      </c>
      <c r="BN73" s="236">
        <f t="shared" ca="1" si="73"/>
        <v>0</v>
      </c>
      <c r="BO73" s="236">
        <f t="shared" ca="1" si="68"/>
        <v>0</v>
      </c>
    </row>
    <row r="74" spans="39:67" x14ac:dyDescent="0.25">
      <c r="AM74" s="30"/>
      <c r="AN74" s="30"/>
      <c r="AO74" s="28">
        <f t="shared" si="51"/>
        <v>6</v>
      </c>
      <c r="AP74" s="28">
        <f t="shared" si="52"/>
        <v>9</v>
      </c>
      <c r="AQ74" s="65">
        <f t="shared" ca="1" si="69"/>
        <v>0</v>
      </c>
      <c r="AR74" s="66">
        <f t="shared" ca="1" si="53"/>
        <v>0</v>
      </c>
      <c r="AS74" s="66">
        <f t="shared" ca="1" si="54"/>
        <v>2792.9162007904329</v>
      </c>
      <c r="AT74" s="66">
        <f t="shared" ca="1" si="55"/>
        <v>688318.52835815924</v>
      </c>
      <c r="AU74" s="66">
        <f t="shared" ca="1" si="56"/>
        <v>0</v>
      </c>
      <c r="AV74" s="68">
        <f t="shared" ca="1" si="57"/>
        <v>686655.091914627</v>
      </c>
      <c r="AW74" s="65">
        <f t="shared" ca="1" si="58"/>
        <v>1663.4364435322182</v>
      </c>
      <c r="AX74" s="69">
        <f t="shared" ca="1" si="59"/>
        <v>0</v>
      </c>
      <c r="AY74" s="70">
        <f t="shared" ca="1" si="60"/>
        <v>0</v>
      </c>
      <c r="AZ74" s="66">
        <f t="shared" ca="1" si="61"/>
        <v>178.5120023630019</v>
      </c>
      <c r="BA74" s="66">
        <f t="shared" ca="1" si="62"/>
        <v>286.79938681589971</v>
      </c>
      <c r="BB74" s="66">
        <f t="shared" ca="1" si="63"/>
        <v>18.331066575680968</v>
      </c>
      <c r="BC74" s="66">
        <f t="shared" ca="1" si="64"/>
        <v>43994.559781634322</v>
      </c>
      <c r="BD74" s="66">
        <f t="shared" ca="1" si="65"/>
        <v>0</v>
      </c>
      <c r="BE74" s="71">
        <f t="shared" ca="1" si="71"/>
        <v>44193.370048886958</v>
      </c>
      <c r="BF74" s="65">
        <f t="shared" ca="1" si="66"/>
        <v>106.32018613894961</v>
      </c>
      <c r="BG74" s="69">
        <f t="shared" ca="1" si="67"/>
        <v>0</v>
      </c>
      <c r="BH74" s="301">
        <f t="shared" ca="1" si="70"/>
        <v>0</v>
      </c>
      <c r="BI74" s="300">
        <f ca="1">IF(AO74&gt;TartamVálasztott,0,   (BI73+BH74)*(1+yields!$D$2)*(1-(0.0099/12)))</f>
        <v>173156.64614692979</v>
      </c>
      <c r="BJ74" s="300">
        <f ca="1">SUM(BH$6:BH74)*-1.2</f>
        <v>-189227.82656250001</v>
      </c>
      <c r="BK74" s="300">
        <f t="shared" ca="1" si="43"/>
        <v>-16071.180415570212</v>
      </c>
      <c r="BL74" s="28">
        <f t="shared" ca="1" si="42"/>
        <v>2022</v>
      </c>
      <c r="BM74" s="28">
        <f t="shared" ca="1" si="72"/>
        <v>10</v>
      </c>
      <c r="BN74" s="236">
        <f t="shared" ca="1" si="73"/>
        <v>0</v>
      </c>
      <c r="BO74" s="236">
        <f t="shared" ca="1" si="68"/>
        <v>0</v>
      </c>
    </row>
    <row r="75" spans="39:67" x14ac:dyDescent="0.25">
      <c r="AM75" s="30"/>
      <c r="AN75" s="30"/>
      <c r="AO75" s="28">
        <f t="shared" si="51"/>
        <v>6</v>
      </c>
      <c r="AP75" s="28">
        <f t="shared" si="52"/>
        <v>10</v>
      </c>
      <c r="AQ75" s="65">
        <f t="shared" ca="1" si="69"/>
        <v>42427.807983398423</v>
      </c>
      <c r="AR75" s="66">
        <f t="shared" ca="1" si="53"/>
        <v>36063.636785888659</v>
      </c>
      <c r="AS75" s="66">
        <f t="shared" ca="1" si="54"/>
        <v>2944.445561486873</v>
      </c>
      <c r="AT75" s="66">
        <f t="shared" ca="1" si="55"/>
        <v>725663.17426200258</v>
      </c>
      <c r="AU75" s="66">
        <f t="shared" ca="1" si="56"/>
        <v>0</v>
      </c>
      <c r="AV75" s="68">
        <f t="shared" ca="1" si="57"/>
        <v>723909.48825753608</v>
      </c>
      <c r="AW75" s="65">
        <f t="shared" ca="1" si="58"/>
        <v>1753.6860044665063</v>
      </c>
      <c r="AX75" s="69">
        <f t="shared" ca="1" si="59"/>
        <v>6364.1711975097633</v>
      </c>
      <c r="AY75" s="70">
        <f t="shared" ca="1" si="60"/>
        <v>4573.7177006103493</v>
      </c>
      <c r="AZ75" s="66">
        <f t="shared" ca="1" si="61"/>
        <v>198.68315205949324</v>
      </c>
      <c r="BA75" s="66">
        <f t="shared" ca="1" si="62"/>
        <v>302.35965594250109</v>
      </c>
      <c r="BB75" s="66">
        <f t="shared" ca="1" si="63"/>
        <v>20.402404542315335</v>
      </c>
      <c r="BC75" s="66">
        <f t="shared" ca="1" si="64"/>
        <v>48965.770901556803</v>
      </c>
      <c r="BD75" s="66">
        <f t="shared" ca="1" si="65"/>
        <v>0</v>
      </c>
      <c r="BE75" s="71">
        <f t="shared" ca="1" si="71"/>
        <v>49170.199015696191</v>
      </c>
      <c r="BF75" s="65">
        <f t="shared" ca="1" si="66"/>
        <v>118.33394634542894</v>
      </c>
      <c r="BG75" s="69">
        <f t="shared" ca="1" si="67"/>
        <v>0</v>
      </c>
      <c r="BH75" s="301">
        <f t="shared" ca="1" si="70"/>
        <v>0</v>
      </c>
      <c r="BI75" s="300">
        <f ca="1">IF(AO75&gt;TartamVálasztott,0,   (BI74+BH75)*(1+yields!$D$2)*(1-(0.0099/12)))</f>
        <v>173718.67151839403</v>
      </c>
      <c r="BJ75" s="300">
        <f ca="1">SUM(BH$6:BH75)*-1.2</f>
        <v>-189227.82656250001</v>
      </c>
      <c r="BK75" s="300">
        <f t="shared" ca="1" si="43"/>
        <v>-15509.155044105981</v>
      </c>
      <c r="BL75" s="28">
        <f t="shared" ca="1" si="42"/>
        <v>2022</v>
      </c>
      <c r="BM75" s="28">
        <f t="shared" ca="1" si="72"/>
        <v>11</v>
      </c>
      <c r="BN75" s="236">
        <f t="shared" ca="1" si="73"/>
        <v>0</v>
      </c>
      <c r="BO75" s="236">
        <f t="shared" ca="1" si="68"/>
        <v>0</v>
      </c>
    </row>
    <row r="76" spans="39:67" x14ac:dyDescent="0.25">
      <c r="AM76" s="30"/>
      <c r="AN76" s="30"/>
      <c r="AO76" s="28">
        <f t="shared" si="51"/>
        <v>6</v>
      </c>
      <c r="AP76" s="28">
        <f t="shared" si="52"/>
        <v>11</v>
      </c>
      <c r="AQ76" s="65">
        <f t="shared" ca="1" si="69"/>
        <v>0</v>
      </c>
      <c r="AR76" s="66">
        <f t="shared" ca="1" si="53"/>
        <v>0</v>
      </c>
      <c r="AS76" s="66">
        <f t="shared" ca="1" si="54"/>
        <v>2949.2968633187361</v>
      </c>
      <c r="AT76" s="66">
        <f t="shared" ca="1" si="55"/>
        <v>726858.78512085485</v>
      </c>
      <c r="AU76" s="66">
        <f t="shared" ca="1" si="56"/>
        <v>0</v>
      </c>
      <c r="AV76" s="68">
        <f t="shared" ca="1" si="57"/>
        <v>725102.20972347946</v>
      </c>
      <c r="AW76" s="65">
        <f t="shared" ca="1" si="58"/>
        <v>1756.5753973753992</v>
      </c>
      <c r="AX76" s="69">
        <f t="shared" ca="1" si="59"/>
        <v>0</v>
      </c>
      <c r="AY76" s="70">
        <f t="shared" ca="1" si="60"/>
        <v>0</v>
      </c>
      <c r="AZ76" s="66">
        <f t="shared" ca="1" si="61"/>
        <v>200.32547725657071</v>
      </c>
      <c r="BA76" s="66">
        <f t="shared" ca="1" si="62"/>
        <v>302.85782713368957</v>
      </c>
      <c r="BB76" s="66">
        <f t="shared" ca="1" si="63"/>
        <v>20.571051872063652</v>
      </c>
      <c r="BC76" s="66">
        <f t="shared" ca="1" si="64"/>
        <v>49370.524492952762</v>
      </c>
      <c r="BD76" s="66">
        <f t="shared" ca="1" si="65"/>
        <v>0</v>
      </c>
      <c r="BE76" s="71">
        <f t="shared" ca="1" si="71"/>
        <v>49574.641271100547</v>
      </c>
      <c r="BF76" s="65">
        <f t="shared" ca="1" si="66"/>
        <v>119.31210085796918</v>
      </c>
      <c r="BG76" s="69">
        <f t="shared" ca="1" si="67"/>
        <v>0</v>
      </c>
      <c r="BH76" s="301">
        <f t="shared" ca="1" si="70"/>
        <v>0</v>
      </c>
      <c r="BI76" s="300">
        <f ca="1">IF(AO76&gt;TartamVálasztott,0,   (BI75+BH76)*(1+yields!$D$2)*(1-(0.0099/12)))</f>
        <v>174282.52109080693</v>
      </c>
      <c r="BJ76" s="300">
        <f ca="1">SUM(BH$6:BH76)*-1.2</f>
        <v>-189227.82656250001</v>
      </c>
      <c r="BK76" s="300">
        <f t="shared" ca="1" si="43"/>
        <v>-14945.305471693078</v>
      </c>
      <c r="BL76" s="28">
        <f t="shared" ca="1" si="42"/>
        <v>2022</v>
      </c>
      <c r="BM76" s="28">
        <f t="shared" ca="1" si="72"/>
        <v>12</v>
      </c>
      <c r="BN76" s="236">
        <f t="shared" ca="1" si="73"/>
        <v>169711.23193359369</v>
      </c>
      <c r="BO76" s="236">
        <f t="shared" ca="1" si="68"/>
        <v>33942.24638671874</v>
      </c>
    </row>
    <row r="77" spans="39:67" x14ac:dyDescent="0.25">
      <c r="AM77" s="30"/>
      <c r="AN77" s="30"/>
      <c r="AO77" s="28">
        <f t="shared" si="51"/>
        <v>6</v>
      </c>
      <c r="AP77" s="28">
        <f t="shared" si="52"/>
        <v>12</v>
      </c>
      <c r="AQ77" s="65">
        <f t="shared" ca="1" si="69"/>
        <v>0</v>
      </c>
      <c r="AR77" s="66">
        <f t="shared" ca="1" si="53"/>
        <v>0</v>
      </c>
      <c r="AS77" s="66">
        <f t="shared" ca="1" si="54"/>
        <v>2954.1561582104041</v>
      </c>
      <c r="AT77" s="66">
        <f t="shared" ca="1" si="55"/>
        <v>728056.36588168982</v>
      </c>
      <c r="AU77" s="66">
        <f t="shared" ca="1" si="56"/>
        <v>0</v>
      </c>
      <c r="AV77" s="68">
        <f t="shared" ca="1" si="57"/>
        <v>726296.8963308091</v>
      </c>
      <c r="AW77" s="65">
        <f t="shared" ca="1" si="58"/>
        <v>1759.4695508807506</v>
      </c>
      <c r="AX77" s="69">
        <f t="shared" ca="1" si="59"/>
        <v>0</v>
      </c>
      <c r="AY77" s="70">
        <f t="shared" ca="1" si="60"/>
        <v>0</v>
      </c>
      <c r="AZ77" s="66">
        <f t="shared" ca="1" si="61"/>
        <v>201.97322506842599</v>
      </c>
      <c r="BA77" s="66">
        <f t="shared" ca="1" si="62"/>
        <v>303.35681911737078</v>
      </c>
      <c r="BB77" s="66">
        <f t="shared" ca="1" si="63"/>
        <v>20.740256040070406</v>
      </c>
      <c r="BC77" s="66">
        <f t="shared" ca="1" si="64"/>
        <v>49776.614496168972</v>
      </c>
      <c r="BD77" s="66">
        <f t="shared" ca="1" si="65"/>
        <v>0</v>
      </c>
      <c r="BE77" s="71">
        <f t="shared" ca="1" si="71"/>
        <v>49980.418086294005</v>
      </c>
      <c r="BF77" s="65">
        <f t="shared" ca="1" si="66"/>
        <v>120.29348503240836</v>
      </c>
      <c r="BG77" s="69">
        <f t="shared" ca="1" si="67"/>
        <v>0</v>
      </c>
      <c r="BH77" s="301">
        <f t="shared" ca="1" si="70"/>
        <v>0</v>
      </c>
      <c r="BI77" s="300">
        <f ca="1">IF(AO77&gt;TartamVálasztott,0,   (BI76+BH77)*(1+yields!$D$2)*(1-(0.0099/12)))</f>
        <v>174848.20078509176</v>
      </c>
      <c r="BJ77" s="300">
        <f ca="1">SUM(BH$6:BH77)*-1.2</f>
        <v>-189227.82656250001</v>
      </c>
      <c r="BK77" s="300">
        <f t="shared" ca="1" si="43"/>
        <v>-14379.625777408248</v>
      </c>
      <c r="BL77" s="28">
        <f t="shared" ca="1" si="42"/>
        <v>2023</v>
      </c>
      <c r="BM77" s="28">
        <f t="shared" ca="1" si="72"/>
        <v>1</v>
      </c>
      <c r="BN77" s="236">
        <f t="shared" ca="1" si="73"/>
        <v>0</v>
      </c>
      <c r="BO77" s="236">
        <f t="shared" ca="1" si="68"/>
        <v>0</v>
      </c>
    </row>
    <row r="78" spans="39:67" x14ac:dyDescent="0.25">
      <c r="AM78" s="30"/>
      <c r="AN78" s="30"/>
      <c r="AO78" s="28">
        <f t="shared" si="51"/>
        <v>7</v>
      </c>
      <c r="AP78" s="28">
        <f t="shared" si="52"/>
        <v>1</v>
      </c>
      <c r="AQ78" s="65">
        <f t="shared" ca="1" si="69"/>
        <v>43488.503182983382</v>
      </c>
      <c r="AR78" s="66">
        <f t="shared" ca="1" si="53"/>
        <v>36965.227705535872</v>
      </c>
      <c r="AS78" s="66">
        <f t="shared" ca="1" si="54"/>
        <v>3109.6243726944326</v>
      </c>
      <c r="AT78" s="66">
        <f t="shared" ca="1" si="55"/>
        <v>766371.74840903934</v>
      </c>
      <c r="AU78" s="66">
        <f t="shared" ca="1" si="56"/>
        <v>0</v>
      </c>
      <c r="AV78" s="68">
        <f t="shared" ca="1" si="57"/>
        <v>764519.68335038412</v>
      </c>
      <c r="AW78" s="65">
        <f t="shared" ca="1" si="58"/>
        <v>1852.0650586551785</v>
      </c>
      <c r="AX78" s="69">
        <f t="shared" ca="1" si="59"/>
        <v>6523.275477447507</v>
      </c>
      <c r="AY78" s="70">
        <f t="shared" ca="1" si="60"/>
        <v>4966.3870634967025</v>
      </c>
      <c r="AZ78" s="66">
        <f t="shared" ca="1" si="61"/>
        <v>223.86008569625415</v>
      </c>
      <c r="BA78" s="66">
        <f t="shared" ca="1" si="62"/>
        <v>319.32156183709975</v>
      </c>
      <c r="BB78" s="66">
        <f t="shared" ca="1" si="63"/>
        <v>22.987777181452902</v>
      </c>
      <c r="BC78" s="66">
        <f t="shared" ca="1" si="64"/>
        <v>55170.665235486958</v>
      </c>
      <c r="BD78" s="66">
        <f t="shared" ca="1" si="65"/>
        <v>0</v>
      </c>
      <c r="BE78" s="71">
        <f t="shared" ca="1" si="71"/>
        <v>55379.645466853086</v>
      </c>
      <c r="BF78" s="65">
        <f t="shared" ca="1" si="66"/>
        <v>133.32910765242681</v>
      </c>
      <c r="BG78" s="69">
        <f t="shared" ca="1" si="67"/>
        <v>0</v>
      </c>
      <c r="BH78" s="301">
        <f t="shared" ca="1" si="70"/>
        <v>0</v>
      </c>
      <c r="BI78" s="300">
        <f ca="1">IF(AO78&gt;TartamVálasztott,0,   (BI77+BH78)*(1+yields!$D$2)*(1-(0.0099/12)))</f>
        <v>175415.7165413897</v>
      </c>
      <c r="BJ78" s="300">
        <f ca="1">SUM(BH$6:BH78)*-1.2</f>
        <v>-189227.82656250001</v>
      </c>
      <c r="BK78" s="300">
        <f t="shared" ca="1" si="43"/>
        <v>-13812.110021110304</v>
      </c>
      <c r="BL78" s="28">
        <f t="shared" ca="1" si="42"/>
        <v>2023</v>
      </c>
      <c r="BM78" s="28">
        <f t="shared" ca="1" si="72"/>
        <v>2</v>
      </c>
      <c r="BN78" s="236">
        <f t="shared" ca="1" si="73"/>
        <v>0</v>
      </c>
      <c r="BO78" s="236">
        <f t="shared" ca="1" si="68"/>
        <v>0</v>
      </c>
    </row>
    <row r="79" spans="39:67" x14ac:dyDescent="0.25">
      <c r="AM79" s="30"/>
      <c r="AN79" s="30"/>
      <c r="AO79" s="28">
        <f t="shared" si="51"/>
        <v>7</v>
      </c>
      <c r="AP79" s="28">
        <f t="shared" si="52"/>
        <v>2</v>
      </c>
      <c r="AQ79" s="65">
        <f t="shared" ca="1" si="69"/>
        <v>0</v>
      </c>
      <c r="AR79" s="66">
        <f t="shared" ca="1" si="53"/>
        <v>0</v>
      </c>
      <c r="AS79" s="66">
        <f t="shared" ca="1" si="54"/>
        <v>3114.7478250051081</v>
      </c>
      <c r="AT79" s="66">
        <f t="shared" ca="1" si="55"/>
        <v>767634.43117538921</v>
      </c>
      <c r="AU79" s="66">
        <f t="shared" ca="1" si="56"/>
        <v>0</v>
      </c>
      <c r="AV79" s="68">
        <f t="shared" ca="1" si="57"/>
        <v>765779.31463338202</v>
      </c>
      <c r="AW79" s="65">
        <f t="shared" ca="1" si="58"/>
        <v>1855.1165420071907</v>
      </c>
      <c r="AX79" s="69">
        <f t="shared" ca="1" si="59"/>
        <v>0</v>
      </c>
      <c r="AY79" s="70">
        <f t="shared" ca="1" si="60"/>
        <v>0</v>
      </c>
      <c r="AZ79" s="66">
        <f t="shared" ca="1" si="61"/>
        <v>225.62353072651987</v>
      </c>
      <c r="BA79" s="66">
        <f t="shared" ca="1" si="62"/>
        <v>319.8476796564122</v>
      </c>
      <c r="BB79" s="66">
        <f t="shared" ca="1" si="63"/>
        <v>23.168862082324839</v>
      </c>
      <c r="BC79" s="66">
        <f t="shared" ca="1" si="64"/>
        <v>55605.268997579609</v>
      </c>
      <c r="BD79" s="66">
        <f t="shared" ca="1" si="65"/>
        <v>0</v>
      </c>
      <c r="BE79" s="71">
        <f t="shared" ca="1" si="71"/>
        <v>55813.906139240862</v>
      </c>
      <c r="BF79" s="65">
        <f t="shared" ca="1" si="66"/>
        <v>134.37940007748406</v>
      </c>
      <c r="BG79" s="69">
        <f t="shared" ca="1" si="67"/>
        <v>0</v>
      </c>
      <c r="BH79" s="301">
        <f t="shared" ca="1" si="70"/>
        <v>0</v>
      </c>
      <c r="BI79" s="300">
        <f ca="1">IF(AO79&gt;TartamVálasztott,0,   (BI78+BH79)*(1+yields!$D$2)*(1-(0.0099/12)))</f>
        <v>175985.07431912224</v>
      </c>
      <c r="BJ79" s="300">
        <f ca="1">SUM(BH$6:BH79)*-1.2</f>
        <v>-189227.82656250001</v>
      </c>
      <c r="BK79" s="300">
        <f t="shared" ca="1" si="43"/>
        <v>-13242.752243377763</v>
      </c>
      <c r="BL79" s="28">
        <f t="shared" ca="1" si="42"/>
        <v>2023</v>
      </c>
      <c r="BM79" s="28">
        <f t="shared" ca="1" si="72"/>
        <v>3</v>
      </c>
      <c r="BN79" s="236">
        <f t="shared" ca="1" si="73"/>
        <v>0</v>
      </c>
      <c r="BO79" s="236">
        <f t="shared" ca="1" si="68"/>
        <v>0</v>
      </c>
    </row>
    <row r="80" spans="39:67" x14ac:dyDescent="0.25">
      <c r="AM80" s="30"/>
      <c r="AN80" s="30"/>
      <c r="AO80" s="28">
        <f t="shared" si="51"/>
        <v>7</v>
      </c>
      <c r="AP80" s="28">
        <f t="shared" si="52"/>
        <v>3</v>
      </c>
      <c r="AQ80" s="65">
        <f t="shared" ca="1" si="69"/>
        <v>0</v>
      </c>
      <c r="AR80" s="66">
        <f t="shared" ca="1" si="53"/>
        <v>0</v>
      </c>
      <c r="AS80" s="66">
        <f t="shared" ca="1" si="54"/>
        <v>3119.8797187737973</v>
      </c>
      <c r="AT80" s="66">
        <f t="shared" ca="1" si="55"/>
        <v>768899.19435215578</v>
      </c>
      <c r="AU80" s="66">
        <f t="shared" ca="1" si="56"/>
        <v>0</v>
      </c>
      <c r="AV80" s="68">
        <f t="shared" ca="1" si="57"/>
        <v>767041.02129913808</v>
      </c>
      <c r="AW80" s="65">
        <f t="shared" ca="1" si="58"/>
        <v>1858.1730530177099</v>
      </c>
      <c r="AX80" s="69">
        <f t="shared" ca="1" si="59"/>
        <v>0</v>
      </c>
      <c r="AY80" s="70">
        <f t="shared" ca="1" si="60"/>
        <v>0</v>
      </c>
      <c r="AZ80" s="66">
        <f t="shared" ca="1" si="61"/>
        <v>227.39276246019804</v>
      </c>
      <c r="BA80" s="66">
        <f t="shared" ca="1" si="62"/>
        <v>320.37466431339828</v>
      </c>
      <c r="BB80" s="66">
        <f t="shared" ca="1" si="63"/>
        <v>23.35054120904211</v>
      </c>
      <c r="BC80" s="66">
        <f t="shared" ca="1" si="64"/>
        <v>56041.298901701062</v>
      </c>
      <c r="BD80" s="66">
        <f t="shared" ca="1" si="65"/>
        <v>0</v>
      </c>
      <c r="BE80" s="71">
        <f t="shared" ca="1" si="71"/>
        <v>56249.590968211058</v>
      </c>
      <c r="BF80" s="65">
        <f t="shared" ca="1" si="66"/>
        <v>135.43313901244423</v>
      </c>
      <c r="BG80" s="69">
        <f t="shared" ca="1" si="67"/>
        <v>0</v>
      </c>
      <c r="BH80" s="301">
        <f t="shared" ca="1" si="70"/>
        <v>0</v>
      </c>
      <c r="BI80" s="300">
        <f ca="1">IF(AO80&gt;TartamVálasztott,0,   (BI79+BH80)*(1+yields!$D$2)*(1-(0.0099/12)))</f>
        <v>176556.28009705374</v>
      </c>
      <c r="BJ80" s="300">
        <f ca="1">SUM(BH$6:BH80)*-1.2</f>
        <v>-189227.82656250001</v>
      </c>
      <c r="BK80" s="300">
        <f t="shared" ca="1" si="43"/>
        <v>-12671.54646544627</v>
      </c>
      <c r="BL80" s="28">
        <f t="shared" ca="1" si="42"/>
        <v>2023</v>
      </c>
      <c r="BM80" s="28">
        <f t="shared" ca="1" si="72"/>
        <v>4</v>
      </c>
      <c r="BN80" s="236">
        <f t="shared" ca="1" si="73"/>
        <v>0</v>
      </c>
      <c r="BO80" s="236">
        <f t="shared" ca="1" si="68"/>
        <v>0</v>
      </c>
    </row>
    <row r="81" spans="39:67" x14ac:dyDescent="0.25">
      <c r="AM81" s="30"/>
      <c r="AN81" s="30"/>
      <c r="AO81" s="28">
        <f t="shared" si="51"/>
        <v>7</v>
      </c>
      <c r="AP81" s="28">
        <f t="shared" si="52"/>
        <v>4</v>
      </c>
      <c r="AQ81" s="65">
        <f t="shared" ca="1" si="69"/>
        <v>43488.503182983382</v>
      </c>
      <c r="AR81" s="66">
        <f t="shared" ca="1" si="53"/>
        <v>36965.227705535872</v>
      </c>
      <c r="AS81" s="66">
        <f t="shared" ca="1" si="54"/>
        <v>3275.6209812718421</v>
      </c>
      <c r="AT81" s="66">
        <f t="shared" ca="1" si="55"/>
        <v>807281.86998594576</v>
      </c>
      <c r="AU81" s="66">
        <f t="shared" ca="1" si="56"/>
        <v>0</v>
      </c>
      <c r="AV81" s="68">
        <f t="shared" ca="1" si="57"/>
        <v>805330.93880014634</v>
      </c>
      <c r="AW81" s="65">
        <f t="shared" ca="1" si="58"/>
        <v>1950.9311857993689</v>
      </c>
      <c r="AX81" s="69">
        <f t="shared" ca="1" si="59"/>
        <v>6523.275477447507</v>
      </c>
      <c r="AY81" s="70">
        <f t="shared" ca="1" si="60"/>
        <v>4966.3870634967025</v>
      </c>
      <c r="AZ81" s="66">
        <f t="shared" ca="1" si="61"/>
        <v>249.4014720382757</v>
      </c>
      <c r="BA81" s="66">
        <f t="shared" ca="1" si="62"/>
        <v>336.36744582747741</v>
      </c>
      <c r="BB81" s="66">
        <f t="shared" ca="1" si="63"/>
        <v>25.610574793227517</v>
      </c>
      <c r="BC81" s="66">
        <f t="shared" ca="1" si="64"/>
        <v>61465.379503746037</v>
      </c>
      <c r="BD81" s="66">
        <f t="shared" ca="1" si="65"/>
        <v>0</v>
      </c>
      <c r="BE81" s="71">
        <f t="shared" ca="1" si="71"/>
        <v>61678.816190566024</v>
      </c>
      <c r="BF81" s="65">
        <f t="shared" ca="1" si="66"/>
        <v>148.5413338007196</v>
      </c>
      <c r="BG81" s="69">
        <f t="shared" ca="1" si="67"/>
        <v>0</v>
      </c>
      <c r="BH81" s="301">
        <f t="shared" ca="1" si="70"/>
        <v>0</v>
      </c>
      <c r="BI81" s="300">
        <f ca="1">IF(AO81&gt;TartamVálasztott,0,   (BI80+BH81)*(1+yields!$D$2)*(1-(0.0099/12)))</f>
        <v>177129.33987335415</v>
      </c>
      <c r="BJ81" s="300">
        <f ca="1">SUM(BH$6:BH81)*-1.2</f>
        <v>-189227.82656250001</v>
      </c>
      <c r="BK81" s="300">
        <f t="shared" ca="1" si="43"/>
        <v>-12098.486689145851</v>
      </c>
      <c r="BL81" s="28">
        <f t="shared" ca="1" si="42"/>
        <v>2023</v>
      </c>
      <c r="BM81" s="28">
        <f t="shared" ca="1" si="72"/>
        <v>5</v>
      </c>
      <c r="BN81" s="236">
        <f t="shared" ca="1" si="73"/>
        <v>0</v>
      </c>
      <c r="BO81" s="236">
        <f t="shared" ca="1" si="68"/>
        <v>0</v>
      </c>
    </row>
    <row r="82" spans="39:67" x14ac:dyDescent="0.25">
      <c r="AM82" s="30"/>
      <c r="AN82" s="30"/>
      <c r="AO82" s="28">
        <f t="shared" si="51"/>
        <v>7</v>
      </c>
      <c r="AP82" s="28">
        <f t="shared" si="52"/>
        <v>5</v>
      </c>
      <c r="AQ82" s="65">
        <f t="shared" ca="1" si="69"/>
        <v>0</v>
      </c>
      <c r="AR82" s="66">
        <f t="shared" ca="1" si="53"/>
        <v>0</v>
      </c>
      <c r="AS82" s="66">
        <f t="shared" ca="1" si="54"/>
        <v>3281.0179314735328</v>
      </c>
      <c r="AT82" s="66">
        <f t="shared" ca="1" si="55"/>
        <v>808611.9567316199</v>
      </c>
      <c r="AU82" s="66">
        <f t="shared" ca="1" si="56"/>
        <v>0</v>
      </c>
      <c r="AV82" s="68">
        <f t="shared" ca="1" si="57"/>
        <v>806657.81116951851</v>
      </c>
      <c r="AW82" s="65">
        <f t="shared" ca="1" si="58"/>
        <v>1954.145562101415</v>
      </c>
      <c r="AX82" s="69">
        <f t="shared" ca="1" si="59"/>
        <v>0</v>
      </c>
      <c r="AY82" s="70">
        <f t="shared" ca="1" si="60"/>
        <v>0</v>
      </c>
      <c r="AZ82" s="66">
        <f t="shared" ca="1" si="61"/>
        <v>251.28713198926016</v>
      </c>
      <c r="BA82" s="66">
        <f t="shared" ca="1" si="62"/>
        <v>336.92164863817499</v>
      </c>
      <c r="BB82" s="66">
        <f t="shared" ca="1" si="63"/>
        <v>25.804209717731368</v>
      </c>
      <c r="BC82" s="66">
        <f t="shared" ca="1" si="64"/>
        <v>61930.103322555282</v>
      </c>
      <c r="BD82" s="66">
        <f t="shared" ca="1" si="65"/>
        <v>0</v>
      </c>
      <c r="BE82" s="71">
        <f t="shared" ca="1" si="71"/>
        <v>62143.164764548346</v>
      </c>
      <c r="BF82" s="65">
        <f t="shared" ca="1" si="66"/>
        <v>149.66441636284193</v>
      </c>
      <c r="BG82" s="69">
        <f t="shared" ca="1" si="67"/>
        <v>0</v>
      </c>
      <c r="BH82" s="301">
        <f t="shared" ca="1" si="70"/>
        <v>33942.24638671874</v>
      </c>
      <c r="BI82" s="300">
        <f ca="1">IF(AO82&gt;TartamVálasztott,0,   (BI81+BH82)*(1+yields!$D$2)*(1-(0.0099/12)))</f>
        <v>211756.67452733291</v>
      </c>
      <c r="BJ82" s="300">
        <f ca="1">SUM(BH$6:BH82)*-1.2</f>
        <v>-229958.52222656246</v>
      </c>
      <c r="BK82" s="300">
        <f t="shared" ca="1" si="43"/>
        <v>-18201.847699229547</v>
      </c>
      <c r="BL82" s="28">
        <f t="shared" ref="BL82:BL145" ca="1" si="74">IF(BM81=12,BL81+1,BL81)</f>
        <v>2023</v>
      </c>
      <c r="BM82" s="28">
        <f t="shared" ca="1" si="72"/>
        <v>6</v>
      </c>
      <c r="BN82" s="236">
        <f t="shared" ca="1" si="73"/>
        <v>0</v>
      </c>
      <c r="BO82" s="236">
        <f t="shared" ca="1" si="68"/>
        <v>0</v>
      </c>
    </row>
    <row r="83" spans="39:67" x14ac:dyDescent="0.25">
      <c r="AM83" s="30"/>
      <c r="AN83" s="30"/>
      <c r="AO83" s="28">
        <f t="shared" si="51"/>
        <v>7</v>
      </c>
      <c r="AP83" s="28">
        <f t="shared" si="52"/>
        <v>6</v>
      </c>
      <c r="AQ83" s="65">
        <f t="shared" ca="1" si="69"/>
        <v>0</v>
      </c>
      <c r="AR83" s="66">
        <f t="shared" ca="1" si="53"/>
        <v>0</v>
      </c>
      <c r="AS83" s="66">
        <f t="shared" ca="1" si="54"/>
        <v>3286.4237737514577</v>
      </c>
      <c r="AT83" s="66">
        <f t="shared" ca="1" si="55"/>
        <v>809944.23494326998</v>
      </c>
      <c r="AU83" s="66">
        <f t="shared" ca="1" si="56"/>
        <v>0</v>
      </c>
      <c r="AV83" s="68">
        <f t="shared" ca="1" si="57"/>
        <v>807986.86970882374</v>
      </c>
      <c r="AW83" s="65">
        <f t="shared" ca="1" si="58"/>
        <v>1957.3652344462359</v>
      </c>
      <c r="AX83" s="69">
        <f t="shared" ca="1" si="59"/>
        <v>0</v>
      </c>
      <c r="AY83" s="70">
        <f t="shared" ca="1" si="60"/>
        <v>0</v>
      </c>
      <c r="AZ83" s="66">
        <f t="shared" ca="1" si="61"/>
        <v>253.17894555842474</v>
      </c>
      <c r="BA83" s="66">
        <f t="shared" ca="1" si="62"/>
        <v>337.47676455969582</v>
      </c>
      <c r="BB83" s="66">
        <f t="shared" ca="1" si="63"/>
        <v>25.998476545877821</v>
      </c>
      <c r="BC83" s="66">
        <f t="shared" ca="1" si="64"/>
        <v>62396.343710106768</v>
      </c>
      <c r="BD83" s="66">
        <f t="shared" ca="1" si="65"/>
        <v>0</v>
      </c>
      <c r="BE83" s="71">
        <f t="shared" ca="1" si="71"/>
        <v>62609.027787246254</v>
      </c>
      <c r="BF83" s="65">
        <f t="shared" ca="1" si="66"/>
        <v>150.79116396609137</v>
      </c>
      <c r="BG83" s="69">
        <f t="shared" ca="1" si="67"/>
        <v>0</v>
      </c>
      <c r="BH83" s="301">
        <f t="shared" ca="1" si="70"/>
        <v>0</v>
      </c>
      <c r="BI83" s="300">
        <f ca="1">IF(AO83&gt;TartamVálasztott,0,   (BI82+BH83)*(1+yields!$D$2)*(1-(0.0099/12)))</f>
        <v>212443.98642849014</v>
      </c>
      <c r="BJ83" s="300">
        <f ca="1">SUM(BH$6:BH83)*-1.2</f>
        <v>-229958.52222656246</v>
      </c>
      <c r="BK83" s="300">
        <f t="shared" ca="1" si="43"/>
        <v>-17514.53579807232</v>
      </c>
      <c r="BL83" s="28">
        <f t="shared" ca="1" si="74"/>
        <v>2023</v>
      </c>
      <c r="BM83" s="28">
        <f t="shared" ca="1" si="72"/>
        <v>7</v>
      </c>
      <c r="BN83" s="236">
        <f t="shared" ca="1" si="73"/>
        <v>0</v>
      </c>
      <c r="BO83" s="236">
        <f t="shared" ca="1" si="68"/>
        <v>0</v>
      </c>
    </row>
    <row r="84" spans="39:67" x14ac:dyDescent="0.25">
      <c r="AM84" s="30"/>
      <c r="AN84" s="30"/>
      <c r="AO84" s="28">
        <f t="shared" si="51"/>
        <v>7</v>
      </c>
      <c r="AP84" s="28">
        <f t="shared" si="52"/>
        <v>7</v>
      </c>
      <c r="AQ84" s="65">
        <f t="shared" ca="1" si="69"/>
        <v>43488.503182983382</v>
      </c>
      <c r="AR84" s="66">
        <f t="shared" ca="1" si="53"/>
        <v>36965.227705535872</v>
      </c>
      <c r="AS84" s="66">
        <f t="shared" ca="1" si="54"/>
        <v>3442.4394361194027</v>
      </c>
      <c r="AT84" s="66">
        <f t="shared" ca="1" si="55"/>
        <v>848394.53685047897</v>
      </c>
      <c r="AU84" s="66">
        <f t="shared" ca="1" si="56"/>
        <v>0</v>
      </c>
      <c r="AV84" s="68">
        <f t="shared" ca="1" si="57"/>
        <v>846344.25005309028</v>
      </c>
      <c r="AW84" s="65">
        <f t="shared" ca="1" si="58"/>
        <v>2050.2867973886578</v>
      </c>
      <c r="AX84" s="69">
        <f t="shared" ca="1" si="59"/>
        <v>6523.275477447507</v>
      </c>
      <c r="AY84" s="70">
        <f t="shared" ca="1" si="60"/>
        <v>4966.3870634967025</v>
      </c>
      <c r="AZ84" s="66">
        <f t="shared" ca="1" si="61"/>
        <v>275.31060483331606</v>
      </c>
      <c r="BA84" s="66">
        <f t="shared" ca="1" si="62"/>
        <v>353.49772368769959</v>
      </c>
      <c r="BB84" s="66">
        <f t="shared" ca="1" si="63"/>
        <v>28.271135606490116</v>
      </c>
      <c r="BC84" s="66">
        <f t="shared" ca="1" si="64"/>
        <v>67850.725455576277</v>
      </c>
      <c r="BD84" s="66">
        <f t="shared" ca="1" si="65"/>
        <v>0</v>
      </c>
      <c r="BE84" s="71">
        <f t="shared" ca="1" si="71"/>
        <v>68068.521728352818</v>
      </c>
      <c r="BF84" s="65">
        <f t="shared" ca="1" si="66"/>
        <v>163.97258651764267</v>
      </c>
      <c r="BG84" s="69">
        <f t="shared" ca="1" si="67"/>
        <v>0</v>
      </c>
      <c r="BH84" s="301">
        <f t="shared" ca="1" si="70"/>
        <v>0</v>
      </c>
      <c r="BI84" s="300">
        <f ca="1">IF(AO84&gt;TartamVálasztott,0,   (BI83+BH84)*(1+yields!$D$2)*(1-(0.0099/12)))</f>
        <v>213133.52918093232</v>
      </c>
      <c r="BJ84" s="300">
        <f ca="1">SUM(BH$6:BH84)*-1.2</f>
        <v>-229958.52222656246</v>
      </c>
      <c r="BK84" s="300">
        <f t="shared" ca="1" si="43"/>
        <v>-16824.993045630137</v>
      </c>
      <c r="BL84" s="28">
        <f t="shared" ca="1" si="74"/>
        <v>2023</v>
      </c>
      <c r="BM84" s="28">
        <f t="shared" ca="1" si="72"/>
        <v>8</v>
      </c>
      <c r="BN84" s="236">
        <f t="shared" ca="1" si="73"/>
        <v>0</v>
      </c>
      <c r="BO84" s="236">
        <f t="shared" ca="1" si="68"/>
        <v>0</v>
      </c>
    </row>
    <row r="85" spans="39:67" x14ac:dyDescent="0.25">
      <c r="AM85" s="30"/>
      <c r="AN85" s="30"/>
      <c r="AO85" s="28">
        <f t="shared" si="51"/>
        <v>7</v>
      </c>
      <c r="AP85" s="28">
        <f t="shared" si="52"/>
        <v>8</v>
      </c>
      <c r="AQ85" s="65">
        <f t="shared" ca="1" si="69"/>
        <v>0</v>
      </c>
      <c r="AR85" s="66">
        <f t="shared" ca="1" si="53"/>
        <v>0</v>
      </c>
      <c r="AS85" s="66">
        <f t="shared" ca="1" si="54"/>
        <v>3448.1112382953243</v>
      </c>
      <c r="AT85" s="66">
        <f t="shared" ca="1" si="55"/>
        <v>849792.3612913856</v>
      </c>
      <c r="AU85" s="66">
        <f t="shared" ca="1" si="56"/>
        <v>0</v>
      </c>
      <c r="AV85" s="68">
        <f t="shared" ca="1" si="57"/>
        <v>847738.69641826476</v>
      </c>
      <c r="AW85" s="65">
        <f t="shared" ca="1" si="58"/>
        <v>2053.6648731208488</v>
      </c>
      <c r="AX85" s="69">
        <f t="shared" ca="1" si="59"/>
        <v>0</v>
      </c>
      <c r="AY85" s="70">
        <f t="shared" ca="1" si="60"/>
        <v>0</v>
      </c>
      <c r="AZ85" s="66">
        <f t="shared" ca="1" si="61"/>
        <v>277.31958329126695</v>
      </c>
      <c r="BA85" s="66">
        <f t="shared" ca="1" si="62"/>
        <v>354.08015053807736</v>
      </c>
      <c r="BB85" s="66">
        <f t="shared" ca="1" si="63"/>
        <v>28.477433879851702</v>
      </c>
      <c r="BC85" s="66">
        <f t="shared" ca="1" si="64"/>
        <v>68345.841311644079</v>
      </c>
      <c r="BD85" s="66">
        <f t="shared" ca="1" si="65"/>
        <v>0</v>
      </c>
      <c r="BE85" s="71">
        <f t="shared" ca="1" si="71"/>
        <v>68563.229779558867</v>
      </c>
      <c r="BF85" s="65">
        <f t="shared" ca="1" si="66"/>
        <v>165.16911650313986</v>
      </c>
      <c r="BG85" s="69">
        <f t="shared" ca="1" si="67"/>
        <v>0</v>
      </c>
      <c r="BH85" s="301">
        <f t="shared" ca="1" si="70"/>
        <v>0</v>
      </c>
      <c r="BI85" s="300">
        <f ca="1">IF(AO85&gt;TartamVálasztott,0,   (BI84+BH85)*(1+yields!$D$2)*(1-(0.0099/12)))</f>
        <v>213825.31002547324</v>
      </c>
      <c r="BJ85" s="300">
        <f ca="1">SUM(BH$6:BH85)*-1.2</f>
        <v>-229958.52222656246</v>
      </c>
      <c r="BK85" s="300">
        <f t="shared" ca="1" si="43"/>
        <v>-16133.21220108922</v>
      </c>
      <c r="BL85" s="28">
        <f t="shared" ca="1" si="74"/>
        <v>2023</v>
      </c>
      <c r="BM85" s="28">
        <f t="shared" ca="1" si="72"/>
        <v>9</v>
      </c>
      <c r="BN85" s="236">
        <f t="shared" ca="1" si="73"/>
        <v>0</v>
      </c>
      <c r="BO85" s="236">
        <f t="shared" ca="1" si="68"/>
        <v>0</v>
      </c>
    </row>
    <row r="86" spans="39:67" x14ac:dyDescent="0.25">
      <c r="AM86" s="30"/>
      <c r="AN86" s="30"/>
      <c r="AO86" s="28">
        <f t="shared" si="51"/>
        <v>7</v>
      </c>
      <c r="AP86" s="28">
        <f t="shared" si="52"/>
        <v>9</v>
      </c>
      <c r="AQ86" s="65">
        <f t="shared" ca="1" si="69"/>
        <v>0</v>
      </c>
      <c r="AR86" s="66">
        <f t="shared" ca="1" si="53"/>
        <v>0</v>
      </c>
      <c r="AS86" s="66">
        <f t="shared" ca="1" si="54"/>
        <v>3453.7923853967036</v>
      </c>
      <c r="AT86" s="66">
        <f t="shared" ca="1" si="55"/>
        <v>851192.48880366143</v>
      </c>
      <c r="AU86" s="66">
        <f t="shared" ca="1" si="56"/>
        <v>0</v>
      </c>
      <c r="AV86" s="68">
        <f t="shared" ca="1" si="57"/>
        <v>849135.44028905255</v>
      </c>
      <c r="AW86" s="65">
        <f t="shared" ca="1" si="58"/>
        <v>2057.0485146088486</v>
      </c>
      <c r="AX86" s="69">
        <f t="shared" ca="1" si="59"/>
        <v>0</v>
      </c>
      <c r="AY86" s="70">
        <f t="shared" ca="1" si="60"/>
        <v>0</v>
      </c>
      <c r="AZ86" s="66">
        <f t="shared" ca="1" si="61"/>
        <v>279.33508512864785</v>
      </c>
      <c r="BA86" s="66">
        <f t="shared" ca="1" si="62"/>
        <v>354.66353700152564</v>
      </c>
      <c r="BB86" s="66">
        <f t="shared" ca="1" si="63"/>
        <v>28.684402026953133</v>
      </c>
      <c r="BC86" s="66">
        <f t="shared" ca="1" si="64"/>
        <v>68842.56486468752</v>
      </c>
      <c r="BD86" s="66">
        <f t="shared" ca="1" si="65"/>
        <v>0</v>
      </c>
      <c r="BE86" s="71">
        <f t="shared" ca="1" si="71"/>
        <v>69059.543271959672</v>
      </c>
      <c r="BF86" s="65">
        <f t="shared" ca="1" si="66"/>
        <v>166.36953175632817</v>
      </c>
      <c r="BG86" s="69">
        <f t="shared" ca="1" si="67"/>
        <v>0</v>
      </c>
      <c r="BH86" s="301">
        <f t="shared" ca="1" si="70"/>
        <v>0</v>
      </c>
      <c r="BI86" s="300">
        <f ca="1">IF(AO86&gt;TartamVálasztott,0,   (BI85+BH86)*(1+yields!$D$2)*(1-(0.0099/12)))</f>
        <v>214519.33622642857</v>
      </c>
      <c r="BJ86" s="300">
        <f ca="1">SUM(BH$6:BH86)*-1.2</f>
        <v>-229958.52222656246</v>
      </c>
      <c r="BK86" s="300">
        <f t="shared" ca="1" si="43"/>
        <v>-15439.186000133894</v>
      </c>
      <c r="BL86" s="28">
        <f t="shared" ca="1" si="74"/>
        <v>2023</v>
      </c>
      <c r="BM86" s="28">
        <f t="shared" ca="1" si="72"/>
        <v>10</v>
      </c>
      <c r="BN86" s="236">
        <f t="shared" ca="1" si="73"/>
        <v>0</v>
      </c>
      <c r="BO86" s="236">
        <f t="shared" ca="1" si="68"/>
        <v>0</v>
      </c>
    </row>
    <row r="87" spans="39:67" x14ac:dyDescent="0.25">
      <c r="AM87" s="30"/>
      <c r="AN87" s="30"/>
      <c r="AO87" s="28">
        <f t="shared" si="51"/>
        <v>7</v>
      </c>
      <c r="AP87" s="28">
        <f t="shared" si="52"/>
        <v>10</v>
      </c>
      <c r="AQ87" s="65">
        <f t="shared" ca="1" si="69"/>
        <v>43488.503182983382</v>
      </c>
      <c r="AR87" s="66">
        <f t="shared" ca="1" si="53"/>
        <v>36965.227705535872</v>
      </c>
      <c r="AS87" s="66">
        <f t="shared" ca="1" si="54"/>
        <v>3610.0838061834461</v>
      </c>
      <c r="AT87" s="66">
        <f t="shared" ca="1" si="55"/>
        <v>889710.7518007718</v>
      </c>
      <c r="AU87" s="66">
        <f t="shared" ca="1" si="56"/>
        <v>0</v>
      </c>
      <c r="AV87" s="68">
        <f t="shared" ca="1" si="57"/>
        <v>887560.61748391995</v>
      </c>
      <c r="AW87" s="65">
        <f t="shared" ca="1" si="58"/>
        <v>2150.1343168518652</v>
      </c>
      <c r="AX87" s="69">
        <f t="shared" ca="1" si="59"/>
        <v>6523.275477447507</v>
      </c>
      <c r="AY87" s="70">
        <f t="shared" ca="1" si="60"/>
        <v>4966.3870634967025</v>
      </c>
      <c r="AZ87" s="66">
        <f t="shared" ca="1" si="61"/>
        <v>301.59080338637898</v>
      </c>
      <c r="BA87" s="66">
        <f t="shared" ca="1" si="62"/>
        <v>370.71281325032163</v>
      </c>
      <c r="BB87" s="66">
        <f t="shared" ca="1" si="63"/>
        <v>30.969800474517818</v>
      </c>
      <c r="BC87" s="66">
        <f t="shared" ca="1" si="64"/>
        <v>74327.521138842756</v>
      </c>
      <c r="BD87" s="66">
        <f t="shared" ca="1" si="65"/>
        <v>0</v>
      </c>
      <c r="BE87" s="71">
        <f t="shared" ca="1" si="71"/>
        <v>74549.578909815391</v>
      </c>
      <c r="BF87" s="65">
        <f t="shared" ca="1" si="66"/>
        <v>179.62484275220334</v>
      </c>
      <c r="BG87" s="69">
        <f t="shared" ca="1" si="67"/>
        <v>0</v>
      </c>
      <c r="BH87" s="301">
        <f t="shared" ca="1" si="70"/>
        <v>0</v>
      </c>
      <c r="BI87" s="300">
        <f ca="1">IF(AO87&gt;TartamVálasztott,0,   (BI86+BH87)*(1+yields!$D$2)*(1-(0.0099/12)))</f>
        <v>215215.61507169224</v>
      </c>
      <c r="BJ87" s="300">
        <f ca="1">SUM(BH$6:BH87)*-1.2</f>
        <v>-229958.52222656246</v>
      </c>
      <c r="BK87" s="300">
        <f t="shared" ref="BK87:BK150" ca="1" si="75">BI87+BJ87</f>
        <v>-14742.90715487022</v>
      </c>
      <c r="BL87" s="28">
        <f t="shared" ca="1" si="74"/>
        <v>2023</v>
      </c>
      <c r="BM87" s="28">
        <f t="shared" ca="1" si="72"/>
        <v>11</v>
      </c>
      <c r="BN87" s="236">
        <f t="shared" ca="1" si="73"/>
        <v>0</v>
      </c>
      <c r="BO87" s="236">
        <f t="shared" ca="1" si="68"/>
        <v>0</v>
      </c>
    </row>
    <row r="88" spans="39:67" x14ac:dyDescent="0.25">
      <c r="AM88" s="30"/>
      <c r="AN88" s="30"/>
      <c r="AO88" s="28">
        <f t="shared" si="51"/>
        <v>7</v>
      </c>
      <c r="AP88" s="28">
        <f t="shared" si="52"/>
        <v>11</v>
      </c>
      <c r="AQ88" s="65">
        <f t="shared" ca="1" si="69"/>
        <v>0</v>
      </c>
      <c r="AR88" s="66">
        <f t="shared" ca="1" si="53"/>
        <v>0</v>
      </c>
      <c r="AS88" s="66">
        <f t="shared" ca="1" si="54"/>
        <v>3616.0318211208569</v>
      </c>
      <c r="AT88" s="66">
        <f t="shared" ca="1" si="55"/>
        <v>891176.64930504083</v>
      </c>
      <c r="AU88" s="66">
        <f t="shared" ca="1" si="56"/>
        <v>0</v>
      </c>
      <c r="AV88" s="68">
        <f t="shared" ca="1" si="57"/>
        <v>889022.97240255366</v>
      </c>
      <c r="AW88" s="65">
        <f t="shared" ca="1" si="58"/>
        <v>2153.6769024871819</v>
      </c>
      <c r="AX88" s="69">
        <f t="shared" ca="1" si="59"/>
        <v>0</v>
      </c>
      <c r="AY88" s="70">
        <f t="shared" ca="1" si="60"/>
        <v>0</v>
      </c>
      <c r="AZ88" s="66">
        <f t="shared" ca="1" si="61"/>
        <v>303.72421249744855</v>
      </c>
      <c r="BA88" s="66">
        <f t="shared" ca="1" si="62"/>
        <v>371.32360387710037</v>
      </c>
      <c r="BB88" s="66">
        <f t="shared" ca="1" si="63"/>
        <v>31.188876300963685</v>
      </c>
      <c r="BC88" s="66">
        <f t="shared" ca="1" si="64"/>
        <v>74853.303122312835</v>
      </c>
      <c r="BD88" s="66">
        <f t="shared" ca="1" si="65"/>
        <v>0</v>
      </c>
      <c r="BE88" s="71">
        <f t="shared" ca="1" si="71"/>
        <v>75074.920119945309</v>
      </c>
      <c r="BF88" s="65">
        <f t="shared" ca="1" si="66"/>
        <v>180.89548254558935</v>
      </c>
      <c r="BG88" s="69">
        <f t="shared" ca="1" si="67"/>
        <v>0</v>
      </c>
      <c r="BH88" s="301">
        <f t="shared" ca="1" si="70"/>
        <v>0</v>
      </c>
      <c r="BI88" s="300">
        <f ca="1">IF(AO88&gt;TartamVálasztott,0,   (BI87+BH88)*(1+yields!$D$2)*(1-(0.0099/12)))</f>
        <v>215914.15387281301</v>
      </c>
      <c r="BJ88" s="300">
        <f ca="1">SUM(BH$6:BH88)*-1.2</f>
        <v>-229958.52222656246</v>
      </c>
      <c r="BK88" s="300">
        <f t="shared" ca="1" si="75"/>
        <v>-14044.368353749451</v>
      </c>
      <c r="BL88" s="28">
        <f t="shared" ca="1" si="74"/>
        <v>2023</v>
      </c>
      <c r="BM88" s="28">
        <f t="shared" ca="1" si="72"/>
        <v>12</v>
      </c>
      <c r="BN88" s="236">
        <f t="shared" ca="1" si="73"/>
        <v>173954.01273193353</v>
      </c>
      <c r="BO88" s="236">
        <f t="shared" ca="1" si="68"/>
        <v>34790.802546386709</v>
      </c>
    </row>
    <row r="89" spans="39:67" x14ac:dyDescent="0.25">
      <c r="AM89" s="30"/>
      <c r="AN89" s="30"/>
      <c r="AO89" s="28">
        <f t="shared" si="51"/>
        <v>7</v>
      </c>
      <c r="AP89" s="28">
        <f t="shared" si="52"/>
        <v>12</v>
      </c>
      <c r="AQ89" s="65">
        <f t="shared" ca="1" si="69"/>
        <v>0</v>
      </c>
      <c r="AR89" s="66">
        <f t="shared" ca="1" si="53"/>
        <v>0</v>
      </c>
      <c r="AS89" s="66">
        <f t="shared" ca="1" si="54"/>
        <v>3621.9896360749976</v>
      </c>
      <c r="AT89" s="66">
        <f t="shared" ca="1" si="55"/>
        <v>892644.96203862864</v>
      </c>
      <c r="AU89" s="66">
        <f t="shared" ca="1" si="56"/>
        <v>0</v>
      </c>
      <c r="AV89" s="68">
        <f t="shared" ca="1" si="57"/>
        <v>890487.73671370198</v>
      </c>
      <c r="AW89" s="65">
        <f t="shared" ca="1" si="58"/>
        <v>2157.225324926686</v>
      </c>
      <c r="AX89" s="69">
        <f t="shared" ca="1" si="59"/>
        <v>0</v>
      </c>
      <c r="AY89" s="70">
        <f t="shared" ca="1" si="60"/>
        <v>0</v>
      </c>
      <c r="AZ89" s="66">
        <f t="shared" ca="1" si="61"/>
        <v>305.86451761616951</v>
      </c>
      <c r="BA89" s="66">
        <f t="shared" ca="1" si="62"/>
        <v>371.93540084942862</v>
      </c>
      <c r="BB89" s="66">
        <f t="shared" ca="1" si="63"/>
        <v>31.408660265650617</v>
      </c>
      <c r="BC89" s="66">
        <f t="shared" ca="1" si="64"/>
        <v>75380.784637561475</v>
      </c>
      <c r="BD89" s="66">
        <f t="shared" ca="1" si="65"/>
        <v>0</v>
      </c>
      <c r="BE89" s="71">
        <f t="shared" ca="1" si="71"/>
        <v>75601.958469135774</v>
      </c>
      <c r="BF89" s="65">
        <f t="shared" ca="1" si="66"/>
        <v>182.17022954077356</v>
      </c>
      <c r="BG89" s="69">
        <f t="shared" ca="1" si="67"/>
        <v>0</v>
      </c>
      <c r="BH89" s="301">
        <f t="shared" ca="1" si="70"/>
        <v>0</v>
      </c>
      <c r="BI89" s="300">
        <f ca="1">IF(AO89&gt;TartamVálasztott,0,   (BI88+BH89)*(1+yields!$D$2)*(1-(0.0099/12)))</f>
        <v>216614.95996507112</v>
      </c>
      <c r="BJ89" s="300">
        <f ca="1">SUM(BH$6:BH89)*-1.2</f>
        <v>-229958.52222656246</v>
      </c>
      <c r="BK89" s="300">
        <f t="shared" ca="1" si="75"/>
        <v>-13343.562261491345</v>
      </c>
      <c r="BL89" s="28">
        <f t="shared" ca="1" si="74"/>
        <v>2024</v>
      </c>
      <c r="BM89" s="28">
        <f t="shared" ca="1" si="72"/>
        <v>1</v>
      </c>
      <c r="BN89" s="236">
        <f t="shared" ca="1" si="73"/>
        <v>0</v>
      </c>
      <c r="BO89" s="236">
        <f t="shared" ca="1" si="68"/>
        <v>0</v>
      </c>
    </row>
    <row r="90" spans="39:67" x14ac:dyDescent="0.25">
      <c r="AM90" s="30"/>
      <c r="AN90" s="30"/>
      <c r="AO90" s="28">
        <f t="shared" si="51"/>
        <v>8</v>
      </c>
      <c r="AP90" s="28">
        <f t="shared" si="52"/>
        <v>1</v>
      </c>
      <c r="AQ90" s="65">
        <f t="shared" ca="1" si="69"/>
        <v>44575.715762557971</v>
      </c>
      <c r="AR90" s="66">
        <f t="shared" ca="1" si="53"/>
        <v>37889.358398174278</v>
      </c>
      <c r="AS90" s="66">
        <f t="shared" ca="1" si="54"/>
        <v>3782.3232033896647</v>
      </c>
      <c r="AT90" s="66">
        <f t="shared" ca="1" si="55"/>
        <v>932159.41831526591</v>
      </c>
      <c r="AU90" s="66">
        <f t="shared" ca="1" si="56"/>
        <v>0</v>
      </c>
      <c r="AV90" s="68">
        <f t="shared" ca="1" si="57"/>
        <v>929906.699721004</v>
      </c>
      <c r="AW90" s="65">
        <f t="shared" ca="1" si="58"/>
        <v>2252.7185942618926</v>
      </c>
      <c r="AX90" s="69">
        <f t="shared" ca="1" si="59"/>
        <v>6686.3573643836953</v>
      </c>
      <c r="AY90" s="70">
        <f t="shared" ca="1" si="60"/>
        <v>5375.8313209644903</v>
      </c>
      <c r="AZ90" s="66">
        <f t="shared" ca="1" si="61"/>
        <v>329.9135393311243</v>
      </c>
      <c r="BA90" s="66">
        <f t="shared" ca="1" si="62"/>
        <v>388.39975763136084</v>
      </c>
      <c r="BB90" s="66">
        <f t="shared" ca="1" si="63"/>
        <v>33.878209720596416</v>
      </c>
      <c r="BC90" s="66">
        <f t="shared" ca="1" si="64"/>
        <v>81307.703329431388</v>
      </c>
      <c r="BD90" s="66">
        <f t="shared" ca="1" si="65"/>
        <v>0</v>
      </c>
      <c r="BE90" s="71">
        <f t="shared" ca="1" si="71"/>
        <v>81533.487680403879</v>
      </c>
      <c r="BF90" s="65">
        <f t="shared" ca="1" si="66"/>
        <v>196.49361637945918</v>
      </c>
      <c r="BG90" s="69">
        <f t="shared" ca="1" si="67"/>
        <v>0</v>
      </c>
      <c r="BH90" s="301">
        <f t="shared" ca="1" si="70"/>
        <v>0</v>
      </c>
      <c r="BI90" s="300">
        <f ca="1">IF(AO90&gt;TartamVálasztott,0,   (BI89+BH90)*(1+yields!$D$2)*(1-(0.0099/12)))</f>
        <v>217318.04070755542</v>
      </c>
      <c r="BJ90" s="300">
        <f ca="1">SUM(BH$6:BH90)*-1.2</f>
        <v>-229958.52222656246</v>
      </c>
      <c r="BK90" s="300">
        <f t="shared" ca="1" si="75"/>
        <v>-12640.481519007037</v>
      </c>
      <c r="BL90" s="28">
        <f t="shared" ca="1" si="74"/>
        <v>2024</v>
      </c>
      <c r="BM90" s="28">
        <f t="shared" ca="1" si="72"/>
        <v>2</v>
      </c>
      <c r="BN90" s="236">
        <f t="shared" ca="1" si="73"/>
        <v>0</v>
      </c>
      <c r="BO90" s="236">
        <f t="shared" ca="1" si="68"/>
        <v>0</v>
      </c>
    </row>
    <row r="91" spans="39:67" x14ac:dyDescent="0.25">
      <c r="AO91" s="28">
        <f t="shared" si="51"/>
        <v>8</v>
      </c>
      <c r="AP91" s="28">
        <f t="shared" si="52"/>
        <v>2</v>
      </c>
      <c r="AQ91" s="65">
        <f t="shared" ca="1" si="69"/>
        <v>0</v>
      </c>
      <c r="AR91" s="66">
        <f t="shared" ca="1" si="53"/>
        <v>0</v>
      </c>
      <c r="AS91" s="66">
        <f t="shared" ca="1" si="54"/>
        <v>3788.5550019072903</v>
      </c>
      <c r="AT91" s="66">
        <f t="shared" ca="1" si="55"/>
        <v>933695.25472291128</v>
      </c>
      <c r="AU91" s="66">
        <f t="shared" ca="1" si="56"/>
        <v>0</v>
      </c>
      <c r="AV91" s="68">
        <f t="shared" ca="1" si="57"/>
        <v>931438.82452399761</v>
      </c>
      <c r="AW91" s="65">
        <f t="shared" ca="1" si="58"/>
        <v>2256.4301989137025</v>
      </c>
      <c r="AX91" s="69">
        <f t="shared" ca="1" si="59"/>
        <v>0</v>
      </c>
      <c r="AY91" s="70">
        <f t="shared" ca="1" si="60"/>
        <v>0</v>
      </c>
      <c r="AZ91" s="66">
        <f t="shared" ca="1" si="61"/>
        <v>332.17752132253349</v>
      </c>
      <c r="BA91" s="66">
        <f t="shared" ca="1" si="62"/>
        <v>389.03968946787973</v>
      </c>
      <c r="BB91" s="66">
        <f t="shared" ca="1" si="63"/>
        <v>34.110693834052675</v>
      </c>
      <c r="BC91" s="66">
        <f t="shared" ca="1" si="64"/>
        <v>81865.665201726413</v>
      </c>
      <c r="BD91" s="66">
        <f t="shared" ca="1" si="65"/>
        <v>0</v>
      </c>
      <c r="BE91" s="71">
        <f t="shared" ca="1" si="71"/>
        <v>82090.973560790851</v>
      </c>
      <c r="BF91" s="65">
        <f t="shared" ca="1" si="66"/>
        <v>197.84202423750551</v>
      </c>
      <c r="BG91" s="69">
        <f t="shared" ca="1" si="67"/>
        <v>0</v>
      </c>
      <c r="BH91" s="301">
        <f t="shared" ca="1" si="70"/>
        <v>0</v>
      </c>
      <c r="BI91" s="300">
        <f ca="1">IF(AO91&gt;TartamVálasztott,0,   (BI90+BH91)*(1+yields!$D$2)*(1-(0.0099/12)))</f>
        <v>218023.40348324063</v>
      </c>
      <c r="BJ91" s="300">
        <f ca="1">SUM(BH$6:BH91)*-1.2</f>
        <v>-229958.52222656246</v>
      </c>
      <c r="BK91" s="300">
        <f t="shared" ca="1" si="75"/>
        <v>-11935.118743321829</v>
      </c>
      <c r="BL91" s="28">
        <f t="shared" ca="1" si="74"/>
        <v>2024</v>
      </c>
      <c r="BM91" s="28">
        <f t="shared" ca="1" si="72"/>
        <v>3</v>
      </c>
      <c r="BN91" s="236">
        <f t="shared" ca="1" si="73"/>
        <v>0</v>
      </c>
      <c r="BO91" s="236">
        <f t="shared" ca="1" si="68"/>
        <v>0</v>
      </c>
    </row>
    <row r="92" spans="39:67" x14ac:dyDescent="0.25">
      <c r="AO92" s="28">
        <f t="shared" si="51"/>
        <v>8</v>
      </c>
      <c r="AP92" s="28">
        <f t="shared" si="52"/>
        <v>3</v>
      </c>
      <c r="AQ92" s="65">
        <f t="shared" ca="1" si="69"/>
        <v>0</v>
      </c>
      <c r="AR92" s="66">
        <f t="shared" ca="1" si="53"/>
        <v>0</v>
      </c>
      <c r="AS92" s="66">
        <f t="shared" ca="1" si="54"/>
        <v>3794.7970680066837</v>
      </c>
      <c r="AT92" s="66">
        <f t="shared" ca="1" si="55"/>
        <v>935233.62159200432</v>
      </c>
      <c r="AU92" s="66">
        <f t="shared" ca="1" si="56"/>
        <v>0</v>
      </c>
      <c r="AV92" s="68">
        <f t="shared" ca="1" si="57"/>
        <v>932973.47367315693</v>
      </c>
      <c r="AW92" s="65">
        <f t="shared" ca="1" si="58"/>
        <v>2260.147918847344</v>
      </c>
      <c r="AX92" s="69">
        <f t="shared" ca="1" si="59"/>
        <v>0</v>
      </c>
      <c r="AY92" s="70">
        <f t="shared" ca="1" si="60"/>
        <v>0</v>
      </c>
      <c r="AZ92" s="66">
        <f t="shared" ca="1" si="61"/>
        <v>334.44878780686616</v>
      </c>
      <c r="BA92" s="66">
        <f t="shared" ca="1" si="62"/>
        <v>389.68067566333514</v>
      </c>
      <c r="BB92" s="66">
        <f t="shared" ca="1" si="63"/>
        <v>34.343925978582384</v>
      </c>
      <c r="BC92" s="66">
        <f t="shared" ca="1" si="64"/>
        <v>82425.422348597713</v>
      </c>
      <c r="BD92" s="66">
        <f t="shared" ca="1" si="65"/>
        <v>0</v>
      </c>
      <c r="BE92" s="71">
        <f t="shared" ca="1" si="71"/>
        <v>82650.252179563846</v>
      </c>
      <c r="BF92" s="65">
        <f t="shared" ca="1" si="66"/>
        <v>199.19477067577782</v>
      </c>
      <c r="BG92" s="69">
        <f t="shared" ca="1" si="67"/>
        <v>0</v>
      </c>
      <c r="BH92" s="301">
        <f t="shared" ca="1" si="70"/>
        <v>0</v>
      </c>
      <c r="BI92" s="300">
        <f ca="1">IF(AO92&gt;TartamVálasztott,0,   (BI91+BH92)*(1+yields!$D$2)*(1-(0.0099/12)))</f>
        <v>218731.05569906486</v>
      </c>
      <c r="BJ92" s="300">
        <f ca="1">SUM(BH$6:BH92)*-1.2</f>
        <v>-229958.52222656246</v>
      </c>
      <c r="BK92" s="300">
        <f t="shared" ca="1" si="75"/>
        <v>-11227.4665274976</v>
      </c>
      <c r="BL92" s="28">
        <f t="shared" ca="1" si="74"/>
        <v>2024</v>
      </c>
      <c r="BM92" s="28">
        <f t="shared" ca="1" si="72"/>
        <v>4</v>
      </c>
      <c r="BN92" s="236">
        <f t="shared" ca="1" si="73"/>
        <v>0</v>
      </c>
      <c r="BO92" s="236">
        <f t="shared" ca="1" si="68"/>
        <v>0</v>
      </c>
    </row>
    <row r="93" spans="39:67" x14ac:dyDescent="0.25">
      <c r="AO93" s="28">
        <f t="shared" si="51"/>
        <v>8</v>
      </c>
      <c r="AP93" s="28">
        <f t="shared" si="52"/>
        <v>4</v>
      </c>
      <c r="AQ93" s="65">
        <f t="shared" ca="1" si="69"/>
        <v>44575.715762557971</v>
      </c>
      <c r="AR93" s="66">
        <f t="shared" ca="1" si="53"/>
        <v>37889.358398174278</v>
      </c>
      <c r="AS93" s="66">
        <f t="shared" ca="1" si="54"/>
        <v>3955.4153548020081</v>
      </c>
      <c r="AT93" s="66">
        <f t="shared" ca="1" si="55"/>
        <v>974818.24742613325</v>
      </c>
      <c r="AU93" s="66">
        <f t="shared" ca="1" si="56"/>
        <v>0</v>
      </c>
      <c r="AV93" s="68">
        <f t="shared" ca="1" si="57"/>
        <v>972462.43666152004</v>
      </c>
      <c r="AW93" s="65">
        <f t="shared" ca="1" si="58"/>
        <v>2355.8107646131557</v>
      </c>
      <c r="AX93" s="69">
        <f t="shared" ca="1" si="59"/>
        <v>6686.3573643836953</v>
      </c>
      <c r="AY93" s="70">
        <f t="shared" ca="1" si="60"/>
        <v>5375.8313209644903</v>
      </c>
      <c r="AZ93" s="66">
        <f t="shared" ca="1" si="61"/>
        <v>358.62916037091838</v>
      </c>
      <c r="BA93" s="66">
        <f t="shared" ca="1" si="62"/>
        <v>406.17426976088888</v>
      </c>
      <c r="BB93" s="66">
        <f t="shared" ca="1" si="63"/>
        <v>36.826963608708027</v>
      </c>
      <c r="BC93" s="66">
        <f t="shared" ca="1" si="64"/>
        <v>88384.712660899255</v>
      </c>
      <c r="BD93" s="66">
        <f t="shared" ca="1" si="65"/>
        <v>0</v>
      </c>
      <c r="BE93" s="71">
        <f t="shared" ca="1" si="71"/>
        <v>88614.117505338334</v>
      </c>
      <c r="BF93" s="65">
        <f t="shared" ca="1" si="66"/>
        <v>213.59638893050655</v>
      </c>
      <c r="BG93" s="69">
        <f t="shared" ca="1" si="67"/>
        <v>0</v>
      </c>
      <c r="BH93" s="301">
        <f t="shared" ca="1" si="70"/>
        <v>0</v>
      </c>
      <c r="BI93" s="300">
        <f ca="1">IF(AO93&gt;TartamVálasztott,0,   (BI92+BH93)*(1+yields!$D$2)*(1-(0.0099/12)))</f>
        <v>219441.00478600731</v>
      </c>
      <c r="BJ93" s="300">
        <f ca="1">SUM(BH$6:BH93)*-1.2</f>
        <v>-229958.52222656246</v>
      </c>
      <c r="BK93" s="300">
        <f t="shared" ca="1" si="75"/>
        <v>-10517.517440555152</v>
      </c>
      <c r="BL93" s="28">
        <f t="shared" ca="1" si="74"/>
        <v>2024</v>
      </c>
      <c r="BM93" s="28">
        <f t="shared" ca="1" si="72"/>
        <v>5</v>
      </c>
      <c r="BN93" s="236">
        <f t="shared" ca="1" si="73"/>
        <v>0</v>
      </c>
      <c r="BO93" s="236">
        <f t="shared" ca="1" si="68"/>
        <v>0</v>
      </c>
    </row>
    <row r="94" spans="39:67" x14ac:dyDescent="0.25">
      <c r="AO94" s="28">
        <f t="shared" si="51"/>
        <v>8</v>
      </c>
      <c r="AP94" s="28">
        <f t="shared" si="52"/>
        <v>5</v>
      </c>
      <c r="AQ94" s="65">
        <f t="shared" ca="1" si="69"/>
        <v>0</v>
      </c>
      <c r="AR94" s="66">
        <f t="shared" ca="1" si="53"/>
        <v>0</v>
      </c>
      <c r="AS94" s="66">
        <f t="shared" ca="1" si="54"/>
        <v>3961.9323419073294</v>
      </c>
      <c r="AT94" s="66">
        <f t="shared" ca="1" si="55"/>
        <v>976424.36900342733</v>
      </c>
      <c r="AU94" s="66">
        <f t="shared" ca="1" si="56"/>
        <v>0</v>
      </c>
      <c r="AV94" s="68">
        <f t="shared" ca="1" si="57"/>
        <v>974064.67677833571</v>
      </c>
      <c r="AW94" s="65">
        <f t="shared" ca="1" si="58"/>
        <v>2359.6922250916164</v>
      </c>
      <c r="AX94" s="69">
        <f t="shared" ca="1" si="59"/>
        <v>0</v>
      </c>
      <c r="AY94" s="70">
        <f t="shared" ca="1" si="60"/>
        <v>0</v>
      </c>
      <c r="AZ94" s="66">
        <f t="shared" ca="1" si="61"/>
        <v>361.02488369550883</v>
      </c>
      <c r="BA94" s="66">
        <f t="shared" ca="1" si="62"/>
        <v>406.84348708476142</v>
      </c>
      <c r="BB94" s="66">
        <f t="shared" ca="1" si="63"/>
        <v>37.072975995430774</v>
      </c>
      <c r="BC94" s="66">
        <f t="shared" ca="1" si="64"/>
        <v>88975.142389033848</v>
      </c>
      <c r="BD94" s="66">
        <f t="shared" ca="1" si="65"/>
        <v>0</v>
      </c>
      <c r="BE94" s="71">
        <f t="shared" ca="1" si="71"/>
        <v>89204.035591340551</v>
      </c>
      <c r="BF94" s="65">
        <f t="shared" ca="1" si="66"/>
        <v>215.02326077349846</v>
      </c>
      <c r="BG94" s="69">
        <f t="shared" ca="1" si="67"/>
        <v>0</v>
      </c>
      <c r="BH94" s="301">
        <f t="shared" ca="1" si="70"/>
        <v>34790.802546386709</v>
      </c>
      <c r="BI94" s="300">
        <f ca="1">IF(AO94&gt;TartamVálasztott,0,   (BI93+BH94)*(1+yields!$D$2)*(1-(0.0099/12)))</f>
        <v>255056.98343237903</v>
      </c>
      <c r="BJ94" s="300">
        <f ca="1">SUM(BH$6:BH94)*-1.2</f>
        <v>-271707.48528222652</v>
      </c>
      <c r="BK94" s="300">
        <f t="shared" ca="1" si="75"/>
        <v>-16650.501849847496</v>
      </c>
      <c r="BL94" s="28">
        <f t="shared" ca="1" si="74"/>
        <v>2024</v>
      </c>
      <c r="BM94" s="28">
        <f t="shared" ca="1" si="72"/>
        <v>6</v>
      </c>
      <c r="BN94" s="236">
        <f t="shared" ca="1" si="73"/>
        <v>0</v>
      </c>
      <c r="BO94" s="236">
        <f t="shared" ca="1" si="68"/>
        <v>0</v>
      </c>
    </row>
    <row r="95" spans="39:67" x14ac:dyDescent="0.25">
      <c r="AO95" s="28">
        <f t="shared" si="51"/>
        <v>8</v>
      </c>
      <c r="AP95" s="28">
        <f t="shared" si="52"/>
        <v>6</v>
      </c>
      <c r="AQ95" s="65">
        <f t="shared" ca="1" si="69"/>
        <v>0</v>
      </c>
      <c r="AR95" s="66">
        <f t="shared" ca="1" si="53"/>
        <v>0</v>
      </c>
      <c r="AS95" s="66">
        <f t="shared" ca="1" si="54"/>
        <v>3968.4600664743634</v>
      </c>
      <c r="AT95" s="66">
        <f t="shared" ca="1" si="55"/>
        <v>978033.1368448101</v>
      </c>
      <c r="AU95" s="66">
        <f t="shared" ca="1" si="56"/>
        <v>0</v>
      </c>
      <c r="AV95" s="68">
        <f t="shared" ca="1" si="57"/>
        <v>975669.55676410184</v>
      </c>
      <c r="AW95" s="65">
        <f t="shared" ca="1" si="58"/>
        <v>2363.580080708291</v>
      </c>
      <c r="AX95" s="69">
        <f t="shared" ca="1" si="59"/>
        <v>0</v>
      </c>
      <c r="AY95" s="70">
        <f t="shared" ca="1" si="60"/>
        <v>0</v>
      </c>
      <c r="AZ95" s="66">
        <f t="shared" ca="1" si="61"/>
        <v>363.42828300009478</v>
      </c>
      <c r="BA95" s="66">
        <f t="shared" ca="1" si="62"/>
        <v>407.51380701867089</v>
      </c>
      <c r="BB95" s="66">
        <f t="shared" ca="1" si="63"/>
        <v>37.319776614308601</v>
      </c>
      <c r="BC95" s="66">
        <f t="shared" ca="1" si="64"/>
        <v>89567.463874340639</v>
      </c>
      <c r="BD95" s="66">
        <f t="shared" ca="1" si="65"/>
        <v>0</v>
      </c>
      <c r="BE95" s="71">
        <f t="shared" ca="1" si="71"/>
        <v>89795.842753610632</v>
      </c>
      <c r="BF95" s="65">
        <f t="shared" ca="1" si="66"/>
        <v>216.4547043629899</v>
      </c>
      <c r="BG95" s="69">
        <f t="shared" ca="1" si="67"/>
        <v>0</v>
      </c>
      <c r="BH95" s="301">
        <f t="shared" ca="1" si="70"/>
        <v>0</v>
      </c>
      <c r="BI95" s="300">
        <f ca="1">IF(AO95&gt;TartamVálasztott,0,   (BI94+BH95)*(1+yields!$D$2)*(1-(0.0099/12)))</f>
        <v>255884.83785811381</v>
      </c>
      <c r="BJ95" s="300">
        <f ca="1">SUM(BH$6:BH95)*-1.2</f>
        <v>-271707.48528222652</v>
      </c>
      <c r="BK95" s="300">
        <f t="shared" ca="1" si="75"/>
        <v>-15822.647424112714</v>
      </c>
      <c r="BL95" s="28">
        <f t="shared" ca="1" si="74"/>
        <v>2024</v>
      </c>
      <c r="BM95" s="28">
        <f t="shared" ca="1" si="72"/>
        <v>7</v>
      </c>
      <c r="BN95" s="236">
        <f t="shared" ca="1" si="73"/>
        <v>0</v>
      </c>
      <c r="BO95" s="236">
        <f t="shared" ca="1" si="68"/>
        <v>0</v>
      </c>
    </row>
    <row r="96" spans="39:67" x14ac:dyDescent="0.25">
      <c r="AO96" s="28">
        <f t="shared" si="51"/>
        <v>8</v>
      </c>
      <c r="AP96" s="28">
        <f t="shared" si="52"/>
        <v>7</v>
      </c>
      <c r="AQ96" s="65">
        <f t="shared" ca="1" si="69"/>
        <v>44575.715762557971</v>
      </c>
      <c r="AR96" s="66">
        <f t="shared" ca="1" si="53"/>
        <v>37889.358398174278</v>
      </c>
      <c r="AS96" s="66">
        <f t="shared" ca="1" si="54"/>
        <v>4129.3644823914528</v>
      </c>
      <c r="AT96" s="66">
        <f t="shared" ca="1" si="55"/>
        <v>1017688.2796446676</v>
      </c>
      <c r="AU96" s="66">
        <f t="shared" ca="1" si="56"/>
        <v>0</v>
      </c>
      <c r="AV96" s="68">
        <f t="shared" ca="1" si="57"/>
        <v>1015228.866302193</v>
      </c>
      <c r="AW96" s="65">
        <f t="shared" ca="1" si="58"/>
        <v>2459.4133424746137</v>
      </c>
      <c r="AX96" s="69">
        <f t="shared" ca="1" si="59"/>
        <v>6686.3573643836953</v>
      </c>
      <c r="AY96" s="70">
        <f t="shared" ca="1" si="60"/>
        <v>5375.8313209644903</v>
      </c>
      <c r="AZ96" s="66">
        <f t="shared" ca="1" si="61"/>
        <v>387.74118087685588</v>
      </c>
      <c r="BA96" s="66">
        <f t="shared" ca="1" si="62"/>
        <v>424.03678318527818</v>
      </c>
      <c r="BB96" s="66">
        <f t="shared" ca="1" si="63"/>
        <v>39.816423023104988</v>
      </c>
      <c r="BC96" s="66">
        <f t="shared" ca="1" si="64"/>
        <v>95559.415255451968</v>
      </c>
      <c r="BD96" s="66">
        <f t="shared" ca="1" si="65"/>
        <v>0</v>
      </c>
      <c r="BE96" s="71">
        <f t="shared" ca="1" si="71"/>
        <v>95792.333208126336</v>
      </c>
      <c r="BF96" s="65">
        <f t="shared" ca="1" si="66"/>
        <v>230.93525353400892</v>
      </c>
      <c r="BG96" s="69">
        <f t="shared" ca="1" si="67"/>
        <v>0</v>
      </c>
      <c r="BH96" s="301">
        <f t="shared" ca="1" si="70"/>
        <v>0</v>
      </c>
      <c r="BI96" s="300">
        <f ca="1">IF(AO96&gt;TartamVálasztott,0,   (BI95+BH96)*(1+yields!$D$2)*(1-(0.0099/12)))</f>
        <v>256715.379302808</v>
      </c>
      <c r="BJ96" s="300">
        <f ca="1">SUM(BH$6:BH96)*-1.2</f>
        <v>-271707.48528222652</v>
      </c>
      <c r="BK96" s="300">
        <f t="shared" ca="1" si="75"/>
        <v>-14992.105979418528</v>
      </c>
      <c r="BL96" s="28">
        <f t="shared" ca="1" si="74"/>
        <v>2024</v>
      </c>
      <c r="BM96" s="28">
        <f t="shared" ca="1" si="72"/>
        <v>8</v>
      </c>
      <c r="BN96" s="236">
        <f t="shared" ca="1" si="73"/>
        <v>0</v>
      </c>
      <c r="BO96" s="236">
        <f t="shared" ca="1" si="68"/>
        <v>0</v>
      </c>
    </row>
    <row r="97" spans="41:67" x14ac:dyDescent="0.25">
      <c r="AO97" s="28">
        <f t="shared" si="51"/>
        <v>8</v>
      </c>
      <c r="AP97" s="28">
        <f t="shared" si="52"/>
        <v>8</v>
      </c>
      <c r="AQ97" s="65">
        <f t="shared" ca="1" si="69"/>
        <v>0</v>
      </c>
      <c r="AR97" s="66">
        <f t="shared" ca="1" si="53"/>
        <v>0</v>
      </c>
      <c r="AS97" s="66">
        <f t="shared" ca="1" si="54"/>
        <v>4136.1680700481193</v>
      </c>
      <c r="AT97" s="66">
        <f t="shared" ca="1" si="55"/>
        <v>1019365.0343722411</v>
      </c>
      <c r="AU97" s="66">
        <f t="shared" ca="1" si="56"/>
        <v>0</v>
      </c>
      <c r="AV97" s="68">
        <f t="shared" ca="1" si="57"/>
        <v>1016901.5688725082</v>
      </c>
      <c r="AW97" s="65">
        <f t="shared" ca="1" si="58"/>
        <v>2463.4654997329162</v>
      </c>
      <c r="AX97" s="69">
        <f t="shared" ca="1" si="59"/>
        <v>0</v>
      </c>
      <c r="AY97" s="70">
        <f t="shared" ca="1" si="60"/>
        <v>0</v>
      </c>
      <c r="AZ97" s="66">
        <f t="shared" ca="1" si="61"/>
        <v>390.26982301439551</v>
      </c>
      <c r="BA97" s="66">
        <f t="shared" ca="1" si="62"/>
        <v>424.73543098843385</v>
      </c>
      <c r="BB97" s="66">
        <f t="shared" ca="1" si="63"/>
        <v>40.076084596308647</v>
      </c>
      <c r="BC97" s="66">
        <f t="shared" ca="1" si="64"/>
        <v>96182.603031140738</v>
      </c>
      <c r="BD97" s="66">
        <f t="shared" ca="1" si="65"/>
        <v>0</v>
      </c>
      <c r="BE97" s="71">
        <f t="shared" ca="1" si="71"/>
        <v>96414.973256066893</v>
      </c>
      <c r="BF97" s="65">
        <f t="shared" ca="1" si="66"/>
        <v>232.44129065859013</v>
      </c>
      <c r="BG97" s="69">
        <f t="shared" ca="1" si="67"/>
        <v>0</v>
      </c>
      <c r="BH97" s="301">
        <f t="shared" ca="1" si="70"/>
        <v>0</v>
      </c>
      <c r="BI97" s="300">
        <f ca="1">IF(AO97&gt;TartamVálasztott,0,   (BI96+BH97)*(1+yields!$D$2)*(1-(0.0099/12)))</f>
        <v>257548.61648788731</v>
      </c>
      <c r="BJ97" s="300">
        <f ca="1">SUM(BH$6:BH97)*-1.2</f>
        <v>-271707.48528222652</v>
      </c>
      <c r="BK97" s="300">
        <f t="shared" ca="1" si="75"/>
        <v>-14158.868794339214</v>
      </c>
      <c r="BL97" s="28">
        <f t="shared" ca="1" si="74"/>
        <v>2024</v>
      </c>
      <c r="BM97" s="28">
        <f t="shared" ca="1" si="72"/>
        <v>9</v>
      </c>
      <c r="BN97" s="236">
        <f t="shared" ca="1" si="73"/>
        <v>0</v>
      </c>
      <c r="BO97" s="236">
        <f t="shared" ca="1" si="68"/>
        <v>0</v>
      </c>
    </row>
    <row r="98" spans="41:67" x14ac:dyDescent="0.25">
      <c r="AO98" s="28">
        <f t="shared" si="51"/>
        <v>8</v>
      </c>
      <c r="AP98" s="28">
        <f t="shared" si="52"/>
        <v>9</v>
      </c>
      <c r="AQ98" s="65">
        <f t="shared" ca="1" si="69"/>
        <v>0</v>
      </c>
      <c r="AR98" s="66">
        <f t="shared" ca="1" si="53"/>
        <v>0</v>
      </c>
      <c r="AS98" s="66">
        <f t="shared" ca="1" si="54"/>
        <v>4142.9828673728098</v>
      </c>
      <c r="AT98" s="66">
        <f t="shared" ca="1" si="55"/>
        <v>1021044.551739881</v>
      </c>
      <c r="AU98" s="66">
        <f t="shared" ca="1" si="56"/>
        <v>0</v>
      </c>
      <c r="AV98" s="68">
        <f t="shared" ca="1" si="57"/>
        <v>1018577.0274065096</v>
      </c>
      <c r="AW98" s="65">
        <f t="shared" ca="1" si="58"/>
        <v>2467.5243333713793</v>
      </c>
      <c r="AX98" s="69">
        <f t="shared" ca="1" si="59"/>
        <v>0</v>
      </c>
      <c r="AY98" s="70">
        <f t="shared" ca="1" si="60"/>
        <v>0</v>
      </c>
      <c r="AZ98" s="66">
        <f t="shared" ca="1" si="61"/>
        <v>392.80653564236206</v>
      </c>
      <c r="BA98" s="66">
        <f t="shared" ca="1" si="62"/>
        <v>425.43522989161715</v>
      </c>
      <c r="BB98" s="66">
        <f t="shared" ca="1" si="63"/>
        <v>40.336574913212189</v>
      </c>
      <c r="BC98" s="66">
        <f t="shared" ca="1" si="64"/>
        <v>96807.779791709254</v>
      </c>
      <c r="BD98" s="66">
        <f t="shared" ca="1" si="65"/>
        <v>0</v>
      </c>
      <c r="BE98" s="71">
        <f t="shared" ca="1" si="71"/>
        <v>97039.599462017446</v>
      </c>
      <c r="BF98" s="65">
        <f t="shared" ca="1" si="66"/>
        <v>233.95213449663072</v>
      </c>
      <c r="BG98" s="69">
        <f t="shared" ca="1" si="67"/>
        <v>0</v>
      </c>
      <c r="BH98" s="301">
        <f t="shared" ca="1" si="70"/>
        <v>0</v>
      </c>
      <c r="BI98" s="300">
        <f ca="1">IF(AO98&gt;TartamVálasztott,0,   (BI97+BH98)*(1+yields!$D$2)*(1-(0.0099/12)))</f>
        <v>258384.55816308514</v>
      </c>
      <c r="BJ98" s="300">
        <f ca="1">SUM(BH$6:BH98)*-1.2</f>
        <v>-271707.48528222652</v>
      </c>
      <c r="BK98" s="300">
        <f t="shared" ca="1" si="75"/>
        <v>-13322.927119141386</v>
      </c>
      <c r="BL98" s="28">
        <f t="shared" ca="1" si="74"/>
        <v>2024</v>
      </c>
      <c r="BM98" s="28">
        <f t="shared" ca="1" si="72"/>
        <v>10</v>
      </c>
      <c r="BN98" s="236">
        <f t="shared" ca="1" si="73"/>
        <v>0</v>
      </c>
      <c r="BO98" s="236">
        <f t="shared" ca="1" si="68"/>
        <v>0</v>
      </c>
    </row>
    <row r="99" spans="41:67" x14ac:dyDescent="0.25">
      <c r="AO99" s="28">
        <f t="shared" si="51"/>
        <v>8</v>
      </c>
      <c r="AP99" s="28">
        <f t="shared" si="52"/>
        <v>10</v>
      </c>
      <c r="AQ99" s="65">
        <f t="shared" ca="1" si="69"/>
        <v>44575.715762557971</v>
      </c>
      <c r="AR99" s="66">
        <f t="shared" ca="1" si="53"/>
        <v>37889.358398174278</v>
      </c>
      <c r="AS99" s="66">
        <f t="shared" ca="1" si="54"/>
        <v>4304.1748290318801</v>
      </c>
      <c r="AT99" s="66">
        <f t="shared" ca="1" si="55"/>
        <v>1060770.5606337157</v>
      </c>
      <c r="AU99" s="66">
        <f t="shared" ca="1" si="56"/>
        <v>0</v>
      </c>
      <c r="AV99" s="68">
        <f t="shared" ca="1" si="57"/>
        <v>1058207.0317788508</v>
      </c>
      <c r="AW99" s="65">
        <f t="shared" ca="1" si="58"/>
        <v>2563.5288548648132</v>
      </c>
      <c r="AX99" s="69">
        <f t="shared" ca="1" si="59"/>
        <v>6686.3573643836953</v>
      </c>
      <c r="AY99" s="70">
        <f t="shared" ca="1" si="60"/>
        <v>5375.8313209644903</v>
      </c>
      <c r="AZ99" s="66">
        <f t="shared" ca="1" si="61"/>
        <v>417.25314236553839</v>
      </c>
      <c r="BA99" s="66">
        <f t="shared" ca="1" si="62"/>
        <v>441.98773359738158</v>
      </c>
      <c r="BB99" s="66">
        <f t="shared" ca="1" si="63"/>
        <v>42.846951635561453</v>
      </c>
      <c r="BC99" s="66">
        <f t="shared" ca="1" si="64"/>
        <v>102832.68392534748</v>
      </c>
      <c r="BD99" s="66">
        <f t="shared" ca="1" si="65"/>
        <v>0</v>
      </c>
      <c r="BE99" s="71">
        <f t="shared" ca="1" si="71"/>
        <v>103069.00629109416</v>
      </c>
      <c r="BF99" s="65">
        <f t="shared" ca="1" si="66"/>
        <v>248.51231948625642</v>
      </c>
      <c r="BG99" s="69">
        <f t="shared" ca="1" si="67"/>
        <v>0</v>
      </c>
      <c r="BH99" s="301">
        <f t="shared" ca="1" si="70"/>
        <v>0</v>
      </c>
      <c r="BI99" s="300">
        <f ca="1">IF(AO99&gt;TartamVálasztott,0,   (BI98+BH99)*(1+yields!$D$2)*(1-(0.0099/12)))</f>
        <v>259223.21310653447</v>
      </c>
      <c r="BJ99" s="300">
        <f ca="1">SUM(BH$6:BH99)*-1.2</f>
        <v>-271707.48528222652</v>
      </c>
      <c r="BK99" s="300">
        <f t="shared" ca="1" si="75"/>
        <v>-12484.272175692051</v>
      </c>
      <c r="BL99" s="28">
        <f t="shared" ca="1" si="74"/>
        <v>2024</v>
      </c>
      <c r="BM99" s="28">
        <f t="shared" ca="1" si="72"/>
        <v>11</v>
      </c>
      <c r="BN99" s="236">
        <f t="shared" ca="1" si="73"/>
        <v>0</v>
      </c>
      <c r="BO99" s="236">
        <f t="shared" ca="1" si="68"/>
        <v>0</v>
      </c>
    </row>
    <row r="100" spans="41:67" x14ac:dyDescent="0.25">
      <c r="AO100" s="28">
        <f t="shared" si="51"/>
        <v>8</v>
      </c>
      <c r="AP100" s="28">
        <f t="shared" si="52"/>
        <v>11</v>
      </c>
      <c r="AQ100" s="65">
        <f t="shared" ca="1" si="69"/>
        <v>0</v>
      </c>
      <c r="AR100" s="66">
        <f t="shared" ca="1" si="53"/>
        <v>0</v>
      </c>
      <c r="AS100" s="66">
        <f t="shared" ca="1" si="54"/>
        <v>4311.2664361941452</v>
      </c>
      <c r="AT100" s="66">
        <f t="shared" ca="1" si="55"/>
        <v>1062518.2982150449</v>
      </c>
      <c r="AU100" s="66">
        <f t="shared" ca="1" si="56"/>
        <v>0</v>
      </c>
      <c r="AV100" s="68">
        <f t="shared" ca="1" si="57"/>
        <v>1059950.5456610252</v>
      </c>
      <c r="AW100" s="65">
        <f t="shared" ca="1" si="58"/>
        <v>2567.7525540196921</v>
      </c>
      <c r="AX100" s="69">
        <f t="shared" ca="1" si="59"/>
        <v>0</v>
      </c>
      <c r="AY100" s="70">
        <f t="shared" ca="1" si="60"/>
        <v>0</v>
      </c>
      <c r="AZ100" s="66">
        <f t="shared" ca="1" si="61"/>
        <v>419.91588988754847</v>
      </c>
      <c r="BA100" s="66">
        <f t="shared" ca="1" si="62"/>
        <v>442.71595758960206</v>
      </c>
      <c r="BB100" s="66">
        <f t="shared" ca="1" si="63"/>
        <v>43.120384242075716</v>
      </c>
      <c r="BC100" s="66">
        <f t="shared" ca="1" si="64"/>
        <v>103488.92218098171</v>
      </c>
      <c r="BD100" s="66">
        <f t="shared" ca="1" si="65"/>
        <v>0</v>
      </c>
      <c r="BE100" s="71">
        <f t="shared" ca="1" si="71"/>
        <v>103724.66029420935</v>
      </c>
      <c r="BF100" s="65">
        <f t="shared" ca="1" si="66"/>
        <v>250.09822860403915</v>
      </c>
      <c r="BG100" s="69">
        <f t="shared" ca="1" si="67"/>
        <v>0</v>
      </c>
      <c r="BH100" s="301">
        <f t="shared" ca="1" si="70"/>
        <v>0</v>
      </c>
      <c r="BI100" s="300">
        <f ca="1">IF(AO100&gt;TartamVálasztott,0,   (BI99+BH100)*(1+yields!$D$2)*(1-(0.0099/12)))</f>
        <v>260064.59012486</v>
      </c>
      <c r="BJ100" s="300">
        <f ca="1">SUM(BH$6:BH100)*-1.2</f>
        <v>-271707.48528222652</v>
      </c>
      <c r="BK100" s="300">
        <f t="shared" ca="1" si="75"/>
        <v>-11642.895157366525</v>
      </c>
      <c r="BL100" s="28">
        <f t="shared" ca="1" si="74"/>
        <v>2024</v>
      </c>
      <c r="BM100" s="28">
        <f t="shared" ca="1" si="72"/>
        <v>12</v>
      </c>
      <c r="BN100" s="236">
        <f t="shared" ca="1" si="73"/>
        <v>178302.86305023188</v>
      </c>
      <c r="BO100" s="236">
        <f t="shared" ca="1" si="68"/>
        <v>35660.57261004638</v>
      </c>
    </row>
    <row r="101" spans="41:67" x14ac:dyDescent="0.25">
      <c r="AO101" s="28">
        <f t="shared" si="51"/>
        <v>8</v>
      </c>
      <c r="AP101" s="28">
        <f t="shared" si="52"/>
        <v>12</v>
      </c>
      <c r="AQ101" s="65">
        <f t="shared" ca="1" si="69"/>
        <v>0</v>
      </c>
      <c r="AR101" s="66">
        <f t="shared" ca="1" si="53"/>
        <v>0</v>
      </c>
      <c r="AS101" s="66">
        <f t="shared" ca="1" si="54"/>
        <v>4318.3697275686327</v>
      </c>
      <c r="AT101" s="66">
        <f t="shared" ca="1" si="55"/>
        <v>1064268.9153885939</v>
      </c>
      <c r="AU101" s="66">
        <f t="shared" ca="1" si="56"/>
        <v>0</v>
      </c>
      <c r="AV101" s="68">
        <f t="shared" ca="1" si="57"/>
        <v>1061696.9321764049</v>
      </c>
      <c r="AW101" s="65">
        <f t="shared" ca="1" si="58"/>
        <v>2571.9832121891022</v>
      </c>
      <c r="AX101" s="69">
        <f t="shared" ca="1" si="59"/>
        <v>0</v>
      </c>
      <c r="AY101" s="70">
        <f t="shared" ca="1" si="60"/>
        <v>0</v>
      </c>
      <c r="AZ101" s="66">
        <f t="shared" ca="1" si="61"/>
        <v>422.58710545548433</v>
      </c>
      <c r="BA101" s="66">
        <f t="shared" ca="1" si="62"/>
        <v>443.44538141191418</v>
      </c>
      <c r="BB101" s="66">
        <f t="shared" ca="1" si="63"/>
        <v>43.394686416527016</v>
      </c>
      <c r="BC101" s="66">
        <f t="shared" ca="1" si="64"/>
        <v>104147.24739966483</v>
      </c>
      <c r="BD101" s="66">
        <f t="shared" ca="1" si="65"/>
        <v>0</v>
      </c>
      <c r="BE101" s="71">
        <f t="shared" ca="1" si="71"/>
        <v>104382.39828627741</v>
      </c>
      <c r="BF101" s="65">
        <f t="shared" ca="1" si="66"/>
        <v>251.68918121585671</v>
      </c>
      <c r="BG101" s="69">
        <f t="shared" ca="1" si="67"/>
        <v>0</v>
      </c>
      <c r="BH101" s="301">
        <f t="shared" ca="1" si="70"/>
        <v>0</v>
      </c>
      <c r="BI101" s="300">
        <f ca="1">IF(AO101&gt;TartamVálasztott,0,   (BI100+BH101)*(1+yields!$D$2)*(1-(0.0099/12)))</f>
        <v>260908.69805327064</v>
      </c>
      <c r="BJ101" s="300">
        <f ca="1">SUM(BH$6:BH101)*-1.2</f>
        <v>-271707.48528222652</v>
      </c>
      <c r="BK101" s="300">
        <f t="shared" ca="1" si="75"/>
        <v>-10798.787228955887</v>
      </c>
      <c r="BL101" s="28">
        <f t="shared" ca="1" si="74"/>
        <v>2025</v>
      </c>
      <c r="BM101" s="28">
        <f t="shared" ca="1" si="72"/>
        <v>1</v>
      </c>
      <c r="BN101" s="236">
        <f t="shared" ca="1" si="73"/>
        <v>0</v>
      </c>
      <c r="BO101" s="236">
        <f t="shared" ca="1" si="68"/>
        <v>0</v>
      </c>
    </row>
    <row r="102" spans="41:67" x14ac:dyDescent="0.25">
      <c r="AO102" s="28">
        <f t="shared" si="51"/>
        <v>9</v>
      </c>
      <c r="AP102" s="28">
        <f t="shared" si="52"/>
        <v>1</v>
      </c>
      <c r="AQ102" s="65">
        <f t="shared" ca="1" si="69"/>
        <v>45690.108656621916</v>
      </c>
      <c r="AR102" s="66">
        <f t="shared" ca="1" si="53"/>
        <v>38836.592358128626</v>
      </c>
      <c r="AS102" s="66">
        <f t="shared" ca="1" si="54"/>
        <v>4483.7098070084912</v>
      </c>
      <c r="AT102" s="66">
        <f t="shared" ca="1" si="55"/>
        <v>1105017.234341542</v>
      </c>
      <c r="AU102" s="66">
        <f t="shared" ca="1" si="56"/>
        <v>0</v>
      </c>
      <c r="AV102" s="68">
        <f t="shared" ca="1" si="57"/>
        <v>1102346.7760252166</v>
      </c>
      <c r="AW102" s="65">
        <f t="shared" ca="1" si="58"/>
        <v>2670.4583163253933</v>
      </c>
      <c r="AX102" s="69">
        <f t="shared" ca="1" si="59"/>
        <v>6853.5162984932876</v>
      </c>
      <c r="AY102" s="70">
        <f t="shared" ca="1" si="60"/>
        <v>5802.6437993909831</v>
      </c>
      <c r="AZ102" s="66">
        <f t="shared" ca="1" si="61"/>
        <v>448.90750056351635</v>
      </c>
      <c r="BA102" s="66">
        <f t="shared" ca="1" si="62"/>
        <v>460.42384764230917</v>
      </c>
      <c r="BB102" s="66">
        <f t="shared" ca="1" si="63"/>
        <v>46.097478994263298</v>
      </c>
      <c r="BC102" s="66">
        <f t="shared" ca="1" si="64"/>
        <v>110633.9495862319</v>
      </c>
      <c r="BD102" s="66">
        <f t="shared" ca="1" si="65"/>
        <v>0</v>
      </c>
      <c r="BE102" s="71">
        <f t="shared" ca="1" si="71"/>
        <v>110873.10553470175</v>
      </c>
      <c r="BF102" s="65">
        <f t="shared" ca="1" si="66"/>
        <v>267.36537816672711</v>
      </c>
      <c r="BG102" s="69">
        <f t="shared" ca="1" si="67"/>
        <v>0</v>
      </c>
      <c r="BH102" s="301">
        <f t="shared" ca="1" si="70"/>
        <v>0</v>
      </c>
      <c r="BI102" s="300">
        <f ca="1">IF(AO102&gt;TartamVálasztott,0,   (BI101+BH102)*(1+yields!$D$2)*(1-(0.0099/12)))</f>
        <v>261755.54575565227</v>
      </c>
      <c r="BJ102" s="300">
        <f ca="1">SUM(BH$6:BH102)*-1.2</f>
        <v>-271707.48528222652</v>
      </c>
      <c r="BK102" s="300">
        <f t="shared" ca="1" si="75"/>
        <v>-9951.9395265742496</v>
      </c>
      <c r="BL102" s="28">
        <f t="shared" ca="1" si="74"/>
        <v>2025</v>
      </c>
      <c r="BM102" s="28">
        <f t="shared" ca="1" si="72"/>
        <v>2</v>
      </c>
      <c r="BN102" s="236">
        <f t="shared" ca="1" si="73"/>
        <v>0</v>
      </c>
      <c r="BO102" s="236">
        <f t="shared" ca="1" si="68"/>
        <v>0</v>
      </c>
    </row>
    <row r="103" spans="41:67" x14ac:dyDescent="0.25">
      <c r="AO103" s="28">
        <f t="shared" si="51"/>
        <v>9</v>
      </c>
      <c r="AP103" s="28">
        <f t="shared" si="52"/>
        <v>2</v>
      </c>
      <c r="AQ103" s="65">
        <f t="shared" ca="1" si="69"/>
        <v>0</v>
      </c>
      <c r="AR103" s="66">
        <f t="shared" ca="1" si="53"/>
        <v>0</v>
      </c>
      <c r="AS103" s="66">
        <f t="shared" ca="1" si="54"/>
        <v>4491.0972180324197</v>
      </c>
      <c r="AT103" s="66">
        <f t="shared" ca="1" si="55"/>
        <v>1106837.873243249</v>
      </c>
      <c r="AU103" s="66">
        <f t="shared" ca="1" si="56"/>
        <v>0</v>
      </c>
      <c r="AV103" s="68">
        <f t="shared" ca="1" si="57"/>
        <v>1104163.0150495779</v>
      </c>
      <c r="AW103" s="65">
        <f t="shared" ca="1" si="58"/>
        <v>2674.8581936711853</v>
      </c>
      <c r="AX103" s="69">
        <f t="shared" ca="1" si="59"/>
        <v>0</v>
      </c>
      <c r="AY103" s="70">
        <f t="shared" ca="1" si="60"/>
        <v>0</v>
      </c>
      <c r="AZ103" s="66">
        <f t="shared" ca="1" si="61"/>
        <v>451.71075622588234</v>
      </c>
      <c r="BA103" s="66">
        <f t="shared" ca="1" si="62"/>
        <v>461.18244718468713</v>
      </c>
      <c r="BB103" s="66">
        <f t="shared" ca="1" si="63"/>
        <v>46.385340121219848</v>
      </c>
      <c r="BC103" s="66">
        <f t="shared" ca="1" si="64"/>
        <v>111324.81629092763</v>
      </c>
      <c r="BD103" s="66">
        <f t="shared" ca="1" si="65"/>
        <v>0</v>
      </c>
      <c r="BE103" s="71">
        <f t="shared" ca="1" si="71"/>
        <v>111563.34910553046</v>
      </c>
      <c r="BF103" s="65">
        <f t="shared" ca="1" si="66"/>
        <v>269.03497270307514</v>
      </c>
      <c r="BG103" s="69">
        <f t="shared" ca="1" si="67"/>
        <v>0</v>
      </c>
      <c r="BH103" s="301">
        <f t="shared" ca="1" si="70"/>
        <v>0</v>
      </c>
      <c r="BI103" s="300">
        <f ca="1">IF(AO103&gt;TartamVálasztott,0,   (BI102+BH103)*(1+yields!$D$2)*(1-(0.0099/12)))</f>
        <v>262605.1421246609</v>
      </c>
      <c r="BJ103" s="300">
        <f ca="1">SUM(BH$6:BH103)*-1.2</f>
        <v>-271707.48528222652</v>
      </c>
      <c r="BK103" s="300">
        <f t="shared" ca="1" si="75"/>
        <v>-9102.3431575656286</v>
      </c>
      <c r="BL103" s="28">
        <f t="shared" ca="1" si="74"/>
        <v>2025</v>
      </c>
      <c r="BM103" s="28">
        <f t="shared" ca="1" si="72"/>
        <v>3</v>
      </c>
      <c r="BN103" s="236">
        <f t="shared" ca="1" si="73"/>
        <v>0</v>
      </c>
      <c r="BO103" s="236">
        <f t="shared" ca="1" si="68"/>
        <v>0</v>
      </c>
    </row>
    <row r="104" spans="41:67" x14ac:dyDescent="0.25">
      <c r="AO104" s="28">
        <f t="shared" si="51"/>
        <v>9</v>
      </c>
      <c r="AP104" s="28">
        <f t="shared" si="52"/>
        <v>3</v>
      </c>
      <c r="AQ104" s="65">
        <f t="shared" ca="1" si="69"/>
        <v>0</v>
      </c>
      <c r="AR104" s="66">
        <f t="shared" ca="1" si="53"/>
        <v>0</v>
      </c>
      <c r="AS104" s="66">
        <f t="shared" ca="1" si="54"/>
        <v>4498.4968006383606</v>
      </c>
      <c r="AT104" s="66">
        <f t="shared" ca="1" si="55"/>
        <v>1108661.5118502162</v>
      </c>
      <c r="AU104" s="66">
        <f t="shared" ca="1" si="56"/>
        <v>0</v>
      </c>
      <c r="AV104" s="68">
        <f t="shared" ca="1" si="57"/>
        <v>1105982.2465299114</v>
      </c>
      <c r="AW104" s="65">
        <f t="shared" ca="1" si="58"/>
        <v>2679.2653203046893</v>
      </c>
      <c r="AX104" s="69">
        <f t="shared" ca="1" si="59"/>
        <v>0</v>
      </c>
      <c r="AY104" s="70">
        <f t="shared" ca="1" si="60"/>
        <v>0</v>
      </c>
      <c r="AZ104" s="66">
        <f t="shared" ca="1" si="61"/>
        <v>454.52289397430593</v>
      </c>
      <c r="BA104" s="66">
        <f t="shared" ca="1" si="62"/>
        <v>461.9422966042568</v>
      </c>
      <c r="BB104" s="66">
        <f t="shared" ca="1" si="63"/>
        <v>46.674113333126989</v>
      </c>
      <c r="BC104" s="66">
        <f t="shared" ca="1" si="64"/>
        <v>112017.87199950477</v>
      </c>
      <c r="BD104" s="66">
        <f t="shared" ca="1" si="65"/>
        <v>0</v>
      </c>
      <c r="BE104" s="71">
        <f t="shared" ca="1" si="71"/>
        <v>112255.77855211002</v>
      </c>
      <c r="BF104" s="65">
        <f t="shared" ca="1" si="66"/>
        <v>270.70985733213655</v>
      </c>
      <c r="BG104" s="69">
        <f t="shared" ca="1" si="67"/>
        <v>0</v>
      </c>
      <c r="BH104" s="301">
        <f t="shared" ca="1" si="70"/>
        <v>0</v>
      </c>
      <c r="BI104" s="300">
        <f ca="1">IF(AO104&gt;TartamVálasztott,0,   (BI103+BH104)*(1+yields!$D$2)*(1-(0.0099/12)))</f>
        <v>263457.49608181592</v>
      </c>
      <c r="BJ104" s="300">
        <f ca="1">SUM(BH$6:BH104)*-1.2</f>
        <v>-271707.48528222652</v>
      </c>
      <c r="BK104" s="300">
        <f t="shared" ca="1" si="75"/>
        <v>-8249.9892004106077</v>
      </c>
      <c r="BL104" s="28">
        <f t="shared" ca="1" si="74"/>
        <v>2025</v>
      </c>
      <c r="BM104" s="28">
        <f t="shared" ca="1" si="72"/>
        <v>4</v>
      </c>
      <c r="BN104" s="236">
        <f t="shared" ca="1" si="73"/>
        <v>0</v>
      </c>
      <c r="BO104" s="236">
        <f t="shared" ca="1" si="68"/>
        <v>0</v>
      </c>
    </row>
    <row r="105" spans="41:67" x14ac:dyDescent="0.25">
      <c r="AO105" s="28">
        <f t="shared" si="51"/>
        <v>9</v>
      </c>
      <c r="AP105" s="28">
        <f t="shared" si="52"/>
        <v>4</v>
      </c>
      <c r="AQ105" s="65">
        <f t="shared" ca="1" si="69"/>
        <v>45690.108656621916</v>
      </c>
      <c r="AR105" s="66">
        <f t="shared" ca="1" si="53"/>
        <v>38836.592358128626</v>
      </c>
      <c r="AS105" s="66">
        <f t="shared" ca="1" si="54"/>
        <v>4664.1336594824561</v>
      </c>
      <c r="AT105" s="66">
        <f t="shared" ca="1" si="55"/>
        <v>1149482.9725475225</v>
      </c>
      <c r="AU105" s="66">
        <f t="shared" ca="1" si="56"/>
        <v>0</v>
      </c>
      <c r="AV105" s="68">
        <f t="shared" ca="1" si="57"/>
        <v>1146705.055363866</v>
      </c>
      <c r="AW105" s="65">
        <f t="shared" ca="1" si="58"/>
        <v>2777.9171836565129</v>
      </c>
      <c r="AX105" s="69">
        <f t="shared" ca="1" si="59"/>
        <v>6853.5162984932876</v>
      </c>
      <c r="AY105" s="70">
        <f t="shared" ca="1" si="60"/>
        <v>5802.6437993909831</v>
      </c>
      <c r="AZ105" s="66">
        <f t="shared" ca="1" si="61"/>
        <v>480.98462636225258</v>
      </c>
      <c r="BA105" s="66">
        <f t="shared" ca="1" si="62"/>
        <v>478.95123856146773</v>
      </c>
      <c r="BB105" s="66">
        <f t="shared" ca="1" si="63"/>
        <v>49.391419574109683</v>
      </c>
      <c r="BC105" s="66">
        <f t="shared" ca="1" si="64"/>
        <v>118539.40697786324</v>
      </c>
      <c r="BD105" s="66">
        <f t="shared" ca="1" si="65"/>
        <v>0</v>
      </c>
      <c r="BE105" s="71">
        <f t="shared" ca="1" si="71"/>
        <v>118781.27940246898</v>
      </c>
      <c r="BF105" s="65">
        <f t="shared" ca="1" si="66"/>
        <v>286.47023352983615</v>
      </c>
      <c r="BG105" s="69">
        <f t="shared" ca="1" si="67"/>
        <v>0</v>
      </c>
      <c r="BH105" s="301">
        <f t="shared" ca="1" si="70"/>
        <v>0</v>
      </c>
      <c r="BI105" s="300">
        <f ca="1">IF(AO105&gt;TartamVálasztott,0,   (BI104+BH105)*(1+yields!$D$2)*(1-(0.0099/12)))</f>
        <v>264312.6165775939</v>
      </c>
      <c r="BJ105" s="300">
        <f ca="1">SUM(BH$6:BH105)*-1.2</f>
        <v>-271707.48528222652</v>
      </c>
      <c r="BK105" s="300">
        <f t="shared" ca="1" si="75"/>
        <v>-7394.8687046326231</v>
      </c>
      <c r="BL105" s="28">
        <f t="shared" ca="1" si="74"/>
        <v>2025</v>
      </c>
      <c r="BM105" s="28">
        <f t="shared" ca="1" si="72"/>
        <v>5</v>
      </c>
      <c r="BN105" s="236">
        <f t="shared" ca="1" si="73"/>
        <v>0</v>
      </c>
      <c r="BO105" s="236">
        <f t="shared" ca="1" si="68"/>
        <v>0</v>
      </c>
    </row>
    <row r="106" spans="41:67" x14ac:dyDescent="0.25">
      <c r="AO106" s="28">
        <f t="shared" si="51"/>
        <v>9</v>
      </c>
      <c r="AP106" s="28">
        <f t="shared" si="52"/>
        <v>5</v>
      </c>
      <c r="AQ106" s="65">
        <f t="shared" ca="1" si="69"/>
        <v>0</v>
      </c>
      <c r="AR106" s="66">
        <f t="shared" ca="1" si="53"/>
        <v>0</v>
      </c>
      <c r="AS106" s="66">
        <f t="shared" ca="1" si="54"/>
        <v>4671.8183388877287</v>
      </c>
      <c r="AT106" s="66">
        <f t="shared" ca="1" si="55"/>
        <v>1151376.8737027538</v>
      </c>
      <c r="AU106" s="66">
        <f t="shared" ca="1" si="56"/>
        <v>0</v>
      </c>
      <c r="AV106" s="68">
        <f t="shared" ca="1" si="57"/>
        <v>1148594.3795913055</v>
      </c>
      <c r="AW106" s="65">
        <f t="shared" ca="1" si="58"/>
        <v>2782.4941114483217</v>
      </c>
      <c r="AX106" s="69">
        <f t="shared" ca="1" si="59"/>
        <v>0</v>
      </c>
      <c r="AY106" s="70">
        <f t="shared" ca="1" si="60"/>
        <v>0</v>
      </c>
      <c r="AZ106" s="66">
        <f t="shared" ca="1" si="61"/>
        <v>483.92963546577914</v>
      </c>
      <c r="BA106" s="66">
        <f t="shared" ca="1" si="62"/>
        <v>479.74036404281412</v>
      </c>
      <c r="BB106" s="66">
        <f t="shared" ca="1" si="63"/>
        <v>49.693837099139486</v>
      </c>
      <c r="BC106" s="66">
        <f t="shared" ca="1" si="64"/>
        <v>119265.20903793476</v>
      </c>
      <c r="BD106" s="66">
        <f t="shared" ca="1" si="65"/>
        <v>0</v>
      </c>
      <c r="BE106" s="71">
        <f t="shared" ca="1" si="71"/>
        <v>119506.41898390171</v>
      </c>
      <c r="BF106" s="65">
        <f t="shared" ca="1" si="66"/>
        <v>288.22425517500903</v>
      </c>
      <c r="BG106" s="69">
        <f t="shared" ca="1" si="67"/>
        <v>0</v>
      </c>
      <c r="BH106" s="301">
        <f t="shared" ca="1" si="70"/>
        <v>35660.57261004638</v>
      </c>
      <c r="BI106" s="300">
        <f ca="1">IF(AO106&gt;TartamVálasztott,0,   (BI105+BH106)*(1+yields!$D$2)*(1-(0.0099/12)))</f>
        <v>300946.83095556544</v>
      </c>
      <c r="BJ106" s="300">
        <f ca="1">SUM(BH$6:BH106)*-1.2</f>
        <v>-314500.17241428216</v>
      </c>
      <c r="BK106" s="300">
        <f t="shared" ca="1" si="75"/>
        <v>-13553.341458716721</v>
      </c>
      <c r="BL106" s="28">
        <f t="shared" ca="1" si="74"/>
        <v>2025</v>
      </c>
      <c r="BM106" s="28">
        <f t="shared" ca="1" si="72"/>
        <v>6</v>
      </c>
      <c r="BN106" s="236">
        <f t="shared" ca="1" si="73"/>
        <v>0</v>
      </c>
      <c r="BO106" s="236">
        <f t="shared" ca="1" si="68"/>
        <v>0</v>
      </c>
    </row>
    <row r="107" spans="41:67" x14ac:dyDescent="0.25">
      <c r="AO107" s="28">
        <f t="shared" si="51"/>
        <v>9</v>
      </c>
      <c r="AP107" s="28">
        <f t="shared" si="52"/>
        <v>6</v>
      </c>
      <c r="AQ107" s="65">
        <f t="shared" ca="1" si="69"/>
        <v>0</v>
      </c>
      <c r="AR107" s="66">
        <f t="shared" ca="1" si="53"/>
        <v>0</v>
      </c>
      <c r="AS107" s="66">
        <f t="shared" ca="1" si="54"/>
        <v>4679.515679657763</v>
      </c>
      <c r="AT107" s="66">
        <f t="shared" ca="1" si="55"/>
        <v>1153273.8952709632</v>
      </c>
      <c r="AU107" s="66">
        <f t="shared" ca="1" si="56"/>
        <v>0</v>
      </c>
      <c r="AV107" s="68">
        <f t="shared" ca="1" si="57"/>
        <v>1150486.816690725</v>
      </c>
      <c r="AW107" s="65">
        <f t="shared" ca="1" si="58"/>
        <v>2787.0785802381611</v>
      </c>
      <c r="AX107" s="69">
        <f t="shared" ca="1" si="59"/>
        <v>0</v>
      </c>
      <c r="AY107" s="70">
        <f t="shared" ca="1" si="60"/>
        <v>0</v>
      </c>
      <c r="AZ107" s="66">
        <f t="shared" ca="1" si="61"/>
        <v>486.88394388095901</v>
      </c>
      <c r="BA107" s="66">
        <f t="shared" ca="1" si="62"/>
        <v>480.53078969623471</v>
      </c>
      <c r="BB107" s="66">
        <f t="shared" ca="1" si="63"/>
        <v>49.997209553242776</v>
      </c>
      <c r="BC107" s="66">
        <f t="shared" ca="1" si="64"/>
        <v>119993.30292778266</v>
      </c>
      <c r="BD107" s="66">
        <f t="shared" ca="1" si="65"/>
        <v>0</v>
      </c>
      <c r="BE107" s="71">
        <f t="shared" ca="1" si="71"/>
        <v>120233.84711162333</v>
      </c>
      <c r="BF107" s="65">
        <f t="shared" ca="1" si="66"/>
        <v>289.98381540880808</v>
      </c>
      <c r="BG107" s="69">
        <f t="shared" ca="1" si="67"/>
        <v>0</v>
      </c>
      <c r="BH107" s="301">
        <f t="shared" ca="1" si="70"/>
        <v>0</v>
      </c>
      <c r="BI107" s="300">
        <f ca="1">IF(AO107&gt;TartamVálasztott,0,   (BI106+BH107)*(1+yields!$D$2)*(1-(0.0099/12)))</f>
        <v>301923.63293355744</v>
      </c>
      <c r="BJ107" s="300">
        <f ca="1">SUM(BH$6:BH107)*-1.2</f>
        <v>-314500.17241428216</v>
      </c>
      <c r="BK107" s="300">
        <f t="shared" ca="1" si="75"/>
        <v>-12576.539480724721</v>
      </c>
      <c r="BL107" s="28">
        <f t="shared" ca="1" si="74"/>
        <v>2025</v>
      </c>
      <c r="BM107" s="28">
        <f t="shared" ca="1" si="72"/>
        <v>7</v>
      </c>
      <c r="BN107" s="236">
        <f t="shared" ca="1" si="73"/>
        <v>0</v>
      </c>
      <c r="BO107" s="236">
        <f t="shared" ca="1" si="68"/>
        <v>0</v>
      </c>
    </row>
    <row r="108" spans="41:67" x14ac:dyDescent="0.25">
      <c r="AO108" s="28">
        <f t="shared" si="51"/>
        <v>9</v>
      </c>
      <c r="AP108" s="28">
        <f t="shared" si="52"/>
        <v>7</v>
      </c>
      <c r="AQ108" s="65">
        <f t="shared" ca="1" si="69"/>
        <v>45690.108656621916</v>
      </c>
      <c r="AR108" s="66">
        <f t="shared" ca="1" si="53"/>
        <v>38836.592358128626</v>
      </c>
      <c r="AS108" s="66">
        <f t="shared" ca="1" si="54"/>
        <v>4845.4507872556742</v>
      </c>
      <c r="AT108" s="66">
        <f t="shared" ca="1" si="55"/>
        <v>1194168.8598361094</v>
      </c>
      <c r="AU108" s="66">
        <f t="shared" ca="1" si="56"/>
        <v>0</v>
      </c>
      <c r="AV108" s="68">
        <f t="shared" ca="1" si="57"/>
        <v>1191282.9517581721</v>
      </c>
      <c r="AW108" s="65">
        <f t="shared" ca="1" si="58"/>
        <v>2885.9080779372648</v>
      </c>
      <c r="AX108" s="69">
        <f t="shared" ca="1" si="59"/>
        <v>6853.5162984932876</v>
      </c>
      <c r="AY108" s="70">
        <f t="shared" ca="1" si="60"/>
        <v>5802.6437993909831</v>
      </c>
      <c r="AZ108" s="66">
        <f t="shared" ca="1" si="61"/>
        <v>513.48826522814295</v>
      </c>
      <c r="BA108" s="66">
        <f t="shared" ca="1" si="62"/>
        <v>497.57035826504563</v>
      </c>
      <c r="BB108" s="66">
        <f t="shared" ca="1" si="63"/>
        <v>52.729157990101022</v>
      </c>
      <c r="BC108" s="66">
        <f t="shared" ca="1" si="64"/>
        <v>126549.97917624244</v>
      </c>
      <c r="BD108" s="66">
        <f t="shared" ca="1" si="65"/>
        <v>0</v>
      </c>
      <c r="BE108" s="71">
        <f t="shared" ca="1" si="71"/>
        <v>126794.44957615501</v>
      </c>
      <c r="BF108" s="65">
        <f t="shared" ca="1" si="66"/>
        <v>305.82911634258591</v>
      </c>
      <c r="BG108" s="69">
        <f t="shared" ca="1" si="67"/>
        <v>0</v>
      </c>
      <c r="BH108" s="301">
        <f t="shared" ca="1" si="70"/>
        <v>0</v>
      </c>
      <c r="BI108" s="300">
        <f ca="1">IF(AO108&gt;TartamVálasztott,0,   (BI107+BH108)*(1+yields!$D$2)*(1-(0.0099/12)))</f>
        <v>302903.60537890805</v>
      </c>
      <c r="BJ108" s="300">
        <f ca="1">SUM(BH$6:BH108)*-1.2</f>
        <v>-314500.17241428216</v>
      </c>
      <c r="BK108" s="300">
        <f t="shared" ca="1" si="75"/>
        <v>-11596.567035374115</v>
      </c>
      <c r="BL108" s="28">
        <f t="shared" ca="1" si="74"/>
        <v>2025</v>
      </c>
      <c r="BM108" s="28">
        <f t="shared" ca="1" si="72"/>
        <v>8</v>
      </c>
      <c r="BN108" s="236">
        <f t="shared" ca="1" si="73"/>
        <v>0</v>
      </c>
      <c r="BO108" s="236">
        <f t="shared" ca="1" si="68"/>
        <v>0</v>
      </c>
    </row>
    <row r="109" spans="41:67" x14ac:dyDescent="0.25">
      <c r="AO109" s="28">
        <f t="shared" si="51"/>
        <v>9</v>
      </c>
      <c r="AP109" s="28">
        <f t="shared" si="52"/>
        <v>8</v>
      </c>
      <c r="AQ109" s="65">
        <f t="shared" ca="1" si="69"/>
        <v>0</v>
      </c>
      <c r="AR109" s="66">
        <f t="shared" ca="1" si="53"/>
        <v>0</v>
      </c>
      <c r="AS109" s="66">
        <f t="shared" ca="1" si="54"/>
        <v>4853.4342068127835</v>
      </c>
      <c r="AT109" s="66">
        <f t="shared" ca="1" si="55"/>
        <v>1196136.385964985</v>
      </c>
      <c r="AU109" s="66">
        <f t="shared" ca="1" si="56"/>
        <v>0</v>
      </c>
      <c r="AV109" s="68">
        <f t="shared" ca="1" si="57"/>
        <v>1193245.7230322363</v>
      </c>
      <c r="AW109" s="65">
        <f t="shared" ca="1" si="58"/>
        <v>2890.662932748714</v>
      </c>
      <c r="AX109" s="69">
        <f t="shared" ca="1" si="59"/>
        <v>0</v>
      </c>
      <c r="AY109" s="70">
        <f t="shared" ca="1" si="60"/>
        <v>0</v>
      </c>
      <c r="AZ109" s="66">
        <f t="shared" ca="1" si="61"/>
        <v>516.57628265281505</v>
      </c>
      <c r="BA109" s="66">
        <f t="shared" ca="1" si="62"/>
        <v>498.39016081874377</v>
      </c>
      <c r="BB109" s="66">
        <f t="shared" ca="1" si="63"/>
        <v>53.04626077450326</v>
      </c>
      <c r="BC109" s="66">
        <f t="shared" ca="1" si="64"/>
        <v>127311.02585880781</v>
      </c>
      <c r="BD109" s="66">
        <f t="shared" ca="1" si="65"/>
        <v>0</v>
      </c>
      <c r="BE109" s="71">
        <f t="shared" ca="1" si="71"/>
        <v>127554.79396790893</v>
      </c>
      <c r="BF109" s="65">
        <f t="shared" ca="1" si="66"/>
        <v>307.6683124921189</v>
      </c>
      <c r="BG109" s="69">
        <f t="shared" ca="1" si="67"/>
        <v>0</v>
      </c>
      <c r="BH109" s="301">
        <f t="shared" ca="1" si="70"/>
        <v>0</v>
      </c>
      <c r="BI109" s="300">
        <f ca="1">IF(AO109&gt;TartamVálasztott,0,   (BI108+BH109)*(1+yields!$D$2)*(1-(0.0099/12)))</f>
        <v>303886.75858220167</v>
      </c>
      <c r="BJ109" s="300">
        <f ca="1">SUM(BH$6:BH109)*-1.2</f>
        <v>-314500.17241428216</v>
      </c>
      <c r="BK109" s="300">
        <f t="shared" ca="1" si="75"/>
        <v>-10613.413832080492</v>
      </c>
      <c r="BL109" s="28">
        <f t="shared" ca="1" si="74"/>
        <v>2025</v>
      </c>
      <c r="BM109" s="28">
        <f t="shared" ca="1" si="72"/>
        <v>9</v>
      </c>
      <c r="BN109" s="236">
        <f t="shared" ca="1" si="73"/>
        <v>0</v>
      </c>
      <c r="BO109" s="236">
        <f t="shared" ca="1" si="68"/>
        <v>0</v>
      </c>
    </row>
    <row r="110" spans="41:67" x14ac:dyDescent="0.25">
      <c r="AO110" s="28">
        <f t="shared" si="51"/>
        <v>9</v>
      </c>
      <c r="AP110" s="28">
        <f t="shared" si="52"/>
        <v>9</v>
      </c>
      <c r="AQ110" s="65">
        <f t="shared" ca="1" si="69"/>
        <v>0</v>
      </c>
      <c r="AR110" s="66">
        <f t="shared" ca="1" si="53"/>
        <v>0</v>
      </c>
      <c r="AS110" s="66">
        <f t="shared" ca="1" si="54"/>
        <v>4861.4307799423095</v>
      </c>
      <c r="AT110" s="66">
        <f t="shared" ca="1" si="55"/>
        <v>1198107.1538121786</v>
      </c>
      <c r="AU110" s="66">
        <f t="shared" ca="1" si="56"/>
        <v>0</v>
      </c>
      <c r="AV110" s="68">
        <f t="shared" ca="1" si="57"/>
        <v>1195211.7281904658</v>
      </c>
      <c r="AW110" s="65">
        <f t="shared" ca="1" si="58"/>
        <v>2895.4256217127654</v>
      </c>
      <c r="AX110" s="69">
        <f t="shared" ca="1" si="59"/>
        <v>0</v>
      </c>
      <c r="AY110" s="70">
        <f t="shared" ca="1" si="60"/>
        <v>0</v>
      </c>
      <c r="AZ110" s="66">
        <f t="shared" ca="1" si="61"/>
        <v>519.67401982302329</v>
      </c>
      <c r="BA110" s="66">
        <f t="shared" ca="1" si="62"/>
        <v>499.21131408840779</v>
      </c>
      <c r="BB110" s="66">
        <f t="shared" ca="1" si="63"/>
        <v>53.364361661554987</v>
      </c>
      <c r="BC110" s="66">
        <f t="shared" ca="1" si="64"/>
        <v>128074.46798773196</v>
      </c>
      <c r="BD110" s="66">
        <f t="shared" ca="1" si="65"/>
        <v>0</v>
      </c>
      <c r="BE110" s="71">
        <f t="shared" ca="1" si="71"/>
        <v>128317.5303658449</v>
      </c>
      <c r="BF110" s="65">
        <f t="shared" ca="1" si="66"/>
        <v>309.51329763701892</v>
      </c>
      <c r="BG110" s="69">
        <f t="shared" ca="1" si="67"/>
        <v>0</v>
      </c>
      <c r="BH110" s="301">
        <f t="shared" ca="1" si="70"/>
        <v>0</v>
      </c>
      <c r="BI110" s="300">
        <f ca="1">IF(AO110&gt;TartamVálasztott,0,   (BI109+BH110)*(1+yields!$D$2)*(1-(0.0099/12)))</f>
        <v>304873.10286742361</v>
      </c>
      <c r="BJ110" s="300">
        <f ca="1">SUM(BH$6:BH110)*-1.2</f>
        <v>-314500.17241428216</v>
      </c>
      <c r="BK110" s="300">
        <f t="shared" ca="1" si="75"/>
        <v>-9627.0695468585473</v>
      </c>
      <c r="BL110" s="28">
        <f t="shared" ca="1" si="74"/>
        <v>2025</v>
      </c>
      <c r="BM110" s="28">
        <f t="shared" ca="1" si="72"/>
        <v>10</v>
      </c>
      <c r="BN110" s="236">
        <f t="shared" ca="1" si="73"/>
        <v>0</v>
      </c>
      <c r="BO110" s="236">
        <f t="shared" ca="1" si="68"/>
        <v>0</v>
      </c>
    </row>
    <row r="111" spans="41:67" x14ac:dyDescent="0.25">
      <c r="AO111" s="28">
        <f t="shared" si="51"/>
        <v>9</v>
      </c>
      <c r="AP111" s="28">
        <f t="shared" si="52"/>
        <v>10</v>
      </c>
      <c r="AQ111" s="65">
        <f t="shared" ca="1" si="69"/>
        <v>45690.108656621916</v>
      </c>
      <c r="AR111" s="66">
        <f t="shared" ca="1" si="53"/>
        <v>38836.592358128626</v>
      </c>
      <c r="AS111" s="66">
        <f t="shared" ca="1" si="54"/>
        <v>5027.6656129183357</v>
      </c>
      <c r="AT111" s="66">
        <f t="shared" ca="1" si="55"/>
        <v>1239075.9861615128</v>
      </c>
      <c r="AU111" s="66">
        <f t="shared" ca="1" si="56"/>
        <v>0</v>
      </c>
      <c r="AV111" s="68">
        <f t="shared" ca="1" si="57"/>
        <v>1236081.5525282891</v>
      </c>
      <c r="AW111" s="65">
        <f t="shared" ca="1" si="58"/>
        <v>2994.4336332236562</v>
      </c>
      <c r="AX111" s="69">
        <f t="shared" ca="1" si="59"/>
        <v>6853.5162984932876</v>
      </c>
      <c r="AY111" s="70">
        <f t="shared" ca="1" si="60"/>
        <v>5802.6437993909831</v>
      </c>
      <c r="AZ111" s="66">
        <f t="shared" ca="1" si="61"/>
        <v>546.42219143364696</v>
      </c>
      <c r="BA111" s="66">
        <f t="shared" ca="1" si="62"/>
        <v>516.28166090063041</v>
      </c>
      <c r="BB111" s="66">
        <f t="shared" ca="1" si="63"/>
        <v>56.111081815278972</v>
      </c>
      <c r="BC111" s="66">
        <f t="shared" ca="1" si="64"/>
        <v>134666.59635666953</v>
      </c>
      <c r="BD111" s="66">
        <f t="shared" ca="1" si="65"/>
        <v>0</v>
      </c>
      <c r="BE111" s="71">
        <f t="shared" ca="1" si="71"/>
        <v>134913.54482485683</v>
      </c>
      <c r="BF111" s="65">
        <f t="shared" ca="1" si="66"/>
        <v>325.44427452861805</v>
      </c>
      <c r="BG111" s="69">
        <f t="shared" ca="1" si="67"/>
        <v>0</v>
      </c>
      <c r="BH111" s="301">
        <f t="shared" ca="1" si="70"/>
        <v>0</v>
      </c>
      <c r="BI111" s="300">
        <f ca="1">IF(AO111&gt;TartamVálasztott,0,   (BI110+BH111)*(1+yields!$D$2)*(1-(0.0099/12)))</f>
        <v>305862.64859206835</v>
      </c>
      <c r="BJ111" s="300">
        <f ca="1">SUM(BH$6:BH111)*-1.2</f>
        <v>-314500.17241428216</v>
      </c>
      <c r="BK111" s="300">
        <f t="shared" ca="1" si="75"/>
        <v>-8637.5238222138141</v>
      </c>
      <c r="BL111" s="28">
        <f t="shared" ca="1" si="74"/>
        <v>2025</v>
      </c>
      <c r="BM111" s="28">
        <f t="shared" ca="1" si="72"/>
        <v>11</v>
      </c>
      <c r="BN111" s="236">
        <f t="shared" ca="1" si="73"/>
        <v>0</v>
      </c>
      <c r="BO111" s="236">
        <f t="shared" ca="1" si="68"/>
        <v>0</v>
      </c>
    </row>
    <row r="112" spans="41:67" x14ac:dyDescent="0.25">
      <c r="AO112" s="28">
        <f t="shared" si="51"/>
        <v>9</v>
      </c>
      <c r="AP112" s="28">
        <f t="shared" si="52"/>
        <v>11</v>
      </c>
      <c r="AQ112" s="65">
        <f t="shared" ca="1" si="69"/>
        <v>0</v>
      </c>
      <c r="AR112" s="66">
        <f t="shared" ca="1" si="53"/>
        <v>0</v>
      </c>
      <c r="AS112" s="66">
        <f t="shared" ca="1" si="54"/>
        <v>5035.9492516844848</v>
      </c>
      <c r="AT112" s="66">
        <f t="shared" ca="1" si="55"/>
        <v>1241117.5017799737</v>
      </c>
      <c r="AU112" s="66">
        <f t="shared" ca="1" si="56"/>
        <v>0</v>
      </c>
      <c r="AV112" s="68">
        <f t="shared" ca="1" si="57"/>
        <v>1238118.1344840054</v>
      </c>
      <c r="AW112" s="65">
        <f t="shared" ca="1" si="58"/>
        <v>2999.3672959682699</v>
      </c>
      <c r="AX112" s="69">
        <f t="shared" ca="1" si="59"/>
        <v>0</v>
      </c>
      <c r="AY112" s="70">
        <f t="shared" ca="1" si="60"/>
        <v>0</v>
      </c>
      <c r="AZ112" s="66">
        <f t="shared" ca="1" si="61"/>
        <v>549.65448170725745</v>
      </c>
      <c r="BA112" s="66">
        <f t="shared" ca="1" si="62"/>
        <v>517.13229240832243</v>
      </c>
      <c r="BB112" s="66">
        <f t="shared" ca="1" si="63"/>
        <v>56.442999711068374</v>
      </c>
      <c r="BC112" s="66">
        <f t="shared" ca="1" si="64"/>
        <v>135463.19930656409</v>
      </c>
      <c r="BD112" s="66">
        <f t="shared" ca="1" si="65"/>
        <v>0</v>
      </c>
      <c r="BE112" s="71">
        <f t="shared" ca="1" si="71"/>
        <v>135709.40520035927</v>
      </c>
      <c r="BF112" s="65">
        <f t="shared" ca="1" si="66"/>
        <v>327.36939832419654</v>
      </c>
      <c r="BG112" s="69">
        <f t="shared" ca="1" si="67"/>
        <v>0</v>
      </c>
      <c r="BH112" s="301">
        <f t="shared" ca="1" si="70"/>
        <v>0</v>
      </c>
      <c r="BI112" s="300">
        <f ca="1">IF(AO112&gt;TartamVálasztott,0,   (BI111+BH112)*(1+yields!$D$2)*(1-(0.0099/12)))</f>
        <v>306855.40614724834</v>
      </c>
      <c r="BJ112" s="300">
        <f ca="1">SUM(BH$6:BH112)*-1.2</f>
        <v>-314500.17241428216</v>
      </c>
      <c r="BK112" s="300">
        <f t="shared" ca="1" si="75"/>
        <v>-7644.7662670338177</v>
      </c>
      <c r="BL112" s="28">
        <f t="shared" ca="1" si="74"/>
        <v>2025</v>
      </c>
      <c r="BM112" s="28">
        <f t="shared" ca="1" si="72"/>
        <v>12</v>
      </c>
      <c r="BN112" s="236">
        <f t="shared" ca="1" si="73"/>
        <v>182760.43462648767</v>
      </c>
      <c r="BO112" s="236">
        <f t="shared" ca="1" si="68"/>
        <v>36552.086925297532</v>
      </c>
    </row>
    <row r="113" spans="41:67" x14ac:dyDescent="0.25">
      <c r="AO113" s="28">
        <f t="shared" si="51"/>
        <v>9</v>
      </c>
      <c r="AP113" s="28">
        <f t="shared" si="52"/>
        <v>12</v>
      </c>
      <c r="AQ113" s="65">
        <f t="shared" ca="1" si="69"/>
        <v>0</v>
      </c>
      <c r="AR113" s="66">
        <f t="shared" ca="1" si="53"/>
        <v>0</v>
      </c>
      <c r="AS113" s="66">
        <f t="shared" ca="1" si="54"/>
        <v>5044.2465386676167</v>
      </c>
      <c r="AT113" s="66">
        <f t="shared" ca="1" si="55"/>
        <v>1243162.3810226731</v>
      </c>
      <c r="AU113" s="66">
        <f t="shared" ca="1" si="56"/>
        <v>0</v>
      </c>
      <c r="AV113" s="68">
        <f t="shared" ca="1" si="57"/>
        <v>1240158.0719352015</v>
      </c>
      <c r="AW113" s="65">
        <f t="shared" ca="1" si="58"/>
        <v>3004.3090874714603</v>
      </c>
      <c r="AX113" s="69">
        <f t="shared" ca="1" si="59"/>
        <v>0</v>
      </c>
      <c r="AY113" s="70">
        <f t="shared" ca="1" si="60"/>
        <v>0</v>
      </c>
      <c r="AZ113" s="66">
        <f t="shared" ca="1" si="61"/>
        <v>552.89691539155524</v>
      </c>
      <c r="BA113" s="66">
        <f t="shared" ca="1" si="62"/>
        <v>517.98432542611386</v>
      </c>
      <c r="BB113" s="66">
        <f t="shared" ca="1" si="63"/>
        <v>56.775959214896176</v>
      </c>
      <c r="BC113" s="66">
        <f t="shared" ca="1" si="64"/>
        <v>136262.30211575082</v>
      </c>
      <c r="BD113" s="66">
        <f t="shared" ca="1" si="65"/>
        <v>0</v>
      </c>
      <c r="BE113" s="71">
        <f t="shared" ca="1" si="71"/>
        <v>136507.76183694543</v>
      </c>
      <c r="BF113" s="65">
        <f t="shared" ca="1" si="66"/>
        <v>329.3005634463978</v>
      </c>
      <c r="BG113" s="69">
        <f t="shared" ca="1" si="67"/>
        <v>0</v>
      </c>
      <c r="BH113" s="301">
        <f t="shared" ca="1" si="70"/>
        <v>0</v>
      </c>
      <c r="BI113" s="300">
        <f ca="1">IF(AO113&gt;TartamVálasztott,0,   (BI112+BH113)*(1+yields!$D$2)*(1-(0.0099/12)))</f>
        <v>307851.38595780305</v>
      </c>
      <c r="BJ113" s="300">
        <f ca="1">SUM(BH$6:BH113)*-1.2</f>
        <v>-314500.17241428216</v>
      </c>
      <c r="BK113" s="300">
        <f t="shared" ca="1" si="75"/>
        <v>-6648.7864564791089</v>
      </c>
      <c r="BL113" s="28">
        <f t="shared" ca="1" si="74"/>
        <v>2026</v>
      </c>
      <c r="BM113" s="28">
        <f t="shared" ca="1" si="72"/>
        <v>1</v>
      </c>
      <c r="BN113" s="236">
        <f t="shared" ca="1" si="73"/>
        <v>0</v>
      </c>
      <c r="BO113" s="236">
        <f t="shared" ca="1" si="68"/>
        <v>0</v>
      </c>
    </row>
    <row r="114" spans="41:67" x14ac:dyDescent="0.25">
      <c r="AO114" s="28">
        <f t="shared" si="51"/>
        <v>10</v>
      </c>
      <c r="AP114" s="28">
        <f t="shared" si="52"/>
        <v>1</v>
      </c>
      <c r="AQ114" s="65">
        <f t="shared" ca="1" si="69"/>
        <v>46832.361373037456</v>
      </c>
      <c r="AR114" s="66">
        <f t="shared" ca="1" si="53"/>
        <v>39807.507167081836</v>
      </c>
      <c r="AS114" s="66">
        <f t="shared" ca="1" si="54"/>
        <v>5214.7382080718507</v>
      </c>
      <c r="AT114" s="66">
        <f t="shared" ca="1" si="55"/>
        <v>1285180.3173103551</v>
      </c>
      <c r="AU114" s="66">
        <f t="shared" ca="1" si="56"/>
        <v>0</v>
      </c>
      <c r="AV114" s="68">
        <f t="shared" ca="1" si="57"/>
        <v>1282074.464876855</v>
      </c>
      <c r="AW114" s="65">
        <f t="shared" ca="1" si="58"/>
        <v>3105.8524335000252</v>
      </c>
      <c r="AX114" s="69">
        <f t="shared" ca="1" si="59"/>
        <v>7024.8542059556185</v>
      </c>
      <c r="AY114" s="70">
        <f t="shared" ca="1" si="60"/>
        <v>6247.4370071631965</v>
      </c>
      <c r="AZ114" s="66">
        <f t="shared" ca="1" si="61"/>
        <v>581.60235085023282</v>
      </c>
      <c r="BA114" s="66">
        <f t="shared" ca="1" si="62"/>
        <v>535.49179887931473</v>
      </c>
      <c r="BB114" s="66">
        <f t="shared" ca="1" si="63"/>
        <v>59.723667164566194</v>
      </c>
      <c r="BC114" s="66">
        <f t="shared" ca="1" si="64"/>
        <v>143336.80119495885</v>
      </c>
      <c r="BD114" s="66">
        <f t="shared" ca="1" si="65"/>
        <v>0</v>
      </c>
      <c r="BE114" s="71">
        <f t="shared" ca="1" si="71"/>
        <v>143585.61939144824</v>
      </c>
      <c r="BF114" s="65">
        <f t="shared" ca="1" si="66"/>
        <v>346.3972695544839</v>
      </c>
      <c r="BG114" s="69">
        <f t="shared" ca="1" si="67"/>
        <v>0</v>
      </c>
      <c r="BH114" s="301">
        <f t="shared" ca="1" si="70"/>
        <v>0</v>
      </c>
      <c r="BI114" s="300">
        <f ca="1">IF(AO114&gt;TartamVálasztott,0,   (BI113+BH114)*(1+yields!$D$2)*(1-(0.0099/12)))</f>
        <v>308850.59848240868</v>
      </c>
      <c r="BJ114" s="300">
        <f ca="1">SUM(BH$6:BH114)*-1.2</f>
        <v>-314500.17241428216</v>
      </c>
      <c r="BK114" s="300">
        <f t="shared" ca="1" si="75"/>
        <v>-5649.573931873485</v>
      </c>
      <c r="BL114" s="28">
        <f t="shared" ca="1" si="74"/>
        <v>2026</v>
      </c>
      <c r="BM114" s="28">
        <f t="shared" ca="1" si="72"/>
        <v>2</v>
      </c>
      <c r="BN114" s="236">
        <f t="shared" ca="1" si="73"/>
        <v>0</v>
      </c>
      <c r="BO114" s="236">
        <f t="shared" ca="1" si="68"/>
        <v>0</v>
      </c>
    </row>
    <row r="115" spans="41:67" x14ac:dyDescent="0.25">
      <c r="AO115" s="28">
        <f t="shared" si="51"/>
        <v>10</v>
      </c>
      <c r="AP115" s="28">
        <f t="shared" si="52"/>
        <v>2</v>
      </c>
      <c r="AQ115" s="65">
        <f t="shared" ca="1" si="69"/>
        <v>0</v>
      </c>
      <c r="AR115" s="66">
        <f t="shared" ca="1" si="53"/>
        <v>0</v>
      </c>
      <c r="AS115" s="66">
        <f t="shared" ca="1" si="54"/>
        <v>5223.3300697630302</v>
      </c>
      <c r="AT115" s="66">
        <f t="shared" ca="1" si="55"/>
        <v>1287297.7949466181</v>
      </c>
      <c r="AU115" s="66">
        <f t="shared" ca="1" si="56"/>
        <v>0</v>
      </c>
      <c r="AV115" s="68">
        <f t="shared" ca="1" si="57"/>
        <v>1284186.825275497</v>
      </c>
      <c r="AW115" s="65">
        <f t="shared" ca="1" si="58"/>
        <v>3110.969671120994</v>
      </c>
      <c r="AX115" s="69">
        <f t="shared" ca="1" si="59"/>
        <v>0</v>
      </c>
      <c r="AY115" s="70">
        <f t="shared" ca="1" si="60"/>
        <v>0</v>
      </c>
      <c r="AZ115" s="66">
        <f t="shared" ca="1" si="61"/>
        <v>584.98558695257952</v>
      </c>
      <c r="BA115" s="66">
        <f t="shared" ca="1" si="62"/>
        <v>536.37408122775764</v>
      </c>
      <c r="BB115" s="66">
        <f t="shared" ca="1" si="63"/>
        <v>60.07108540766702</v>
      </c>
      <c r="BC115" s="66">
        <f t="shared" ca="1" si="64"/>
        <v>144170.60497840084</v>
      </c>
      <c r="BD115" s="66">
        <f t="shared" ca="1" si="65"/>
        <v>0</v>
      </c>
      <c r="BE115" s="71">
        <f t="shared" ca="1" si="71"/>
        <v>144418.6378496718</v>
      </c>
      <c r="BF115" s="65">
        <f t="shared" ca="1" si="66"/>
        <v>348.41229536446872</v>
      </c>
      <c r="BG115" s="69">
        <f t="shared" ca="1" si="67"/>
        <v>0</v>
      </c>
      <c r="BH115" s="301">
        <f t="shared" ca="1" si="70"/>
        <v>0</v>
      </c>
      <c r="BI115" s="300">
        <f ca="1">IF(AO115&gt;TartamVálasztott,0,   (BI114+BH115)*(1+yields!$D$2)*(1-(0.0099/12)))</f>
        <v>309853.0542136876</v>
      </c>
      <c r="BJ115" s="300">
        <f ca="1">SUM(BH$6:BH115)*-1.2</f>
        <v>-314500.17241428216</v>
      </c>
      <c r="BK115" s="300">
        <f t="shared" ca="1" si="75"/>
        <v>-4647.1182005945593</v>
      </c>
      <c r="BL115" s="28">
        <f t="shared" ca="1" si="74"/>
        <v>2026</v>
      </c>
      <c r="BM115" s="28">
        <f t="shared" ca="1" si="72"/>
        <v>3</v>
      </c>
      <c r="BN115" s="236">
        <f t="shared" ca="1" si="73"/>
        <v>0</v>
      </c>
      <c r="BO115" s="236">
        <f t="shared" ca="1" si="68"/>
        <v>0</v>
      </c>
    </row>
    <row r="116" spans="41:67" x14ac:dyDescent="0.25">
      <c r="AO116" s="28">
        <f t="shared" si="51"/>
        <v>10</v>
      </c>
      <c r="AP116" s="28">
        <f t="shared" si="52"/>
        <v>3</v>
      </c>
      <c r="AQ116" s="65">
        <f t="shared" ca="1" si="69"/>
        <v>0</v>
      </c>
      <c r="AR116" s="66">
        <f t="shared" ca="1" si="53"/>
        <v>0</v>
      </c>
      <c r="AS116" s="66">
        <f t="shared" ca="1" si="54"/>
        <v>5231.9360875027751</v>
      </c>
      <c r="AT116" s="66">
        <f t="shared" ca="1" si="55"/>
        <v>1289418.7613629999</v>
      </c>
      <c r="AU116" s="66">
        <f t="shared" ca="1" si="56"/>
        <v>0</v>
      </c>
      <c r="AV116" s="68">
        <f t="shared" ca="1" si="57"/>
        <v>1286302.6660230393</v>
      </c>
      <c r="AW116" s="65">
        <f t="shared" ca="1" si="58"/>
        <v>3116.0953399605833</v>
      </c>
      <c r="AX116" s="69">
        <f t="shared" ca="1" si="59"/>
        <v>0</v>
      </c>
      <c r="AY116" s="70">
        <f t="shared" ca="1" si="60"/>
        <v>0</v>
      </c>
      <c r="AZ116" s="66">
        <f t="shared" ca="1" si="61"/>
        <v>588.37940726544616</v>
      </c>
      <c r="BA116" s="66">
        <f t="shared" ca="1" si="62"/>
        <v>537.25781723458329</v>
      </c>
      <c r="BB116" s="66">
        <f t="shared" ca="1" si="63"/>
        <v>60.419590523723862</v>
      </c>
      <c r="BC116" s="66">
        <f t="shared" ca="1" si="64"/>
        <v>145007.01725693725</v>
      </c>
      <c r="BD116" s="66">
        <f t="shared" ca="1" si="65"/>
        <v>0</v>
      </c>
      <c r="BE116" s="71">
        <f t="shared" ca="1" si="71"/>
        <v>145254.26103965795</v>
      </c>
      <c r="BF116" s="65">
        <f t="shared" ca="1" si="66"/>
        <v>350.4336250375984</v>
      </c>
      <c r="BG116" s="69">
        <f t="shared" ca="1" si="67"/>
        <v>0</v>
      </c>
      <c r="BH116" s="301">
        <f t="shared" ca="1" si="70"/>
        <v>0</v>
      </c>
      <c r="BI116" s="300">
        <f ca="1">IF(AO116&gt;TartamVálasztott,0,   (BI115+BH116)*(1+yields!$D$2)*(1-(0.0099/12)))</f>
        <v>310858.76367831888</v>
      </c>
      <c r="BJ116" s="300">
        <f ca="1">SUM(BH$6:BH116)*-1.2</f>
        <v>-314500.17241428216</v>
      </c>
      <c r="BK116" s="300">
        <f t="shared" ca="1" si="75"/>
        <v>-3641.4087359632831</v>
      </c>
      <c r="BL116" s="28">
        <f t="shared" ca="1" si="74"/>
        <v>2026</v>
      </c>
      <c r="BM116" s="28">
        <f t="shared" ca="1" si="72"/>
        <v>4</v>
      </c>
      <c r="BN116" s="236">
        <f t="shared" ca="1" si="73"/>
        <v>0</v>
      </c>
      <c r="BO116" s="236">
        <f t="shared" ca="1" si="68"/>
        <v>0</v>
      </c>
    </row>
    <row r="117" spans="41:67" x14ac:dyDescent="0.25">
      <c r="AO117" s="28">
        <f t="shared" si="51"/>
        <v>10</v>
      </c>
      <c r="AP117" s="28">
        <f t="shared" si="52"/>
        <v>4</v>
      </c>
      <c r="AQ117" s="65">
        <f t="shared" ca="1" si="69"/>
        <v>46832.361373037456</v>
      </c>
      <c r="AR117" s="66">
        <f t="shared" ca="1" si="53"/>
        <v>39807.507167081836</v>
      </c>
      <c r="AS117" s="66">
        <f t="shared" ca="1" si="54"/>
        <v>5402.7369963319097</v>
      </c>
      <c r="AT117" s="66">
        <f t="shared" ca="1" si="55"/>
        <v>1331512.910186453</v>
      </c>
      <c r="AU117" s="66">
        <f t="shared" ca="1" si="56"/>
        <v>0</v>
      </c>
      <c r="AV117" s="68">
        <f t="shared" ca="1" si="57"/>
        <v>1328295.0873201692</v>
      </c>
      <c r="AW117" s="65">
        <f t="shared" ca="1" si="58"/>
        <v>3217.8228662839283</v>
      </c>
      <c r="AX117" s="69">
        <f t="shared" ca="1" si="59"/>
        <v>7024.8542059556185</v>
      </c>
      <c r="AY117" s="70">
        <f t="shared" ca="1" si="60"/>
        <v>6247.4370071631965</v>
      </c>
      <c r="AZ117" s="66">
        <f t="shared" ca="1" si="61"/>
        <v>617.23667127566534</v>
      </c>
      <c r="BA117" s="66">
        <f t="shared" ca="1" si="62"/>
        <v>554.79704591102211</v>
      </c>
      <c r="BB117" s="66">
        <f t="shared" ca="1" si="63"/>
        <v>63.382889465873674</v>
      </c>
      <c r="BC117" s="66">
        <f t="shared" ca="1" si="64"/>
        <v>152118.9347180968</v>
      </c>
      <c r="BD117" s="66">
        <f t="shared" ca="1" si="65"/>
        <v>0</v>
      </c>
      <c r="BE117" s="71">
        <f t="shared" ca="1" si="71"/>
        <v>152369.49389457161</v>
      </c>
      <c r="BF117" s="65">
        <f t="shared" ca="1" si="66"/>
        <v>367.62075890206728</v>
      </c>
      <c r="BG117" s="69">
        <f t="shared" ca="1" si="67"/>
        <v>0</v>
      </c>
      <c r="BH117" s="301">
        <f t="shared" ca="1" si="70"/>
        <v>0</v>
      </c>
      <c r="BI117" s="300">
        <f ca="1">IF(AO117&gt;TartamVálasztott,0,   (BI116+BH117)*(1+yields!$D$2)*(1-(0.0099/12)))</f>
        <v>311867.73743714858</v>
      </c>
      <c r="BJ117" s="300">
        <f ca="1">SUM(BH$6:BH117)*-1.2</f>
        <v>-314500.17241428216</v>
      </c>
      <c r="BK117" s="300">
        <f t="shared" ca="1" si="75"/>
        <v>-2632.4349771335837</v>
      </c>
      <c r="BL117" s="28">
        <f t="shared" ca="1" si="74"/>
        <v>2026</v>
      </c>
      <c r="BM117" s="28">
        <f t="shared" ca="1" si="72"/>
        <v>5</v>
      </c>
      <c r="BN117" s="236">
        <f t="shared" ca="1" si="73"/>
        <v>0</v>
      </c>
      <c r="BO117" s="236">
        <f t="shared" ca="1" si="68"/>
        <v>0</v>
      </c>
    </row>
    <row r="118" spans="41:67" x14ac:dyDescent="0.25">
      <c r="AO118" s="28">
        <f t="shared" si="51"/>
        <v>10</v>
      </c>
      <c r="AP118" s="28">
        <f t="shared" si="52"/>
        <v>5</v>
      </c>
      <c r="AQ118" s="65">
        <f t="shared" ca="1" si="69"/>
        <v>0</v>
      </c>
      <c r="AR118" s="66">
        <f t="shared" ca="1" si="53"/>
        <v>0</v>
      </c>
      <c r="AS118" s="66">
        <f t="shared" ca="1" si="54"/>
        <v>5411.6386069543678</v>
      </c>
      <c r="AT118" s="66">
        <f t="shared" ca="1" si="55"/>
        <v>1333706.7259271236</v>
      </c>
      <c r="AU118" s="66">
        <f t="shared" ca="1" si="56"/>
        <v>0</v>
      </c>
      <c r="AV118" s="68">
        <f t="shared" ca="1" si="57"/>
        <v>1330483.6013394664</v>
      </c>
      <c r="AW118" s="65">
        <f t="shared" ca="1" si="58"/>
        <v>3223.1245876572157</v>
      </c>
      <c r="AX118" s="69">
        <f t="shared" ca="1" si="59"/>
        <v>0</v>
      </c>
      <c r="AY118" s="70">
        <f t="shared" ca="1" si="60"/>
        <v>0</v>
      </c>
      <c r="AZ118" s="66">
        <f t="shared" ca="1" si="61"/>
        <v>620.7721789783368</v>
      </c>
      <c r="BA118" s="66">
        <f t="shared" ca="1" si="62"/>
        <v>555.71113580296822</v>
      </c>
      <c r="BB118" s="66">
        <f t="shared" ca="1" si="63"/>
        <v>63.745944197312483</v>
      </c>
      <c r="BC118" s="66">
        <f t="shared" ca="1" si="64"/>
        <v>152990.26607354995</v>
      </c>
      <c r="BD118" s="66">
        <f t="shared" ca="1" si="65"/>
        <v>0</v>
      </c>
      <c r="BE118" s="71">
        <f t="shared" ca="1" si="71"/>
        <v>153239.99667720581</v>
      </c>
      <c r="BF118" s="65">
        <f t="shared" ca="1" si="66"/>
        <v>369.72647634441239</v>
      </c>
      <c r="BG118" s="69">
        <f t="shared" ca="1" si="67"/>
        <v>0</v>
      </c>
      <c r="BH118" s="301">
        <f t="shared" ca="1" si="70"/>
        <v>36552.086925297532</v>
      </c>
      <c r="BI118" s="300">
        <f ca="1">IF(AO118&gt;TartamVálasztott,0,   (BI117+BH118)*(1+yields!$D$2)*(1-(0.0099/12)))</f>
        <v>349550.71240844484</v>
      </c>
      <c r="BJ118" s="300">
        <f ca="1">SUM(BH$6:BH118)*-1.2</f>
        <v>-358362.67672463914</v>
      </c>
      <c r="BK118" s="300">
        <f t="shared" ca="1" si="75"/>
        <v>-8811.964316194295</v>
      </c>
      <c r="BL118" s="28">
        <f t="shared" ca="1" si="74"/>
        <v>2026</v>
      </c>
      <c r="BM118" s="28">
        <f t="shared" ca="1" si="72"/>
        <v>6</v>
      </c>
      <c r="BN118" s="236">
        <f t="shared" ca="1" si="73"/>
        <v>0</v>
      </c>
      <c r="BO118" s="236">
        <f t="shared" ca="1" si="68"/>
        <v>0</v>
      </c>
    </row>
    <row r="119" spans="41:67" x14ac:dyDescent="0.25">
      <c r="AO119" s="28">
        <f t="shared" si="51"/>
        <v>10</v>
      </c>
      <c r="AP119" s="28">
        <f t="shared" si="52"/>
        <v>6</v>
      </c>
      <c r="AQ119" s="65">
        <f t="shared" ca="1" si="69"/>
        <v>0</v>
      </c>
      <c r="AR119" s="66">
        <f t="shared" ca="1" si="53"/>
        <v>0</v>
      </c>
      <c r="AS119" s="66">
        <f t="shared" ca="1" si="54"/>
        <v>5420.5548839712346</v>
      </c>
      <c r="AT119" s="66">
        <f t="shared" ca="1" si="55"/>
        <v>1335904.1562234377</v>
      </c>
      <c r="AU119" s="66">
        <f t="shared" ca="1" si="56"/>
        <v>0</v>
      </c>
      <c r="AV119" s="68">
        <f t="shared" ca="1" si="57"/>
        <v>1332675.7211792311</v>
      </c>
      <c r="AW119" s="65">
        <f t="shared" ca="1" si="58"/>
        <v>3228.4350442066416</v>
      </c>
      <c r="AX119" s="69">
        <f t="shared" ca="1" si="59"/>
        <v>0</v>
      </c>
      <c r="AY119" s="70">
        <f t="shared" ca="1" si="60"/>
        <v>0</v>
      </c>
      <c r="AZ119" s="66">
        <f t="shared" ca="1" si="61"/>
        <v>624.31871506879884</v>
      </c>
      <c r="BA119" s="66">
        <f t="shared" ca="1" si="62"/>
        <v>556.62673175976579</v>
      </c>
      <c r="BB119" s="66">
        <f t="shared" ca="1" si="63"/>
        <v>64.11013141344776</v>
      </c>
      <c r="BC119" s="66">
        <f t="shared" ca="1" si="64"/>
        <v>153864.31539227461</v>
      </c>
      <c r="BD119" s="66">
        <f t="shared" ca="1" si="65"/>
        <v>0</v>
      </c>
      <c r="BE119" s="71">
        <f t="shared" ca="1" si="71"/>
        <v>154113.21349324984</v>
      </c>
      <c r="BF119" s="65">
        <f t="shared" ca="1" si="66"/>
        <v>371.83876219799703</v>
      </c>
      <c r="BG119" s="69">
        <f t="shared" ca="1" si="67"/>
        <v>0</v>
      </c>
      <c r="BH119" s="301">
        <f t="shared" ca="1" si="70"/>
        <v>0</v>
      </c>
      <c r="BI119" s="300">
        <f ca="1">IF(AO119&gt;TartamVálasztott,0,   (BI118+BH119)*(1+yields!$D$2)*(1-(0.0099/12)))</f>
        <v>350685.27104860375</v>
      </c>
      <c r="BJ119" s="300">
        <f ca="1">SUM(BH$6:BH119)*-1.2</f>
        <v>-358362.67672463914</v>
      </c>
      <c r="BK119" s="300">
        <f t="shared" ca="1" si="75"/>
        <v>-7677.4056760353851</v>
      </c>
      <c r="BL119" s="28">
        <f t="shared" ca="1" si="74"/>
        <v>2026</v>
      </c>
      <c r="BM119" s="28">
        <f t="shared" ca="1" si="72"/>
        <v>7</v>
      </c>
      <c r="BN119" s="236">
        <f t="shared" ca="1" si="73"/>
        <v>0</v>
      </c>
      <c r="BO119" s="236">
        <f t="shared" ca="1" si="68"/>
        <v>0</v>
      </c>
    </row>
    <row r="120" spans="41:67" x14ac:dyDescent="0.25">
      <c r="AO120" s="28">
        <f t="shared" si="51"/>
        <v>10</v>
      </c>
      <c r="AP120" s="28">
        <f t="shared" si="52"/>
        <v>7</v>
      </c>
      <c r="AQ120" s="65">
        <f t="shared" ca="1" si="69"/>
        <v>46832.361373037456</v>
      </c>
      <c r="AR120" s="66">
        <f t="shared" ca="1" si="53"/>
        <v>39807.507167081836</v>
      </c>
      <c r="AS120" s="66">
        <f t="shared" ca="1" si="54"/>
        <v>5591.6665632641871</v>
      </c>
      <c r="AT120" s="66">
        <f t="shared" ca="1" si="55"/>
        <v>1378074.894909577</v>
      </c>
      <c r="AU120" s="66">
        <f t="shared" ca="1" si="56"/>
        <v>0</v>
      </c>
      <c r="AV120" s="68">
        <f t="shared" ca="1" si="57"/>
        <v>1374744.5472468787</v>
      </c>
      <c r="AW120" s="65">
        <f t="shared" ca="1" si="58"/>
        <v>3330.3476626981446</v>
      </c>
      <c r="AX120" s="69">
        <f t="shared" ca="1" si="59"/>
        <v>7024.8542059556185</v>
      </c>
      <c r="AY120" s="70">
        <f t="shared" ca="1" si="60"/>
        <v>6247.4370071631965</v>
      </c>
      <c r="AZ120" s="66">
        <f t="shared" ca="1" si="61"/>
        <v>653.32914016505401</v>
      </c>
      <c r="BA120" s="66">
        <f t="shared" ca="1" si="62"/>
        <v>574.19787287899044</v>
      </c>
      <c r="BB120" s="66">
        <f t="shared" ca="1" si="63"/>
        <v>67.089158183574213</v>
      </c>
      <c r="BC120" s="66">
        <f t="shared" ca="1" si="64"/>
        <v>161013.97964057809</v>
      </c>
      <c r="BD120" s="66">
        <f t="shared" ca="1" si="65"/>
        <v>0</v>
      </c>
      <c r="BE120" s="71">
        <f t="shared" ca="1" si="71"/>
        <v>161266.14955417594</v>
      </c>
      <c r="BF120" s="65">
        <f t="shared" ca="1" si="66"/>
        <v>389.11711746473043</v>
      </c>
      <c r="BG120" s="69">
        <f t="shared" ca="1" si="67"/>
        <v>0</v>
      </c>
      <c r="BH120" s="301">
        <f t="shared" ca="1" si="70"/>
        <v>0</v>
      </c>
      <c r="BI120" s="300">
        <f ca="1">IF(AO120&gt;TartamVálasztott,0,   (BI119+BH120)*(1+yields!$D$2)*(1-(0.0099/12)))</f>
        <v>351823.51219680015</v>
      </c>
      <c r="BJ120" s="300">
        <f ca="1">SUM(BH$6:BH120)*-1.2</f>
        <v>-358362.67672463914</v>
      </c>
      <c r="BK120" s="300">
        <f t="shared" ca="1" si="75"/>
        <v>-6539.1645278389915</v>
      </c>
      <c r="BL120" s="28">
        <f t="shared" ca="1" si="74"/>
        <v>2026</v>
      </c>
      <c r="BM120" s="28">
        <f t="shared" ca="1" si="72"/>
        <v>8</v>
      </c>
      <c r="BN120" s="236">
        <f t="shared" ca="1" si="73"/>
        <v>0</v>
      </c>
      <c r="BO120" s="236">
        <f t="shared" ca="1" si="68"/>
        <v>0</v>
      </c>
    </row>
    <row r="121" spans="41:67" x14ac:dyDescent="0.25">
      <c r="AO121" s="28">
        <f t="shared" si="51"/>
        <v>10</v>
      </c>
      <c r="AP121" s="28">
        <f t="shared" si="52"/>
        <v>8</v>
      </c>
      <c r="AQ121" s="65">
        <f t="shared" ca="1" si="69"/>
        <v>0</v>
      </c>
      <c r="AR121" s="66">
        <f t="shared" ca="1" si="53"/>
        <v>0</v>
      </c>
      <c r="AS121" s="66">
        <f t="shared" ca="1" si="54"/>
        <v>5600.8794563793963</v>
      </c>
      <c r="AT121" s="66">
        <f t="shared" ca="1" si="55"/>
        <v>1380345.4267032582</v>
      </c>
      <c r="AU121" s="66">
        <f t="shared" ca="1" si="56"/>
        <v>0</v>
      </c>
      <c r="AV121" s="68">
        <f t="shared" ca="1" si="57"/>
        <v>1377009.5919220587</v>
      </c>
      <c r="AW121" s="65">
        <f t="shared" ca="1" si="58"/>
        <v>3335.8347811995409</v>
      </c>
      <c r="AX121" s="69">
        <f t="shared" ca="1" si="59"/>
        <v>0</v>
      </c>
      <c r="AY121" s="70">
        <f t="shared" ca="1" si="60"/>
        <v>0</v>
      </c>
      <c r="AZ121" s="66">
        <f t="shared" ca="1" si="61"/>
        <v>657.01825539606045</v>
      </c>
      <c r="BA121" s="66">
        <f t="shared" ca="1" si="62"/>
        <v>575.14392779302432</v>
      </c>
      <c r="BB121" s="66">
        <f t="shared" ca="1" si="63"/>
        <v>67.467986587321661</v>
      </c>
      <c r="BC121" s="66">
        <f t="shared" ca="1" si="64"/>
        <v>161923.16780957198</v>
      </c>
      <c r="BD121" s="66">
        <f t="shared" ca="1" si="65"/>
        <v>0</v>
      </c>
      <c r="BE121" s="71">
        <f t="shared" ca="1" si="71"/>
        <v>162174.46540174587</v>
      </c>
      <c r="BF121" s="65">
        <f t="shared" ca="1" si="66"/>
        <v>391.31432220646565</v>
      </c>
      <c r="BG121" s="69">
        <f t="shared" ca="1" si="67"/>
        <v>0</v>
      </c>
      <c r="BH121" s="301">
        <f t="shared" ca="1" si="70"/>
        <v>0</v>
      </c>
      <c r="BI121" s="300">
        <f ca="1">IF(AO121&gt;TartamVálasztott,0,   (BI120+BH121)*(1+yields!$D$2)*(1-(0.0099/12)))</f>
        <v>352965.44780558103</v>
      </c>
      <c r="BJ121" s="300">
        <f ca="1">SUM(BH$6:BH121)*-1.2</f>
        <v>-358362.67672463914</v>
      </c>
      <c r="BK121" s="300">
        <f t="shared" ca="1" si="75"/>
        <v>-5397.2289190581068</v>
      </c>
      <c r="BL121" s="28">
        <f t="shared" ca="1" si="74"/>
        <v>2026</v>
      </c>
      <c r="BM121" s="28">
        <f t="shared" ca="1" si="72"/>
        <v>9</v>
      </c>
      <c r="BN121" s="236">
        <f t="shared" ca="1" si="73"/>
        <v>0</v>
      </c>
      <c r="BO121" s="236">
        <f t="shared" ca="1" si="68"/>
        <v>0</v>
      </c>
    </row>
    <row r="122" spans="41:67" x14ac:dyDescent="0.25">
      <c r="AO122" s="28">
        <f t="shared" si="51"/>
        <v>10</v>
      </c>
      <c r="AP122" s="28">
        <f t="shared" si="52"/>
        <v>9</v>
      </c>
      <c r="AQ122" s="65">
        <f t="shared" ca="1" si="69"/>
        <v>0</v>
      </c>
      <c r="AR122" s="66">
        <f t="shared" ca="1" si="53"/>
        <v>0</v>
      </c>
      <c r="AS122" s="66">
        <f t="shared" ca="1" si="54"/>
        <v>5610.1075287615731</v>
      </c>
      <c r="AT122" s="66">
        <f t="shared" ca="1" si="55"/>
        <v>1382619.6994508202</v>
      </c>
      <c r="AU122" s="66">
        <f t="shared" ca="1" si="56"/>
        <v>0</v>
      </c>
      <c r="AV122" s="68">
        <f t="shared" ca="1" si="57"/>
        <v>1379278.3685104807</v>
      </c>
      <c r="AW122" s="65">
        <f t="shared" ca="1" si="58"/>
        <v>3341.3309403394824</v>
      </c>
      <c r="AX122" s="69">
        <f t="shared" ca="1" si="59"/>
        <v>0</v>
      </c>
      <c r="AY122" s="70">
        <f t="shared" ca="1" si="60"/>
        <v>0</v>
      </c>
      <c r="AZ122" s="66">
        <f t="shared" ca="1" si="61"/>
        <v>660.71884659370983</v>
      </c>
      <c r="BA122" s="66">
        <f t="shared" ca="1" si="62"/>
        <v>576.09154143784178</v>
      </c>
      <c r="BB122" s="66">
        <f t="shared" ca="1" si="63"/>
        <v>67.847993436808167</v>
      </c>
      <c r="BC122" s="66">
        <f t="shared" ca="1" si="64"/>
        <v>162835.18424833959</v>
      </c>
      <c r="BD122" s="66">
        <f t="shared" ca="1" si="65"/>
        <v>0</v>
      </c>
      <c r="BE122" s="71">
        <f t="shared" ca="1" si="71"/>
        <v>163085.60542128075</v>
      </c>
      <c r="BF122" s="65">
        <f t="shared" ca="1" si="66"/>
        <v>393.51836193348737</v>
      </c>
      <c r="BG122" s="69">
        <f t="shared" ca="1" si="67"/>
        <v>0</v>
      </c>
      <c r="BH122" s="301">
        <f t="shared" ca="1" si="70"/>
        <v>0</v>
      </c>
      <c r="BI122" s="300">
        <f ca="1">IF(AO122&gt;TartamVálasztott,0,   (BI121+BH122)*(1+yields!$D$2)*(1-(0.0099/12)))</f>
        <v>354111.08986628853</v>
      </c>
      <c r="BJ122" s="300">
        <f ca="1">SUM(BH$6:BH122)*-1.2</f>
        <v>-358362.67672463914</v>
      </c>
      <c r="BK122" s="300">
        <f t="shared" ca="1" si="75"/>
        <v>-4251.586858350609</v>
      </c>
      <c r="BL122" s="28">
        <f t="shared" ca="1" si="74"/>
        <v>2026</v>
      </c>
      <c r="BM122" s="28">
        <f t="shared" ca="1" si="72"/>
        <v>10</v>
      </c>
      <c r="BN122" s="236">
        <f t="shared" ca="1" si="73"/>
        <v>0</v>
      </c>
      <c r="BO122" s="236">
        <f t="shared" ca="1" si="68"/>
        <v>0</v>
      </c>
    </row>
    <row r="123" spans="41:67" x14ac:dyDescent="0.25">
      <c r="AO123" s="28">
        <f t="shared" si="51"/>
        <v>10</v>
      </c>
      <c r="AP123" s="28">
        <f t="shared" si="52"/>
        <v>10</v>
      </c>
      <c r="AQ123" s="65">
        <f t="shared" ca="1" si="69"/>
        <v>46832.361373037456</v>
      </c>
      <c r="AR123" s="66">
        <f t="shared" ca="1" si="53"/>
        <v>39807.507167081836</v>
      </c>
      <c r="AS123" s="66">
        <f t="shared" ca="1" si="54"/>
        <v>5781.5315171374077</v>
      </c>
      <c r="AT123" s="66">
        <f t="shared" ca="1" si="55"/>
        <v>1424867.4071946999</v>
      </c>
      <c r="AU123" s="66">
        <f t="shared" ca="1" si="56"/>
        <v>0</v>
      </c>
      <c r="AV123" s="68">
        <f t="shared" ca="1" si="57"/>
        <v>1421423.9776273128</v>
      </c>
      <c r="AW123" s="65">
        <f t="shared" ca="1" si="58"/>
        <v>3443.4295673871916</v>
      </c>
      <c r="AX123" s="69">
        <f t="shared" ca="1" si="59"/>
        <v>7024.8542059556185</v>
      </c>
      <c r="AY123" s="70">
        <f t="shared" ca="1" si="60"/>
        <v>6247.4370071631965</v>
      </c>
      <c r="AZ123" s="66">
        <f t="shared" ca="1" si="61"/>
        <v>689.88377551525923</v>
      </c>
      <c r="BA123" s="66">
        <f t="shared" ca="1" si="62"/>
        <v>593.69475299779162</v>
      </c>
      <c r="BB123" s="66">
        <f t="shared" ca="1" si="63"/>
        <v>70.842885918316327</v>
      </c>
      <c r="BC123" s="66">
        <f t="shared" ca="1" si="64"/>
        <v>170022.92620395918</v>
      </c>
      <c r="BD123" s="66">
        <f t="shared" ca="1" si="65"/>
        <v>0</v>
      </c>
      <c r="BE123" s="71">
        <f t="shared" ca="1" si="71"/>
        <v>170276.57510454906</v>
      </c>
      <c r="BF123" s="65">
        <f t="shared" ca="1" si="66"/>
        <v>410.88873832623472</v>
      </c>
      <c r="BG123" s="69">
        <f t="shared" ca="1" si="67"/>
        <v>0</v>
      </c>
      <c r="BH123" s="301">
        <f t="shared" ca="1" si="70"/>
        <v>0</v>
      </c>
      <c r="BI123" s="300">
        <f ca="1">IF(AO123&gt;TartamVálasztott,0,   (BI122+BH123)*(1+yields!$D$2)*(1-(0.0099/12)))</f>
        <v>355260.45040918578</v>
      </c>
      <c r="BJ123" s="300">
        <f ca="1">SUM(BH$6:BH123)*-1.2</f>
        <v>-358362.67672463914</v>
      </c>
      <c r="BK123" s="300">
        <f t="shared" ca="1" si="75"/>
        <v>-3102.2263154533575</v>
      </c>
      <c r="BL123" s="28">
        <f t="shared" ca="1" si="74"/>
        <v>2026</v>
      </c>
      <c r="BM123" s="28">
        <f t="shared" ca="1" si="72"/>
        <v>11</v>
      </c>
      <c r="BN123" s="236">
        <f t="shared" ca="1" si="73"/>
        <v>0</v>
      </c>
      <c r="BO123" s="236">
        <f t="shared" ca="1" si="68"/>
        <v>0</v>
      </c>
    </row>
    <row r="124" spans="41:67" x14ac:dyDescent="0.25">
      <c r="AO124" s="28">
        <f t="shared" si="51"/>
        <v>10</v>
      </c>
      <c r="AP124" s="28">
        <f t="shared" si="52"/>
        <v>11</v>
      </c>
      <c r="AQ124" s="65">
        <f t="shared" ca="1" si="69"/>
        <v>0</v>
      </c>
      <c r="AR124" s="66">
        <f t="shared" ca="1" si="53"/>
        <v>0</v>
      </c>
      <c r="AS124" s="66">
        <f t="shared" ca="1" si="54"/>
        <v>5791.0572338994798</v>
      </c>
      <c r="AT124" s="66">
        <f t="shared" ca="1" si="55"/>
        <v>1427215.0348612121</v>
      </c>
      <c r="AU124" s="66">
        <f t="shared" ca="1" si="56"/>
        <v>0</v>
      </c>
      <c r="AV124" s="68">
        <f t="shared" ca="1" si="57"/>
        <v>1423765.9318602975</v>
      </c>
      <c r="AW124" s="65">
        <f t="shared" ca="1" si="58"/>
        <v>3449.1030009145961</v>
      </c>
      <c r="AX124" s="69">
        <f t="shared" ca="1" si="59"/>
        <v>0</v>
      </c>
      <c r="AY124" s="70">
        <f t="shared" ca="1" si="60"/>
        <v>0</v>
      </c>
      <c r="AZ124" s="66">
        <f t="shared" ca="1" si="61"/>
        <v>693.72784443162845</v>
      </c>
      <c r="BA124" s="66">
        <f t="shared" ca="1" si="62"/>
        <v>594.67293119217175</v>
      </c>
      <c r="BB124" s="66">
        <f t="shared" ca="1" si="63"/>
        <v>71.237626228741959</v>
      </c>
      <c r="BC124" s="66">
        <f t="shared" ca="1" si="64"/>
        <v>170970.30294898068</v>
      </c>
      <c r="BD124" s="66">
        <f t="shared" ca="1" si="65"/>
        <v>0</v>
      </c>
      <c r="BE124" s="71">
        <f t="shared" ca="1" si="71"/>
        <v>171223.03527427491</v>
      </c>
      <c r="BF124" s="65">
        <f t="shared" ca="1" si="66"/>
        <v>413.17823212670334</v>
      </c>
      <c r="BG124" s="69">
        <f t="shared" ca="1" si="67"/>
        <v>0</v>
      </c>
      <c r="BH124" s="301">
        <f t="shared" ca="1" si="70"/>
        <v>0</v>
      </c>
      <c r="BI124" s="300">
        <f ca="1">IF(AO124&gt;TartamVálasztott,0,   (BI123+BH124)*(1+yields!$D$2)*(1-(0.0099/12)))</f>
        <v>356413.54150358331</v>
      </c>
      <c r="BJ124" s="300">
        <f ca="1">SUM(BH$6:BH124)*-1.2</f>
        <v>-358362.67672463914</v>
      </c>
      <c r="BK124" s="300">
        <f t="shared" ca="1" si="75"/>
        <v>-1949.1352210558252</v>
      </c>
      <c r="BL124" s="28">
        <f t="shared" ca="1" si="74"/>
        <v>2026</v>
      </c>
      <c r="BM124" s="28">
        <f t="shared" ca="1" si="72"/>
        <v>12</v>
      </c>
      <c r="BN124" s="236">
        <f t="shared" ca="1" si="73"/>
        <v>187329.44549214983</v>
      </c>
      <c r="BO124" s="236">
        <f t="shared" ca="1" si="68"/>
        <v>37465.889098429965</v>
      </c>
    </row>
    <row r="125" spans="41:67" x14ac:dyDescent="0.25">
      <c r="AO125" s="132">
        <f t="shared" si="51"/>
        <v>10</v>
      </c>
      <c r="AP125" s="132">
        <f t="shared" si="52"/>
        <v>12</v>
      </c>
      <c r="AQ125" s="133">
        <f t="shared" ca="1" si="69"/>
        <v>0</v>
      </c>
      <c r="AR125" s="134">
        <f t="shared" ca="1" si="53"/>
        <v>0</v>
      </c>
      <c r="AS125" s="134">
        <f t="shared" ca="1" si="54"/>
        <v>5800.5986453402993</v>
      </c>
      <c r="AT125" s="134">
        <f t="shared" ca="1" si="55"/>
        <v>1429566.5305056376</v>
      </c>
      <c r="AU125" s="134">
        <f t="shared" ca="1" si="56"/>
        <v>129129.32294805686</v>
      </c>
      <c r="AV125" s="134">
        <f t="shared" ca="1" si="57"/>
        <v>1555241.0676716394</v>
      </c>
      <c r="AW125" s="133">
        <f t="shared" ca="1" si="58"/>
        <v>3454.7857820552913</v>
      </c>
      <c r="AX125" s="135">
        <f t="shared" ca="1" si="59"/>
        <v>0</v>
      </c>
      <c r="AY125" s="136">
        <f t="shared" ca="1" si="60"/>
        <v>0</v>
      </c>
      <c r="AZ125" s="134">
        <f t="shared" ca="1" si="61"/>
        <v>697.58384031938442</v>
      </c>
      <c r="BA125" s="134">
        <f t="shared" ca="1" si="62"/>
        <v>595.65272104401572</v>
      </c>
      <c r="BB125" s="134">
        <f t="shared" ca="1" si="63"/>
        <v>71.633591297747628</v>
      </c>
      <c r="BC125" s="134">
        <f t="shared" ca="1" si="64"/>
        <v>171920.6191145943</v>
      </c>
      <c r="BD125" s="134">
        <f t="shared" ca="1" si="65"/>
        <v>129129.32294805686</v>
      </c>
      <c r="BE125" s="134">
        <f t="shared" ca="1" si="71"/>
        <v>43043.107649352285</v>
      </c>
      <c r="BF125" s="133">
        <f t="shared" ca="1" si="66"/>
        <v>415.47482952693628</v>
      </c>
      <c r="BG125" s="135">
        <f t="shared" ca="1" si="67"/>
        <v>0</v>
      </c>
      <c r="BH125" s="301">
        <f t="shared" ca="1" si="70"/>
        <v>0</v>
      </c>
      <c r="BI125" s="300">
        <f ca="1">IF(AO125&gt;TartamVálasztott,0,   (BI124+BH125)*(1+yields!$D$2)*(1-(0.0099/12)))</f>
        <v>357570.37525796582</v>
      </c>
      <c r="BJ125" s="300">
        <f ca="1">SUM(BH$6:BH125)*-1.2</f>
        <v>-358362.67672463914</v>
      </c>
      <c r="BK125" s="300">
        <f t="shared" ca="1" si="75"/>
        <v>-792.30146667332156</v>
      </c>
      <c r="BL125" s="28">
        <f t="shared" ca="1" si="74"/>
        <v>2027</v>
      </c>
      <c r="BM125" s="28">
        <f t="shared" ca="1" si="72"/>
        <v>1</v>
      </c>
      <c r="BN125" s="236">
        <f t="shared" ca="1" si="73"/>
        <v>0</v>
      </c>
      <c r="BO125" s="236">
        <f t="shared" ca="1" si="68"/>
        <v>0</v>
      </c>
    </row>
    <row r="126" spans="41:67" x14ac:dyDescent="0.25">
      <c r="AO126" s="28">
        <f t="shared" si="51"/>
        <v>11</v>
      </c>
      <c r="AP126" s="28">
        <f t="shared" si="52"/>
        <v>1</v>
      </c>
      <c r="AQ126" s="65">
        <f t="shared" ca="1" si="69"/>
        <v>48003.170407363388</v>
      </c>
      <c r="AR126" s="66">
        <f t="shared" ca="1" si="53"/>
        <v>40802.694846258877</v>
      </c>
      <c r="AS126" s="66">
        <f t="shared" ca="1" si="54"/>
        <v>6502.4798526177738</v>
      </c>
      <c r="AT126" s="66">
        <f t="shared" ca="1" si="55"/>
        <v>1602546.2423705161</v>
      </c>
      <c r="AU126" s="66">
        <f t="shared" ca="1" si="56"/>
        <v>0</v>
      </c>
      <c r="AV126" s="68">
        <f t="shared" ca="1" si="57"/>
        <v>1598673.4222847873</v>
      </c>
      <c r="AW126" s="65">
        <f t="shared" ca="1" si="58"/>
        <v>3872.8200857287475</v>
      </c>
      <c r="AX126" s="69">
        <f t="shared" ca="1" si="59"/>
        <v>7200.4755611045084</v>
      </c>
      <c r="AY126" s="70">
        <f t="shared" ca="1" si="60"/>
        <v>6710.8432229494019</v>
      </c>
      <c r="AZ126" s="66">
        <f t="shared" ca="1" si="61"/>
        <v>202.70375457931604</v>
      </c>
      <c r="BA126" s="66">
        <f t="shared" ca="1" si="62"/>
        <v>667.72760098771505</v>
      </c>
      <c r="BB126" s="66">
        <f t="shared" ca="1" si="63"/>
        <v>20.815272761200418</v>
      </c>
      <c r="BC126" s="66">
        <f t="shared" ca="1" si="64"/>
        <v>49956.654626880998</v>
      </c>
      <c r="BD126" s="66">
        <f t="shared" ca="1" si="65"/>
        <v>0</v>
      </c>
      <c r="BE126" s="71">
        <f t="shared" ca="1" si="71"/>
        <v>50524.468918614948</v>
      </c>
      <c r="BF126" s="65">
        <f t="shared" ca="1" si="66"/>
        <v>120.72858201496241</v>
      </c>
      <c r="BG126" s="69">
        <f t="shared" ca="1" si="67"/>
        <v>0</v>
      </c>
      <c r="BH126" s="301">
        <f t="shared" ca="1" si="70"/>
        <v>0</v>
      </c>
      <c r="BI126" s="300">
        <f ca="1">IF(AO126&gt;TartamVálasztott,0,   (BI125+BH126)*(1+yields!$D$2)*(1-(0.0099/12)))</f>
        <v>358730.96382011916</v>
      </c>
      <c r="BJ126" s="300">
        <f ca="1">SUM(BH$6:BH126)*-1.2</f>
        <v>-358362.67672463914</v>
      </c>
      <c r="BK126" s="300">
        <f t="shared" ca="1" si="75"/>
        <v>368.28709548001643</v>
      </c>
      <c r="BL126" s="28">
        <f t="shared" ca="1" si="74"/>
        <v>2027</v>
      </c>
      <c r="BM126" s="28">
        <f t="shared" ca="1" si="72"/>
        <v>2</v>
      </c>
      <c r="BN126" s="236">
        <f t="shared" ca="1" si="73"/>
        <v>0</v>
      </c>
      <c r="BO126" s="236">
        <f t="shared" ca="1" si="68"/>
        <v>0</v>
      </c>
    </row>
    <row r="127" spans="41:67" x14ac:dyDescent="0.25">
      <c r="AO127" s="28">
        <f t="shared" si="51"/>
        <v>11</v>
      </c>
      <c r="AP127" s="28">
        <f t="shared" si="52"/>
        <v>2</v>
      </c>
      <c r="AQ127" s="65">
        <f t="shared" ca="1" si="69"/>
        <v>0</v>
      </c>
      <c r="AR127" s="66">
        <f t="shared" ca="1" si="53"/>
        <v>0</v>
      </c>
      <c r="AS127" s="66">
        <f t="shared" ca="1" si="54"/>
        <v>6513.1934120169599</v>
      </c>
      <c r="AT127" s="66">
        <f t="shared" ca="1" si="55"/>
        <v>1605186.6156968041</v>
      </c>
      <c r="AU127" s="66">
        <f t="shared" ca="1" si="56"/>
        <v>0</v>
      </c>
      <c r="AV127" s="68">
        <f t="shared" ca="1" si="57"/>
        <v>1601307.4147088702</v>
      </c>
      <c r="AW127" s="65">
        <f t="shared" ca="1" si="58"/>
        <v>3879.2009879339435</v>
      </c>
      <c r="AX127" s="69">
        <f t="shared" ca="1" si="59"/>
        <v>0</v>
      </c>
      <c r="AY127" s="70">
        <f t="shared" ca="1" si="60"/>
        <v>0</v>
      </c>
      <c r="AZ127" s="66">
        <f t="shared" ca="1" si="61"/>
        <v>205.84294047753116</v>
      </c>
      <c r="BA127" s="66">
        <f t="shared" ca="1" si="62"/>
        <v>668.82775654033514</v>
      </c>
      <c r="BB127" s="66">
        <f t="shared" ca="1" si="63"/>
        <v>21.137629941288534</v>
      </c>
      <c r="BC127" s="66">
        <f t="shared" ca="1" si="64"/>
        <v>50730.311859092479</v>
      </c>
      <c r="BD127" s="66">
        <f t="shared" ca="1" si="65"/>
        <v>0</v>
      </c>
      <c r="BE127" s="71">
        <f t="shared" ca="1" si="71"/>
        <v>51297.678991914625</v>
      </c>
      <c r="BF127" s="65">
        <f t="shared" ca="1" si="66"/>
        <v>122.5982536594735</v>
      </c>
      <c r="BG127" s="69">
        <f t="shared" ca="1" si="67"/>
        <v>0</v>
      </c>
      <c r="BH127" s="301">
        <f t="shared" ca="1" si="70"/>
        <v>0</v>
      </c>
      <c r="BI127" s="300">
        <f ca="1">IF(AO127&gt;TartamVálasztott,0,   (BI126+BH127)*(1+yields!$D$2)*(1-(0.0099/12)))</f>
        <v>359895.31937725813</v>
      </c>
      <c r="BJ127" s="300">
        <f ca="1">SUM(BH$6:BH127)*-1.2</f>
        <v>-358362.67672463914</v>
      </c>
      <c r="BK127" s="300">
        <f t="shared" ca="1" si="75"/>
        <v>1532.6426526189898</v>
      </c>
      <c r="BL127" s="28">
        <f t="shared" ca="1" si="74"/>
        <v>2027</v>
      </c>
      <c r="BM127" s="28">
        <f t="shared" ca="1" si="72"/>
        <v>3</v>
      </c>
      <c r="BN127" s="236">
        <f t="shared" ca="1" si="73"/>
        <v>0</v>
      </c>
      <c r="BO127" s="236">
        <f t="shared" ca="1" si="68"/>
        <v>0</v>
      </c>
    </row>
    <row r="128" spans="41:67" x14ac:dyDescent="0.25">
      <c r="AO128" s="28">
        <f t="shared" si="51"/>
        <v>11</v>
      </c>
      <c r="AP128" s="28">
        <f t="shared" si="52"/>
        <v>3</v>
      </c>
      <c r="AQ128" s="65">
        <f t="shared" ca="1" si="69"/>
        <v>0</v>
      </c>
      <c r="AR128" s="66">
        <f t="shared" ca="1" si="53"/>
        <v>0</v>
      </c>
      <c r="AS128" s="66">
        <f t="shared" ca="1" si="54"/>
        <v>6523.9246231978659</v>
      </c>
      <c r="AT128" s="66">
        <f t="shared" ca="1" si="55"/>
        <v>1607831.3393320681</v>
      </c>
      <c r="AU128" s="66">
        <f t="shared" ca="1" si="56"/>
        <v>0</v>
      </c>
      <c r="AV128" s="68">
        <f t="shared" ca="1" si="57"/>
        <v>1603945.7469286823</v>
      </c>
      <c r="AW128" s="65">
        <f t="shared" ca="1" si="58"/>
        <v>3885.5924033858314</v>
      </c>
      <c r="AX128" s="69">
        <f t="shared" ca="1" si="59"/>
        <v>0</v>
      </c>
      <c r="AY128" s="70">
        <f t="shared" ca="1" si="60"/>
        <v>0</v>
      </c>
      <c r="AZ128" s="66">
        <f t="shared" ca="1" si="61"/>
        <v>208.99309402691787</v>
      </c>
      <c r="BA128" s="66">
        <f t="shared" ca="1" si="62"/>
        <v>669.92972472169504</v>
      </c>
      <c r="BB128" s="66">
        <f t="shared" ca="1" si="63"/>
        <v>21.461113369142311</v>
      </c>
      <c r="BC128" s="66">
        <f t="shared" ca="1" si="64"/>
        <v>51506.672085941544</v>
      </c>
      <c r="BD128" s="66">
        <f t="shared" ca="1" si="65"/>
        <v>0</v>
      </c>
      <c r="BE128" s="71">
        <f t="shared" ca="1" si="71"/>
        <v>52073.588466491361</v>
      </c>
      <c r="BF128" s="65">
        <f t="shared" ca="1" si="66"/>
        <v>124.4744575410254</v>
      </c>
      <c r="BG128" s="69">
        <f t="shared" ca="1" si="67"/>
        <v>0</v>
      </c>
      <c r="BH128" s="301">
        <f t="shared" ca="1" si="70"/>
        <v>0</v>
      </c>
      <c r="BI128" s="300">
        <f ca="1">IF(AO128&gt;TartamVálasztott,0,   (BI127+BH128)*(1+yields!$D$2)*(1-(0.0099/12)))</f>
        <v>361063.45415615424</v>
      </c>
      <c r="BJ128" s="300">
        <f ca="1">SUM(BH$6:BH128)*-1.2</f>
        <v>-358362.67672463914</v>
      </c>
      <c r="BK128" s="300">
        <f t="shared" ca="1" si="75"/>
        <v>2700.7774315151037</v>
      </c>
      <c r="BL128" s="28">
        <f t="shared" ca="1" si="74"/>
        <v>2027</v>
      </c>
      <c r="BM128" s="28">
        <f t="shared" ca="1" si="72"/>
        <v>4</v>
      </c>
      <c r="BN128" s="236">
        <f t="shared" ca="1" si="73"/>
        <v>0</v>
      </c>
      <c r="BO128" s="236">
        <f t="shared" ca="1" si="68"/>
        <v>0</v>
      </c>
    </row>
    <row r="129" spans="41:67" x14ac:dyDescent="0.25">
      <c r="AO129" s="28">
        <f t="shared" si="51"/>
        <v>11</v>
      </c>
      <c r="AP129" s="28">
        <f t="shared" si="52"/>
        <v>4</v>
      </c>
      <c r="AQ129" s="65">
        <f t="shared" ca="1" si="69"/>
        <v>48003.170407363388</v>
      </c>
      <c r="AR129" s="66">
        <f t="shared" ca="1" si="53"/>
        <v>40802.694846258877</v>
      </c>
      <c r="AS129" s="66">
        <f t="shared" ca="1" si="54"/>
        <v>6700.9087447538577</v>
      </c>
      <c r="AT129" s="66">
        <f t="shared" ca="1" si="55"/>
        <v>1651449.3505196951</v>
      </c>
      <c r="AU129" s="66">
        <f t="shared" ca="1" si="56"/>
        <v>0</v>
      </c>
      <c r="AV129" s="68">
        <f t="shared" ca="1" si="57"/>
        <v>1647458.3479226059</v>
      </c>
      <c r="AW129" s="65">
        <f t="shared" ca="1" si="58"/>
        <v>3991.0025970892634</v>
      </c>
      <c r="AX129" s="69">
        <f t="shared" ca="1" si="59"/>
        <v>7200.4755611045084</v>
      </c>
      <c r="AY129" s="70">
        <f t="shared" ca="1" si="60"/>
        <v>6710.8432229494019</v>
      </c>
      <c r="AZ129" s="66">
        <f t="shared" ca="1" si="61"/>
        <v>239.49505125420256</v>
      </c>
      <c r="BA129" s="66">
        <f t="shared" ca="1" si="62"/>
        <v>688.10389604987301</v>
      </c>
      <c r="BB129" s="66">
        <f t="shared" ca="1" si="63"/>
        <v>24.593302808622905</v>
      </c>
      <c r="BC129" s="66">
        <f t="shared" ca="1" si="64"/>
        <v>59023.926740694966</v>
      </c>
      <c r="BD129" s="66">
        <f t="shared" ca="1" si="65"/>
        <v>0</v>
      </c>
      <c r="BE129" s="71">
        <f t="shared" ca="1" si="71"/>
        <v>59593.982783263455</v>
      </c>
      <c r="BF129" s="65">
        <f t="shared" ca="1" si="66"/>
        <v>142.64115629001284</v>
      </c>
      <c r="BG129" s="69">
        <f t="shared" ca="1" si="67"/>
        <v>0</v>
      </c>
      <c r="BH129" s="301">
        <f t="shared" ca="1" si="70"/>
        <v>0</v>
      </c>
      <c r="BI129" s="300">
        <f ca="1">IF(AO129&gt;TartamVálasztott,0,   (BI128+BH129)*(1+yields!$D$2)*(1-(0.0099/12)))</f>
        <v>362235.38042326429</v>
      </c>
      <c r="BJ129" s="300">
        <f ca="1">SUM(BH$6:BH129)*-1.2</f>
        <v>-358362.67672463914</v>
      </c>
      <c r="BK129" s="300">
        <f t="shared" ca="1" si="75"/>
        <v>3872.7036986251478</v>
      </c>
      <c r="BL129" s="28">
        <f t="shared" ca="1" si="74"/>
        <v>2027</v>
      </c>
      <c r="BM129" s="28">
        <f t="shared" ca="1" si="72"/>
        <v>5</v>
      </c>
      <c r="BN129" s="236">
        <f t="shared" ca="1" si="73"/>
        <v>0</v>
      </c>
      <c r="BO129" s="236">
        <f t="shared" ca="1" si="68"/>
        <v>0</v>
      </c>
    </row>
    <row r="130" spans="41:67" x14ac:dyDescent="0.25">
      <c r="AO130" s="28">
        <f t="shared" si="51"/>
        <v>11</v>
      </c>
      <c r="AP130" s="28">
        <f t="shared" si="52"/>
        <v>5</v>
      </c>
      <c r="AQ130" s="65">
        <f t="shared" ca="1" si="69"/>
        <v>0</v>
      </c>
      <c r="AR130" s="66">
        <f t="shared" ca="1" si="53"/>
        <v>0</v>
      </c>
      <c r="AS130" s="66">
        <f t="shared" ca="1" si="54"/>
        <v>6711.9492378415125</v>
      </c>
      <c r="AT130" s="66">
        <f t="shared" ca="1" si="55"/>
        <v>1654170.2971604473</v>
      </c>
      <c r="AU130" s="66">
        <f t="shared" ca="1" si="56"/>
        <v>0</v>
      </c>
      <c r="AV130" s="68">
        <f t="shared" ca="1" si="57"/>
        <v>1650172.7189423095</v>
      </c>
      <c r="AW130" s="65">
        <f t="shared" ca="1" si="58"/>
        <v>3997.5782181377481</v>
      </c>
      <c r="AX130" s="69">
        <f t="shared" ca="1" si="59"/>
        <v>0</v>
      </c>
      <c r="AY130" s="70">
        <f t="shared" ca="1" si="60"/>
        <v>0</v>
      </c>
      <c r="AZ130" s="66">
        <f t="shared" ca="1" si="61"/>
        <v>242.79326261962413</v>
      </c>
      <c r="BA130" s="66">
        <f t="shared" ca="1" si="62"/>
        <v>689.2376238168531</v>
      </c>
      <c r="BB130" s="66">
        <f t="shared" ca="1" si="63"/>
        <v>24.931990019117951</v>
      </c>
      <c r="BC130" s="66">
        <f t="shared" ca="1" si="64"/>
        <v>59836.776045883082</v>
      </c>
      <c r="BD130" s="66">
        <f t="shared" ca="1" si="65"/>
        <v>0</v>
      </c>
      <c r="BE130" s="71">
        <f t="shared" ca="1" si="71"/>
        <v>60406.340117608168</v>
      </c>
      <c r="BF130" s="65">
        <f t="shared" ca="1" si="66"/>
        <v>144.60554211088413</v>
      </c>
      <c r="BG130" s="69">
        <f t="shared" ca="1" si="67"/>
        <v>0</v>
      </c>
      <c r="BH130" s="301">
        <f t="shared" ca="1" si="70"/>
        <v>37465.889098429965</v>
      </c>
      <c r="BI130" s="300">
        <f ca="1">IF(AO130&gt;TartamVálasztott,0,   (BI129+BH130)*(1+yields!$D$2)*(1-(0.0099/12)))</f>
        <v>400998.60496608162</v>
      </c>
      <c r="BJ130" s="300">
        <f ca="1">SUM(BH$6:BH130)*-1.2</f>
        <v>-403321.74364275509</v>
      </c>
      <c r="BK130" s="300">
        <f t="shared" ca="1" si="75"/>
        <v>-2323.1386766734649</v>
      </c>
      <c r="BL130" s="28">
        <f t="shared" ca="1" si="74"/>
        <v>2027</v>
      </c>
      <c r="BM130" s="28">
        <f t="shared" ca="1" si="72"/>
        <v>6</v>
      </c>
      <c r="BN130" s="236">
        <f t="shared" ca="1" si="73"/>
        <v>0</v>
      </c>
      <c r="BO130" s="236">
        <f t="shared" ca="1" si="68"/>
        <v>0</v>
      </c>
    </row>
    <row r="131" spans="41:67" x14ac:dyDescent="0.25">
      <c r="AO131" s="28">
        <f t="shared" si="51"/>
        <v>11</v>
      </c>
      <c r="AP131" s="28">
        <f t="shared" si="52"/>
        <v>6</v>
      </c>
      <c r="AQ131" s="65">
        <f t="shared" ca="1" si="69"/>
        <v>0</v>
      </c>
      <c r="AR131" s="66">
        <f t="shared" ca="1" si="53"/>
        <v>0</v>
      </c>
      <c r="AS131" s="66">
        <f t="shared" ca="1" si="54"/>
        <v>6723.007921370533</v>
      </c>
      <c r="AT131" s="66">
        <f t="shared" ca="1" si="55"/>
        <v>1656895.7268636799</v>
      </c>
      <c r="AU131" s="66">
        <f t="shared" ca="1" si="56"/>
        <v>0</v>
      </c>
      <c r="AV131" s="68">
        <f t="shared" ca="1" si="57"/>
        <v>1652891.562190426</v>
      </c>
      <c r="AW131" s="65">
        <f t="shared" ca="1" si="58"/>
        <v>4004.1646732538934</v>
      </c>
      <c r="AX131" s="69">
        <f t="shared" ca="1" si="59"/>
        <v>0</v>
      </c>
      <c r="AY131" s="70">
        <f t="shared" ca="1" si="60"/>
        <v>0</v>
      </c>
      <c r="AZ131" s="66">
        <f t="shared" ca="1" si="61"/>
        <v>246.10290695629911</v>
      </c>
      <c r="BA131" s="66">
        <f t="shared" ca="1" si="62"/>
        <v>690.37321952653338</v>
      </c>
      <c r="BB131" s="66">
        <f t="shared" ca="1" si="63"/>
        <v>25.271851260235199</v>
      </c>
      <c r="BC131" s="66">
        <f t="shared" ca="1" si="64"/>
        <v>60652.443024564469</v>
      </c>
      <c r="BD131" s="66">
        <f t="shared" ca="1" si="65"/>
        <v>0</v>
      </c>
      <c r="BE131" s="71">
        <f t="shared" ca="1" si="71"/>
        <v>61221.511358041877</v>
      </c>
      <c r="BF131" s="65">
        <f t="shared" ca="1" si="66"/>
        <v>146.57673730936415</v>
      </c>
      <c r="BG131" s="69">
        <f t="shared" ca="1" si="67"/>
        <v>0</v>
      </c>
      <c r="BH131" s="301">
        <f t="shared" ca="1" si="70"/>
        <v>0</v>
      </c>
      <c r="BI131" s="300">
        <f ca="1">IF(AO131&gt;TartamVálasztott,0,   (BI130+BH131)*(1+yields!$D$2)*(1-(0.0099/12)))</f>
        <v>402300.15125337493</v>
      </c>
      <c r="BJ131" s="300">
        <f ca="1">SUM(BH$6:BH131)*-1.2</f>
        <v>-403321.74364275509</v>
      </c>
      <c r="BK131" s="300">
        <f t="shared" ca="1" si="75"/>
        <v>-1021.5923893801519</v>
      </c>
      <c r="BL131" s="28">
        <f t="shared" ca="1" si="74"/>
        <v>2027</v>
      </c>
      <c r="BM131" s="28">
        <f t="shared" ca="1" si="72"/>
        <v>7</v>
      </c>
      <c r="BN131" s="236">
        <f t="shared" ca="1" si="73"/>
        <v>0</v>
      </c>
      <c r="BO131" s="236">
        <f t="shared" ca="1" si="68"/>
        <v>0</v>
      </c>
    </row>
    <row r="132" spans="41:67" x14ac:dyDescent="0.25">
      <c r="AO132" s="28">
        <f t="shared" si="51"/>
        <v>11</v>
      </c>
      <c r="AP132" s="28">
        <f t="shared" si="52"/>
        <v>7</v>
      </c>
      <c r="AQ132" s="65">
        <f t="shared" ca="1" si="69"/>
        <v>48003.170407363388</v>
      </c>
      <c r="AR132" s="66">
        <f t="shared" ca="1" si="53"/>
        <v>40802.694846258877</v>
      </c>
      <c r="AS132" s="66">
        <f t="shared" ca="1" si="54"/>
        <v>6900.3200548217865</v>
      </c>
      <c r="AT132" s="66">
        <f t="shared" ca="1" si="55"/>
        <v>1700594.5770915067</v>
      </c>
      <c r="AU132" s="66">
        <f t="shared" ca="1" si="56"/>
        <v>0</v>
      </c>
      <c r="AV132" s="68">
        <f t="shared" ca="1" si="57"/>
        <v>1696484.8068635354</v>
      </c>
      <c r="AW132" s="65">
        <f t="shared" ca="1" si="58"/>
        <v>4109.7702279711411</v>
      </c>
      <c r="AX132" s="69">
        <f t="shared" ca="1" si="59"/>
        <v>7200.4755611045084</v>
      </c>
      <c r="AY132" s="70">
        <f t="shared" ca="1" si="60"/>
        <v>6710.8432229494019</v>
      </c>
      <c r="AZ132" s="66">
        <f t="shared" ca="1" si="61"/>
        <v>276.76482147764972</v>
      </c>
      <c r="BA132" s="66">
        <f t="shared" ca="1" si="62"/>
        <v>708.58107378812781</v>
      </c>
      <c r="BB132" s="66">
        <f t="shared" ca="1" si="63"/>
        <v>28.420466417695391</v>
      </c>
      <c r="BC132" s="66">
        <f t="shared" ca="1" si="64"/>
        <v>68209.119402468932</v>
      </c>
      <c r="BD132" s="66">
        <f t="shared" ca="1" si="65"/>
        <v>0</v>
      </c>
      <c r="BE132" s="71">
        <f t="shared" ca="1" si="71"/>
        <v>68781.28223745212</v>
      </c>
      <c r="BF132" s="65">
        <f t="shared" ca="1" si="66"/>
        <v>164.83870522263325</v>
      </c>
      <c r="BG132" s="69">
        <f t="shared" ca="1" si="67"/>
        <v>0</v>
      </c>
      <c r="BH132" s="301">
        <f t="shared" ca="1" si="70"/>
        <v>0</v>
      </c>
      <c r="BI132" s="300">
        <f ca="1">IF(AO132&gt;TartamVálasztott,0,   (BI131+BH132)*(1+yields!$D$2)*(1-(0.0099/12)))</f>
        <v>403605.92205097078</v>
      </c>
      <c r="BJ132" s="300">
        <f ca="1">SUM(BH$6:BH132)*-1.2</f>
        <v>-403321.74364275509</v>
      </c>
      <c r="BK132" s="300">
        <f t="shared" ca="1" si="75"/>
        <v>284.17840821569553</v>
      </c>
      <c r="BL132" s="28">
        <f t="shared" ca="1" si="74"/>
        <v>2027</v>
      </c>
      <c r="BM132" s="28">
        <f t="shared" ca="1" si="72"/>
        <v>8</v>
      </c>
      <c r="BN132" s="236">
        <f t="shared" ca="1" si="73"/>
        <v>0</v>
      </c>
      <c r="BO132" s="236">
        <f t="shared" ca="1" si="68"/>
        <v>0</v>
      </c>
    </row>
    <row r="133" spans="41:67" x14ac:dyDescent="0.25">
      <c r="AO133" s="28">
        <f t="shared" si="51"/>
        <v>11</v>
      </c>
      <c r="AP133" s="28">
        <f t="shared" si="52"/>
        <v>8</v>
      </c>
      <c r="AQ133" s="65">
        <f t="shared" ca="1" si="69"/>
        <v>0</v>
      </c>
      <c r="AR133" s="66">
        <f t="shared" ca="1" si="53"/>
        <v>0</v>
      </c>
      <c r="AS133" s="66">
        <f t="shared" ca="1" si="54"/>
        <v>6911.6891002408129</v>
      </c>
      <c r="AT133" s="66">
        <f t="shared" ca="1" si="55"/>
        <v>1703396.4959637763</v>
      </c>
      <c r="AU133" s="66">
        <f t="shared" ca="1" si="56"/>
        <v>0</v>
      </c>
      <c r="AV133" s="68">
        <f t="shared" ca="1" si="57"/>
        <v>1699279.9544318637</v>
      </c>
      <c r="AW133" s="65">
        <f t="shared" ca="1" si="58"/>
        <v>4116.5415319124595</v>
      </c>
      <c r="AX133" s="69">
        <f t="shared" ca="1" si="59"/>
        <v>0</v>
      </c>
      <c r="AY133" s="70">
        <f t="shared" ca="1" si="60"/>
        <v>0</v>
      </c>
      <c r="AZ133" s="66">
        <f t="shared" ca="1" si="61"/>
        <v>280.22345783343371</v>
      </c>
      <c r="BA133" s="66">
        <f t="shared" ca="1" si="62"/>
        <v>709.74853998490687</v>
      </c>
      <c r="BB133" s="66">
        <f t="shared" ca="1" si="63"/>
        <v>28.775627373035647</v>
      </c>
      <c r="BC133" s="66">
        <f t="shared" ca="1" si="64"/>
        <v>69061.505695285552</v>
      </c>
      <c r="BD133" s="66">
        <f t="shared" ca="1" si="65"/>
        <v>0</v>
      </c>
      <c r="BE133" s="71">
        <f t="shared" ca="1" si="71"/>
        <v>69633.131223879886</v>
      </c>
      <c r="BF133" s="65">
        <f t="shared" ca="1" si="66"/>
        <v>166.89863876360675</v>
      </c>
      <c r="BG133" s="69">
        <f t="shared" ca="1" si="67"/>
        <v>0</v>
      </c>
      <c r="BH133" s="301">
        <f t="shared" ca="1" si="70"/>
        <v>0</v>
      </c>
      <c r="BI133" s="300">
        <f ca="1">IF(AO133&gt;TartamVálasztott,0,   (BI132+BH133)*(1+yields!$D$2)*(1-(0.0099/12)))</f>
        <v>404915.93107062677</v>
      </c>
      <c r="BJ133" s="300">
        <f ca="1">SUM(BH$6:BH133)*-1.2</f>
        <v>-403321.74364275509</v>
      </c>
      <c r="BK133" s="300">
        <f t="shared" ca="1" si="75"/>
        <v>1594.1874278716859</v>
      </c>
      <c r="BL133" s="28">
        <f t="shared" ca="1" si="74"/>
        <v>2027</v>
      </c>
      <c r="BM133" s="28">
        <f t="shared" ca="1" si="72"/>
        <v>9</v>
      </c>
      <c r="BN133" s="236">
        <f t="shared" ca="1" si="73"/>
        <v>0</v>
      </c>
      <c r="BO133" s="236">
        <f t="shared" ca="1" si="68"/>
        <v>0</v>
      </c>
    </row>
    <row r="134" spans="41:67" x14ac:dyDescent="0.25">
      <c r="AO134" s="28">
        <f t="shared" ref="AO134:AO197" si="76">IF(AP133=12,AO133+1,AO133)</f>
        <v>11</v>
      </c>
      <c r="AP134" s="28">
        <f t="shared" ref="AP134:AP197" si="77">IF(AP133&lt;12,AP133+1,1)</f>
        <v>9</v>
      </c>
      <c r="AQ134" s="65">
        <f t="shared" ca="1" si="69"/>
        <v>0</v>
      </c>
      <c r="AR134" s="66">
        <f t="shared" ref="AR134:AR197" ca="1" si="78">IF( ($AO134*12+$AP134) &gt; (12*(Term+1) ), 0,
$AQ134*(1-VLOOKUP($AO134,Pars,7))
)</f>
        <v>0</v>
      </c>
      <c r="AS134" s="66">
        <f t="shared" ref="AS134:AS197" ca="1" si="79">IF( ($AO134*12+$AP134) &gt; (12*(Term+1) ), 0,
($AV133+$AR134)*IF(OR(TKM=0,TKM=2),VLOOKUP($AO134,Pars,15),TKMm)
)</f>
        <v>6923.0768774277467</v>
      </c>
      <c r="AT134" s="66">
        <f t="shared" ref="AT134:AT197" ca="1" si="80">IF( ($AO134*12+$AP134) &gt; (12*(Term+1) ), 0,
$AV133+$AR134+$AS134
)</f>
        <v>1706203.0313092915</v>
      </c>
      <c r="AU134" s="66">
        <f t="shared" ref="AU134:AU197" ca="1" si="81">$BD134*(1-LBe)</f>
        <v>0</v>
      </c>
      <c r="AV134" s="68">
        <f t="shared" ref="AV134:AV197" ca="1" si="82">IF( ($AO134*12+$AP134) &gt; (12*(Term+1) ), 0,
($AT134-$AW134) +$AU134
)</f>
        <v>1702079.7073169607</v>
      </c>
      <c r="AW134" s="65">
        <f t="shared" ref="AW134:AW197" ca="1" si="83">$AT134* ( VLOOKUP($AO134,Pars,9) /12 )</f>
        <v>4123.3239923307883</v>
      </c>
      <c r="AX134" s="69">
        <f t="shared" ref="AX134:AX197" ca="1" si="84">$AQ134*VLOOKUP($AO134,Pars,7)</f>
        <v>0</v>
      </c>
      <c r="AY134" s="70">
        <f t="shared" ref="AY134:AY197" ca="1" si="85">$AQ134*VLOOKUP($AO134,Pars,8)</f>
        <v>0</v>
      </c>
      <c r="AZ134" s="66">
        <f t="shared" ref="AZ134:AZ197" ca="1" si="86">($BE133+$AY134)*IF(OR(TKM=0,TKM=2),VLOOKUP($AO134,Pars,15),TKMm)</f>
        <v>283.69399604911581</v>
      </c>
      <c r="BA134" s="66">
        <f t="shared" ref="BA134:BA197" ca="1" si="87">$AT134* ( VLOOKUP($AO134,Pars,11) /12 )</f>
        <v>710.9179297122048</v>
      </c>
      <c r="BB134" s="66">
        <f t="shared" ref="BB134:BB197" ca="1" si="88">$BC134* ( VLOOKUP($AO134,Pars,12) /12 )</f>
        <v>29.13201050830375</v>
      </c>
      <c r="BC134" s="66">
        <f t="shared" ref="BC134:BC197" ca="1" si="89">$BE133+$AY134+$AZ134</f>
        <v>69916.825219929</v>
      </c>
      <c r="BD134" s="66">
        <f t="shared" ref="BD134:BD197" ca="1" si="90">($BC134 -$BF134 +($BA134+$BB134) ) * IF($AP134=12,VLOOKUP($AO134,Pars,13),0)</f>
        <v>0</v>
      </c>
      <c r="BE134" s="71">
        <f t="shared" ca="1" si="71"/>
        <v>70487.909499201342</v>
      </c>
      <c r="BF134" s="65">
        <f t="shared" ref="BF134:BF197" ca="1" si="91">$BC134* ( VLOOKUP($AO134,Pars,10) /12 )</f>
        <v>168.96566094816177</v>
      </c>
      <c r="BG134" s="69">
        <f t="shared" ref="BG134:BG197" ca="1" si="92">BD134*LBe</f>
        <v>0</v>
      </c>
      <c r="BH134" s="301">
        <f t="shared" ca="1" si="70"/>
        <v>0</v>
      </c>
      <c r="BI134" s="300">
        <f ca="1">IF(AO134&gt;TartamVálasztott,0,   (BI133+BH134)*(1+yields!$D$2)*(1-(0.0099/12)))</f>
        <v>406230.19206860574</v>
      </c>
      <c r="BJ134" s="300">
        <f ca="1">SUM(BH$6:BH134)*-1.2</f>
        <v>-403321.74364275509</v>
      </c>
      <c r="BK134" s="300">
        <f t="shared" ca="1" si="75"/>
        <v>2908.4484258506563</v>
      </c>
      <c r="BL134" s="28">
        <f t="shared" ca="1" si="74"/>
        <v>2027</v>
      </c>
      <c r="BM134" s="28">
        <f t="shared" ca="1" si="72"/>
        <v>10</v>
      </c>
      <c r="BN134" s="236">
        <f t="shared" ca="1" si="73"/>
        <v>0</v>
      </c>
      <c r="BO134" s="236">
        <f t="shared" ref="BO134:BO197" ca="1" si="93">MIN(BN134*0.2,130000)</f>
        <v>0</v>
      </c>
    </row>
    <row r="135" spans="41:67" x14ac:dyDescent="0.25">
      <c r="AO135" s="28">
        <f t="shared" si="76"/>
        <v>11</v>
      </c>
      <c r="AP135" s="28">
        <f t="shared" si="77"/>
        <v>10</v>
      </c>
      <c r="AQ135" s="65">
        <f t="shared" ref="AQ135:AQ198" ca="1" si="94">IF( ($AO135*12+$AP135) &gt; (12*(Term+1) ), 0,
IF( OR(Freq=12, MOD($AP135,12/Freq)=1), Pr*(1+Ind)^($AO135-1)/Freq, 0) *VLOOKUP($AO135,Pars,23)
)</f>
        <v>48003.170407363388</v>
      </c>
      <c r="AR135" s="66">
        <f t="shared" ca="1" si="78"/>
        <v>40802.694846258877</v>
      </c>
      <c r="AS135" s="66">
        <f t="shared" ca="1" si="79"/>
        <v>7100.7186467553474</v>
      </c>
      <c r="AT135" s="66">
        <f t="shared" ca="1" si="80"/>
        <v>1749983.1208099751</v>
      </c>
      <c r="AU135" s="66">
        <f t="shared" ca="1" si="81"/>
        <v>0</v>
      </c>
      <c r="AV135" s="68">
        <f t="shared" ca="1" si="82"/>
        <v>1745753.9949346844</v>
      </c>
      <c r="AW135" s="65">
        <f t="shared" ca="1" si="83"/>
        <v>4229.1258752907734</v>
      </c>
      <c r="AX135" s="69">
        <f t="shared" ca="1" si="84"/>
        <v>7200.4755611045084</v>
      </c>
      <c r="AY135" s="70">
        <f t="shared" ca="1" si="85"/>
        <v>6710.8432229494019</v>
      </c>
      <c r="AZ135" s="66">
        <f t="shared" ca="1" si="86"/>
        <v>314.51727453330244</v>
      </c>
      <c r="BA135" s="66">
        <f t="shared" ca="1" si="87"/>
        <v>729.15963367082304</v>
      </c>
      <c r="BB135" s="66">
        <f t="shared" ca="1" si="88"/>
        <v>32.29719583195169</v>
      </c>
      <c r="BC135" s="66">
        <f t="shared" ca="1" si="89"/>
        <v>77513.269996684045</v>
      </c>
      <c r="BD135" s="66">
        <f t="shared" ca="1" si="90"/>
        <v>0</v>
      </c>
      <c r="BE135" s="71">
        <f t="shared" ca="1" si="71"/>
        <v>78087.403090361491</v>
      </c>
      <c r="BF135" s="65">
        <f t="shared" ca="1" si="91"/>
        <v>187.32373582531977</v>
      </c>
      <c r="BG135" s="69">
        <f t="shared" ca="1" si="92"/>
        <v>0</v>
      </c>
      <c r="BH135" s="301">
        <f t="shared" ref="BH135:BH198" ca="1" si="95">IF(AND(BM135=AdóHó,AO135&lt;=TartamVálasztott),MIN(SUMIF(BL:BL,BL135-1,AQ:AQ)*0.2,130000),0)+IF(AND(AO135=TartamVálasztott,AP135=12),MIN(SUMIF(BL:BL,BL135,AQ:AQ)*0.2,130000),0)</f>
        <v>0</v>
      </c>
      <c r="BI135" s="300">
        <f ca="1">IF(AO135&gt;TartamVálasztott,0,   (BI134+BH135)*(1+yields!$D$2)*(1-(0.0099/12)))</f>
        <v>407548.71884582</v>
      </c>
      <c r="BJ135" s="300">
        <f ca="1">SUM(BH$6:BH135)*-1.2</f>
        <v>-403321.74364275509</v>
      </c>
      <c r="BK135" s="300">
        <f t="shared" ca="1" si="75"/>
        <v>4226.9752030649106</v>
      </c>
      <c r="BL135" s="28">
        <f t="shared" ca="1" si="74"/>
        <v>2027</v>
      </c>
      <c r="BM135" s="28">
        <f t="shared" ca="1" si="72"/>
        <v>11</v>
      </c>
      <c r="BN135" s="236">
        <f t="shared" ca="1" si="73"/>
        <v>0</v>
      </c>
      <c r="BO135" s="236">
        <f t="shared" ca="1" si="93"/>
        <v>0</v>
      </c>
    </row>
    <row r="136" spans="41:67" x14ac:dyDescent="0.25">
      <c r="AO136" s="28">
        <f t="shared" si="76"/>
        <v>11</v>
      </c>
      <c r="AP136" s="28">
        <f t="shared" si="77"/>
        <v>11</v>
      </c>
      <c r="AQ136" s="65">
        <f t="shared" ca="1" si="94"/>
        <v>0</v>
      </c>
      <c r="AR136" s="66">
        <f t="shared" ca="1" si="78"/>
        <v>0</v>
      </c>
      <c r="AS136" s="66">
        <f t="shared" ca="1" si="79"/>
        <v>7112.4178711625245</v>
      </c>
      <c r="AT136" s="66">
        <f t="shared" ca="1" si="80"/>
        <v>1752866.4128058469</v>
      </c>
      <c r="AU136" s="66">
        <f t="shared" ca="1" si="81"/>
        <v>0</v>
      </c>
      <c r="AV136" s="68">
        <f t="shared" ca="1" si="82"/>
        <v>1748630.3189748994</v>
      </c>
      <c r="AW136" s="65">
        <f t="shared" ca="1" si="83"/>
        <v>4236.0938309474632</v>
      </c>
      <c r="AX136" s="69">
        <f t="shared" ca="1" si="84"/>
        <v>0</v>
      </c>
      <c r="AY136" s="70">
        <f t="shared" ca="1" si="85"/>
        <v>0</v>
      </c>
      <c r="AZ136" s="66">
        <f t="shared" ca="1" si="86"/>
        <v>318.13774613377768</v>
      </c>
      <c r="BA136" s="66">
        <f t="shared" ca="1" si="87"/>
        <v>730.36100533576962</v>
      </c>
      <c r="BB136" s="66">
        <f t="shared" ca="1" si="88"/>
        <v>32.668975348539696</v>
      </c>
      <c r="BC136" s="66">
        <f t="shared" ca="1" si="89"/>
        <v>78405.540836495275</v>
      </c>
      <c r="BD136" s="66">
        <f t="shared" ca="1" si="90"/>
        <v>0</v>
      </c>
      <c r="BE136" s="71">
        <f t="shared" ref="BE136:BE199" ca="1" si="96">$BC136 -$BF136 +($BA136+$BB136) -$BD136</f>
        <v>78979.090760158055</v>
      </c>
      <c r="BF136" s="65">
        <f t="shared" ca="1" si="91"/>
        <v>189.48005702153026</v>
      </c>
      <c r="BG136" s="69">
        <f t="shared" ca="1" si="92"/>
        <v>0</v>
      </c>
      <c r="BH136" s="301">
        <f t="shared" ca="1" si="95"/>
        <v>0</v>
      </c>
      <c r="BI136" s="300">
        <f ca="1">IF(AO136&gt;TartamVálasztott,0,   (BI135+BH136)*(1+yields!$D$2)*(1-(0.0099/12)))</f>
        <v>408871.52524797642</v>
      </c>
      <c r="BJ136" s="300">
        <f ca="1">SUM(BH$6:BH136)*-1.2</f>
        <v>-403321.74364275509</v>
      </c>
      <c r="BK136" s="300">
        <f t="shared" ca="1" si="75"/>
        <v>5549.7816052213311</v>
      </c>
      <c r="BL136" s="28">
        <f t="shared" ca="1" si="74"/>
        <v>2027</v>
      </c>
      <c r="BM136" s="28">
        <f t="shared" ref="BM136:BM199" ca="1" si="97">IF(BM135=12,1,BM135+1)</f>
        <v>12</v>
      </c>
      <c r="BN136" s="236">
        <f t="shared" ref="BN136:BN199" ca="1" si="98">IF(BM136=12,SUMIF(BL:BL,BL136,AQ:AQ),0)</f>
        <v>192012.68162945355</v>
      </c>
      <c r="BO136" s="236">
        <f t="shared" ca="1" si="93"/>
        <v>38402.536325890709</v>
      </c>
    </row>
    <row r="137" spans="41:67" x14ac:dyDescent="0.25">
      <c r="AO137" s="28">
        <f t="shared" si="76"/>
        <v>11</v>
      </c>
      <c r="AP137" s="28">
        <f t="shared" si="77"/>
        <v>12</v>
      </c>
      <c r="AQ137" s="65">
        <f t="shared" ca="1" si="94"/>
        <v>0</v>
      </c>
      <c r="AR137" s="66">
        <f t="shared" ca="1" si="78"/>
        <v>0</v>
      </c>
      <c r="AS137" s="66">
        <f t="shared" ca="1" si="79"/>
        <v>7124.1363713442443</v>
      </c>
      <c r="AT137" s="66">
        <f t="shared" ca="1" si="80"/>
        <v>1755754.4553462437</v>
      </c>
      <c r="AU137" s="66">
        <f t="shared" ca="1" si="81"/>
        <v>0</v>
      </c>
      <c r="AV137" s="68">
        <f t="shared" ca="1" si="82"/>
        <v>1751511.382079157</v>
      </c>
      <c r="AW137" s="65">
        <f t="shared" ca="1" si="83"/>
        <v>4243.0732670867555</v>
      </c>
      <c r="AX137" s="69">
        <f t="shared" ca="1" si="84"/>
        <v>0</v>
      </c>
      <c r="AY137" s="70">
        <f t="shared" ca="1" si="85"/>
        <v>0</v>
      </c>
      <c r="AZ137" s="66">
        <f t="shared" ca="1" si="86"/>
        <v>321.77059207688183</v>
      </c>
      <c r="BA137" s="66">
        <f t="shared" ca="1" si="87"/>
        <v>731.5643563942682</v>
      </c>
      <c r="BB137" s="66">
        <f t="shared" ca="1" si="88"/>
        <v>33.042025563431224</v>
      </c>
      <c r="BC137" s="66">
        <f t="shared" ca="1" si="89"/>
        <v>79300.861352234933</v>
      </c>
      <c r="BD137" s="66">
        <f t="shared" ca="1" si="90"/>
        <v>0</v>
      </c>
      <c r="BE137" s="71">
        <f t="shared" ca="1" si="96"/>
        <v>79873.823985924726</v>
      </c>
      <c r="BF137" s="65">
        <f t="shared" ca="1" si="91"/>
        <v>191.64374826790109</v>
      </c>
      <c r="BG137" s="69">
        <f t="shared" ca="1" si="92"/>
        <v>0</v>
      </c>
      <c r="BH137" s="301">
        <f t="shared" ca="1" si="95"/>
        <v>0</v>
      </c>
      <c r="BI137" s="300">
        <f ca="1">IF(AO137&gt;TartamVálasztott,0,   (BI136+BH137)*(1+yields!$D$2)*(1-(0.0099/12)))</f>
        <v>410198.62516572169</v>
      </c>
      <c r="BJ137" s="300">
        <f ca="1">SUM(BH$6:BH137)*-1.2</f>
        <v>-403321.74364275509</v>
      </c>
      <c r="BK137" s="300">
        <f t="shared" ca="1" si="75"/>
        <v>6876.881522966607</v>
      </c>
      <c r="BL137" s="28">
        <f t="shared" ca="1" si="74"/>
        <v>2028</v>
      </c>
      <c r="BM137" s="28">
        <f t="shared" ca="1" si="97"/>
        <v>1</v>
      </c>
      <c r="BN137" s="236">
        <f t="shared" ca="1" si="98"/>
        <v>0</v>
      </c>
      <c r="BO137" s="236">
        <f t="shared" ca="1" si="93"/>
        <v>0</v>
      </c>
    </row>
    <row r="138" spans="41:67" x14ac:dyDescent="0.25">
      <c r="AO138" s="28">
        <f t="shared" si="76"/>
        <v>12</v>
      </c>
      <c r="AP138" s="28">
        <f t="shared" si="77"/>
        <v>1</v>
      </c>
      <c r="AQ138" s="65">
        <f t="shared" ca="1" si="94"/>
        <v>49203.249667547476</v>
      </c>
      <c r="AR138" s="66">
        <f t="shared" ca="1" si="78"/>
        <v>41822.762217415351</v>
      </c>
      <c r="AS138" s="66">
        <f t="shared" ca="1" si="79"/>
        <v>7306.2652893073337</v>
      </c>
      <c r="AT138" s="66">
        <f t="shared" ca="1" si="80"/>
        <v>1800640.4095858796</v>
      </c>
      <c r="AU138" s="66">
        <f t="shared" ca="1" si="81"/>
        <v>0</v>
      </c>
      <c r="AV138" s="68">
        <f t="shared" ca="1" si="82"/>
        <v>1796288.8619293803</v>
      </c>
      <c r="AW138" s="65">
        <f t="shared" ca="1" si="83"/>
        <v>4351.5476564992096</v>
      </c>
      <c r="AX138" s="69">
        <f t="shared" ca="1" si="84"/>
        <v>7380.487450132121</v>
      </c>
      <c r="AY138" s="70">
        <f t="shared" ca="1" si="85"/>
        <v>7193.515101395441</v>
      </c>
      <c r="AZ138" s="66">
        <f t="shared" ca="1" si="86"/>
        <v>354.72311695462702</v>
      </c>
      <c r="BA138" s="66">
        <f t="shared" ca="1" si="87"/>
        <v>750.26683732744993</v>
      </c>
      <c r="BB138" s="66">
        <f t="shared" ca="1" si="88"/>
        <v>36.425859251781169</v>
      </c>
      <c r="BC138" s="66">
        <f t="shared" ca="1" si="89"/>
        <v>87422.0622042748</v>
      </c>
      <c r="BD138" s="66">
        <f t="shared" ca="1" si="90"/>
        <v>0</v>
      </c>
      <c r="BE138" s="71">
        <f t="shared" ca="1" si="96"/>
        <v>87997.484917193709</v>
      </c>
      <c r="BF138" s="65">
        <f t="shared" ca="1" si="91"/>
        <v>211.26998366033078</v>
      </c>
      <c r="BG138" s="69">
        <f t="shared" ca="1" si="92"/>
        <v>0</v>
      </c>
      <c r="BH138" s="301">
        <f t="shared" ca="1" si="95"/>
        <v>0</v>
      </c>
      <c r="BI138" s="300">
        <f ca="1">IF(AO138&gt;TartamVálasztott,0,   (BI137+BH138)*(1+yields!$D$2)*(1-(0.0099/12)))</f>
        <v>411530.03253478825</v>
      </c>
      <c r="BJ138" s="300">
        <f ca="1">SUM(BH$6:BH138)*-1.2</f>
        <v>-403321.74364275509</v>
      </c>
      <c r="BK138" s="300">
        <f t="shared" ca="1" si="75"/>
        <v>8208.2888920331607</v>
      </c>
      <c r="BL138" s="28">
        <f t="shared" ca="1" si="74"/>
        <v>2028</v>
      </c>
      <c r="BM138" s="28">
        <f t="shared" ca="1" si="97"/>
        <v>2</v>
      </c>
      <c r="BN138" s="236">
        <f t="shared" ca="1" si="98"/>
        <v>0</v>
      </c>
      <c r="BO138" s="236">
        <f t="shared" ca="1" si="93"/>
        <v>0</v>
      </c>
    </row>
    <row r="139" spans="41:67" x14ac:dyDescent="0.25">
      <c r="AO139" s="28">
        <f t="shared" si="76"/>
        <v>12</v>
      </c>
      <c r="AP139" s="28">
        <f t="shared" si="77"/>
        <v>2</v>
      </c>
      <c r="AQ139" s="65">
        <f t="shared" ca="1" si="94"/>
        <v>0</v>
      </c>
      <c r="AR139" s="66">
        <f t="shared" ca="1" si="78"/>
        <v>0</v>
      </c>
      <c r="AS139" s="66">
        <f t="shared" ca="1" si="79"/>
        <v>7318.303174689122</v>
      </c>
      <c r="AT139" s="66">
        <f t="shared" ca="1" si="80"/>
        <v>1803607.1651040695</v>
      </c>
      <c r="AU139" s="66">
        <f t="shared" ca="1" si="81"/>
        <v>0</v>
      </c>
      <c r="AV139" s="68">
        <f t="shared" ca="1" si="82"/>
        <v>1799248.4477884013</v>
      </c>
      <c r="AW139" s="65">
        <f t="shared" ca="1" si="83"/>
        <v>4358.7173156681683</v>
      </c>
      <c r="AX139" s="69">
        <f t="shared" ca="1" si="84"/>
        <v>0</v>
      </c>
      <c r="AY139" s="70">
        <f t="shared" ca="1" si="85"/>
        <v>0</v>
      </c>
      <c r="AZ139" s="66">
        <f t="shared" ca="1" si="86"/>
        <v>358.51264620237617</v>
      </c>
      <c r="BA139" s="66">
        <f t="shared" ca="1" si="87"/>
        <v>751.50298546002898</v>
      </c>
      <c r="BB139" s="66">
        <f t="shared" ca="1" si="88"/>
        <v>36.814998984748371</v>
      </c>
      <c r="BC139" s="66">
        <f t="shared" ca="1" si="89"/>
        <v>88355.997563396086</v>
      </c>
      <c r="BD139" s="66">
        <f t="shared" ca="1" si="90"/>
        <v>0</v>
      </c>
      <c r="BE139" s="71">
        <f t="shared" ca="1" si="96"/>
        <v>88930.788553729319</v>
      </c>
      <c r="BF139" s="65">
        <f t="shared" ca="1" si="91"/>
        <v>213.52699411154055</v>
      </c>
      <c r="BG139" s="69">
        <f t="shared" ca="1" si="92"/>
        <v>0</v>
      </c>
      <c r="BH139" s="301">
        <f t="shared" ca="1" si="95"/>
        <v>0</v>
      </c>
      <c r="BI139" s="300">
        <f ca="1">IF(AO139&gt;TartamVálasztott,0,   (BI138+BH139)*(1+yields!$D$2)*(1-(0.0099/12)))</f>
        <v>412865.76133614068</v>
      </c>
      <c r="BJ139" s="300">
        <f ca="1">SUM(BH$6:BH139)*-1.2</f>
        <v>-403321.74364275509</v>
      </c>
      <c r="BK139" s="300">
        <f t="shared" ca="1" si="75"/>
        <v>9544.0176933855982</v>
      </c>
      <c r="BL139" s="28">
        <f t="shared" ca="1" si="74"/>
        <v>2028</v>
      </c>
      <c r="BM139" s="28">
        <f t="shared" ca="1" si="97"/>
        <v>3</v>
      </c>
      <c r="BN139" s="236">
        <f t="shared" ca="1" si="98"/>
        <v>0</v>
      </c>
      <c r="BO139" s="236">
        <f t="shared" ca="1" si="93"/>
        <v>0</v>
      </c>
    </row>
    <row r="140" spans="41:67" x14ac:dyDescent="0.25">
      <c r="AO140" s="28">
        <f t="shared" si="76"/>
        <v>12</v>
      </c>
      <c r="AP140" s="28">
        <f t="shared" si="77"/>
        <v>3</v>
      </c>
      <c r="AQ140" s="65">
        <f t="shared" ca="1" si="94"/>
        <v>0</v>
      </c>
      <c r="AR140" s="66">
        <f t="shared" ca="1" si="78"/>
        <v>0</v>
      </c>
      <c r="AS140" s="66">
        <f t="shared" ca="1" si="79"/>
        <v>7330.3608938271082</v>
      </c>
      <c r="AT140" s="66">
        <f t="shared" ca="1" si="80"/>
        <v>1806578.8086822284</v>
      </c>
      <c r="AU140" s="66">
        <f t="shared" ca="1" si="81"/>
        <v>0</v>
      </c>
      <c r="AV140" s="68">
        <f t="shared" ca="1" si="82"/>
        <v>1802212.9098945798</v>
      </c>
      <c r="AW140" s="65">
        <f t="shared" ca="1" si="83"/>
        <v>4365.898787648719</v>
      </c>
      <c r="AX140" s="69">
        <f t="shared" ca="1" si="84"/>
        <v>0</v>
      </c>
      <c r="AY140" s="70">
        <f t="shared" ca="1" si="85"/>
        <v>0</v>
      </c>
      <c r="AZ140" s="66">
        <f t="shared" ca="1" si="86"/>
        <v>362.31504074535138</v>
      </c>
      <c r="BA140" s="66">
        <f t="shared" ca="1" si="87"/>
        <v>752.7411702842619</v>
      </c>
      <c r="BB140" s="66">
        <f t="shared" ca="1" si="88"/>
        <v>37.205459831031114</v>
      </c>
      <c r="BC140" s="66">
        <f t="shared" ca="1" si="89"/>
        <v>89293.103594474669</v>
      </c>
      <c r="BD140" s="66">
        <f t="shared" ca="1" si="90"/>
        <v>0</v>
      </c>
      <c r="BE140" s="71">
        <f t="shared" ca="1" si="96"/>
        <v>89867.258557569978</v>
      </c>
      <c r="BF140" s="65">
        <f t="shared" ca="1" si="91"/>
        <v>215.79166701998045</v>
      </c>
      <c r="BG140" s="69">
        <f t="shared" ca="1" si="92"/>
        <v>0</v>
      </c>
      <c r="BH140" s="301">
        <f t="shared" ca="1" si="95"/>
        <v>0</v>
      </c>
      <c r="BI140" s="300">
        <f ca="1">IF(AO140&gt;TartamVálasztott,0,   (BI139+BH140)*(1+yields!$D$2)*(1-(0.0099/12)))</f>
        <v>414205.82559612242</v>
      </c>
      <c r="BJ140" s="300">
        <f ca="1">SUM(BH$6:BH140)*-1.2</f>
        <v>-403321.74364275509</v>
      </c>
      <c r="BK140" s="300">
        <f t="shared" ca="1" si="75"/>
        <v>10884.081953367335</v>
      </c>
      <c r="BL140" s="28">
        <f t="shared" ca="1" si="74"/>
        <v>2028</v>
      </c>
      <c r="BM140" s="28">
        <f t="shared" ca="1" si="97"/>
        <v>4</v>
      </c>
      <c r="BN140" s="236">
        <f t="shared" ca="1" si="98"/>
        <v>0</v>
      </c>
      <c r="BO140" s="236">
        <f t="shared" ca="1" si="93"/>
        <v>0</v>
      </c>
    </row>
    <row r="141" spans="41:67" x14ac:dyDescent="0.25">
      <c r="AO141" s="28">
        <f t="shared" si="76"/>
        <v>12</v>
      </c>
      <c r="AP141" s="28">
        <f t="shared" si="77"/>
        <v>4</v>
      </c>
      <c r="AQ141" s="65">
        <f t="shared" ca="1" si="94"/>
        <v>49203.249667547476</v>
      </c>
      <c r="AR141" s="66">
        <f t="shared" ca="1" si="78"/>
        <v>41822.762217415351</v>
      </c>
      <c r="AS141" s="66">
        <f t="shared" ca="1" si="79"/>
        <v>7512.8295896474556</v>
      </c>
      <c r="AT141" s="66">
        <f t="shared" ca="1" si="80"/>
        <v>1851548.5017016425</v>
      </c>
      <c r="AU141" s="66">
        <f t="shared" ca="1" si="81"/>
        <v>0</v>
      </c>
      <c r="AV141" s="68">
        <f t="shared" ca="1" si="82"/>
        <v>1847073.9261558636</v>
      </c>
      <c r="AW141" s="65">
        <f t="shared" ca="1" si="83"/>
        <v>4474.5755457789701</v>
      </c>
      <c r="AX141" s="69">
        <f t="shared" ca="1" si="84"/>
        <v>7380.487450132121</v>
      </c>
      <c r="AY141" s="70">
        <f t="shared" ca="1" si="85"/>
        <v>7193.515101395441</v>
      </c>
      <c r="AZ141" s="66">
        <f t="shared" ca="1" si="86"/>
        <v>395.43760642330068</v>
      </c>
      <c r="BA141" s="66">
        <f t="shared" ca="1" si="87"/>
        <v>771.47854237568447</v>
      </c>
      <c r="BB141" s="66">
        <f t="shared" ca="1" si="88"/>
        <v>40.606754693911974</v>
      </c>
      <c r="BC141" s="66">
        <f t="shared" ca="1" si="89"/>
        <v>97456.211265388731</v>
      </c>
      <c r="BD141" s="66">
        <f t="shared" ca="1" si="90"/>
        <v>0</v>
      </c>
      <c r="BE141" s="71">
        <f t="shared" ca="1" si="96"/>
        <v>98032.77738523364</v>
      </c>
      <c r="BF141" s="65">
        <f t="shared" ca="1" si="91"/>
        <v>235.51917722468946</v>
      </c>
      <c r="BG141" s="69">
        <f t="shared" ca="1" si="92"/>
        <v>0</v>
      </c>
      <c r="BH141" s="301">
        <f t="shared" ca="1" si="95"/>
        <v>0</v>
      </c>
      <c r="BI141" s="300">
        <f ca="1">IF(AO141&gt;TartamVálasztott,0,   (BI140+BH141)*(1+yields!$D$2)*(1-(0.0099/12)))</f>
        <v>415550.23938660306</v>
      </c>
      <c r="BJ141" s="300">
        <f ca="1">SUM(BH$6:BH141)*-1.2</f>
        <v>-403321.74364275509</v>
      </c>
      <c r="BK141" s="300">
        <f t="shared" ca="1" si="75"/>
        <v>12228.495743847976</v>
      </c>
      <c r="BL141" s="28">
        <f t="shared" ca="1" si="74"/>
        <v>2028</v>
      </c>
      <c r="BM141" s="28">
        <f t="shared" ca="1" si="97"/>
        <v>5</v>
      </c>
      <c r="BN141" s="236">
        <f t="shared" ca="1" si="98"/>
        <v>0</v>
      </c>
      <c r="BO141" s="236">
        <f t="shared" ca="1" si="93"/>
        <v>0</v>
      </c>
    </row>
    <row r="142" spans="41:67" x14ac:dyDescent="0.25">
      <c r="AO142" s="28">
        <f t="shared" si="76"/>
        <v>12</v>
      </c>
      <c r="AP142" s="28">
        <f t="shared" si="77"/>
        <v>5</v>
      </c>
      <c r="AQ142" s="65">
        <f t="shared" ca="1" si="94"/>
        <v>0</v>
      </c>
      <c r="AR142" s="66">
        <f t="shared" ca="1" si="78"/>
        <v>0</v>
      </c>
      <c r="AS142" s="66">
        <f t="shared" ca="1" si="79"/>
        <v>7525.207812708346</v>
      </c>
      <c r="AT142" s="66">
        <f t="shared" ca="1" si="80"/>
        <v>1854599.1339685719</v>
      </c>
      <c r="AU142" s="66">
        <f t="shared" ca="1" si="81"/>
        <v>0</v>
      </c>
      <c r="AV142" s="68">
        <f t="shared" ca="1" si="82"/>
        <v>1850117.1860614812</v>
      </c>
      <c r="AW142" s="65">
        <f t="shared" ca="1" si="83"/>
        <v>4481.9479070907155</v>
      </c>
      <c r="AX142" s="69">
        <f t="shared" ca="1" si="84"/>
        <v>0</v>
      </c>
      <c r="AY142" s="70">
        <f t="shared" ca="1" si="85"/>
        <v>0</v>
      </c>
      <c r="AZ142" s="66">
        <f t="shared" ca="1" si="86"/>
        <v>399.39766992228482</v>
      </c>
      <c r="BA142" s="66">
        <f t="shared" ca="1" si="87"/>
        <v>772.74963915357171</v>
      </c>
      <c r="BB142" s="66">
        <f t="shared" ca="1" si="88"/>
        <v>41.013406272981641</v>
      </c>
      <c r="BC142" s="66">
        <f t="shared" ca="1" si="89"/>
        <v>98432.175055155923</v>
      </c>
      <c r="BD142" s="66">
        <f t="shared" ca="1" si="90"/>
        <v>0</v>
      </c>
      <c r="BE142" s="71">
        <f t="shared" ca="1" si="96"/>
        <v>99008.060344199184</v>
      </c>
      <c r="BF142" s="65">
        <f t="shared" ca="1" si="91"/>
        <v>237.8777563832935</v>
      </c>
      <c r="BG142" s="69">
        <f t="shared" ca="1" si="92"/>
        <v>0</v>
      </c>
      <c r="BH142" s="301">
        <f t="shared" ca="1" si="95"/>
        <v>38402.536325890709</v>
      </c>
      <c r="BI142" s="300">
        <f ca="1">IF(AO142&gt;TartamVálasztott,0,   (BI141+BH142)*(1+yields!$D$2)*(1-(0.0099/12)))</f>
        <v>455426.19866837928</v>
      </c>
      <c r="BJ142" s="300">
        <f ca="1">SUM(BH$6:BH142)*-1.2</f>
        <v>-449404.78723382391</v>
      </c>
      <c r="BK142" s="300">
        <f t="shared" ca="1" si="75"/>
        <v>6021.411434555368</v>
      </c>
      <c r="BL142" s="28">
        <f t="shared" ca="1" si="74"/>
        <v>2028</v>
      </c>
      <c r="BM142" s="28">
        <f t="shared" ca="1" si="97"/>
        <v>6</v>
      </c>
      <c r="BN142" s="236">
        <f t="shared" ca="1" si="98"/>
        <v>0</v>
      </c>
      <c r="BO142" s="236">
        <f t="shared" ca="1" si="93"/>
        <v>0</v>
      </c>
    </row>
    <row r="143" spans="41:67" x14ac:dyDescent="0.25">
      <c r="AO143" s="28">
        <f t="shared" si="76"/>
        <v>12</v>
      </c>
      <c r="AP143" s="28">
        <f t="shared" si="77"/>
        <v>6</v>
      </c>
      <c r="AQ143" s="65">
        <f t="shared" ca="1" si="94"/>
        <v>0</v>
      </c>
      <c r="AR143" s="66">
        <f t="shared" ca="1" si="78"/>
        <v>0</v>
      </c>
      <c r="AS143" s="66">
        <f t="shared" ca="1" si="79"/>
        <v>7537.6064302696468</v>
      </c>
      <c r="AT143" s="66">
        <f t="shared" ca="1" si="80"/>
        <v>1857654.7924917508</v>
      </c>
      <c r="AU143" s="66">
        <f t="shared" ca="1" si="81"/>
        <v>0</v>
      </c>
      <c r="AV143" s="68">
        <f t="shared" ca="1" si="82"/>
        <v>1853165.4600765624</v>
      </c>
      <c r="AW143" s="65">
        <f t="shared" ca="1" si="83"/>
        <v>4489.332415188398</v>
      </c>
      <c r="AX143" s="69">
        <f t="shared" ca="1" si="84"/>
        <v>0</v>
      </c>
      <c r="AY143" s="70">
        <f t="shared" ca="1" si="85"/>
        <v>0</v>
      </c>
      <c r="AZ143" s="66">
        <f t="shared" ca="1" si="86"/>
        <v>403.37109342119328</v>
      </c>
      <c r="BA143" s="66">
        <f t="shared" ca="1" si="87"/>
        <v>774.0228302048962</v>
      </c>
      <c r="BB143" s="66">
        <f t="shared" ca="1" si="88"/>
        <v>41.421429765675164</v>
      </c>
      <c r="BC143" s="66">
        <f t="shared" ca="1" si="89"/>
        <v>99411.431437620384</v>
      </c>
      <c r="BD143" s="66">
        <f t="shared" ca="1" si="90"/>
        <v>0</v>
      </c>
      <c r="BE143" s="71">
        <f t="shared" ca="1" si="96"/>
        <v>99986.631404950036</v>
      </c>
      <c r="BF143" s="65">
        <f t="shared" ca="1" si="91"/>
        <v>240.24429264091594</v>
      </c>
      <c r="BG143" s="69">
        <f t="shared" ca="1" si="92"/>
        <v>0</v>
      </c>
      <c r="BH143" s="301">
        <f t="shared" ca="1" si="95"/>
        <v>0</v>
      </c>
      <c r="BI143" s="300">
        <f ca="1">IF(AO143&gt;TartamVálasztott,0,   (BI142+BH143)*(1+yields!$D$2)*(1-(0.0099/12)))</f>
        <v>456904.40400543547</v>
      </c>
      <c r="BJ143" s="300">
        <f ca="1">SUM(BH$6:BH143)*-1.2</f>
        <v>-449404.78723382391</v>
      </c>
      <c r="BK143" s="300">
        <f t="shared" ca="1" si="75"/>
        <v>7499.6167716115597</v>
      </c>
      <c r="BL143" s="28">
        <f t="shared" ca="1" si="74"/>
        <v>2028</v>
      </c>
      <c r="BM143" s="28">
        <f t="shared" ca="1" si="97"/>
        <v>7</v>
      </c>
      <c r="BN143" s="236">
        <f t="shared" ca="1" si="98"/>
        <v>0</v>
      </c>
      <c r="BO143" s="236">
        <f t="shared" ca="1" si="93"/>
        <v>0</v>
      </c>
    </row>
    <row r="144" spans="41:67" x14ac:dyDescent="0.25">
      <c r="AO144" s="28">
        <f t="shared" si="76"/>
        <v>12</v>
      </c>
      <c r="AP144" s="28">
        <f t="shared" si="77"/>
        <v>7</v>
      </c>
      <c r="AQ144" s="65">
        <f t="shared" ca="1" si="94"/>
        <v>49203.249667547476</v>
      </c>
      <c r="AR144" s="66">
        <f t="shared" ca="1" si="78"/>
        <v>41822.762217415351</v>
      </c>
      <c r="AS144" s="66">
        <f t="shared" ca="1" si="79"/>
        <v>7720.4165861814072</v>
      </c>
      <c r="AT144" s="66">
        <f t="shared" ca="1" si="80"/>
        <v>1902708.638880159</v>
      </c>
      <c r="AU144" s="66">
        <f t="shared" ca="1" si="81"/>
        <v>0</v>
      </c>
      <c r="AV144" s="68">
        <f t="shared" ca="1" si="82"/>
        <v>1898110.4263361986</v>
      </c>
      <c r="AW144" s="65">
        <f t="shared" ca="1" si="83"/>
        <v>4598.2125439603842</v>
      </c>
      <c r="AX144" s="69">
        <f t="shared" ca="1" si="84"/>
        <v>7380.487450132121</v>
      </c>
      <c r="AY144" s="70">
        <f t="shared" ca="1" si="85"/>
        <v>7193.515101395441</v>
      </c>
      <c r="AZ144" s="66">
        <f t="shared" ca="1" si="86"/>
        <v>436.66518401641713</v>
      </c>
      <c r="BA144" s="66">
        <f t="shared" ca="1" si="87"/>
        <v>792.79526620006629</v>
      </c>
      <c r="BB144" s="66">
        <f t="shared" ca="1" si="88"/>
        <v>44.840338204317462</v>
      </c>
      <c r="BC144" s="66">
        <f t="shared" ca="1" si="89"/>
        <v>107616.81169036189</v>
      </c>
      <c r="BD144" s="66">
        <f t="shared" ca="1" si="90"/>
        <v>0</v>
      </c>
      <c r="BE144" s="71">
        <f t="shared" ca="1" si="96"/>
        <v>108194.37333318123</v>
      </c>
      <c r="BF144" s="65">
        <f t="shared" ca="1" si="91"/>
        <v>260.07396158504127</v>
      </c>
      <c r="BG144" s="69">
        <f t="shared" ca="1" si="92"/>
        <v>0</v>
      </c>
      <c r="BH144" s="301">
        <f t="shared" ca="1" si="95"/>
        <v>0</v>
      </c>
      <c r="BI144" s="300">
        <f ca="1">IF(AO144&gt;TartamVálasztott,0,   (BI143+BH144)*(1+yields!$D$2)*(1-(0.0099/12)))</f>
        <v>458387.40724613634</v>
      </c>
      <c r="BJ144" s="300">
        <f ca="1">SUM(BH$6:BH144)*-1.2</f>
        <v>-449404.78723382391</v>
      </c>
      <c r="BK144" s="300">
        <f t="shared" ca="1" si="75"/>
        <v>8982.620012312429</v>
      </c>
      <c r="BL144" s="28">
        <f t="shared" ca="1" si="74"/>
        <v>2028</v>
      </c>
      <c r="BM144" s="28">
        <f t="shared" ca="1" si="97"/>
        <v>8</v>
      </c>
      <c r="BN144" s="236">
        <f t="shared" ca="1" si="98"/>
        <v>0</v>
      </c>
      <c r="BO144" s="236">
        <f t="shared" ca="1" si="93"/>
        <v>0</v>
      </c>
    </row>
    <row r="145" spans="41:67" x14ac:dyDescent="0.25">
      <c r="AO145" s="28">
        <f t="shared" si="76"/>
        <v>12</v>
      </c>
      <c r="AP145" s="28">
        <f t="shared" si="77"/>
        <v>8</v>
      </c>
      <c r="AQ145" s="65">
        <f t="shared" ca="1" si="94"/>
        <v>0</v>
      </c>
      <c r="AR145" s="66">
        <f t="shared" ca="1" si="78"/>
        <v>0</v>
      </c>
      <c r="AS145" s="66">
        <f t="shared" ca="1" si="79"/>
        <v>7733.1368319272224</v>
      </c>
      <c r="AT145" s="66">
        <f t="shared" ca="1" si="80"/>
        <v>1905843.5631681257</v>
      </c>
      <c r="AU145" s="66">
        <f t="shared" ca="1" si="81"/>
        <v>0</v>
      </c>
      <c r="AV145" s="68">
        <f t="shared" ca="1" si="82"/>
        <v>1901237.774557136</v>
      </c>
      <c r="AW145" s="65">
        <f t="shared" ca="1" si="83"/>
        <v>4605.7886109896372</v>
      </c>
      <c r="AX145" s="69">
        <f t="shared" ca="1" si="84"/>
        <v>0</v>
      </c>
      <c r="AY145" s="70">
        <f t="shared" ca="1" si="85"/>
        <v>0</v>
      </c>
      <c r="AZ145" s="66">
        <f t="shared" ca="1" si="86"/>
        <v>440.79726965364279</v>
      </c>
      <c r="BA145" s="66">
        <f t="shared" ca="1" si="87"/>
        <v>794.1014846533858</v>
      </c>
      <c r="BB145" s="66">
        <f t="shared" ca="1" si="88"/>
        <v>45.264654417847865</v>
      </c>
      <c r="BC145" s="66">
        <f t="shared" ca="1" si="89"/>
        <v>108635.17060283487</v>
      </c>
      <c r="BD145" s="66">
        <f t="shared" ca="1" si="90"/>
        <v>0</v>
      </c>
      <c r="BE145" s="71">
        <f t="shared" ca="1" si="96"/>
        <v>109212.00174628259</v>
      </c>
      <c r="BF145" s="65">
        <f t="shared" ca="1" si="91"/>
        <v>262.5349956235176</v>
      </c>
      <c r="BG145" s="69">
        <f t="shared" ca="1" si="92"/>
        <v>0</v>
      </c>
      <c r="BH145" s="301">
        <f t="shared" ca="1" si="95"/>
        <v>0</v>
      </c>
      <c r="BI145" s="300">
        <f ca="1">IF(AO145&gt;TartamVálasztott,0,   (BI144+BH145)*(1+yields!$D$2)*(1-(0.0099/12)))</f>
        <v>459875.22396333836</v>
      </c>
      <c r="BJ145" s="300">
        <f ca="1">SUM(BH$6:BH145)*-1.2</f>
        <v>-449404.78723382391</v>
      </c>
      <c r="BK145" s="300">
        <f t="shared" ca="1" si="75"/>
        <v>10470.436729514448</v>
      </c>
      <c r="BL145" s="28">
        <f t="shared" ca="1" si="74"/>
        <v>2028</v>
      </c>
      <c r="BM145" s="28">
        <f t="shared" ca="1" si="97"/>
        <v>9</v>
      </c>
      <c r="BN145" s="236">
        <f t="shared" ca="1" si="98"/>
        <v>0</v>
      </c>
      <c r="BO145" s="236">
        <f t="shared" ca="1" si="93"/>
        <v>0</v>
      </c>
    </row>
    <row r="146" spans="41:67" x14ac:dyDescent="0.25">
      <c r="AO146" s="28">
        <f t="shared" si="76"/>
        <v>12</v>
      </c>
      <c r="AP146" s="28">
        <f t="shared" si="77"/>
        <v>9</v>
      </c>
      <c r="AQ146" s="65">
        <f t="shared" ca="1" si="94"/>
        <v>0</v>
      </c>
      <c r="AR146" s="66">
        <f t="shared" ca="1" si="78"/>
        <v>0</v>
      </c>
      <c r="AS146" s="66">
        <f t="shared" ca="1" si="79"/>
        <v>7745.8780356938942</v>
      </c>
      <c r="AT146" s="66">
        <f t="shared" ca="1" si="80"/>
        <v>1908983.6525928299</v>
      </c>
      <c r="AU146" s="66">
        <f t="shared" ca="1" si="81"/>
        <v>0</v>
      </c>
      <c r="AV146" s="68">
        <f t="shared" ca="1" si="82"/>
        <v>1904370.2754323971</v>
      </c>
      <c r="AW146" s="65">
        <f t="shared" ca="1" si="83"/>
        <v>4613.3771604326721</v>
      </c>
      <c r="AX146" s="69">
        <f t="shared" ca="1" si="84"/>
        <v>0</v>
      </c>
      <c r="AY146" s="70">
        <f t="shared" ca="1" si="85"/>
        <v>0</v>
      </c>
      <c r="AZ146" s="66">
        <f t="shared" ca="1" si="86"/>
        <v>444.94321377437541</v>
      </c>
      <c r="BA146" s="66">
        <f t="shared" ca="1" si="87"/>
        <v>795.4098552470125</v>
      </c>
      <c r="BB146" s="66">
        <f t="shared" ca="1" si="88"/>
        <v>45.69039373335707</v>
      </c>
      <c r="BC146" s="66">
        <f t="shared" ca="1" si="89"/>
        <v>109656.94496005696</v>
      </c>
      <c r="BD146" s="66">
        <f t="shared" ca="1" si="90"/>
        <v>0</v>
      </c>
      <c r="BE146" s="71">
        <f t="shared" ca="1" si="96"/>
        <v>110233.04092538386</v>
      </c>
      <c r="BF146" s="65">
        <f t="shared" ca="1" si="91"/>
        <v>265.00428365347102</v>
      </c>
      <c r="BG146" s="69">
        <f t="shared" ca="1" si="92"/>
        <v>0</v>
      </c>
      <c r="BH146" s="301">
        <f t="shared" ca="1" si="95"/>
        <v>0</v>
      </c>
      <c r="BI146" s="300">
        <f ca="1">IF(AO146&gt;TartamVálasztott,0,   (BI145+BH146)*(1+yields!$D$2)*(1-(0.0099/12)))</f>
        <v>461367.86978044361</v>
      </c>
      <c r="BJ146" s="300">
        <f ca="1">SUM(BH$6:BH146)*-1.2</f>
        <v>-449404.78723382391</v>
      </c>
      <c r="BK146" s="300">
        <f t="shared" ca="1" si="75"/>
        <v>11963.082546619698</v>
      </c>
      <c r="BL146" s="28">
        <f t="shared" ref="BL146:BL209" ca="1" si="99">IF(BM145=12,BL145+1,BL145)</f>
        <v>2028</v>
      </c>
      <c r="BM146" s="28">
        <f t="shared" ca="1" si="97"/>
        <v>10</v>
      </c>
      <c r="BN146" s="236">
        <f t="shared" ca="1" si="98"/>
        <v>0</v>
      </c>
      <c r="BO146" s="236">
        <f t="shared" ca="1" si="93"/>
        <v>0</v>
      </c>
    </row>
    <row r="147" spans="41:67" x14ac:dyDescent="0.25">
      <c r="AO147" s="28">
        <f t="shared" si="76"/>
        <v>12</v>
      </c>
      <c r="AP147" s="28">
        <f t="shared" si="77"/>
        <v>10</v>
      </c>
      <c r="AQ147" s="65">
        <f t="shared" ca="1" si="94"/>
        <v>49203.249667547476</v>
      </c>
      <c r="AR147" s="66">
        <f t="shared" ca="1" si="78"/>
        <v>41822.762217415351</v>
      </c>
      <c r="AS147" s="66">
        <f t="shared" ca="1" si="79"/>
        <v>7929.0313422599365</v>
      </c>
      <c r="AT147" s="66">
        <f t="shared" ca="1" si="80"/>
        <v>1954122.0689920723</v>
      </c>
      <c r="AU147" s="66">
        <f t="shared" ca="1" si="81"/>
        <v>0</v>
      </c>
      <c r="AV147" s="68">
        <f t="shared" ca="1" si="82"/>
        <v>1949399.6073253413</v>
      </c>
      <c r="AW147" s="65">
        <f t="shared" ca="1" si="83"/>
        <v>4722.4616667308419</v>
      </c>
      <c r="AX147" s="69">
        <f t="shared" ca="1" si="84"/>
        <v>7380.487450132121</v>
      </c>
      <c r="AY147" s="70">
        <f t="shared" ca="1" si="85"/>
        <v>7193.515101395441</v>
      </c>
      <c r="AZ147" s="66">
        <f t="shared" ca="1" si="86"/>
        <v>478.41032474061745</v>
      </c>
      <c r="BA147" s="66">
        <f t="shared" ca="1" si="87"/>
        <v>814.21752874669687</v>
      </c>
      <c r="BB147" s="66">
        <f t="shared" ca="1" si="88"/>
        <v>49.127069313133305</v>
      </c>
      <c r="BC147" s="66">
        <f t="shared" ca="1" si="89"/>
        <v>117904.96635151992</v>
      </c>
      <c r="BD147" s="66">
        <f t="shared" ca="1" si="90"/>
        <v>0</v>
      </c>
      <c r="BE147" s="71">
        <f t="shared" ca="1" si="96"/>
        <v>118483.37394756358</v>
      </c>
      <c r="BF147" s="65">
        <f t="shared" ca="1" si="91"/>
        <v>284.93700201617315</v>
      </c>
      <c r="BG147" s="69">
        <f t="shared" ca="1" si="92"/>
        <v>0</v>
      </c>
      <c r="BH147" s="301">
        <f t="shared" ca="1" si="95"/>
        <v>0</v>
      </c>
      <c r="BI147" s="300">
        <f ca="1">IF(AO147&gt;TartamVálasztott,0,   (BI146+BH147)*(1+yields!$D$2)*(1-(0.0099/12)))</f>
        <v>462865.36037156417</v>
      </c>
      <c r="BJ147" s="300">
        <f ca="1">SUM(BH$6:BH147)*-1.2</f>
        <v>-449404.78723382391</v>
      </c>
      <c r="BK147" s="300">
        <f t="shared" ca="1" si="75"/>
        <v>13460.573137740255</v>
      </c>
      <c r="BL147" s="28">
        <f t="shared" ca="1" si="99"/>
        <v>2028</v>
      </c>
      <c r="BM147" s="28">
        <f t="shared" ca="1" si="97"/>
        <v>11</v>
      </c>
      <c r="BN147" s="236">
        <f t="shared" ca="1" si="98"/>
        <v>0</v>
      </c>
      <c r="BO147" s="236">
        <f t="shared" ca="1" si="93"/>
        <v>0</v>
      </c>
    </row>
    <row r="148" spans="41:67" x14ac:dyDescent="0.25">
      <c r="AO148" s="28">
        <f t="shared" si="76"/>
        <v>12</v>
      </c>
      <c r="AP148" s="28">
        <f t="shared" si="77"/>
        <v>11</v>
      </c>
      <c r="AQ148" s="65">
        <f t="shared" ca="1" si="94"/>
        <v>0</v>
      </c>
      <c r="AR148" s="66">
        <f t="shared" ca="1" si="78"/>
        <v>0</v>
      </c>
      <c r="AS148" s="66">
        <f t="shared" ca="1" si="79"/>
        <v>7942.095304038934</v>
      </c>
      <c r="AT148" s="66">
        <f t="shared" ca="1" si="80"/>
        <v>1957341.7026293802</v>
      </c>
      <c r="AU148" s="66">
        <f t="shared" ca="1" si="81"/>
        <v>0</v>
      </c>
      <c r="AV148" s="68">
        <f t="shared" ca="1" si="82"/>
        <v>1952611.4601813592</v>
      </c>
      <c r="AW148" s="65">
        <f t="shared" ca="1" si="83"/>
        <v>4730.242448021002</v>
      </c>
      <c r="AX148" s="69">
        <f t="shared" ca="1" si="84"/>
        <v>0</v>
      </c>
      <c r="AY148" s="70">
        <f t="shared" ca="1" si="85"/>
        <v>0</v>
      </c>
      <c r="AZ148" s="66">
        <f t="shared" ca="1" si="86"/>
        <v>482.71593176667051</v>
      </c>
      <c r="BA148" s="66">
        <f t="shared" ca="1" si="87"/>
        <v>815.5590427622418</v>
      </c>
      <c r="BB148" s="66">
        <f t="shared" ca="1" si="88"/>
        <v>49.56920411638761</v>
      </c>
      <c r="BC148" s="66">
        <f t="shared" ca="1" si="89"/>
        <v>118966.08987933025</v>
      </c>
      <c r="BD148" s="66">
        <f t="shared" ca="1" si="90"/>
        <v>0</v>
      </c>
      <c r="BE148" s="71">
        <f t="shared" ca="1" si="96"/>
        <v>119543.71674233383</v>
      </c>
      <c r="BF148" s="65">
        <f t="shared" ca="1" si="91"/>
        <v>287.50138387504813</v>
      </c>
      <c r="BG148" s="69">
        <f t="shared" ca="1" si="92"/>
        <v>0</v>
      </c>
      <c r="BH148" s="301">
        <f t="shared" ca="1" si="95"/>
        <v>0</v>
      </c>
      <c r="BI148" s="300">
        <f ca="1">IF(AO148&gt;TartamVálasztott,0,   (BI147+BH148)*(1+yields!$D$2)*(1-(0.0099/12)))</f>
        <v>464367.71146168641</v>
      </c>
      <c r="BJ148" s="300">
        <f ca="1">SUM(BH$6:BH148)*-1.2</f>
        <v>-449404.78723382391</v>
      </c>
      <c r="BK148" s="300">
        <f t="shared" ca="1" si="75"/>
        <v>14962.924227862502</v>
      </c>
      <c r="BL148" s="28">
        <f t="shared" ca="1" si="99"/>
        <v>2028</v>
      </c>
      <c r="BM148" s="28">
        <f t="shared" ca="1" si="97"/>
        <v>12</v>
      </c>
      <c r="BN148" s="236">
        <f t="shared" ca="1" si="98"/>
        <v>196812.9986701899</v>
      </c>
      <c r="BO148" s="236">
        <f t="shared" ca="1" si="93"/>
        <v>39362.599734037984</v>
      </c>
    </row>
    <row r="149" spans="41:67" x14ac:dyDescent="0.25">
      <c r="AO149" s="28">
        <f t="shared" si="76"/>
        <v>12</v>
      </c>
      <c r="AP149" s="28">
        <f t="shared" si="77"/>
        <v>12</v>
      </c>
      <c r="AQ149" s="65">
        <f t="shared" ca="1" si="94"/>
        <v>0</v>
      </c>
      <c r="AR149" s="66">
        <f t="shared" ca="1" si="78"/>
        <v>0</v>
      </c>
      <c r="AS149" s="66">
        <f t="shared" ca="1" si="79"/>
        <v>7955.1807901492157</v>
      </c>
      <c r="AT149" s="66">
        <f t="shared" ca="1" si="80"/>
        <v>1960566.6409715083</v>
      </c>
      <c r="AU149" s="66">
        <f t="shared" ca="1" si="81"/>
        <v>0</v>
      </c>
      <c r="AV149" s="68">
        <f t="shared" ca="1" si="82"/>
        <v>1955828.6049224939</v>
      </c>
      <c r="AW149" s="65">
        <f t="shared" ca="1" si="83"/>
        <v>4738.0360490144785</v>
      </c>
      <c r="AX149" s="69">
        <f t="shared" ca="1" si="84"/>
        <v>0</v>
      </c>
      <c r="AY149" s="70">
        <f t="shared" ca="1" si="85"/>
        <v>0</v>
      </c>
      <c r="AZ149" s="66">
        <f t="shared" ca="1" si="86"/>
        <v>487.03589956566412</v>
      </c>
      <c r="BA149" s="66">
        <f t="shared" ca="1" si="87"/>
        <v>816.90276707146188</v>
      </c>
      <c r="BB149" s="66">
        <f t="shared" ca="1" si="88"/>
        <v>50.012813600791453</v>
      </c>
      <c r="BC149" s="66">
        <f t="shared" ca="1" si="89"/>
        <v>120030.75264189948</v>
      </c>
      <c r="BD149" s="66">
        <f t="shared" ca="1" si="90"/>
        <v>0</v>
      </c>
      <c r="BE149" s="71">
        <f t="shared" ca="1" si="96"/>
        <v>120607.59390368714</v>
      </c>
      <c r="BF149" s="65">
        <f t="shared" ca="1" si="91"/>
        <v>290.07431888459041</v>
      </c>
      <c r="BG149" s="69">
        <f t="shared" ca="1" si="92"/>
        <v>0</v>
      </c>
      <c r="BH149" s="301">
        <f t="shared" ca="1" si="95"/>
        <v>0</v>
      </c>
      <c r="BI149" s="300">
        <f ca="1">IF(AO149&gt;TartamVálasztott,0,   (BI148+BH149)*(1+yields!$D$2)*(1-(0.0099/12)))</f>
        <v>465874.93882683641</v>
      </c>
      <c r="BJ149" s="300">
        <f ca="1">SUM(BH$6:BH149)*-1.2</f>
        <v>-449404.78723382391</v>
      </c>
      <c r="BK149" s="300">
        <f t="shared" ca="1" si="75"/>
        <v>16470.151593012502</v>
      </c>
      <c r="BL149" s="28">
        <f t="shared" ca="1" si="99"/>
        <v>2029</v>
      </c>
      <c r="BM149" s="28">
        <f t="shared" ca="1" si="97"/>
        <v>1</v>
      </c>
      <c r="BN149" s="236">
        <f t="shared" ca="1" si="98"/>
        <v>0</v>
      </c>
      <c r="BO149" s="236">
        <f t="shared" ca="1" si="93"/>
        <v>0</v>
      </c>
    </row>
    <row r="150" spans="41:67" x14ac:dyDescent="0.25">
      <c r="AO150" s="28">
        <f t="shared" si="76"/>
        <v>13</v>
      </c>
      <c r="AP150" s="28">
        <f t="shared" si="77"/>
        <v>1</v>
      </c>
      <c r="AQ150" s="65">
        <f t="shared" ca="1" si="94"/>
        <v>50433.33090923616</v>
      </c>
      <c r="AR150" s="66">
        <f t="shared" ca="1" si="78"/>
        <v>42868.331272850737</v>
      </c>
      <c r="AS150" s="66">
        <f t="shared" ca="1" si="79"/>
        <v>8142.9387240585493</v>
      </c>
      <c r="AT150" s="66">
        <f t="shared" ca="1" si="80"/>
        <v>2006839.8749194031</v>
      </c>
      <c r="AU150" s="66">
        <f t="shared" ca="1" si="81"/>
        <v>0</v>
      </c>
      <c r="AV150" s="68">
        <f t="shared" ca="1" si="82"/>
        <v>2001990.0118883478</v>
      </c>
      <c r="AW150" s="65">
        <f t="shared" ca="1" si="83"/>
        <v>4849.8630310552244</v>
      </c>
      <c r="AX150" s="69">
        <f t="shared" ca="1" si="84"/>
        <v>7564.9996363854234</v>
      </c>
      <c r="AY150" s="70">
        <f t="shared" ca="1" si="85"/>
        <v>7696.1262967494386</v>
      </c>
      <c r="AZ150" s="66">
        <f t="shared" ca="1" si="86"/>
        <v>522.72523799916235</v>
      </c>
      <c r="BA150" s="66">
        <f t="shared" ca="1" si="87"/>
        <v>836.18328121641798</v>
      </c>
      <c r="BB150" s="66">
        <f t="shared" ca="1" si="88"/>
        <v>53.67768559934823</v>
      </c>
      <c r="BC150" s="66">
        <f t="shared" ca="1" si="89"/>
        <v>128826.44543843574</v>
      </c>
      <c r="BD150" s="66">
        <f t="shared" ca="1" si="90"/>
        <v>0</v>
      </c>
      <c r="BE150" s="71">
        <f t="shared" ca="1" si="96"/>
        <v>129404.97582877529</v>
      </c>
      <c r="BF150" s="65">
        <f t="shared" ca="1" si="91"/>
        <v>311.33057647621973</v>
      </c>
      <c r="BG150" s="69">
        <f t="shared" ca="1" si="92"/>
        <v>0</v>
      </c>
      <c r="BH150" s="301">
        <f t="shared" ca="1" si="95"/>
        <v>0</v>
      </c>
      <c r="BI150" s="300">
        <f ca="1">IF(AO150&gt;TartamVálasztott,0,   (BI149+BH150)*(1+yields!$D$2)*(1-(0.0099/12)))</f>
        <v>467387.05829424545</v>
      </c>
      <c r="BJ150" s="300">
        <f ca="1">SUM(BH$6:BH150)*-1.2</f>
        <v>-449404.78723382391</v>
      </c>
      <c r="BK150" s="300">
        <f t="shared" ca="1" si="75"/>
        <v>17982.271060421539</v>
      </c>
      <c r="BL150" s="28">
        <f t="shared" ca="1" si="99"/>
        <v>2029</v>
      </c>
      <c r="BM150" s="28">
        <f t="shared" ca="1" si="97"/>
        <v>2</v>
      </c>
      <c r="BN150" s="236">
        <f t="shared" ca="1" si="98"/>
        <v>0</v>
      </c>
      <c r="BO150" s="236">
        <f t="shared" ca="1" si="93"/>
        <v>0</v>
      </c>
    </row>
    <row r="151" spans="41:67" x14ac:dyDescent="0.25">
      <c r="AO151" s="28">
        <f t="shared" si="76"/>
        <v>13</v>
      </c>
      <c r="AP151" s="28">
        <f t="shared" si="77"/>
        <v>2</v>
      </c>
      <c r="AQ151" s="65">
        <f t="shared" ca="1" si="94"/>
        <v>0</v>
      </c>
      <c r="AR151" s="66">
        <f t="shared" ca="1" si="78"/>
        <v>0</v>
      </c>
      <c r="AS151" s="66">
        <f t="shared" ca="1" si="79"/>
        <v>8156.3551220607678</v>
      </c>
      <c r="AT151" s="66">
        <f t="shared" ca="1" si="80"/>
        <v>2010146.3670104085</v>
      </c>
      <c r="AU151" s="66">
        <f t="shared" ca="1" si="81"/>
        <v>0</v>
      </c>
      <c r="AV151" s="68">
        <f t="shared" ca="1" si="82"/>
        <v>2005288.5132901333</v>
      </c>
      <c r="AW151" s="65">
        <f t="shared" ca="1" si="83"/>
        <v>4857.853720275154</v>
      </c>
      <c r="AX151" s="69">
        <f t="shared" ca="1" si="84"/>
        <v>0</v>
      </c>
      <c r="AY151" s="70">
        <f t="shared" ca="1" si="85"/>
        <v>0</v>
      </c>
      <c r="AZ151" s="66">
        <f t="shared" ca="1" si="86"/>
        <v>527.21188974645372</v>
      </c>
      <c r="BA151" s="66">
        <f t="shared" ca="1" si="87"/>
        <v>837.56098625433697</v>
      </c>
      <c r="BB151" s="66">
        <f t="shared" ca="1" si="88"/>
        <v>54.138411549384067</v>
      </c>
      <c r="BC151" s="66">
        <f t="shared" ca="1" si="89"/>
        <v>129932.18771852175</v>
      </c>
      <c r="BD151" s="66">
        <f t="shared" ca="1" si="90"/>
        <v>0</v>
      </c>
      <c r="BE151" s="71">
        <f t="shared" ca="1" si="96"/>
        <v>130509.88432933904</v>
      </c>
      <c r="BF151" s="65">
        <f t="shared" ca="1" si="91"/>
        <v>314.00278698642757</v>
      </c>
      <c r="BG151" s="69">
        <f t="shared" ca="1" si="92"/>
        <v>0</v>
      </c>
      <c r="BH151" s="301">
        <f t="shared" ca="1" si="95"/>
        <v>0</v>
      </c>
      <c r="BI151" s="300">
        <f ca="1">IF(AO151&gt;TartamVálasztott,0,   (BI150+BH151)*(1+yields!$D$2)*(1-(0.0099/12)))</f>
        <v>468904.08574251615</v>
      </c>
      <c r="BJ151" s="300">
        <f ca="1">SUM(BH$6:BH151)*-1.2</f>
        <v>-449404.78723382391</v>
      </c>
      <c r="BK151" s="300">
        <f t="shared" ref="BK151:BK214" ca="1" si="100">BI151+BJ151</f>
        <v>19499.298508692242</v>
      </c>
      <c r="BL151" s="28">
        <f t="shared" ca="1" si="99"/>
        <v>2029</v>
      </c>
      <c r="BM151" s="28">
        <f t="shared" ca="1" si="97"/>
        <v>3</v>
      </c>
      <c r="BN151" s="236">
        <f t="shared" ca="1" si="98"/>
        <v>0</v>
      </c>
      <c r="BO151" s="236">
        <f t="shared" ca="1" si="93"/>
        <v>0</v>
      </c>
    </row>
    <row r="152" spans="41:67" x14ac:dyDescent="0.25">
      <c r="AO152" s="28">
        <f t="shared" si="76"/>
        <v>13</v>
      </c>
      <c r="AP152" s="28">
        <f t="shared" si="77"/>
        <v>3</v>
      </c>
      <c r="AQ152" s="65">
        <f t="shared" ca="1" si="94"/>
        <v>0</v>
      </c>
      <c r="AR152" s="66">
        <f t="shared" ca="1" si="78"/>
        <v>0</v>
      </c>
      <c r="AS152" s="66">
        <f t="shared" ca="1" si="79"/>
        <v>8169.7936250721796</v>
      </c>
      <c r="AT152" s="66">
        <f t="shared" ca="1" si="80"/>
        <v>2013458.3069152054</v>
      </c>
      <c r="AU152" s="66">
        <f t="shared" ca="1" si="81"/>
        <v>0</v>
      </c>
      <c r="AV152" s="68">
        <f t="shared" ca="1" si="82"/>
        <v>2008592.4493401605</v>
      </c>
      <c r="AW152" s="65">
        <f t="shared" ca="1" si="83"/>
        <v>4865.85757504508</v>
      </c>
      <c r="AX152" s="69">
        <f t="shared" ca="1" si="84"/>
        <v>0</v>
      </c>
      <c r="AY152" s="70">
        <f t="shared" ca="1" si="85"/>
        <v>0</v>
      </c>
      <c r="AZ152" s="66">
        <f t="shared" ca="1" si="86"/>
        <v>531.71342374735571</v>
      </c>
      <c r="BA152" s="66">
        <f t="shared" ca="1" si="87"/>
        <v>838.94096121466896</v>
      </c>
      <c r="BB152" s="66">
        <f t="shared" ca="1" si="88"/>
        <v>54.600665730452668</v>
      </c>
      <c r="BC152" s="66">
        <f t="shared" ca="1" si="89"/>
        <v>131041.59775308639</v>
      </c>
      <c r="BD152" s="66">
        <f t="shared" ca="1" si="90"/>
        <v>0</v>
      </c>
      <c r="BE152" s="71">
        <f t="shared" ca="1" si="96"/>
        <v>131618.45551879489</v>
      </c>
      <c r="BF152" s="65">
        <f t="shared" ca="1" si="91"/>
        <v>316.68386123662543</v>
      </c>
      <c r="BG152" s="69">
        <f t="shared" ca="1" si="92"/>
        <v>0</v>
      </c>
      <c r="BH152" s="301">
        <f t="shared" ca="1" si="95"/>
        <v>0</v>
      </c>
      <c r="BI152" s="300">
        <f ca="1">IF(AO152&gt;TartamVálasztott,0,   (BI151+BH152)*(1+yields!$D$2)*(1-(0.0099/12)))</f>
        <v>470426.03710178949</v>
      </c>
      <c r="BJ152" s="300">
        <f ca="1">SUM(BH$6:BH152)*-1.2</f>
        <v>-449404.78723382391</v>
      </c>
      <c r="BK152" s="300">
        <f t="shared" ca="1" si="100"/>
        <v>21021.249867965584</v>
      </c>
      <c r="BL152" s="28">
        <f t="shared" ca="1" si="99"/>
        <v>2029</v>
      </c>
      <c r="BM152" s="28">
        <f t="shared" ca="1" si="97"/>
        <v>4</v>
      </c>
      <c r="BN152" s="236">
        <f t="shared" ca="1" si="98"/>
        <v>0</v>
      </c>
      <c r="BO152" s="236">
        <f t="shared" ca="1" si="93"/>
        <v>0</v>
      </c>
    </row>
    <row r="153" spans="41:67" x14ac:dyDescent="0.25">
      <c r="AO153" s="28">
        <f t="shared" si="76"/>
        <v>13</v>
      </c>
      <c r="AP153" s="28">
        <f t="shared" si="77"/>
        <v>4</v>
      </c>
      <c r="AQ153" s="65">
        <f t="shared" ca="1" si="94"/>
        <v>50433.33090923616</v>
      </c>
      <c r="AR153" s="66">
        <f t="shared" ca="1" si="78"/>
        <v>42868.331272850737</v>
      </c>
      <c r="AS153" s="66">
        <f t="shared" ca="1" si="79"/>
        <v>8357.9051575172853</v>
      </c>
      <c r="AT153" s="66">
        <f t="shared" ca="1" si="80"/>
        <v>2059818.6857705284</v>
      </c>
      <c r="AU153" s="66">
        <f t="shared" ca="1" si="81"/>
        <v>0</v>
      </c>
      <c r="AV153" s="68">
        <f t="shared" ca="1" si="82"/>
        <v>2054840.7906132496</v>
      </c>
      <c r="AW153" s="65">
        <f t="shared" ca="1" si="83"/>
        <v>4977.8951572787773</v>
      </c>
      <c r="AX153" s="69">
        <f t="shared" ca="1" si="84"/>
        <v>7564.9996363854234</v>
      </c>
      <c r="AY153" s="70">
        <f t="shared" ca="1" si="85"/>
        <v>7696.1262967494386</v>
      </c>
      <c r="AZ153" s="66">
        <f t="shared" ca="1" si="86"/>
        <v>567.58485118373346</v>
      </c>
      <c r="BA153" s="66">
        <f t="shared" ca="1" si="87"/>
        <v>858.25778573772027</v>
      </c>
      <c r="BB153" s="66">
        <f t="shared" ca="1" si="88"/>
        <v>58.284236111136686</v>
      </c>
      <c r="BC153" s="66">
        <f t="shared" ca="1" si="89"/>
        <v>139882.16666672804</v>
      </c>
      <c r="BD153" s="66">
        <f t="shared" ca="1" si="90"/>
        <v>0</v>
      </c>
      <c r="BE153" s="71">
        <f t="shared" ca="1" si="96"/>
        <v>140460.66011913228</v>
      </c>
      <c r="BF153" s="65">
        <f t="shared" ca="1" si="91"/>
        <v>338.04856944459277</v>
      </c>
      <c r="BG153" s="69">
        <f t="shared" ca="1" si="92"/>
        <v>0</v>
      </c>
      <c r="BH153" s="301">
        <f t="shared" ca="1" si="95"/>
        <v>0</v>
      </c>
      <c r="BI153" s="300">
        <f ca="1">IF(AO153&gt;TartamVálasztott,0,   (BI152+BH153)*(1+yields!$D$2)*(1-(0.0099/12)))</f>
        <v>471952.92835391179</v>
      </c>
      <c r="BJ153" s="300">
        <f ca="1">SUM(BH$6:BH153)*-1.2</f>
        <v>-449404.78723382391</v>
      </c>
      <c r="BK153" s="300">
        <f t="shared" ca="1" si="100"/>
        <v>22548.141120087879</v>
      </c>
      <c r="BL153" s="28">
        <f t="shared" ca="1" si="99"/>
        <v>2029</v>
      </c>
      <c r="BM153" s="28">
        <f t="shared" ca="1" si="97"/>
        <v>5</v>
      </c>
      <c r="BN153" s="236">
        <f t="shared" ca="1" si="98"/>
        <v>0</v>
      </c>
      <c r="BO153" s="236">
        <f t="shared" ca="1" si="93"/>
        <v>0</v>
      </c>
    </row>
    <row r="154" spans="41:67" x14ac:dyDescent="0.25">
      <c r="AO154" s="28">
        <f t="shared" si="76"/>
        <v>13</v>
      </c>
      <c r="AP154" s="28">
        <f t="shared" si="77"/>
        <v>5</v>
      </c>
      <c r="AQ154" s="65">
        <f t="shared" ca="1" si="94"/>
        <v>0</v>
      </c>
      <c r="AR154" s="66">
        <f t="shared" ca="1" si="78"/>
        <v>0</v>
      </c>
      <c r="AS154" s="66">
        <f t="shared" ca="1" si="79"/>
        <v>8371.675736648227</v>
      </c>
      <c r="AT154" s="66">
        <f t="shared" ca="1" si="80"/>
        <v>2063212.4663498979</v>
      </c>
      <c r="AU154" s="66">
        <f t="shared" ca="1" si="81"/>
        <v>0</v>
      </c>
      <c r="AV154" s="68">
        <f t="shared" ca="1" si="82"/>
        <v>2058226.3695562191</v>
      </c>
      <c r="AW154" s="65">
        <f t="shared" ca="1" si="83"/>
        <v>4986.0967936789202</v>
      </c>
      <c r="AX154" s="69">
        <f t="shared" ca="1" si="84"/>
        <v>0</v>
      </c>
      <c r="AY154" s="70">
        <f t="shared" ca="1" si="85"/>
        <v>0</v>
      </c>
      <c r="AZ154" s="66">
        <f t="shared" ca="1" si="86"/>
        <v>572.25411605830459</v>
      </c>
      <c r="BA154" s="66">
        <f t="shared" ca="1" si="87"/>
        <v>859.67186097912418</v>
      </c>
      <c r="BB154" s="66">
        <f t="shared" ca="1" si="88"/>
        <v>58.763714264662745</v>
      </c>
      <c r="BC154" s="66">
        <f t="shared" ca="1" si="89"/>
        <v>141032.91423519058</v>
      </c>
      <c r="BD154" s="66">
        <f t="shared" ca="1" si="90"/>
        <v>0</v>
      </c>
      <c r="BE154" s="71">
        <f t="shared" ca="1" si="96"/>
        <v>141610.52026769932</v>
      </c>
      <c r="BF154" s="65">
        <f t="shared" ca="1" si="91"/>
        <v>340.8295427350439</v>
      </c>
      <c r="BG154" s="69">
        <f t="shared" ca="1" si="92"/>
        <v>0</v>
      </c>
      <c r="BH154" s="301">
        <f t="shared" ca="1" si="95"/>
        <v>39362.599734037984</v>
      </c>
      <c r="BI154" s="300">
        <f ca="1">IF(AO154&gt;TartamVálasztott,0,   (BI153+BH154)*(1+yields!$D$2)*(1-(0.0099/12)))</f>
        <v>512975.13692193705</v>
      </c>
      <c r="BJ154" s="300">
        <f ca="1">SUM(BH$6:BH154)*-1.2</f>
        <v>-496639.9069146695</v>
      </c>
      <c r="BK154" s="300">
        <f t="shared" ca="1" si="100"/>
        <v>16335.230007267557</v>
      </c>
      <c r="BL154" s="28">
        <f t="shared" ca="1" si="99"/>
        <v>2029</v>
      </c>
      <c r="BM154" s="28">
        <f t="shared" ca="1" si="97"/>
        <v>6</v>
      </c>
      <c r="BN154" s="236">
        <f t="shared" ca="1" si="98"/>
        <v>0</v>
      </c>
      <c r="BO154" s="236">
        <f t="shared" ca="1" si="93"/>
        <v>0</v>
      </c>
    </row>
    <row r="155" spans="41:67" x14ac:dyDescent="0.25">
      <c r="AO155" s="28">
        <f t="shared" si="76"/>
        <v>13</v>
      </c>
      <c r="AP155" s="28">
        <f t="shared" si="77"/>
        <v>6</v>
      </c>
      <c r="AQ155" s="65">
        <f t="shared" ca="1" si="94"/>
        <v>0</v>
      </c>
      <c r="AR155" s="66">
        <f t="shared" ca="1" si="78"/>
        <v>0</v>
      </c>
      <c r="AS155" s="66">
        <f t="shared" ca="1" si="79"/>
        <v>8385.4690043411974</v>
      </c>
      <c r="AT155" s="66">
        <f t="shared" ca="1" si="80"/>
        <v>2066611.8385605603</v>
      </c>
      <c r="AU155" s="66">
        <f t="shared" ca="1" si="81"/>
        <v>0</v>
      </c>
      <c r="AV155" s="68">
        <f t="shared" ca="1" si="82"/>
        <v>2061617.5266173722</v>
      </c>
      <c r="AW155" s="65">
        <f t="shared" ca="1" si="83"/>
        <v>4994.3119431880205</v>
      </c>
      <c r="AX155" s="69">
        <f t="shared" ca="1" si="84"/>
        <v>0</v>
      </c>
      <c r="AY155" s="70">
        <f t="shared" ca="1" si="85"/>
        <v>0</v>
      </c>
      <c r="AZ155" s="66">
        <f t="shared" ca="1" si="86"/>
        <v>576.93878863745101</v>
      </c>
      <c r="BA155" s="66">
        <f t="shared" ca="1" si="87"/>
        <v>861.08826606690013</v>
      </c>
      <c r="BB155" s="66">
        <f t="shared" ca="1" si="88"/>
        <v>59.244774606806999</v>
      </c>
      <c r="BC155" s="66">
        <f t="shared" ca="1" si="89"/>
        <v>142187.45905633678</v>
      </c>
      <c r="BD155" s="66">
        <f t="shared" ca="1" si="90"/>
        <v>0</v>
      </c>
      <c r="BE155" s="71">
        <f t="shared" ca="1" si="96"/>
        <v>142764.17240429099</v>
      </c>
      <c r="BF155" s="65">
        <f t="shared" ca="1" si="91"/>
        <v>343.61969271948055</v>
      </c>
      <c r="BG155" s="69">
        <f t="shared" ca="1" si="92"/>
        <v>0</v>
      </c>
      <c r="BH155" s="301">
        <f t="shared" ca="1" si="95"/>
        <v>0</v>
      </c>
      <c r="BI155" s="300">
        <f ca="1">IF(AO155&gt;TartamVálasztott,0,   (BI154+BH155)*(1+yields!$D$2)*(1-(0.0099/12)))</f>
        <v>514640.1324522607</v>
      </c>
      <c r="BJ155" s="300">
        <f ca="1">SUM(BH$6:BH155)*-1.2</f>
        <v>-496639.9069146695</v>
      </c>
      <c r="BK155" s="300">
        <f t="shared" ca="1" si="100"/>
        <v>18000.225537591206</v>
      </c>
      <c r="BL155" s="28">
        <f t="shared" ca="1" si="99"/>
        <v>2029</v>
      </c>
      <c r="BM155" s="28">
        <f t="shared" ca="1" si="97"/>
        <v>7</v>
      </c>
      <c r="BN155" s="236">
        <f t="shared" ca="1" si="98"/>
        <v>0</v>
      </c>
      <c r="BO155" s="236">
        <f t="shared" ca="1" si="93"/>
        <v>0</v>
      </c>
    </row>
    <row r="156" spans="41:67" x14ac:dyDescent="0.25">
      <c r="AO156" s="28">
        <f t="shared" si="76"/>
        <v>13</v>
      </c>
      <c r="AP156" s="28">
        <f t="shared" si="77"/>
        <v>7</v>
      </c>
      <c r="AQ156" s="65">
        <f t="shared" ca="1" si="94"/>
        <v>50433.33090923616</v>
      </c>
      <c r="AR156" s="66">
        <f t="shared" ca="1" si="78"/>
        <v>42868.331272850737</v>
      </c>
      <c r="AS156" s="66">
        <f t="shared" ca="1" si="79"/>
        <v>8573.9358859821659</v>
      </c>
      <c r="AT156" s="66">
        <f t="shared" ca="1" si="80"/>
        <v>2113059.7937762048</v>
      </c>
      <c r="AU156" s="66">
        <f t="shared" ca="1" si="81"/>
        <v>0</v>
      </c>
      <c r="AV156" s="68">
        <f t="shared" ca="1" si="82"/>
        <v>2107953.2326079123</v>
      </c>
      <c r="AW156" s="65">
        <f t="shared" ca="1" si="83"/>
        <v>5106.5611682924955</v>
      </c>
      <c r="AX156" s="69">
        <f t="shared" ca="1" si="84"/>
        <v>7564.9996363854234</v>
      </c>
      <c r="AY156" s="70">
        <f t="shared" ca="1" si="85"/>
        <v>7696.1262967494386</v>
      </c>
      <c r="AZ156" s="66">
        <f t="shared" ca="1" si="86"/>
        <v>612.99388143274427</v>
      </c>
      <c r="BA156" s="66">
        <f t="shared" ca="1" si="87"/>
        <v>880.44158074008544</v>
      </c>
      <c r="BB156" s="66">
        <f t="shared" ca="1" si="88"/>
        <v>62.947205242697159</v>
      </c>
      <c r="BC156" s="66">
        <f t="shared" ca="1" si="89"/>
        <v>151073.29258247316</v>
      </c>
      <c r="BD156" s="66">
        <f t="shared" ca="1" si="90"/>
        <v>0</v>
      </c>
      <c r="BE156" s="71">
        <f t="shared" ca="1" si="96"/>
        <v>151651.58757804832</v>
      </c>
      <c r="BF156" s="65">
        <f t="shared" ca="1" si="91"/>
        <v>365.0937904076435</v>
      </c>
      <c r="BG156" s="69">
        <f t="shared" ca="1" si="92"/>
        <v>0</v>
      </c>
      <c r="BH156" s="301">
        <f t="shared" ca="1" si="95"/>
        <v>0</v>
      </c>
      <c r="BI156" s="300">
        <f ca="1">IF(AO156&gt;TartamVálasztott,0,   (BI155+BH156)*(1+yields!$D$2)*(1-(0.0099/12)))</f>
        <v>516310.53216285829</v>
      </c>
      <c r="BJ156" s="300">
        <f ca="1">SUM(BH$6:BH156)*-1.2</f>
        <v>-496639.9069146695</v>
      </c>
      <c r="BK156" s="300">
        <f t="shared" ca="1" si="100"/>
        <v>19670.625248188793</v>
      </c>
      <c r="BL156" s="28">
        <f t="shared" ca="1" si="99"/>
        <v>2029</v>
      </c>
      <c r="BM156" s="28">
        <f t="shared" ca="1" si="97"/>
        <v>8</v>
      </c>
      <c r="BN156" s="236">
        <f t="shared" ca="1" si="98"/>
        <v>0</v>
      </c>
      <c r="BO156" s="236">
        <f t="shared" ca="1" si="93"/>
        <v>0</v>
      </c>
    </row>
    <row r="157" spans="41:67" x14ac:dyDescent="0.25">
      <c r="AO157" s="28">
        <f t="shared" si="76"/>
        <v>13</v>
      </c>
      <c r="AP157" s="28">
        <f t="shared" si="77"/>
        <v>8</v>
      </c>
      <c r="AQ157" s="65">
        <f t="shared" ca="1" si="94"/>
        <v>0</v>
      </c>
      <c r="AR157" s="66">
        <f t="shared" ca="1" si="78"/>
        <v>0</v>
      </c>
      <c r="AS157" s="66">
        <f t="shared" ca="1" si="79"/>
        <v>8588.0623997863258</v>
      </c>
      <c r="AT157" s="66">
        <f t="shared" ca="1" si="80"/>
        <v>2116541.2950076987</v>
      </c>
      <c r="AU157" s="66">
        <f t="shared" ca="1" si="81"/>
        <v>0</v>
      </c>
      <c r="AV157" s="68">
        <f t="shared" ca="1" si="82"/>
        <v>2111426.3202114301</v>
      </c>
      <c r="AW157" s="65">
        <f t="shared" ca="1" si="83"/>
        <v>5114.9747962686051</v>
      </c>
      <c r="AX157" s="69">
        <f t="shared" ca="1" si="84"/>
        <v>0</v>
      </c>
      <c r="AY157" s="70">
        <f t="shared" ca="1" si="85"/>
        <v>0</v>
      </c>
      <c r="AZ157" s="66">
        <f t="shared" ca="1" si="86"/>
        <v>617.84733977975782</v>
      </c>
      <c r="BA157" s="66">
        <f t="shared" ca="1" si="87"/>
        <v>881.89220625320786</v>
      </c>
      <c r="BB157" s="66">
        <f t="shared" ca="1" si="88"/>
        <v>63.445597882428366</v>
      </c>
      <c r="BC157" s="66">
        <f t="shared" ca="1" si="89"/>
        <v>152269.43491782807</v>
      </c>
      <c r="BD157" s="66">
        <f t="shared" ca="1" si="90"/>
        <v>0</v>
      </c>
      <c r="BE157" s="71">
        <f t="shared" ca="1" si="96"/>
        <v>152846.78825424562</v>
      </c>
      <c r="BF157" s="65">
        <f t="shared" ca="1" si="91"/>
        <v>367.98446771808449</v>
      </c>
      <c r="BG157" s="69">
        <f t="shared" ca="1" si="92"/>
        <v>0</v>
      </c>
      <c r="BH157" s="301">
        <f t="shared" ca="1" si="95"/>
        <v>0</v>
      </c>
      <c r="BI157" s="300">
        <f ca="1">IF(AO157&gt;TartamVálasztott,0,   (BI156+BH157)*(1+yields!$D$2)*(1-(0.0099/12)))</f>
        <v>517986.35359441623</v>
      </c>
      <c r="BJ157" s="300">
        <f ca="1">SUM(BH$6:BH157)*-1.2</f>
        <v>-496639.9069146695</v>
      </c>
      <c r="BK157" s="300">
        <f t="shared" ca="1" si="100"/>
        <v>21346.446679746732</v>
      </c>
      <c r="BL157" s="28">
        <f t="shared" ca="1" si="99"/>
        <v>2029</v>
      </c>
      <c r="BM157" s="28">
        <f t="shared" ca="1" si="97"/>
        <v>9</v>
      </c>
      <c r="BN157" s="236">
        <f t="shared" ca="1" si="98"/>
        <v>0</v>
      </c>
      <c r="BO157" s="236">
        <f t="shared" ca="1" si="93"/>
        <v>0</v>
      </c>
    </row>
    <row r="158" spans="41:67" x14ac:dyDescent="0.25">
      <c r="AO158" s="28">
        <f t="shared" si="76"/>
        <v>13</v>
      </c>
      <c r="AP158" s="28">
        <f t="shared" si="77"/>
        <v>9</v>
      </c>
      <c r="AQ158" s="65">
        <f t="shared" ca="1" si="94"/>
        <v>0</v>
      </c>
      <c r="AR158" s="66">
        <f t="shared" ca="1" si="78"/>
        <v>0</v>
      </c>
      <c r="AS158" s="66">
        <f t="shared" ca="1" si="79"/>
        <v>8602.2121885945107</v>
      </c>
      <c r="AT158" s="66">
        <f t="shared" ca="1" si="80"/>
        <v>2120028.5324000246</v>
      </c>
      <c r="AU158" s="66">
        <f t="shared" ca="1" si="81"/>
        <v>0</v>
      </c>
      <c r="AV158" s="68">
        <f t="shared" ca="1" si="82"/>
        <v>2114905.1301133912</v>
      </c>
      <c r="AW158" s="65">
        <f t="shared" ca="1" si="83"/>
        <v>5123.4022866333926</v>
      </c>
      <c r="AX158" s="69">
        <f t="shared" ca="1" si="84"/>
        <v>0</v>
      </c>
      <c r="AY158" s="70">
        <f t="shared" ca="1" si="85"/>
        <v>0</v>
      </c>
      <c r="AZ158" s="66">
        <f t="shared" ca="1" si="86"/>
        <v>622.71673528088593</v>
      </c>
      <c r="BA158" s="66">
        <f t="shared" ca="1" si="87"/>
        <v>883.34522183334366</v>
      </c>
      <c r="BB158" s="66">
        <f t="shared" ca="1" si="88"/>
        <v>63.94562707896938</v>
      </c>
      <c r="BC158" s="66">
        <f t="shared" ca="1" si="89"/>
        <v>153469.5049895265</v>
      </c>
      <c r="BD158" s="66">
        <f t="shared" ca="1" si="90"/>
        <v>0</v>
      </c>
      <c r="BE158" s="71">
        <f t="shared" ca="1" si="96"/>
        <v>154045.9112013808</v>
      </c>
      <c r="BF158" s="65">
        <f t="shared" ca="1" si="91"/>
        <v>370.88463705802241</v>
      </c>
      <c r="BG158" s="69">
        <f t="shared" ca="1" si="92"/>
        <v>0</v>
      </c>
      <c r="BH158" s="301">
        <f t="shared" ca="1" si="95"/>
        <v>0</v>
      </c>
      <c r="BI158" s="300">
        <f ca="1">IF(AO158&gt;TartamVálasztott,0,   (BI157+BH158)*(1+yields!$D$2)*(1-(0.0099/12)))</f>
        <v>519667.61434455385</v>
      </c>
      <c r="BJ158" s="300">
        <f ca="1">SUM(BH$6:BH158)*-1.2</f>
        <v>-496639.9069146695</v>
      </c>
      <c r="BK158" s="300">
        <f t="shared" ca="1" si="100"/>
        <v>23027.707429884351</v>
      </c>
      <c r="BL158" s="28">
        <f t="shared" ca="1" si="99"/>
        <v>2029</v>
      </c>
      <c r="BM158" s="28">
        <f t="shared" ca="1" si="97"/>
        <v>10</v>
      </c>
      <c r="BN158" s="236">
        <f t="shared" ca="1" si="98"/>
        <v>0</v>
      </c>
      <c r="BO158" s="236">
        <f t="shared" ca="1" si="93"/>
        <v>0</v>
      </c>
    </row>
    <row r="159" spans="41:67" x14ac:dyDescent="0.25">
      <c r="AO159" s="28">
        <f t="shared" si="76"/>
        <v>13</v>
      </c>
      <c r="AP159" s="28">
        <f t="shared" si="77"/>
        <v>10</v>
      </c>
      <c r="AQ159" s="65">
        <f t="shared" ca="1" si="94"/>
        <v>50433.33090923616</v>
      </c>
      <c r="AR159" s="66">
        <f t="shared" ca="1" si="78"/>
        <v>42868.331272850737</v>
      </c>
      <c r="AS159" s="66">
        <f t="shared" ca="1" si="79"/>
        <v>8791.0361787589209</v>
      </c>
      <c r="AT159" s="66">
        <f t="shared" ca="1" si="80"/>
        <v>2166564.4975650008</v>
      </c>
      <c r="AU159" s="66">
        <f t="shared" ca="1" si="81"/>
        <v>0</v>
      </c>
      <c r="AV159" s="68">
        <f t="shared" ca="1" si="82"/>
        <v>2161328.6333625522</v>
      </c>
      <c r="AW159" s="65">
        <f t="shared" ca="1" si="83"/>
        <v>5235.8642024487517</v>
      </c>
      <c r="AX159" s="69">
        <f t="shared" ca="1" si="84"/>
        <v>7564.9996363854234</v>
      </c>
      <c r="AY159" s="70">
        <f t="shared" ca="1" si="85"/>
        <v>7696.1262967494386</v>
      </c>
      <c r="AZ159" s="66">
        <f t="shared" ca="1" si="86"/>
        <v>658.95708178687619</v>
      </c>
      <c r="BA159" s="66">
        <f t="shared" ca="1" si="87"/>
        <v>902.73520731875044</v>
      </c>
      <c r="BB159" s="66">
        <f t="shared" ca="1" si="88"/>
        <v>67.667081074965466</v>
      </c>
      <c r="BC159" s="66">
        <f t="shared" ca="1" si="89"/>
        <v>162400.99457991711</v>
      </c>
      <c r="BD159" s="66">
        <f t="shared" ca="1" si="90"/>
        <v>0</v>
      </c>
      <c r="BE159" s="71">
        <f t="shared" ca="1" si="96"/>
        <v>162978.92779807604</v>
      </c>
      <c r="BF159" s="65">
        <f t="shared" ca="1" si="91"/>
        <v>392.46907023479969</v>
      </c>
      <c r="BG159" s="69">
        <f t="shared" ca="1" si="92"/>
        <v>0</v>
      </c>
      <c r="BH159" s="301">
        <f t="shared" ca="1" si="95"/>
        <v>0</v>
      </c>
      <c r="BI159" s="300">
        <f ca="1">IF(AO159&gt;TartamVálasztott,0,   (BI158+BH159)*(1+yields!$D$2)*(1-(0.0099/12)))</f>
        <v>521354.33206800808</v>
      </c>
      <c r="BJ159" s="300">
        <f ca="1">SUM(BH$6:BH159)*-1.2</f>
        <v>-496639.9069146695</v>
      </c>
      <c r="BK159" s="300">
        <f t="shared" ca="1" si="100"/>
        <v>24714.425153338583</v>
      </c>
      <c r="BL159" s="28">
        <f t="shared" ca="1" si="99"/>
        <v>2029</v>
      </c>
      <c r="BM159" s="28">
        <f t="shared" ca="1" si="97"/>
        <v>11</v>
      </c>
      <c r="BN159" s="236">
        <f t="shared" ca="1" si="98"/>
        <v>0</v>
      </c>
      <c r="BO159" s="236">
        <f t="shared" ca="1" si="93"/>
        <v>0</v>
      </c>
    </row>
    <row r="160" spans="41:67" x14ac:dyDescent="0.25">
      <c r="AO160" s="28">
        <f t="shared" si="76"/>
        <v>13</v>
      </c>
      <c r="AP160" s="28">
        <f t="shared" si="77"/>
        <v>11</v>
      </c>
      <c r="AQ160" s="65">
        <f t="shared" ca="1" si="94"/>
        <v>0</v>
      </c>
      <c r="AR160" s="66">
        <f t="shared" ca="1" si="78"/>
        <v>0</v>
      </c>
      <c r="AS160" s="66">
        <f t="shared" ca="1" si="79"/>
        <v>8805.5203894625665</v>
      </c>
      <c r="AT160" s="66">
        <f t="shared" ca="1" si="80"/>
        <v>2170134.1537520145</v>
      </c>
      <c r="AU160" s="66">
        <f t="shared" ca="1" si="81"/>
        <v>0</v>
      </c>
      <c r="AV160" s="68">
        <f t="shared" ca="1" si="82"/>
        <v>2164889.6628804472</v>
      </c>
      <c r="AW160" s="65">
        <f t="shared" ca="1" si="83"/>
        <v>5244.4908715673682</v>
      </c>
      <c r="AX160" s="69">
        <f t="shared" ca="1" si="84"/>
        <v>0</v>
      </c>
      <c r="AY160" s="70">
        <f t="shared" ca="1" si="85"/>
        <v>0</v>
      </c>
      <c r="AZ160" s="66">
        <f t="shared" ca="1" si="86"/>
        <v>663.99632597564937</v>
      </c>
      <c r="BA160" s="66">
        <f t="shared" ca="1" si="87"/>
        <v>904.22256406333941</v>
      </c>
      <c r="BB160" s="66">
        <f t="shared" ca="1" si="88"/>
        <v>68.184551718354882</v>
      </c>
      <c r="BC160" s="66">
        <f t="shared" ca="1" si="89"/>
        <v>163642.9241240517</v>
      </c>
      <c r="BD160" s="66">
        <f t="shared" ca="1" si="90"/>
        <v>0</v>
      </c>
      <c r="BE160" s="71">
        <f t="shared" ca="1" si="96"/>
        <v>164219.86083986692</v>
      </c>
      <c r="BF160" s="65">
        <f t="shared" ca="1" si="91"/>
        <v>395.47039996645827</v>
      </c>
      <c r="BG160" s="69">
        <f t="shared" ca="1" si="92"/>
        <v>0</v>
      </c>
      <c r="BH160" s="301">
        <f t="shared" ca="1" si="95"/>
        <v>0</v>
      </c>
      <c r="BI160" s="300">
        <f ca="1">IF(AO160&gt;TartamVálasztott,0,   (BI159+BH160)*(1+yields!$D$2)*(1-(0.0099/12)))</f>
        <v>523046.52447681903</v>
      </c>
      <c r="BJ160" s="300">
        <f ca="1">SUM(BH$6:BH160)*-1.2</f>
        <v>-496639.9069146695</v>
      </c>
      <c r="BK160" s="300">
        <f t="shared" ca="1" si="100"/>
        <v>26406.617562149535</v>
      </c>
      <c r="BL160" s="28">
        <f t="shared" ca="1" si="99"/>
        <v>2029</v>
      </c>
      <c r="BM160" s="28">
        <f t="shared" ca="1" si="97"/>
        <v>12</v>
      </c>
      <c r="BN160" s="236">
        <f t="shared" ca="1" si="98"/>
        <v>201733.32363694464</v>
      </c>
      <c r="BO160" s="236">
        <f t="shared" ca="1" si="93"/>
        <v>40346.664727388932</v>
      </c>
    </row>
    <row r="161" spans="41:67" x14ac:dyDescent="0.25">
      <c r="AO161" s="28">
        <f t="shared" si="76"/>
        <v>13</v>
      </c>
      <c r="AP161" s="28">
        <f t="shared" si="77"/>
        <v>12</v>
      </c>
      <c r="AQ161" s="65">
        <f t="shared" ca="1" si="94"/>
        <v>0</v>
      </c>
      <c r="AR161" s="66">
        <f t="shared" ca="1" si="78"/>
        <v>0</v>
      </c>
      <c r="AS161" s="66">
        <f t="shared" ca="1" si="79"/>
        <v>8820.0284645156953</v>
      </c>
      <c r="AT161" s="66">
        <f t="shared" ca="1" si="80"/>
        <v>2173709.6913449629</v>
      </c>
      <c r="AU161" s="66">
        <f t="shared" ca="1" si="81"/>
        <v>0</v>
      </c>
      <c r="AV161" s="68">
        <f t="shared" ca="1" si="82"/>
        <v>2168456.5595908794</v>
      </c>
      <c r="AW161" s="65">
        <f t="shared" ca="1" si="83"/>
        <v>5253.1317540836608</v>
      </c>
      <c r="AX161" s="69">
        <f t="shared" ca="1" si="84"/>
        <v>0</v>
      </c>
      <c r="AY161" s="70">
        <f t="shared" ca="1" si="85"/>
        <v>0</v>
      </c>
      <c r="AZ161" s="66">
        <f t="shared" ca="1" si="86"/>
        <v>669.05204079512464</v>
      </c>
      <c r="BA161" s="66">
        <f t="shared" ca="1" si="87"/>
        <v>905.71237139373466</v>
      </c>
      <c r="BB161" s="66">
        <f t="shared" ca="1" si="88"/>
        <v>68.703713700275856</v>
      </c>
      <c r="BC161" s="66">
        <f t="shared" ca="1" si="89"/>
        <v>164888.91288066204</v>
      </c>
      <c r="BD161" s="66">
        <f t="shared" ca="1" si="90"/>
        <v>0</v>
      </c>
      <c r="BE161" s="71">
        <f t="shared" ca="1" si="96"/>
        <v>165464.84742629447</v>
      </c>
      <c r="BF161" s="65">
        <f t="shared" ca="1" si="91"/>
        <v>398.48153946159994</v>
      </c>
      <c r="BG161" s="69">
        <f t="shared" ca="1" si="92"/>
        <v>0</v>
      </c>
      <c r="BH161" s="301">
        <f t="shared" ca="1" si="95"/>
        <v>0</v>
      </c>
      <c r="BI161" s="300">
        <f ca="1">IF(AO161&gt;TartamVálasztott,0,   (BI160+BH161)*(1+yields!$D$2)*(1-(0.0099/12)))</f>
        <v>524744.2093405159</v>
      </c>
      <c r="BJ161" s="300">
        <f ca="1">SUM(BH$6:BH161)*-1.2</f>
        <v>-496639.9069146695</v>
      </c>
      <c r="BK161" s="300">
        <f t="shared" ca="1" si="100"/>
        <v>28104.302425846399</v>
      </c>
      <c r="BL161" s="28">
        <f t="shared" ca="1" si="99"/>
        <v>2030</v>
      </c>
      <c r="BM161" s="28">
        <f t="shared" ca="1" si="97"/>
        <v>1</v>
      </c>
      <c r="BN161" s="236">
        <f t="shared" ca="1" si="98"/>
        <v>0</v>
      </c>
      <c r="BO161" s="236">
        <f t="shared" ca="1" si="93"/>
        <v>0</v>
      </c>
    </row>
    <row r="162" spans="41:67" x14ac:dyDescent="0.25">
      <c r="AO162" s="28">
        <f t="shared" si="76"/>
        <v>14</v>
      </c>
      <c r="AP162" s="28">
        <f t="shared" si="77"/>
        <v>1</v>
      </c>
      <c r="AQ162" s="65">
        <f t="shared" ca="1" si="94"/>
        <v>51694.164181967062</v>
      </c>
      <c r="AR162" s="66">
        <f t="shared" ca="1" si="78"/>
        <v>43940.039554672003</v>
      </c>
      <c r="AS162" s="66">
        <f t="shared" ca="1" si="79"/>
        <v>9013.5776034416231</v>
      </c>
      <c r="AT162" s="66">
        <f t="shared" ca="1" si="80"/>
        <v>2221410.1767489929</v>
      </c>
      <c r="AU162" s="66">
        <f t="shared" ca="1" si="81"/>
        <v>0</v>
      </c>
      <c r="AV162" s="68">
        <f t="shared" ca="1" si="82"/>
        <v>2216041.7688218495</v>
      </c>
      <c r="AW162" s="65">
        <f t="shared" ca="1" si="83"/>
        <v>5368.4079271433993</v>
      </c>
      <c r="AX162" s="69">
        <f t="shared" ca="1" si="84"/>
        <v>7754.1246272950593</v>
      </c>
      <c r="AY162" s="70">
        <f t="shared" ca="1" si="85"/>
        <v>8219.3721049327632</v>
      </c>
      <c r="AZ162" s="66">
        <f t="shared" ca="1" si="86"/>
        <v>707.61100963657475</v>
      </c>
      <c r="BA162" s="66">
        <f t="shared" ca="1" si="87"/>
        <v>925.58757364541373</v>
      </c>
      <c r="BB162" s="66">
        <f t="shared" ca="1" si="88"/>
        <v>72.663262725359914</v>
      </c>
      <c r="BC162" s="66">
        <f t="shared" ca="1" si="89"/>
        <v>174391.8305408638</v>
      </c>
      <c r="BD162" s="66">
        <f t="shared" ca="1" si="90"/>
        <v>0</v>
      </c>
      <c r="BE162" s="71">
        <f t="shared" ca="1" si="96"/>
        <v>174968.63445342748</v>
      </c>
      <c r="BF162" s="65">
        <f t="shared" ca="1" si="91"/>
        <v>421.44692380708756</v>
      </c>
      <c r="BG162" s="69">
        <f t="shared" ca="1" si="92"/>
        <v>0</v>
      </c>
      <c r="BH162" s="301">
        <f t="shared" ca="1" si="95"/>
        <v>0</v>
      </c>
      <c r="BI162" s="300">
        <f ca="1">IF(AO162&gt;TartamVálasztott,0,   (BI161+BH162)*(1+yields!$D$2)*(1-(0.0099/12)))</f>
        <v>526447.40448630345</v>
      </c>
      <c r="BJ162" s="300">
        <f ca="1">SUM(BH$6:BH162)*-1.2</f>
        <v>-496639.9069146695</v>
      </c>
      <c r="BK162" s="300">
        <f t="shared" ca="1" si="100"/>
        <v>29807.497571633954</v>
      </c>
      <c r="BL162" s="28">
        <f t="shared" ca="1" si="99"/>
        <v>2030</v>
      </c>
      <c r="BM162" s="28">
        <f t="shared" ca="1" si="97"/>
        <v>2</v>
      </c>
      <c r="BN162" s="236">
        <f t="shared" ca="1" si="98"/>
        <v>0</v>
      </c>
      <c r="BO162" s="236">
        <f t="shared" ca="1" si="93"/>
        <v>0</v>
      </c>
    </row>
    <row r="163" spans="41:67" x14ac:dyDescent="0.25">
      <c r="AO163" s="28">
        <f t="shared" si="76"/>
        <v>14</v>
      </c>
      <c r="AP163" s="28">
        <f t="shared" si="77"/>
        <v>2</v>
      </c>
      <c r="AQ163" s="65">
        <f t="shared" ca="1" si="94"/>
        <v>0</v>
      </c>
      <c r="AR163" s="66">
        <f t="shared" ca="1" si="78"/>
        <v>0</v>
      </c>
      <c r="AS163" s="66">
        <f t="shared" ca="1" si="79"/>
        <v>9028.4284759152633</v>
      </c>
      <c r="AT163" s="66">
        <f t="shared" ca="1" si="80"/>
        <v>2225070.1972977649</v>
      </c>
      <c r="AU163" s="66">
        <f t="shared" ca="1" si="81"/>
        <v>0</v>
      </c>
      <c r="AV163" s="68">
        <f t="shared" ca="1" si="82"/>
        <v>2219692.9443209618</v>
      </c>
      <c r="AW163" s="65">
        <f t="shared" ca="1" si="83"/>
        <v>5377.2529768029326</v>
      </c>
      <c r="AX163" s="69">
        <f t="shared" ca="1" si="84"/>
        <v>0</v>
      </c>
      <c r="AY163" s="70">
        <f t="shared" ca="1" si="85"/>
        <v>0</v>
      </c>
      <c r="AZ163" s="66">
        <f t="shared" ca="1" si="86"/>
        <v>712.84387501918366</v>
      </c>
      <c r="BA163" s="66">
        <f t="shared" ca="1" si="87"/>
        <v>927.11258220740217</v>
      </c>
      <c r="BB163" s="66">
        <f t="shared" ca="1" si="88"/>
        <v>73.200615970186107</v>
      </c>
      <c r="BC163" s="66">
        <f t="shared" ca="1" si="89"/>
        <v>175681.47832844665</v>
      </c>
      <c r="BD163" s="66">
        <f t="shared" ca="1" si="90"/>
        <v>0</v>
      </c>
      <c r="BE163" s="71">
        <f t="shared" ca="1" si="96"/>
        <v>176257.22795399715</v>
      </c>
      <c r="BF163" s="65">
        <f t="shared" ca="1" si="91"/>
        <v>424.56357262707945</v>
      </c>
      <c r="BG163" s="69">
        <f t="shared" ca="1" si="92"/>
        <v>0</v>
      </c>
      <c r="BH163" s="301">
        <f t="shared" ca="1" si="95"/>
        <v>0</v>
      </c>
      <c r="BI163" s="300">
        <f ca="1">IF(AO163&gt;TartamVálasztott,0,   (BI162+BH163)*(1+yields!$D$2)*(1-(0.0099/12)))</f>
        <v>528156.12779924949</v>
      </c>
      <c r="BJ163" s="300">
        <f ca="1">SUM(BH$6:BH163)*-1.2</f>
        <v>-496639.9069146695</v>
      </c>
      <c r="BK163" s="300">
        <f t="shared" ca="1" si="100"/>
        <v>31516.220884579991</v>
      </c>
      <c r="BL163" s="28">
        <f t="shared" ca="1" si="99"/>
        <v>2030</v>
      </c>
      <c r="BM163" s="28">
        <f t="shared" ca="1" si="97"/>
        <v>3</v>
      </c>
      <c r="BN163" s="236">
        <f t="shared" ca="1" si="98"/>
        <v>0</v>
      </c>
      <c r="BO163" s="236">
        <f t="shared" ca="1" si="93"/>
        <v>0</v>
      </c>
    </row>
    <row r="164" spans="41:67" x14ac:dyDescent="0.25">
      <c r="AO164" s="28">
        <f t="shared" si="76"/>
        <v>14</v>
      </c>
      <c r="AP164" s="28">
        <f t="shared" si="77"/>
        <v>3</v>
      </c>
      <c r="AQ164" s="65">
        <f t="shared" ca="1" si="94"/>
        <v>0</v>
      </c>
      <c r="AR164" s="66">
        <f t="shared" ca="1" si="78"/>
        <v>0</v>
      </c>
      <c r="AS164" s="66">
        <f t="shared" ca="1" si="79"/>
        <v>9043.3038168544717</v>
      </c>
      <c r="AT164" s="66">
        <f t="shared" ca="1" si="80"/>
        <v>2228736.2481378163</v>
      </c>
      <c r="AU164" s="66">
        <f t="shared" ca="1" si="81"/>
        <v>0</v>
      </c>
      <c r="AV164" s="68">
        <f t="shared" ca="1" si="82"/>
        <v>2223350.1355381501</v>
      </c>
      <c r="AW164" s="65">
        <f t="shared" ca="1" si="83"/>
        <v>5386.1125996663895</v>
      </c>
      <c r="AX164" s="69">
        <f t="shared" ca="1" si="84"/>
        <v>0</v>
      </c>
      <c r="AY164" s="70">
        <f t="shared" ca="1" si="85"/>
        <v>0</v>
      </c>
      <c r="AZ164" s="66">
        <f t="shared" ca="1" si="86"/>
        <v>718.09376444730924</v>
      </c>
      <c r="BA164" s="66">
        <f t="shared" ca="1" si="87"/>
        <v>928.64010339075685</v>
      </c>
      <c r="BB164" s="66">
        <f t="shared" ca="1" si="88"/>
        <v>73.7397173826852</v>
      </c>
      <c r="BC164" s="66">
        <f t="shared" ca="1" si="89"/>
        <v>176975.32171844447</v>
      </c>
      <c r="BD164" s="66">
        <f t="shared" ca="1" si="90"/>
        <v>0</v>
      </c>
      <c r="BE164" s="71">
        <f t="shared" ca="1" si="96"/>
        <v>177550.01117839833</v>
      </c>
      <c r="BF164" s="65">
        <f t="shared" ca="1" si="91"/>
        <v>427.69036081957415</v>
      </c>
      <c r="BG164" s="69">
        <f t="shared" ca="1" si="92"/>
        <v>0</v>
      </c>
      <c r="BH164" s="301">
        <f t="shared" ca="1" si="95"/>
        <v>0</v>
      </c>
      <c r="BI164" s="300">
        <f ca="1">IF(AO164&gt;TartamVálasztott,0,   (BI163+BH164)*(1+yields!$D$2)*(1-(0.0099/12)))</f>
        <v>529870.39722247224</v>
      </c>
      <c r="BJ164" s="300">
        <f ca="1">SUM(BH$6:BH164)*-1.2</f>
        <v>-496639.9069146695</v>
      </c>
      <c r="BK164" s="300">
        <f t="shared" ca="1" si="100"/>
        <v>33230.490307802742</v>
      </c>
      <c r="BL164" s="28">
        <f t="shared" ca="1" si="99"/>
        <v>2030</v>
      </c>
      <c r="BM164" s="28">
        <f t="shared" ca="1" si="97"/>
        <v>4</v>
      </c>
      <c r="BN164" s="236">
        <f t="shared" ca="1" si="98"/>
        <v>0</v>
      </c>
      <c r="BO164" s="236">
        <f t="shared" ca="1" si="93"/>
        <v>0</v>
      </c>
    </row>
    <row r="165" spans="41:67" x14ac:dyDescent="0.25">
      <c r="AO165" s="28">
        <f t="shared" si="76"/>
        <v>14</v>
      </c>
      <c r="AP165" s="28">
        <f t="shared" si="77"/>
        <v>4</v>
      </c>
      <c r="AQ165" s="65">
        <f t="shared" ca="1" si="94"/>
        <v>51694.164181967062</v>
      </c>
      <c r="AR165" s="66">
        <f t="shared" ca="1" si="78"/>
        <v>43940.039554672003</v>
      </c>
      <c r="AS165" s="66">
        <f t="shared" ca="1" si="79"/>
        <v>9237.220826777906</v>
      </c>
      <c r="AT165" s="66">
        <f t="shared" ca="1" si="80"/>
        <v>2276527.3959196</v>
      </c>
      <c r="AU165" s="66">
        <f t="shared" ca="1" si="81"/>
        <v>0</v>
      </c>
      <c r="AV165" s="68">
        <f t="shared" ca="1" si="82"/>
        <v>2271025.7880461277</v>
      </c>
      <c r="AW165" s="65">
        <f t="shared" ca="1" si="83"/>
        <v>5501.6078734723669</v>
      </c>
      <c r="AX165" s="69">
        <f t="shared" ca="1" si="84"/>
        <v>7754.1246272950593</v>
      </c>
      <c r="AY165" s="70">
        <f t="shared" ca="1" si="85"/>
        <v>8219.3721049327632</v>
      </c>
      <c r="AZ165" s="66">
        <f t="shared" ca="1" si="86"/>
        <v>756.84746270830601</v>
      </c>
      <c r="BA165" s="66">
        <f t="shared" ca="1" si="87"/>
        <v>948.5530816331667</v>
      </c>
      <c r="BB165" s="66">
        <f t="shared" ca="1" si="88"/>
        <v>77.719262810849756</v>
      </c>
      <c r="BC165" s="66">
        <f t="shared" ca="1" si="89"/>
        <v>186526.23074603939</v>
      </c>
      <c r="BD165" s="66">
        <f t="shared" ca="1" si="90"/>
        <v>0</v>
      </c>
      <c r="BE165" s="71">
        <f t="shared" ca="1" si="96"/>
        <v>187101.73136618047</v>
      </c>
      <c r="BF165" s="65">
        <f t="shared" ca="1" si="91"/>
        <v>450.77172430292853</v>
      </c>
      <c r="BG165" s="69">
        <f t="shared" ca="1" si="92"/>
        <v>0</v>
      </c>
      <c r="BH165" s="301">
        <f t="shared" ca="1" si="95"/>
        <v>0</v>
      </c>
      <c r="BI165" s="300">
        <f ca="1">IF(AO165&gt;TartamVálasztott,0,   (BI164+BH165)*(1+yields!$D$2)*(1-(0.0099/12)))</f>
        <v>531590.23075732915</v>
      </c>
      <c r="BJ165" s="300">
        <f ca="1">SUM(BH$6:BH165)*-1.2</f>
        <v>-496639.9069146695</v>
      </c>
      <c r="BK165" s="300">
        <f t="shared" ca="1" si="100"/>
        <v>34950.323842659651</v>
      </c>
      <c r="BL165" s="28">
        <f t="shared" ca="1" si="99"/>
        <v>2030</v>
      </c>
      <c r="BM165" s="28">
        <f t="shared" ca="1" si="97"/>
        <v>5</v>
      </c>
      <c r="BN165" s="236">
        <f t="shared" ca="1" si="98"/>
        <v>0</v>
      </c>
      <c r="BO165" s="236">
        <f t="shared" ca="1" si="93"/>
        <v>0</v>
      </c>
    </row>
    <row r="166" spans="41:67" x14ac:dyDescent="0.25">
      <c r="AO166" s="28">
        <f t="shared" si="76"/>
        <v>14</v>
      </c>
      <c r="AP166" s="28">
        <f t="shared" si="77"/>
        <v>5</v>
      </c>
      <c r="AQ166" s="65">
        <f t="shared" ca="1" si="94"/>
        <v>0</v>
      </c>
      <c r="AR166" s="66">
        <f t="shared" ca="1" si="78"/>
        <v>0</v>
      </c>
      <c r="AS166" s="66">
        <f t="shared" ca="1" si="79"/>
        <v>9252.4401763574733</v>
      </c>
      <c r="AT166" s="66">
        <f t="shared" ca="1" si="80"/>
        <v>2280278.2282224852</v>
      </c>
      <c r="AU166" s="66">
        <f t="shared" ca="1" si="81"/>
        <v>0</v>
      </c>
      <c r="AV166" s="68">
        <f t="shared" ca="1" si="82"/>
        <v>2274767.555837614</v>
      </c>
      <c r="AW166" s="65">
        <f t="shared" ca="1" si="83"/>
        <v>5510.6723848710062</v>
      </c>
      <c r="AX166" s="69">
        <f t="shared" ca="1" si="84"/>
        <v>0</v>
      </c>
      <c r="AY166" s="70">
        <f t="shared" ca="1" si="85"/>
        <v>0</v>
      </c>
      <c r="AZ166" s="66">
        <f t="shared" ca="1" si="86"/>
        <v>762.27561372074092</v>
      </c>
      <c r="BA166" s="66">
        <f t="shared" ca="1" si="87"/>
        <v>950.11592842603557</v>
      </c>
      <c r="BB166" s="66">
        <f t="shared" ca="1" si="88"/>
        <v>78.276669574958831</v>
      </c>
      <c r="BC166" s="66">
        <f t="shared" ca="1" si="89"/>
        <v>187864.0069799012</v>
      </c>
      <c r="BD166" s="66">
        <f t="shared" ca="1" si="90"/>
        <v>0</v>
      </c>
      <c r="BE166" s="71">
        <f t="shared" ca="1" si="96"/>
        <v>188438.39489436743</v>
      </c>
      <c r="BF166" s="65">
        <f t="shared" ca="1" si="91"/>
        <v>454.00468353476123</v>
      </c>
      <c r="BG166" s="69">
        <f t="shared" ca="1" si="92"/>
        <v>0</v>
      </c>
      <c r="BH166" s="301">
        <f t="shared" ca="1" si="95"/>
        <v>40346.664727388932</v>
      </c>
      <c r="BI166" s="300">
        <f ca="1">IF(AO166&gt;TartamVálasztott,0,   (BI165+BH166)*(1+yields!$D$2)*(1-(0.0099/12)))</f>
        <v>573793.26688767376</v>
      </c>
      <c r="BJ166" s="300">
        <f ca="1">SUM(BH$6:BH166)*-1.2</f>
        <v>-545055.90458753624</v>
      </c>
      <c r="BK166" s="300">
        <f t="shared" ca="1" si="100"/>
        <v>28737.362300137524</v>
      </c>
      <c r="BL166" s="28">
        <f t="shared" ca="1" si="99"/>
        <v>2030</v>
      </c>
      <c r="BM166" s="28">
        <f t="shared" ca="1" si="97"/>
        <v>6</v>
      </c>
      <c r="BN166" s="236">
        <f t="shared" ca="1" si="98"/>
        <v>0</v>
      </c>
      <c r="BO166" s="236">
        <f t="shared" ca="1" si="93"/>
        <v>0</v>
      </c>
    </row>
    <row r="167" spans="41:67" x14ac:dyDescent="0.25">
      <c r="AO167" s="28">
        <f t="shared" si="76"/>
        <v>14</v>
      </c>
      <c r="AP167" s="28">
        <f t="shared" si="77"/>
        <v>6</v>
      </c>
      <c r="AQ167" s="65">
        <f t="shared" ca="1" si="94"/>
        <v>0</v>
      </c>
      <c r="AR167" s="66">
        <f t="shared" ca="1" si="78"/>
        <v>0</v>
      </c>
      <c r="AS167" s="66">
        <f t="shared" ca="1" si="79"/>
        <v>9267.684601509658</v>
      </c>
      <c r="AT167" s="66">
        <f t="shared" ca="1" si="80"/>
        <v>2284035.2404391235</v>
      </c>
      <c r="AU167" s="66">
        <f t="shared" ca="1" si="81"/>
        <v>0</v>
      </c>
      <c r="AV167" s="68">
        <f t="shared" ca="1" si="82"/>
        <v>2278515.4886080623</v>
      </c>
      <c r="AW167" s="65">
        <f t="shared" ca="1" si="83"/>
        <v>5519.7518310612149</v>
      </c>
      <c r="AX167" s="69">
        <f t="shared" ca="1" si="84"/>
        <v>0</v>
      </c>
      <c r="AY167" s="70">
        <f t="shared" ca="1" si="85"/>
        <v>0</v>
      </c>
      <c r="AZ167" s="66">
        <f t="shared" ca="1" si="86"/>
        <v>767.72134639166279</v>
      </c>
      <c r="BA167" s="66">
        <f t="shared" ca="1" si="87"/>
        <v>951.68135018296823</v>
      </c>
      <c r="BB167" s="66">
        <f t="shared" ca="1" si="88"/>
        <v>78.835881766982965</v>
      </c>
      <c r="BC167" s="66">
        <f t="shared" ca="1" si="89"/>
        <v>189206.11624075909</v>
      </c>
      <c r="BD167" s="66">
        <f t="shared" ca="1" si="90"/>
        <v>0</v>
      </c>
      <c r="BE167" s="71">
        <f t="shared" ca="1" si="96"/>
        <v>189779.38535846054</v>
      </c>
      <c r="BF167" s="65">
        <f t="shared" ca="1" si="91"/>
        <v>457.24811424850117</v>
      </c>
      <c r="BG167" s="69">
        <f t="shared" ca="1" si="92"/>
        <v>0</v>
      </c>
      <c r="BH167" s="301">
        <f t="shared" ca="1" si="95"/>
        <v>0</v>
      </c>
      <c r="BI167" s="300">
        <f ca="1">IF(AO167&gt;TartamVálasztott,0,   (BI166+BH167)*(1+yields!$D$2)*(1-(0.0099/12)))</f>
        <v>575655.66363155947</v>
      </c>
      <c r="BJ167" s="300">
        <f ca="1">SUM(BH$6:BH167)*-1.2</f>
        <v>-545055.90458753624</v>
      </c>
      <c r="BK167" s="300">
        <f t="shared" ca="1" si="100"/>
        <v>30599.759044023231</v>
      </c>
      <c r="BL167" s="28">
        <f t="shared" ca="1" si="99"/>
        <v>2030</v>
      </c>
      <c r="BM167" s="28">
        <f t="shared" ca="1" si="97"/>
        <v>7</v>
      </c>
      <c r="BN167" s="236">
        <f t="shared" ca="1" si="98"/>
        <v>0</v>
      </c>
      <c r="BO167" s="236">
        <f t="shared" ca="1" si="93"/>
        <v>0</v>
      </c>
    </row>
    <row r="168" spans="41:67" x14ac:dyDescent="0.25">
      <c r="AO168" s="28">
        <f t="shared" si="76"/>
        <v>14</v>
      </c>
      <c r="AP168" s="28">
        <f t="shared" si="77"/>
        <v>7</v>
      </c>
      <c r="AQ168" s="65">
        <f t="shared" ca="1" si="94"/>
        <v>51694.164181967062</v>
      </c>
      <c r="AR168" s="66">
        <f t="shared" ca="1" si="78"/>
        <v>43940.039554672003</v>
      </c>
      <c r="AS168" s="66">
        <f t="shared" ca="1" si="79"/>
        <v>9461.9713037533929</v>
      </c>
      <c r="AT168" s="66">
        <f t="shared" ca="1" si="80"/>
        <v>2331917.4994664877</v>
      </c>
      <c r="AU168" s="66">
        <f t="shared" ca="1" si="81"/>
        <v>0</v>
      </c>
      <c r="AV168" s="68">
        <f t="shared" ca="1" si="82"/>
        <v>2326282.0321761104</v>
      </c>
      <c r="AW168" s="65">
        <f t="shared" ca="1" si="83"/>
        <v>5635.4672903773453</v>
      </c>
      <c r="AX168" s="69">
        <f t="shared" ca="1" si="84"/>
        <v>7754.1246272950593</v>
      </c>
      <c r="AY168" s="70">
        <f t="shared" ca="1" si="85"/>
        <v>8219.3721049327632</v>
      </c>
      <c r="AZ168" s="66">
        <f t="shared" ca="1" si="86"/>
        <v>806.67144691443252</v>
      </c>
      <c r="BA168" s="66">
        <f t="shared" ca="1" si="87"/>
        <v>971.63229144436991</v>
      </c>
      <c r="BB168" s="66">
        <f t="shared" ca="1" si="88"/>
        <v>82.835595379294887</v>
      </c>
      <c r="BC168" s="66">
        <f t="shared" ca="1" si="89"/>
        <v>198805.42891030773</v>
      </c>
      <c r="BD168" s="66">
        <f t="shared" ca="1" si="90"/>
        <v>0</v>
      </c>
      <c r="BE168" s="71">
        <f t="shared" ca="1" si="96"/>
        <v>199379.4503439315</v>
      </c>
      <c r="BF168" s="65">
        <f t="shared" ca="1" si="91"/>
        <v>480.44645319991037</v>
      </c>
      <c r="BG168" s="69">
        <f t="shared" ca="1" si="92"/>
        <v>0</v>
      </c>
      <c r="BH168" s="301">
        <f t="shared" ca="1" si="95"/>
        <v>0</v>
      </c>
      <c r="BI168" s="300">
        <f ca="1">IF(AO168&gt;TartamVálasztott,0,   (BI167+BH168)*(1+yields!$D$2)*(1-(0.0099/12)))</f>
        <v>577524.1052732016</v>
      </c>
      <c r="BJ168" s="300">
        <f ca="1">SUM(BH$6:BH168)*-1.2</f>
        <v>-545055.90458753624</v>
      </c>
      <c r="BK168" s="300">
        <f t="shared" ca="1" si="100"/>
        <v>32468.200685665361</v>
      </c>
      <c r="BL168" s="28">
        <f t="shared" ca="1" si="99"/>
        <v>2030</v>
      </c>
      <c r="BM168" s="28">
        <f t="shared" ca="1" si="97"/>
        <v>8</v>
      </c>
      <c r="BN168" s="236">
        <f t="shared" ca="1" si="98"/>
        <v>0</v>
      </c>
      <c r="BO168" s="236">
        <f t="shared" ca="1" si="93"/>
        <v>0</v>
      </c>
    </row>
    <row r="169" spans="41:67" x14ac:dyDescent="0.25">
      <c r="AO169" s="28">
        <f t="shared" si="76"/>
        <v>14</v>
      </c>
      <c r="AP169" s="28">
        <f t="shared" si="77"/>
        <v>8</v>
      </c>
      <c r="AQ169" s="65">
        <f t="shared" ca="1" si="94"/>
        <v>0</v>
      </c>
      <c r="AR169" s="66">
        <f t="shared" ca="1" si="78"/>
        <v>0</v>
      </c>
      <c r="AS169" s="66">
        <f t="shared" ca="1" si="79"/>
        <v>9477.5609547625154</v>
      </c>
      <c r="AT169" s="66">
        <f t="shared" ca="1" si="80"/>
        <v>2335759.5931308731</v>
      </c>
      <c r="AU169" s="66">
        <f t="shared" ca="1" si="81"/>
        <v>0</v>
      </c>
      <c r="AV169" s="68">
        <f t="shared" ca="1" si="82"/>
        <v>2330114.8407808067</v>
      </c>
      <c r="AW169" s="65">
        <f t="shared" ca="1" si="83"/>
        <v>5644.7523500662764</v>
      </c>
      <c r="AX169" s="69">
        <f t="shared" ca="1" si="84"/>
        <v>0</v>
      </c>
      <c r="AY169" s="70">
        <f t="shared" ca="1" si="85"/>
        <v>0</v>
      </c>
      <c r="AZ169" s="66">
        <f t="shared" ca="1" si="86"/>
        <v>812.2965606169472</v>
      </c>
      <c r="BA169" s="66">
        <f t="shared" ca="1" si="87"/>
        <v>973.23316380453048</v>
      </c>
      <c r="BB169" s="66">
        <f t="shared" ca="1" si="88"/>
        <v>83.413227876895192</v>
      </c>
      <c r="BC169" s="66">
        <f t="shared" ca="1" si="89"/>
        <v>200191.74690454846</v>
      </c>
      <c r="BD169" s="66">
        <f t="shared" ca="1" si="90"/>
        <v>0</v>
      </c>
      <c r="BE169" s="71">
        <f t="shared" ca="1" si="96"/>
        <v>200764.59657454389</v>
      </c>
      <c r="BF169" s="65">
        <f t="shared" ca="1" si="91"/>
        <v>483.79672168599217</v>
      </c>
      <c r="BG169" s="69">
        <f t="shared" ca="1" si="92"/>
        <v>0</v>
      </c>
      <c r="BH169" s="301">
        <f t="shared" ca="1" si="95"/>
        <v>0</v>
      </c>
      <c r="BI169" s="300">
        <f ca="1">IF(AO169&gt;TartamVálasztott,0,   (BI168+BH169)*(1+yields!$D$2)*(1-(0.0099/12)))</f>
        <v>579398.61143290333</v>
      </c>
      <c r="BJ169" s="300">
        <f ca="1">SUM(BH$6:BH169)*-1.2</f>
        <v>-545055.90458753624</v>
      </c>
      <c r="BK169" s="300">
        <f t="shared" ca="1" si="100"/>
        <v>34342.706845367095</v>
      </c>
      <c r="BL169" s="28">
        <f t="shared" ca="1" si="99"/>
        <v>2030</v>
      </c>
      <c r="BM169" s="28">
        <f t="shared" ca="1" si="97"/>
        <v>9</v>
      </c>
      <c r="BN169" s="236">
        <f t="shared" ca="1" si="98"/>
        <v>0</v>
      </c>
      <c r="BO169" s="236">
        <f t="shared" ca="1" si="93"/>
        <v>0</v>
      </c>
    </row>
    <row r="170" spans="41:67" x14ac:dyDescent="0.25">
      <c r="AO170" s="28">
        <f t="shared" si="76"/>
        <v>14</v>
      </c>
      <c r="AP170" s="28">
        <f t="shared" si="77"/>
        <v>9</v>
      </c>
      <c r="AQ170" s="65">
        <f t="shared" ca="1" si="94"/>
        <v>0</v>
      </c>
      <c r="AR170" s="66">
        <f t="shared" ca="1" si="78"/>
        <v>0</v>
      </c>
      <c r="AS170" s="66">
        <f t="shared" ca="1" si="79"/>
        <v>9493.1762914570809</v>
      </c>
      <c r="AT170" s="66">
        <f t="shared" ca="1" si="80"/>
        <v>2339608.0170722636</v>
      </c>
      <c r="AU170" s="66">
        <f t="shared" ca="1" si="81"/>
        <v>0</v>
      </c>
      <c r="AV170" s="68">
        <f t="shared" ca="1" si="82"/>
        <v>2333953.9643643391</v>
      </c>
      <c r="AW170" s="65">
        <f t="shared" ca="1" si="83"/>
        <v>5654.0527079246376</v>
      </c>
      <c r="AX170" s="69">
        <f t="shared" ca="1" si="84"/>
        <v>0</v>
      </c>
      <c r="AY170" s="70">
        <f t="shared" ca="1" si="85"/>
        <v>0</v>
      </c>
      <c r="AZ170" s="66">
        <f t="shared" ca="1" si="86"/>
        <v>817.93981781891603</v>
      </c>
      <c r="BA170" s="66">
        <f t="shared" ca="1" si="87"/>
        <v>974.83667378010989</v>
      </c>
      <c r="BB170" s="66">
        <f t="shared" ca="1" si="88"/>
        <v>83.992723496817845</v>
      </c>
      <c r="BC170" s="66">
        <f t="shared" ca="1" si="89"/>
        <v>201582.53639236282</v>
      </c>
      <c r="BD170" s="66">
        <f t="shared" ca="1" si="90"/>
        <v>0</v>
      </c>
      <c r="BE170" s="71">
        <f t="shared" ca="1" si="96"/>
        <v>202154.2079933582</v>
      </c>
      <c r="BF170" s="65">
        <f t="shared" ca="1" si="91"/>
        <v>487.15779628154348</v>
      </c>
      <c r="BG170" s="69">
        <f t="shared" ca="1" si="92"/>
        <v>0</v>
      </c>
      <c r="BH170" s="301">
        <f t="shared" ca="1" si="95"/>
        <v>0</v>
      </c>
      <c r="BI170" s="300">
        <f ca="1">IF(AO170&gt;TartamVálasztott,0,   (BI169+BH170)*(1+yields!$D$2)*(1-(0.0099/12)))</f>
        <v>581279.20179465075</v>
      </c>
      <c r="BJ170" s="300">
        <f ca="1">SUM(BH$6:BH170)*-1.2</f>
        <v>-545055.90458753624</v>
      </c>
      <c r="BK170" s="300">
        <f t="shared" ca="1" si="100"/>
        <v>36223.29720711452</v>
      </c>
      <c r="BL170" s="28">
        <f t="shared" ca="1" si="99"/>
        <v>2030</v>
      </c>
      <c r="BM170" s="28">
        <f t="shared" ca="1" si="97"/>
        <v>10</v>
      </c>
      <c r="BN170" s="236">
        <f t="shared" ca="1" si="98"/>
        <v>0</v>
      </c>
      <c r="BO170" s="236">
        <f t="shared" ca="1" si="93"/>
        <v>0</v>
      </c>
    </row>
    <row r="171" spans="41:67" x14ac:dyDescent="0.25">
      <c r="AO171" s="28">
        <f t="shared" si="76"/>
        <v>14</v>
      </c>
      <c r="AP171" s="28">
        <f t="shared" si="77"/>
        <v>10</v>
      </c>
      <c r="AQ171" s="65">
        <f t="shared" ca="1" si="94"/>
        <v>51694.164181967062</v>
      </c>
      <c r="AR171" s="66">
        <f t="shared" ca="1" si="78"/>
        <v>43940.039554672003</v>
      </c>
      <c r="AS171" s="66">
        <f t="shared" ca="1" si="79"/>
        <v>9687.8345163612539</v>
      </c>
      <c r="AT171" s="66">
        <f t="shared" ca="1" si="80"/>
        <v>2387581.8384353723</v>
      </c>
      <c r="AU171" s="66">
        <f t="shared" ca="1" si="81"/>
        <v>0</v>
      </c>
      <c r="AV171" s="68">
        <f t="shared" ca="1" si="82"/>
        <v>2381811.848992487</v>
      </c>
      <c r="AW171" s="65">
        <f t="shared" ca="1" si="83"/>
        <v>5769.9894428854832</v>
      </c>
      <c r="AX171" s="69">
        <f t="shared" ca="1" si="84"/>
        <v>7754.1246272950593</v>
      </c>
      <c r="AY171" s="70">
        <f t="shared" ca="1" si="85"/>
        <v>8219.3721049327632</v>
      </c>
      <c r="AZ171" s="66">
        <f t="shared" ca="1" si="86"/>
        <v>857.08800612969912</v>
      </c>
      <c r="BA171" s="66">
        <f t="shared" ca="1" si="87"/>
        <v>994.82576601473852</v>
      </c>
      <c r="BB171" s="66">
        <f t="shared" ca="1" si="88"/>
        <v>88.012778376841936</v>
      </c>
      <c r="BC171" s="66">
        <f t="shared" ca="1" si="89"/>
        <v>211230.66810442065</v>
      </c>
      <c r="BD171" s="66">
        <f t="shared" ca="1" si="90"/>
        <v>0</v>
      </c>
      <c r="BE171" s="71">
        <f t="shared" ca="1" si="96"/>
        <v>211803.03253422654</v>
      </c>
      <c r="BF171" s="65">
        <f t="shared" ca="1" si="91"/>
        <v>510.47411458568325</v>
      </c>
      <c r="BG171" s="69">
        <f t="shared" ca="1" si="92"/>
        <v>0</v>
      </c>
      <c r="BH171" s="301">
        <f t="shared" ca="1" si="95"/>
        <v>0</v>
      </c>
      <c r="BI171" s="300">
        <f ca="1">IF(AO171&gt;TartamVálasztott,0,   (BI170+BH171)*(1+yields!$D$2)*(1-(0.0099/12)))</f>
        <v>583165.89610631962</v>
      </c>
      <c r="BJ171" s="300">
        <f ca="1">SUM(BH$6:BH171)*-1.2</f>
        <v>-545055.90458753624</v>
      </c>
      <c r="BK171" s="300">
        <f t="shared" ca="1" si="100"/>
        <v>38109.991518783383</v>
      </c>
      <c r="BL171" s="28">
        <f t="shared" ca="1" si="99"/>
        <v>2030</v>
      </c>
      <c r="BM171" s="28">
        <f t="shared" ca="1" si="97"/>
        <v>11</v>
      </c>
      <c r="BN171" s="236">
        <f t="shared" ca="1" si="98"/>
        <v>0</v>
      </c>
      <c r="BO171" s="236">
        <f t="shared" ca="1" si="93"/>
        <v>0</v>
      </c>
    </row>
    <row r="172" spans="41:67" x14ac:dyDescent="0.25">
      <c r="AO172" s="28">
        <f t="shared" si="76"/>
        <v>14</v>
      </c>
      <c r="AP172" s="28">
        <f t="shared" si="77"/>
        <v>11</v>
      </c>
      <c r="AQ172" s="65">
        <f t="shared" ca="1" si="94"/>
        <v>0</v>
      </c>
      <c r="AR172" s="66">
        <f t="shared" ca="1" si="78"/>
        <v>0</v>
      </c>
      <c r="AS172" s="66">
        <f t="shared" ca="1" si="79"/>
        <v>9703.7963021557516</v>
      </c>
      <c r="AT172" s="66">
        <f t="shared" ca="1" si="80"/>
        <v>2391515.6452946425</v>
      </c>
      <c r="AU172" s="66">
        <f t="shared" ca="1" si="81"/>
        <v>0</v>
      </c>
      <c r="AV172" s="68">
        <f t="shared" ca="1" si="82"/>
        <v>2385736.1491518472</v>
      </c>
      <c r="AW172" s="65">
        <f t="shared" ca="1" si="83"/>
        <v>5779.4961427953867</v>
      </c>
      <c r="AX172" s="69">
        <f t="shared" ca="1" si="84"/>
        <v>0</v>
      </c>
      <c r="AY172" s="70">
        <f t="shared" ca="1" si="85"/>
        <v>0</v>
      </c>
      <c r="AZ172" s="66">
        <f t="shared" ca="1" si="86"/>
        <v>862.9117722965384</v>
      </c>
      <c r="BA172" s="66">
        <f t="shared" ca="1" si="87"/>
        <v>996.46485220610111</v>
      </c>
      <c r="BB172" s="66">
        <f t="shared" ca="1" si="88"/>
        <v>88.610810127717954</v>
      </c>
      <c r="BC172" s="66">
        <f t="shared" ca="1" si="89"/>
        <v>212665.94430652307</v>
      </c>
      <c r="BD172" s="66">
        <f t="shared" ca="1" si="90"/>
        <v>0</v>
      </c>
      <c r="BE172" s="71">
        <f t="shared" ca="1" si="96"/>
        <v>213237.07727011613</v>
      </c>
      <c r="BF172" s="65">
        <f t="shared" ca="1" si="91"/>
        <v>513.94269874076417</v>
      </c>
      <c r="BG172" s="69">
        <f t="shared" ca="1" si="92"/>
        <v>0</v>
      </c>
      <c r="BH172" s="301">
        <f t="shared" ca="1" si="95"/>
        <v>0</v>
      </c>
      <c r="BI172" s="300">
        <f ca="1">IF(AO172&gt;TartamVálasztott,0,   (BI171+BH172)*(1+yields!$D$2)*(1-(0.0099/12)))</f>
        <v>585058.71417988243</v>
      </c>
      <c r="BJ172" s="300">
        <f ca="1">SUM(BH$6:BH172)*-1.2</f>
        <v>-545055.90458753624</v>
      </c>
      <c r="BK172" s="300">
        <f t="shared" ca="1" si="100"/>
        <v>40002.809592346195</v>
      </c>
      <c r="BL172" s="28">
        <f t="shared" ca="1" si="99"/>
        <v>2030</v>
      </c>
      <c r="BM172" s="28">
        <f t="shared" ca="1" si="97"/>
        <v>12</v>
      </c>
      <c r="BN172" s="236">
        <f t="shared" ca="1" si="98"/>
        <v>206776.65672786825</v>
      </c>
      <c r="BO172" s="236">
        <f t="shared" ca="1" si="93"/>
        <v>41355.33134557365</v>
      </c>
    </row>
    <row r="173" spans="41:67" x14ac:dyDescent="0.25">
      <c r="AO173" s="28">
        <f t="shared" si="76"/>
        <v>14</v>
      </c>
      <c r="AP173" s="28">
        <f t="shared" si="77"/>
        <v>12</v>
      </c>
      <c r="AQ173" s="65">
        <f t="shared" ca="1" si="94"/>
        <v>0</v>
      </c>
      <c r="AR173" s="66">
        <f t="shared" ca="1" si="78"/>
        <v>0</v>
      </c>
      <c r="AS173" s="66">
        <f t="shared" ca="1" si="79"/>
        <v>9719.7843867691772</v>
      </c>
      <c r="AT173" s="66">
        <f t="shared" ca="1" si="80"/>
        <v>2395455.9335386166</v>
      </c>
      <c r="AU173" s="66">
        <f t="shared" ca="1" si="81"/>
        <v>0</v>
      </c>
      <c r="AV173" s="68">
        <f t="shared" ca="1" si="82"/>
        <v>2389666.9150325651</v>
      </c>
      <c r="AW173" s="65">
        <f t="shared" ca="1" si="83"/>
        <v>5789.0185060516569</v>
      </c>
      <c r="AX173" s="69">
        <f t="shared" ca="1" si="84"/>
        <v>0</v>
      </c>
      <c r="AY173" s="70">
        <f t="shared" ca="1" si="85"/>
        <v>0</v>
      </c>
      <c r="AZ173" s="66">
        <f t="shared" ca="1" si="86"/>
        <v>868.75424806184185</v>
      </c>
      <c r="BA173" s="66">
        <f t="shared" ca="1" si="87"/>
        <v>998.10663897442362</v>
      </c>
      <c r="BB173" s="66">
        <f t="shared" ca="1" si="88"/>
        <v>89.210763132574158</v>
      </c>
      <c r="BC173" s="66">
        <f t="shared" ca="1" si="89"/>
        <v>214105.83151817796</v>
      </c>
      <c r="BD173" s="66">
        <f t="shared" ca="1" si="90"/>
        <v>0</v>
      </c>
      <c r="BE173" s="71">
        <f t="shared" ca="1" si="96"/>
        <v>214675.72649411604</v>
      </c>
      <c r="BF173" s="65">
        <f t="shared" ca="1" si="91"/>
        <v>517.42242616893009</v>
      </c>
      <c r="BG173" s="69">
        <f t="shared" ca="1" si="92"/>
        <v>0</v>
      </c>
      <c r="BH173" s="301">
        <f t="shared" ca="1" si="95"/>
        <v>0</v>
      </c>
      <c r="BI173" s="300">
        <f ca="1">IF(AO173&gt;TartamVálasztott,0,   (BI172+BH173)*(1+yields!$D$2)*(1-(0.0099/12)))</f>
        <v>586957.67589161673</v>
      </c>
      <c r="BJ173" s="300">
        <f ca="1">SUM(BH$6:BH173)*-1.2</f>
        <v>-545055.90458753624</v>
      </c>
      <c r="BK173" s="300">
        <f t="shared" ca="1" si="100"/>
        <v>41901.771304080496</v>
      </c>
      <c r="BL173" s="28">
        <f t="shared" ca="1" si="99"/>
        <v>2031</v>
      </c>
      <c r="BM173" s="28">
        <f t="shared" ca="1" si="97"/>
        <v>1</v>
      </c>
      <c r="BN173" s="236">
        <f t="shared" ca="1" si="98"/>
        <v>0</v>
      </c>
      <c r="BO173" s="236">
        <f t="shared" ca="1" si="93"/>
        <v>0</v>
      </c>
    </row>
    <row r="174" spans="41:67" x14ac:dyDescent="0.25">
      <c r="AO174" s="28">
        <f t="shared" si="76"/>
        <v>15</v>
      </c>
      <c r="AP174" s="28">
        <f t="shared" si="77"/>
        <v>1</v>
      </c>
      <c r="AQ174" s="65">
        <f t="shared" ca="1" si="94"/>
        <v>52986.518286516228</v>
      </c>
      <c r="AR174" s="66">
        <f t="shared" ca="1" si="78"/>
        <v>45038.540543538795</v>
      </c>
      <c r="AS174" s="66">
        <f t="shared" ca="1" si="79"/>
        <v>9919.2914027410061</v>
      </c>
      <c r="AT174" s="66">
        <f t="shared" ca="1" si="80"/>
        <v>2444624.746978845</v>
      </c>
      <c r="AU174" s="66">
        <f t="shared" ca="1" si="81"/>
        <v>0</v>
      </c>
      <c r="AV174" s="68">
        <f t="shared" ca="1" si="82"/>
        <v>2438716.9038403127</v>
      </c>
      <c r="AW174" s="65">
        <f t="shared" ca="1" si="83"/>
        <v>5907.8431385322092</v>
      </c>
      <c r="AX174" s="69">
        <f t="shared" ca="1" si="84"/>
        <v>7947.977742977434</v>
      </c>
      <c r="AY174" s="70">
        <f t="shared" ca="1" si="85"/>
        <v>8763.9701245897832</v>
      </c>
      <c r="AZ174" s="66">
        <f t="shared" ca="1" si="86"/>
        <v>910.32098220544196</v>
      </c>
      <c r="BA174" s="66">
        <f t="shared" ca="1" si="87"/>
        <v>1018.5936445745189</v>
      </c>
      <c r="BB174" s="66">
        <f t="shared" ca="1" si="88"/>
        <v>93.4791740003797</v>
      </c>
      <c r="BC174" s="66">
        <f t="shared" ca="1" si="89"/>
        <v>224350.01760091126</v>
      </c>
      <c r="BD174" s="66">
        <f t="shared" ca="1" si="90"/>
        <v>0</v>
      </c>
      <c r="BE174" s="71">
        <f t="shared" ca="1" si="96"/>
        <v>224919.91121028396</v>
      </c>
      <c r="BF174" s="65">
        <f t="shared" ca="1" si="91"/>
        <v>542.17920920220229</v>
      </c>
      <c r="BG174" s="69">
        <f t="shared" ca="1" si="92"/>
        <v>0</v>
      </c>
      <c r="BH174" s="301">
        <f t="shared" ca="1" si="95"/>
        <v>0</v>
      </c>
      <c r="BI174" s="300">
        <f ca="1">IF(AO174&gt;TartamVálasztott,0,   (BI173+BH174)*(1+yields!$D$2)*(1-(0.0099/12)))</f>
        <v>588862.80118231359</v>
      </c>
      <c r="BJ174" s="300">
        <f ca="1">SUM(BH$6:BH174)*-1.2</f>
        <v>-545055.90458753624</v>
      </c>
      <c r="BK174" s="300">
        <f t="shared" ca="1" si="100"/>
        <v>43806.896594777354</v>
      </c>
      <c r="BL174" s="28">
        <f t="shared" ca="1" si="99"/>
        <v>2031</v>
      </c>
      <c r="BM174" s="28">
        <f t="shared" ca="1" si="97"/>
        <v>2</v>
      </c>
      <c r="BN174" s="236">
        <f t="shared" ca="1" si="98"/>
        <v>0</v>
      </c>
      <c r="BO174" s="236">
        <f t="shared" ca="1" si="93"/>
        <v>0</v>
      </c>
    </row>
    <row r="175" spans="41:67" x14ac:dyDescent="0.25">
      <c r="AO175" s="28">
        <f t="shared" si="76"/>
        <v>15</v>
      </c>
      <c r="AP175" s="28">
        <f t="shared" si="77"/>
        <v>2</v>
      </c>
      <c r="AQ175" s="65">
        <f t="shared" ca="1" si="94"/>
        <v>0</v>
      </c>
      <c r="AR175" s="66">
        <f t="shared" ca="1" si="78"/>
        <v>0</v>
      </c>
      <c r="AS175" s="66">
        <f t="shared" ca="1" si="79"/>
        <v>9935.6345395210919</v>
      </c>
      <c r="AT175" s="66">
        <f t="shared" ca="1" si="80"/>
        <v>2448652.538379834</v>
      </c>
      <c r="AU175" s="66">
        <f t="shared" ca="1" si="81"/>
        <v>0</v>
      </c>
      <c r="AV175" s="68">
        <f t="shared" ca="1" si="82"/>
        <v>2442734.9614120829</v>
      </c>
      <c r="AW175" s="65">
        <f t="shared" ca="1" si="83"/>
        <v>5917.5769677512662</v>
      </c>
      <c r="AX175" s="69">
        <f t="shared" ca="1" si="84"/>
        <v>0</v>
      </c>
      <c r="AY175" s="70">
        <f t="shared" ca="1" si="85"/>
        <v>0</v>
      </c>
      <c r="AZ175" s="66">
        <f t="shared" ca="1" si="86"/>
        <v>916.35155967789376</v>
      </c>
      <c r="BA175" s="66">
        <f t="shared" ca="1" si="87"/>
        <v>1020.2718909915976</v>
      </c>
      <c r="BB175" s="66">
        <f t="shared" ca="1" si="88"/>
        <v>94.098442820817439</v>
      </c>
      <c r="BC175" s="66">
        <f t="shared" ca="1" si="89"/>
        <v>225836.26276996185</v>
      </c>
      <c r="BD175" s="66">
        <f t="shared" ca="1" si="90"/>
        <v>0</v>
      </c>
      <c r="BE175" s="71">
        <f t="shared" ca="1" si="96"/>
        <v>226404.86213541351</v>
      </c>
      <c r="BF175" s="65">
        <f t="shared" ca="1" si="91"/>
        <v>545.77096836074111</v>
      </c>
      <c r="BG175" s="69">
        <f t="shared" ca="1" si="92"/>
        <v>0</v>
      </c>
      <c r="BH175" s="301">
        <f t="shared" ca="1" si="95"/>
        <v>0</v>
      </c>
      <c r="BI175" s="300">
        <f ca="1">IF(AO175&gt;TartamVálasztott,0,   (BI174+BH175)*(1+yields!$D$2)*(1-(0.0099/12)))</f>
        <v>590774.11005748739</v>
      </c>
      <c r="BJ175" s="300">
        <f ca="1">SUM(BH$6:BH175)*-1.2</f>
        <v>-545055.90458753624</v>
      </c>
      <c r="BK175" s="300">
        <f t="shared" ca="1" si="100"/>
        <v>45718.20546995115</v>
      </c>
      <c r="BL175" s="28">
        <f t="shared" ca="1" si="99"/>
        <v>2031</v>
      </c>
      <c r="BM175" s="28">
        <f t="shared" ca="1" si="97"/>
        <v>3</v>
      </c>
      <c r="BN175" s="236">
        <f t="shared" ca="1" si="98"/>
        <v>0</v>
      </c>
      <c r="BO175" s="236">
        <f t="shared" ca="1" si="93"/>
        <v>0</v>
      </c>
    </row>
    <row r="176" spans="41:67" x14ac:dyDescent="0.25">
      <c r="AO176" s="28">
        <f t="shared" si="76"/>
        <v>15</v>
      </c>
      <c r="AP176" s="28">
        <f t="shared" si="77"/>
        <v>3</v>
      </c>
      <c r="AQ176" s="65">
        <f t="shared" ca="1" si="94"/>
        <v>0</v>
      </c>
      <c r="AR176" s="66">
        <f t="shared" ca="1" si="78"/>
        <v>0</v>
      </c>
      <c r="AS176" s="66">
        <f t="shared" ca="1" si="79"/>
        <v>9952.0046034383104</v>
      </c>
      <c r="AT176" s="66">
        <f t="shared" ca="1" si="80"/>
        <v>2452686.966015521</v>
      </c>
      <c r="AU176" s="66">
        <f t="shared" ca="1" si="81"/>
        <v>0</v>
      </c>
      <c r="AV176" s="68">
        <f t="shared" ca="1" si="82"/>
        <v>2446759.6391809834</v>
      </c>
      <c r="AW176" s="65">
        <f t="shared" ca="1" si="83"/>
        <v>5927.3268345375091</v>
      </c>
      <c r="AX176" s="69">
        <f t="shared" ca="1" si="84"/>
        <v>0</v>
      </c>
      <c r="AY176" s="70">
        <f t="shared" ca="1" si="85"/>
        <v>0</v>
      </c>
      <c r="AZ176" s="66">
        <f t="shared" ca="1" si="86"/>
        <v>922.40143355951477</v>
      </c>
      <c r="BA176" s="66">
        <f t="shared" ca="1" si="87"/>
        <v>1021.9529025064671</v>
      </c>
      <c r="BB176" s="66">
        <f t="shared" ca="1" si="88"/>
        <v>94.71969315373876</v>
      </c>
      <c r="BC176" s="66">
        <f t="shared" ca="1" si="89"/>
        <v>227327.26356897302</v>
      </c>
      <c r="BD176" s="66">
        <f t="shared" ca="1" si="90"/>
        <v>0</v>
      </c>
      <c r="BE176" s="71">
        <f t="shared" ca="1" si="96"/>
        <v>227894.56194434155</v>
      </c>
      <c r="BF176" s="65">
        <f t="shared" ca="1" si="91"/>
        <v>549.37422029168488</v>
      </c>
      <c r="BG176" s="69">
        <f t="shared" ca="1" si="92"/>
        <v>0</v>
      </c>
      <c r="BH176" s="301">
        <f t="shared" ca="1" si="95"/>
        <v>0</v>
      </c>
      <c r="BI176" s="300">
        <f ca="1">IF(AO176&gt;TartamVálasztott,0,   (BI175+BH176)*(1+yields!$D$2)*(1-(0.0099/12)))</f>
        <v>592691.62258758559</v>
      </c>
      <c r="BJ176" s="300">
        <f ca="1">SUM(BH$6:BH176)*-1.2</f>
        <v>-545055.90458753624</v>
      </c>
      <c r="BK176" s="300">
        <f t="shared" ca="1" si="100"/>
        <v>47635.718000049354</v>
      </c>
      <c r="BL176" s="28">
        <f t="shared" ca="1" si="99"/>
        <v>2031</v>
      </c>
      <c r="BM176" s="28">
        <f t="shared" ca="1" si="97"/>
        <v>4</v>
      </c>
      <c r="BN176" s="236">
        <f t="shared" ca="1" si="98"/>
        <v>0</v>
      </c>
      <c r="BO176" s="236">
        <f t="shared" ca="1" si="93"/>
        <v>0</v>
      </c>
    </row>
    <row r="177" spans="41:67" x14ac:dyDescent="0.25">
      <c r="AO177" s="28">
        <f t="shared" si="76"/>
        <v>15</v>
      </c>
      <c r="AP177" s="28">
        <f t="shared" si="77"/>
        <v>4</v>
      </c>
      <c r="AQ177" s="65">
        <f t="shared" ca="1" si="94"/>
        <v>52986.518286516228</v>
      </c>
      <c r="AR177" s="66">
        <f t="shared" ca="1" si="78"/>
        <v>45038.540543538795</v>
      </c>
      <c r="AS177" s="66">
        <f t="shared" ca="1" si="79"/>
        <v>10151.894228067351</v>
      </c>
      <c r="AT177" s="66">
        <f t="shared" ca="1" si="80"/>
        <v>2501950.0739525896</v>
      </c>
      <c r="AU177" s="66">
        <f t="shared" ca="1" si="81"/>
        <v>0</v>
      </c>
      <c r="AV177" s="68">
        <f t="shared" ca="1" si="82"/>
        <v>2495903.6946072043</v>
      </c>
      <c r="AW177" s="65">
        <f t="shared" ca="1" si="83"/>
        <v>6046.379345385425</v>
      </c>
      <c r="AX177" s="69">
        <f t="shared" ca="1" si="84"/>
        <v>7947.977742977434</v>
      </c>
      <c r="AY177" s="70">
        <f t="shared" ca="1" si="85"/>
        <v>8763.9701245897832</v>
      </c>
      <c r="AZ177" s="66">
        <f t="shared" ca="1" si="86"/>
        <v>964.17615410533972</v>
      </c>
      <c r="BA177" s="66">
        <f t="shared" ca="1" si="87"/>
        <v>1042.4791974802458</v>
      </c>
      <c r="BB177" s="66">
        <f t="shared" ca="1" si="88"/>
        <v>99.009461759598622</v>
      </c>
      <c r="BC177" s="66">
        <f t="shared" ca="1" si="89"/>
        <v>237622.70822303667</v>
      </c>
      <c r="BD177" s="66">
        <f t="shared" ca="1" si="90"/>
        <v>0</v>
      </c>
      <c r="BE177" s="71">
        <f t="shared" ca="1" si="96"/>
        <v>238189.94200407082</v>
      </c>
      <c r="BF177" s="65">
        <f t="shared" ca="1" si="91"/>
        <v>574.25487820567196</v>
      </c>
      <c r="BG177" s="69">
        <f t="shared" ca="1" si="92"/>
        <v>0</v>
      </c>
      <c r="BH177" s="301">
        <f t="shared" ca="1" si="95"/>
        <v>0</v>
      </c>
      <c r="BI177" s="300">
        <f ca="1">IF(AO177&gt;TartamVálasztott,0,   (BI176+BH177)*(1+yields!$D$2)*(1-(0.0099/12)))</f>
        <v>594615.35890819947</v>
      </c>
      <c r="BJ177" s="300">
        <f ca="1">SUM(BH$6:BH177)*-1.2</f>
        <v>-545055.90458753624</v>
      </c>
      <c r="BK177" s="300">
        <f t="shared" ca="1" si="100"/>
        <v>49559.454320663237</v>
      </c>
      <c r="BL177" s="28">
        <f t="shared" ca="1" si="99"/>
        <v>2031</v>
      </c>
      <c r="BM177" s="28">
        <f t="shared" ca="1" si="97"/>
        <v>5</v>
      </c>
      <c r="BN177" s="236">
        <f t="shared" ca="1" si="98"/>
        <v>0</v>
      </c>
      <c r="BO177" s="236">
        <f t="shared" ca="1" si="93"/>
        <v>0</v>
      </c>
    </row>
    <row r="178" spans="41:67" x14ac:dyDescent="0.25">
      <c r="AO178" s="28">
        <f t="shared" si="76"/>
        <v>15</v>
      </c>
      <c r="AP178" s="28">
        <f t="shared" si="77"/>
        <v>5</v>
      </c>
      <c r="AQ178" s="65">
        <f t="shared" ca="1" si="94"/>
        <v>0</v>
      </c>
      <c r="AR178" s="66">
        <f t="shared" ca="1" si="78"/>
        <v>0</v>
      </c>
      <c r="AS178" s="66">
        <f t="shared" ca="1" si="79"/>
        <v>10168.620603895008</v>
      </c>
      <c r="AT178" s="66">
        <f t="shared" ca="1" si="80"/>
        <v>2506072.3152110991</v>
      </c>
      <c r="AU178" s="66">
        <f t="shared" ca="1" si="81"/>
        <v>0</v>
      </c>
      <c r="AV178" s="68">
        <f t="shared" ca="1" si="82"/>
        <v>2500015.9737826721</v>
      </c>
      <c r="AW178" s="65">
        <f t="shared" ca="1" si="83"/>
        <v>6056.3414284268229</v>
      </c>
      <c r="AX178" s="69">
        <f t="shared" ca="1" si="84"/>
        <v>0</v>
      </c>
      <c r="AY178" s="70">
        <f t="shared" ca="1" si="85"/>
        <v>0</v>
      </c>
      <c r="AZ178" s="66">
        <f t="shared" ca="1" si="86"/>
        <v>970.41530774460693</v>
      </c>
      <c r="BA178" s="66">
        <f t="shared" ca="1" si="87"/>
        <v>1044.1967980046247</v>
      </c>
      <c r="BB178" s="66">
        <f t="shared" ca="1" si="88"/>
        <v>99.650148879923108</v>
      </c>
      <c r="BC178" s="66">
        <f t="shared" ca="1" si="89"/>
        <v>239160.35731181543</v>
      </c>
      <c r="BD178" s="66">
        <f t="shared" ca="1" si="90"/>
        <v>0</v>
      </c>
      <c r="BE178" s="71">
        <f t="shared" ca="1" si="96"/>
        <v>239726.23339519644</v>
      </c>
      <c r="BF178" s="65">
        <f t="shared" ca="1" si="91"/>
        <v>577.97086350355403</v>
      </c>
      <c r="BG178" s="69">
        <f t="shared" ca="1" si="92"/>
        <v>0</v>
      </c>
      <c r="BH178" s="301">
        <f t="shared" ca="1" si="95"/>
        <v>41355.33134557365</v>
      </c>
      <c r="BI178" s="300">
        <f ca="1">IF(AO178&gt;TartamVálasztott,0,   (BI177+BH178)*(1+yields!$D$2)*(1-(0.0099/12)))</f>
        <v>638034.90015494509</v>
      </c>
      <c r="BJ178" s="300">
        <f ca="1">SUM(BH$6:BH178)*-1.2</f>
        <v>-594682.30220222462</v>
      </c>
      <c r="BK178" s="300">
        <f t="shared" ca="1" si="100"/>
        <v>43352.597952720476</v>
      </c>
      <c r="BL178" s="28">
        <f t="shared" ca="1" si="99"/>
        <v>2031</v>
      </c>
      <c r="BM178" s="28">
        <f t="shared" ca="1" si="97"/>
        <v>6</v>
      </c>
      <c r="BN178" s="236">
        <f t="shared" ca="1" si="98"/>
        <v>0</v>
      </c>
      <c r="BO178" s="236">
        <f t="shared" ca="1" si="93"/>
        <v>0</v>
      </c>
    </row>
    <row r="179" spans="41:67" x14ac:dyDescent="0.25">
      <c r="AO179" s="28">
        <f t="shared" si="76"/>
        <v>15</v>
      </c>
      <c r="AP179" s="28">
        <f t="shared" si="77"/>
        <v>6</v>
      </c>
      <c r="AQ179" s="65">
        <f t="shared" ca="1" si="94"/>
        <v>0</v>
      </c>
      <c r="AR179" s="66">
        <f t="shared" ca="1" si="78"/>
        <v>0</v>
      </c>
      <c r="AS179" s="66">
        <f t="shared" ca="1" si="79"/>
        <v>10185.374538288783</v>
      </c>
      <c r="AT179" s="66">
        <f t="shared" ca="1" si="80"/>
        <v>2510201.348320961</v>
      </c>
      <c r="AU179" s="66">
        <f t="shared" ca="1" si="81"/>
        <v>0</v>
      </c>
      <c r="AV179" s="68">
        <f t="shared" ca="1" si="82"/>
        <v>2504135.0283958521</v>
      </c>
      <c r="AW179" s="65">
        <f t="shared" ca="1" si="83"/>
        <v>6066.3199251089891</v>
      </c>
      <c r="AX179" s="69">
        <f t="shared" ca="1" si="84"/>
        <v>0</v>
      </c>
      <c r="AY179" s="70">
        <f t="shared" ca="1" si="85"/>
        <v>0</v>
      </c>
      <c r="AZ179" s="66">
        <f t="shared" ca="1" si="86"/>
        <v>976.67434903980597</v>
      </c>
      <c r="BA179" s="66">
        <f t="shared" ca="1" si="87"/>
        <v>1045.9172284670672</v>
      </c>
      <c r="BB179" s="66">
        <f t="shared" ca="1" si="88"/>
        <v>100.2928782267651</v>
      </c>
      <c r="BC179" s="66">
        <f t="shared" ca="1" si="89"/>
        <v>240702.90774423623</v>
      </c>
      <c r="BD179" s="66">
        <f t="shared" ca="1" si="90"/>
        <v>0</v>
      </c>
      <c r="BE179" s="71">
        <f t="shared" ca="1" si="96"/>
        <v>241267.41915721481</v>
      </c>
      <c r="BF179" s="65">
        <f t="shared" ca="1" si="91"/>
        <v>581.6986937152376</v>
      </c>
      <c r="BG179" s="69">
        <f t="shared" ca="1" si="92"/>
        <v>0</v>
      </c>
      <c r="BH179" s="301">
        <f t="shared" ca="1" si="95"/>
        <v>0</v>
      </c>
      <c r="BI179" s="300">
        <f ca="1">IF(AO179&gt;TartamVálasztott,0,   (BI178+BH179)*(1+yields!$D$2)*(1-(0.0099/12)))</f>
        <v>640105.80999147799</v>
      </c>
      <c r="BJ179" s="300">
        <f ca="1">SUM(BH$6:BH179)*-1.2</f>
        <v>-594682.30220222462</v>
      </c>
      <c r="BK179" s="300">
        <f t="shared" ca="1" si="100"/>
        <v>45423.507789253374</v>
      </c>
      <c r="BL179" s="28">
        <f t="shared" ca="1" si="99"/>
        <v>2031</v>
      </c>
      <c r="BM179" s="28">
        <f t="shared" ca="1" si="97"/>
        <v>7</v>
      </c>
      <c r="BN179" s="236">
        <f t="shared" ca="1" si="98"/>
        <v>0</v>
      </c>
      <c r="BO179" s="236">
        <f t="shared" ca="1" si="93"/>
        <v>0</v>
      </c>
    </row>
    <row r="180" spans="41:67" x14ac:dyDescent="0.25">
      <c r="AO180" s="28">
        <f t="shared" si="76"/>
        <v>15</v>
      </c>
      <c r="AP180" s="28">
        <f t="shared" si="77"/>
        <v>7</v>
      </c>
      <c r="AQ180" s="65">
        <f t="shared" ca="1" si="94"/>
        <v>52986.518286516228</v>
      </c>
      <c r="AR180" s="66">
        <f t="shared" ca="1" si="78"/>
        <v>45038.540543538795</v>
      </c>
      <c r="AS180" s="66">
        <f t="shared" ca="1" si="79"/>
        <v>10385.64866586373</v>
      </c>
      <c r="AT180" s="66">
        <f t="shared" ca="1" si="80"/>
        <v>2559559.2176052546</v>
      </c>
      <c r="AU180" s="66">
        <f t="shared" ca="1" si="81"/>
        <v>0</v>
      </c>
      <c r="AV180" s="68">
        <f t="shared" ca="1" si="82"/>
        <v>2553373.6161627085</v>
      </c>
      <c r="AW180" s="65">
        <f t="shared" ca="1" si="83"/>
        <v>6185.6014425460326</v>
      </c>
      <c r="AX180" s="69">
        <f t="shared" ca="1" si="84"/>
        <v>7947.977742977434</v>
      </c>
      <c r="AY180" s="70">
        <f t="shared" ca="1" si="85"/>
        <v>8763.9701245897832</v>
      </c>
      <c r="AZ180" s="66">
        <f t="shared" ca="1" si="86"/>
        <v>1018.65882973164</v>
      </c>
      <c r="BA180" s="66">
        <f t="shared" ca="1" si="87"/>
        <v>1066.4830073355229</v>
      </c>
      <c r="BB180" s="66">
        <f t="shared" ca="1" si="88"/>
        <v>104.60418671314009</v>
      </c>
      <c r="BC180" s="66">
        <f t="shared" ca="1" si="89"/>
        <v>251050.04811153622</v>
      </c>
      <c r="BD180" s="66">
        <f t="shared" ca="1" si="90"/>
        <v>0</v>
      </c>
      <c r="BE180" s="71">
        <f t="shared" ca="1" si="96"/>
        <v>251614.43102264867</v>
      </c>
      <c r="BF180" s="65">
        <f t="shared" ca="1" si="91"/>
        <v>606.70428293621251</v>
      </c>
      <c r="BG180" s="69">
        <f t="shared" ca="1" si="92"/>
        <v>0</v>
      </c>
      <c r="BH180" s="301">
        <f t="shared" ca="1" si="95"/>
        <v>0</v>
      </c>
      <c r="BI180" s="300">
        <f ca="1">IF(AO180&gt;TartamVálasztott,0,   (BI179+BH180)*(1+yields!$D$2)*(1-(0.0099/12)))</f>
        <v>642183.44150977163</v>
      </c>
      <c r="BJ180" s="300">
        <f ca="1">SUM(BH$6:BH180)*-1.2</f>
        <v>-594682.30220222462</v>
      </c>
      <c r="BK180" s="300">
        <f t="shared" ca="1" si="100"/>
        <v>47501.139307547011</v>
      </c>
      <c r="BL180" s="28">
        <f t="shared" ca="1" si="99"/>
        <v>2031</v>
      </c>
      <c r="BM180" s="28">
        <f t="shared" ca="1" si="97"/>
        <v>8</v>
      </c>
      <c r="BN180" s="236">
        <f t="shared" ca="1" si="98"/>
        <v>0</v>
      </c>
      <c r="BO180" s="236">
        <f t="shared" ca="1" si="93"/>
        <v>0</v>
      </c>
    </row>
    <row r="181" spans="41:67" x14ac:dyDescent="0.25">
      <c r="AO181" s="28">
        <f t="shared" si="76"/>
        <v>15</v>
      </c>
      <c r="AP181" s="28">
        <f t="shared" si="77"/>
        <v>8</v>
      </c>
      <c r="AQ181" s="65">
        <f t="shared" ca="1" si="94"/>
        <v>0</v>
      </c>
      <c r="AR181" s="66">
        <f t="shared" ca="1" si="78"/>
        <v>0</v>
      </c>
      <c r="AS181" s="66">
        <f t="shared" ca="1" si="79"/>
        <v>10402.760178148692</v>
      </c>
      <c r="AT181" s="66">
        <f t="shared" ca="1" si="80"/>
        <v>2563776.3763408572</v>
      </c>
      <c r="AU181" s="66">
        <f t="shared" ca="1" si="81"/>
        <v>0</v>
      </c>
      <c r="AV181" s="68">
        <f t="shared" ca="1" si="82"/>
        <v>2557580.5834313668</v>
      </c>
      <c r="AW181" s="65">
        <f t="shared" ca="1" si="83"/>
        <v>6195.7929094904057</v>
      </c>
      <c r="AX181" s="69">
        <f t="shared" ca="1" si="84"/>
        <v>0</v>
      </c>
      <c r="AY181" s="70">
        <f t="shared" ca="1" si="85"/>
        <v>0</v>
      </c>
      <c r="AZ181" s="66">
        <f t="shared" ca="1" si="86"/>
        <v>1025.108337738521</v>
      </c>
      <c r="BA181" s="66">
        <f t="shared" ca="1" si="87"/>
        <v>1068.2401568086907</v>
      </c>
      <c r="BB181" s="66">
        <f t="shared" ca="1" si="88"/>
        <v>105.26647473349468</v>
      </c>
      <c r="BC181" s="66">
        <f t="shared" ca="1" si="89"/>
        <v>252639.53936038719</v>
      </c>
      <c r="BD181" s="66">
        <f t="shared" ca="1" si="90"/>
        <v>0</v>
      </c>
      <c r="BE181" s="71">
        <f t="shared" ca="1" si="96"/>
        <v>253202.50043847511</v>
      </c>
      <c r="BF181" s="65">
        <f t="shared" ca="1" si="91"/>
        <v>610.54555345426911</v>
      </c>
      <c r="BG181" s="69">
        <f t="shared" ca="1" si="92"/>
        <v>0</v>
      </c>
      <c r="BH181" s="301">
        <f t="shared" ca="1" si="95"/>
        <v>0</v>
      </c>
      <c r="BI181" s="300">
        <f ca="1">IF(AO181&gt;TartamVálasztott,0,   (BI180+BH181)*(1+yields!$D$2)*(1-(0.0099/12)))</f>
        <v>644267.81652680936</v>
      </c>
      <c r="BJ181" s="300">
        <f ca="1">SUM(BH$6:BH181)*-1.2</f>
        <v>-594682.30220222462</v>
      </c>
      <c r="BK181" s="300">
        <f t="shared" ca="1" si="100"/>
        <v>49585.514324584743</v>
      </c>
      <c r="BL181" s="28">
        <f t="shared" ca="1" si="99"/>
        <v>2031</v>
      </c>
      <c r="BM181" s="28">
        <f t="shared" ca="1" si="97"/>
        <v>9</v>
      </c>
      <c r="BN181" s="236">
        <f t="shared" ca="1" si="98"/>
        <v>0</v>
      </c>
      <c r="BO181" s="236">
        <f t="shared" ca="1" si="93"/>
        <v>0</v>
      </c>
    </row>
    <row r="182" spans="41:67" x14ac:dyDescent="0.25">
      <c r="AO182" s="28">
        <f t="shared" si="76"/>
        <v>15</v>
      </c>
      <c r="AP182" s="28">
        <f t="shared" si="77"/>
        <v>9</v>
      </c>
      <c r="AQ182" s="65">
        <f t="shared" ca="1" si="94"/>
        <v>0</v>
      </c>
      <c r="AR182" s="66">
        <f t="shared" ca="1" si="78"/>
        <v>0</v>
      </c>
      <c r="AS182" s="66">
        <f t="shared" ca="1" si="79"/>
        <v>10419.899883554963</v>
      </c>
      <c r="AT182" s="66">
        <f t="shared" ca="1" si="80"/>
        <v>2568000.4833149216</v>
      </c>
      <c r="AU182" s="66">
        <f t="shared" ca="1" si="81"/>
        <v>0</v>
      </c>
      <c r="AV182" s="68">
        <f t="shared" ca="1" si="82"/>
        <v>2561794.4821469104</v>
      </c>
      <c r="AW182" s="65">
        <f t="shared" ca="1" si="83"/>
        <v>6206.0011680110611</v>
      </c>
      <c r="AX182" s="69">
        <f t="shared" ca="1" si="84"/>
        <v>0</v>
      </c>
      <c r="AY182" s="70">
        <f t="shared" ca="1" si="85"/>
        <v>0</v>
      </c>
      <c r="AZ182" s="66">
        <f t="shared" ca="1" si="86"/>
        <v>1031.578329115624</v>
      </c>
      <c r="BA182" s="66">
        <f t="shared" ca="1" si="87"/>
        <v>1070.0002013812175</v>
      </c>
      <c r="BB182" s="66">
        <f t="shared" ca="1" si="88"/>
        <v>105.93086615316281</v>
      </c>
      <c r="BC182" s="66">
        <f t="shared" ca="1" si="89"/>
        <v>254234.07876759072</v>
      </c>
      <c r="BD182" s="66">
        <f t="shared" ca="1" si="90"/>
        <v>0</v>
      </c>
      <c r="BE182" s="71">
        <f t="shared" ca="1" si="96"/>
        <v>254795.61081143675</v>
      </c>
      <c r="BF182" s="65">
        <f t="shared" ca="1" si="91"/>
        <v>614.3990236883443</v>
      </c>
      <c r="BG182" s="69">
        <f t="shared" ca="1" si="92"/>
        <v>0</v>
      </c>
      <c r="BH182" s="301">
        <f t="shared" ca="1" si="95"/>
        <v>0</v>
      </c>
      <c r="BI182" s="300">
        <f ca="1">IF(AO182&gt;TartamVálasztott,0,   (BI181+BH182)*(1+yields!$D$2)*(1-(0.0099/12)))</f>
        <v>646358.95693038753</v>
      </c>
      <c r="BJ182" s="300">
        <f ca="1">SUM(BH$6:BH182)*-1.2</f>
        <v>-594682.30220222462</v>
      </c>
      <c r="BK182" s="300">
        <f t="shared" ca="1" si="100"/>
        <v>51676.654728162917</v>
      </c>
      <c r="BL182" s="28">
        <f t="shared" ca="1" si="99"/>
        <v>2031</v>
      </c>
      <c r="BM182" s="28">
        <f t="shared" ca="1" si="97"/>
        <v>10</v>
      </c>
      <c r="BN182" s="236">
        <f t="shared" ca="1" si="98"/>
        <v>0</v>
      </c>
      <c r="BO182" s="236">
        <f t="shared" ca="1" si="93"/>
        <v>0</v>
      </c>
    </row>
    <row r="183" spans="41:67" x14ac:dyDescent="0.25">
      <c r="AO183" s="28">
        <f t="shared" si="76"/>
        <v>15</v>
      </c>
      <c r="AP183" s="28">
        <f t="shared" si="77"/>
        <v>10</v>
      </c>
      <c r="AQ183" s="65">
        <f t="shared" ca="1" si="94"/>
        <v>52986.518286516228</v>
      </c>
      <c r="AR183" s="66">
        <f t="shared" ca="1" si="78"/>
        <v>45038.540543538795</v>
      </c>
      <c r="AS183" s="66">
        <f t="shared" ca="1" si="79"/>
        <v>10620.560417743087</v>
      </c>
      <c r="AT183" s="66">
        <f t="shared" ca="1" si="80"/>
        <v>2617453.5831081923</v>
      </c>
      <c r="AU183" s="66">
        <f t="shared" ca="1" si="81"/>
        <v>0</v>
      </c>
      <c r="AV183" s="68">
        <f t="shared" ca="1" si="82"/>
        <v>2611128.0702823475</v>
      </c>
      <c r="AW183" s="65">
        <f t="shared" ca="1" si="83"/>
        <v>6325.5128258447985</v>
      </c>
      <c r="AX183" s="69">
        <f t="shared" ca="1" si="84"/>
        <v>7947.977742977434</v>
      </c>
      <c r="AY183" s="70">
        <f t="shared" ca="1" si="85"/>
        <v>8763.9701245897832</v>
      </c>
      <c r="AZ183" s="66">
        <f t="shared" ca="1" si="86"/>
        <v>1073.7743570998589</v>
      </c>
      <c r="BA183" s="66">
        <f t="shared" ca="1" si="87"/>
        <v>1090.6056596284136</v>
      </c>
      <c r="BB183" s="66">
        <f t="shared" ca="1" si="88"/>
        <v>110.26389803880267</v>
      </c>
      <c r="BC183" s="66">
        <f t="shared" ca="1" si="89"/>
        <v>264633.35529312637</v>
      </c>
      <c r="BD183" s="66">
        <f t="shared" ca="1" si="90"/>
        <v>0</v>
      </c>
      <c r="BE183" s="71">
        <f t="shared" ca="1" si="96"/>
        <v>265194.69424216857</v>
      </c>
      <c r="BF183" s="65">
        <f t="shared" ca="1" si="91"/>
        <v>639.53060862505538</v>
      </c>
      <c r="BG183" s="69">
        <f t="shared" ca="1" si="92"/>
        <v>0</v>
      </c>
      <c r="BH183" s="301">
        <f t="shared" ca="1" si="95"/>
        <v>0</v>
      </c>
      <c r="BI183" s="300">
        <f ca="1">IF(AO183&gt;TartamVálasztott,0,   (BI182+BH183)*(1+yields!$D$2)*(1-(0.0099/12)))</f>
        <v>648456.88467934483</v>
      </c>
      <c r="BJ183" s="300">
        <f ca="1">SUM(BH$6:BH183)*-1.2</f>
        <v>-594682.30220222462</v>
      </c>
      <c r="BK183" s="300">
        <f t="shared" ca="1" si="100"/>
        <v>53774.582477120217</v>
      </c>
      <c r="BL183" s="28">
        <f t="shared" ca="1" si="99"/>
        <v>2031</v>
      </c>
      <c r="BM183" s="28">
        <f t="shared" ca="1" si="97"/>
        <v>11</v>
      </c>
      <c r="BN183" s="236">
        <f t="shared" ca="1" si="98"/>
        <v>0</v>
      </c>
      <c r="BO183" s="236">
        <f t="shared" ca="1" si="93"/>
        <v>0</v>
      </c>
    </row>
    <row r="184" spans="41:67" x14ac:dyDescent="0.25">
      <c r="AO184" s="28">
        <f t="shared" si="76"/>
        <v>15</v>
      </c>
      <c r="AP184" s="28">
        <f t="shared" si="77"/>
        <v>11</v>
      </c>
      <c r="AQ184" s="65">
        <f t="shared" ca="1" si="94"/>
        <v>0</v>
      </c>
      <c r="AR184" s="66">
        <f t="shared" ca="1" si="78"/>
        <v>0</v>
      </c>
      <c r="AS184" s="66">
        <f t="shared" ca="1" si="79"/>
        <v>10638.058973289142</v>
      </c>
      <c r="AT184" s="66">
        <f t="shared" ca="1" si="80"/>
        <v>2621766.1292556366</v>
      </c>
      <c r="AU184" s="66">
        <f t="shared" ca="1" si="81"/>
        <v>0</v>
      </c>
      <c r="AV184" s="68">
        <f t="shared" ca="1" si="82"/>
        <v>2615430.1944432687</v>
      </c>
      <c r="AW184" s="65">
        <f t="shared" ca="1" si="83"/>
        <v>6335.9348123677892</v>
      </c>
      <c r="AX184" s="69">
        <f t="shared" ca="1" si="84"/>
        <v>0</v>
      </c>
      <c r="AY184" s="70">
        <f t="shared" ca="1" si="85"/>
        <v>0</v>
      </c>
      <c r="AZ184" s="66">
        <f t="shared" ca="1" si="86"/>
        <v>1080.436011109372</v>
      </c>
      <c r="BA184" s="66">
        <f t="shared" ca="1" si="87"/>
        <v>1092.4025538565154</v>
      </c>
      <c r="BB184" s="66">
        <f t="shared" ca="1" si="88"/>
        <v>110.94797093886582</v>
      </c>
      <c r="BC184" s="66">
        <f t="shared" ca="1" si="89"/>
        <v>266275.13025327795</v>
      </c>
      <c r="BD184" s="66">
        <f t="shared" ca="1" si="90"/>
        <v>0</v>
      </c>
      <c r="BE184" s="71">
        <f t="shared" ca="1" si="96"/>
        <v>266834.98254662787</v>
      </c>
      <c r="BF184" s="65">
        <f t="shared" ca="1" si="91"/>
        <v>643.49823144542177</v>
      </c>
      <c r="BG184" s="69">
        <f t="shared" ca="1" si="92"/>
        <v>0</v>
      </c>
      <c r="BH184" s="301">
        <f t="shared" ca="1" si="95"/>
        <v>0</v>
      </c>
      <c r="BI184" s="300">
        <f ca="1">IF(AO184&gt;TartamVálasztott,0,   (BI183+BH184)*(1+yields!$D$2)*(1-(0.0099/12)))</f>
        <v>650561.62180379347</v>
      </c>
      <c r="BJ184" s="300">
        <f ca="1">SUM(BH$6:BH184)*-1.2</f>
        <v>-594682.30220222462</v>
      </c>
      <c r="BK184" s="300">
        <f t="shared" ca="1" si="100"/>
        <v>55879.319601568859</v>
      </c>
      <c r="BL184" s="28">
        <f t="shared" ca="1" si="99"/>
        <v>2031</v>
      </c>
      <c r="BM184" s="28">
        <f t="shared" ca="1" si="97"/>
        <v>12</v>
      </c>
      <c r="BN184" s="236">
        <f t="shared" ca="1" si="98"/>
        <v>211946.07314606491</v>
      </c>
      <c r="BO184" s="236">
        <f t="shared" ca="1" si="93"/>
        <v>42389.214629212984</v>
      </c>
    </row>
    <row r="185" spans="41:67" x14ac:dyDescent="0.25">
      <c r="AO185" s="137">
        <f t="shared" si="76"/>
        <v>15</v>
      </c>
      <c r="AP185" s="138">
        <f t="shared" si="77"/>
        <v>12</v>
      </c>
      <c r="AQ185" s="139">
        <f t="shared" ca="1" si="94"/>
        <v>0</v>
      </c>
      <c r="AR185" s="140">
        <f t="shared" ca="1" si="78"/>
        <v>0</v>
      </c>
      <c r="AS185" s="140">
        <f t="shared" ca="1" si="79"/>
        <v>10655.586359653358</v>
      </c>
      <c r="AT185" s="140">
        <f t="shared" ca="1" si="80"/>
        <v>2626085.7808029219</v>
      </c>
      <c r="AU185" s="140">
        <f t="shared" ca="1" si="81"/>
        <v>201360.34462605577</v>
      </c>
      <c r="AV185" s="140">
        <f t="shared" ca="1" si="82"/>
        <v>2821099.7514587035</v>
      </c>
      <c r="AW185" s="139">
        <f t="shared" ca="1" si="83"/>
        <v>6346.3739702737284</v>
      </c>
      <c r="AX185" s="141">
        <f t="shared" ca="1" si="84"/>
        <v>0</v>
      </c>
      <c r="AY185" s="142">
        <f t="shared" ca="1" si="85"/>
        <v>0</v>
      </c>
      <c r="AZ185" s="140">
        <f t="shared" ca="1" si="86"/>
        <v>1087.11874870261</v>
      </c>
      <c r="BA185" s="140">
        <f t="shared" ca="1" si="87"/>
        <v>1094.2024086678841</v>
      </c>
      <c r="BB185" s="140">
        <f t="shared" ca="1" si="88"/>
        <v>111.63420887305439</v>
      </c>
      <c r="BC185" s="140">
        <f t="shared" ca="1" si="89"/>
        <v>267922.1012953305</v>
      </c>
      <c r="BD185" s="140">
        <f t="shared" ca="1" si="90"/>
        <v>201360.34462605577</v>
      </c>
      <c r="BE185" s="140">
        <f t="shared" ca="1" si="96"/>
        <v>67120.114875351923</v>
      </c>
      <c r="BF185" s="139">
        <f t="shared" ca="1" si="91"/>
        <v>647.47841146371536</v>
      </c>
      <c r="BG185" s="141">
        <f t="shared" ca="1" si="92"/>
        <v>0</v>
      </c>
      <c r="BH185" s="301">
        <f t="shared" ca="1" si="95"/>
        <v>0</v>
      </c>
      <c r="BI185" s="300">
        <f ca="1">IF(AO185&gt;TartamVálasztott,0,   (BI184+BH185)*(1+yields!$D$2)*(1-(0.0099/12)))</f>
        <v>652673.19040534971</v>
      </c>
      <c r="BJ185" s="300">
        <f ca="1">SUM(BH$6:BH185)*-1.2</f>
        <v>-594682.30220222462</v>
      </c>
      <c r="BK185" s="300">
        <f t="shared" ca="1" si="100"/>
        <v>57990.888203125098</v>
      </c>
      <c r="BL185" s="28">
        <f t="shared" ca="1" si="99"/>
        <v>2032</v>
      </c>
      <c r="BM185" s="28">
        <f t="shared" ca="1" si="97"/>
        <v>1</v>
      </c>
      <c r="BN185" s="236">
        <f t="shared" ca="1" si="98"/>
        <v>0</v>
      </c>
      <c r="BO185" s="236">
        <f t="shared" ca="1" si="93"/>
        <v>0</v>
      </c>
    </row>
    <row r="186" spans="41:67" x14ac:dyDescent="0.25">
      <c r="AO186" s="28">
        <f t="shared" si="76"/>
        <v>16</v>
      </c>
      <c r="AP186" s="28">
        <f t="shared" si="77"/>
        <v>1</v>
      </c>
      <c r="AQ186" s="65">
        <f t="shared" ca="1" si="94"/>
        <v>54311.181243679144</v>
      </c>
      <c r="AR186" s="66">
        <f t="shared" ca="1" si="78"/>
        <v>46164.504057127269</v>
      </c>
      <c r="AS186" s="66">
        <f t="shared" ca="1" si="79"/>
        <v>11681.589497401836</v>
      </c>
      <c r="AT186" s="66">
        <f t="shared" ca="1" si="80"/>
        <v>2878945.8450132324</v>
      </c>
      <c r="AU186" s="66">
        <f t="shared" ca="1" si="81"/>
        <v>0</v>
      </c>
      <c r="AV186" s="68">
        <f t="shared" ca="1" si="82"/>
        <v>2871988.3925544503</v>
      </c>
      <c r="AW186" s="65">
        <f t="shared" ca="1" si="83"/>
        <v>6957.4524587819787</v>
      </c>
      <c r="AX186" s="69">
        <f t="shared" ca="1" si="84"/>
        <v>8146.6771865518713</v>
      </c>
      <c r="AY186" s="70">
        <f t="shared" ca="1" si="85"/>
        <v>9330.6609376640772</v>
      </c>
      <c r="AZ186" s="66">
        <f t="shared" ca="1" si="86"/>
        <v>311.46992401817675</v>
      </c>
      <c r="BA186" s="66">
        <f t="shared" ca="1" si="87"/>
        <v>1199.5607687555137</v>
      </c>
      <c r="BB186" s="66">
        <f t="shared" ca="1" si="88"/>
        <v>31.984269057097574</v>
      </c>
      <c r="BC186" s="66">
        <f t="shared" ca="1" si="89"/>
        <v>76762.245737034173</v>
      </c>
      <c r="BD186" s="66">
        <f t="shared" ca="1" si="90"/>
        <v>0</v>
      </c>
      <c r="BE186" s="71">
        <f t="shared" ca="1" si="96"/>
        <v>77808.282014315613</v>
      </c>
      <c r="BF186" s="65">
        <f t="shared" ca="1" si="91"/>
        <v>185.50876053116593</v>
      </c>
      <c r="BG186" s="69">
        <f t="shared" ca="1" si="92"/>
        <v>0</v>
      </c>
      <c r="BH186" s="301">
        <f t="shared" ca="1" si="95"/>
        <v>0</v>
      </c>
      <c r="BI186" s="300">
        <f ca="1">IF(AO186&gt;TartamVálasztott,0,   (BI185+BH186)*(1+yields!$D$2)*(1-(0.0099/12)))</f>
        <v>654791.61265736679</v>
      </c>
      <c r="BJ186" s="300">
        <f ca="1">SUM(BH$6:BH186)*-1.2</f>
        <v>-594682.30220222462</v>
      </c>
      <c r="BK186" s="300">
        <f t="shared" ca="1" si="100"/>
        <v>60109.310455142171</v>
      </c>
      <c r="BL186" s="28">
        <f t="shared" ca="1" si="99"/>
        <v>2032</v>
      </c>
      <c r="BM186" s="28">
        <f t="shared" ca="1" si="97"/>
        <v>2</v>
      </c>
      <c r="BN186" s="236">
        <f t="shared" ca="1" si="98"/>
        <v>0</v>
      </c>
      <c r="BO186" s="236">
        <f t="shared" ca="1" si="93"/>
        <v>0</v>
      </c>
    </row>
    <row r="187" spans="41:67" x14ac:dyDescent="0.25">
      <c r="AO187" s="28">
        <f t="shared" si="76"/>
        <v>16</v>
      </c>
      <c r="AP187" s="28">
        <f t="shared" si="77"/>
        <v>2</v>
      </c>
      <c r="AQ187" s="65">
        <f t="shared" ca="1" si="94"/>
        <v>0</v>
      </c>
      <c r="AR187" s="66">
        <f t="shared" ca="1" si="78"/>
        <v>0</v>
      </c>
      <c r="AS187" s="66">
        <f t="shared" ca="1" si="79"/>
        <v>11700.836216468089</v>
      </c>
      <c r="AT187" s="66">
        <f t="shared" ca="1" si="80"/>
        <v>2883689.2287709182</v>
      </c>
      <c r="AU187" s="66">
        <f t="shared" ca="1" si="81"/>
        <v>0</v>
      </c>
      <c r="AV187" s="68">
        <f t="shared" ca="1" si="82"/>
        <v>2876720.3131347219</v>
      </c>
      <c r="AW187" s="65">
        <f t="shared" ca="1" si="83"/>
        <v>6968.915636196386</v>
      </c>
      <c r="AX187" s="69">
        <f t="shared" ca="1" si="84"/>
        <v>0</v>
      </c>
      <c r="AY187" s="70">
        <f t="shared" ca="1" si="85"/>
        <v>0</v>
      </c>
      <c r="AZ187" s="66">
        <f t="shared" ca="1" si="86"/>
        <v>317.00057231934164</v>
      </c>
      <c r="BA187" s="66">
        <f t="shared" ca="1" si="87"/>
        <v>1201.5371786545493</v>
      </c>
      <c r="BB187" s="66">
        <f t="shared" ca="1" si="88"/>
        <v>32.552201077764572</v>
      </c>
      <c r="BC187" s="66">
        <f t="shared" ca="1" si="89"/>
        <v>78125.282586634959</v>
      </c>
      <c r="BD187" s="66">
        <f t="shared" ca="1" si="90"/>
        <v>0</v>
      </c>
      <c r="BE187" s="71">
        <f t="shared" ca="1" si="96"/>
        <v>79170.569200116239</v>
      </c>
      <c r="BF187" s="65">
        <f t="shared" ca="1" si="91"/>
        <v>188.80276625103448</v>
      </c>
      <c r="BG187" s="69">
        <f t="shared" ca="1" si="92"/>
        <v>0</v>
      </c>
      <c r="BH187" s="301">
        <f t="shared" ca="1" si="95"/>
        <v>0</v>
      </c>
      <c r="BI187" s="300">
        <f ca="1">IF(AO187&gt;TartamVálasztott,0,   (BI186+BH187)*(1+yields!$D$2)*(1-(0.0099/12)))</f>
        <v>656916.91080516728</v>
      </c>
      <c r="BJ187" s="300">
        <f ca="1">SUM(BH$6:BH187)*-1.2</f>
        <v>-594682.30220222462</v>
      </c>
      <c r="BK187" s="300">
        <f t="shared" ca="1" si="100"/>
        <v>62234.608602942666</v>
      </c>
      <c r="BL187" s="28">
        <f t="shared" ca="1" si="99"/>
        <v>2032</v>
      </c>
      <c r="BM187" s="28">
        <f t="shared" ca="1" si="97"/>
        <v>3</v>
      </c>
      <c r="BN187" s="236">
        <f t="shared" ca="1" si="98"/>
        <v>0</v>
      </c>
      <c r="BO187" s="236">
        <f t="shared" ca="1" si="93"/>
        <v>0</v>
      </c>
    </row>
    <row r="188" spans="41:67" x14ac:dyDescent="0.25">
      <c r="AO188" s="28">
        <f t="shared" si="76"/>
        <v>16</v>
      </c>
      <c r="AP188" s="28">
        <f t="shared" si="77"/>
        <v>3</v>
      </c>
      <c r="AQ188" s="65">
        <f t="shared" ca="1" si="94"/>
        <v>0</v>
      </c>
      <c r="AR188" s="66">
        <f t="shared" ca="1" si="78"/>
        <v>0</v>
      </c>
      <c r="AS188" s="66">
        <f t="shared" ca="1" si="79"/>
        <v>11720.114646646509</v>
      </c>
      <c r="AT188" s="66">
        <f t="shared" ca="1" si="80"/>
        <v>2888440.4277813686</v>
      </c>
      <c r="AU188" s="66">
        <f t="shared" ca="1" si="81"/>
        <v>0</v>
      </c>
      <c r="AV188" s="68">
        <f t="shared" ca="1" si="82"/>
        <v>2881460.0300808968</v>
      </c>
      <c r="AW188" s="65">
        <f t="shared" ca="1" si="83"/>
        <v>6980.3977004716407</v>
      </c>
      <c r="AX188" s="69">
        <f t="shared" ca="1" si="84"/>
        <v>0</v>
      </c>
      <c r="AY188" s="70">
        <f t="shared" ca="1" si="85"/>
        <v>0</v>
      </c>
      <c r="AZ188" s="66">
        <f t="shared" ca="1" si="86"/>
        <v>322.55069894317137</v>
      </c>
      <c r="BA188" s="66">
        <f t="shared" ca="1" si="87"/>
        <v>1203.5168449089037</v>
      </c>
      <c r="BB188" s="66">
        <f t="shared" ca="1" si="88"/>
        <v>33.122133291274757</v>
      </c>
      <c r="BC188" s="66">
        <f t="shared" ca="1" si="89"/>
        <v>79493.119899059413</v>
      </c>
      <c r="BD188" s="66">
        <f t="shared" ca="1" si="90"/>
        <v>0</v>
      </c>
      <c r="BE188" s="71">
        <f t="shared" ca="1" si="96"/>
        <v>80537.650504170204</v>
      </c>
      <c r="BF188" s="65">
        <f t="shared" ca="1" si="91"/>
        <v>192.10837308939358</v>
      </c>
      <c r="BG188" s="69">
        <f t="shared" ca="1" si="92"/>
        <v>0</v>
      </c>
      <c r="BH188" s="301">
        <f t="shared" ca="1" si="95"/>
        <v>0</v>
      </c>
      <c r="BI188" s="300">
        <f ca="1">IF(AO188&gt;TartamVálasztott,0,   (BI187+BH188)*(1+yields!$D$2)*(1-(0.0099/12)))</f>
        <v>659049.10716627678</v>
      </c>
      <c r="BJ188" s="300">
        <f ca="1">SUM(BH$6:BH188)*-1.2</f>
        <v>-594682.30220222462</v>
      </c>
      <c r="BK188" s="300">
        <f t="shared" ca="1" si="100"/>
        <v>64366.804964052164</v>
      </c>
      <c r="BL188" s="28">
        <f t="shared" ca="1" si="99"/>
        <v>2032</v>
      </c>
      <c r="BM188" s="28">
        <f t="shared" ca="1" si="97"/>
        <v>4</v>
      </c>
      <c r="BN188" s="236">
        <f t="shared" ca="1" si="98"/>
        <v>0</v>
      </c>
      <c r="BO188" s="236">
        <f t="shared" ca="1" si="93"/>
        <v>0</v>
      </c>
    </row>
    <row r="189" spans="41:67" x14ac:dyDescent="0.25">
      <c r="AO189" s="28">
        <f t="shared" si="76"/>
        <v>16</v>
      </c>
      <c r="AP189" s="28">
        <f t="shared" si="77"/>
        <v>4</v>
      </c>
      <c r="AQ189" s="65">
        <f t="shared" ca="1" si="94"/>
        <v>54311.181243679144</v>
      </c>
      <c r="AR189" s="66">
        <f t="shared" ca="1" si="78"/>
        <v>46164.504057127269</v>
      </c>
      <c r="AS189" s="66">
        <f t="shared" ca="1" si="79"/>
        <v>11927.504744124153</v>
      </c>
      <c r="AT189" s="66">
        <f t="shared" ca="1" si="80"/>
        <v>2939552.038882148</v>
      </c>
      <c r="AU189" s="66">
        <f t="shared" ca="1" si="81"/>
        <v>0</v>
      </c>
      <c r="AV189" s="68">
        <f t="shared" ca="1" si="82"/>
        <v>2932448.1214548494</v>
      </c>
      <c r="AW189" s="65">
        <f t="shared" ca="1" si="83"/>
        <v>7103.9174272985247</v>
      </c>
      <c r="AX189" s="69">
        <f t="shared" ca="1" si="84"/>
        <v>8146.6771865518713</v>
      </c>
      <c r="AY189" s="70">
        <f t="shared" ca="1" si="85"/>
        <v>9330.6609376640772</v>
      </c>
      <c r="AZ189" s="66">
        <f t="shared" ca="1" si="86"/>
        <v>366.13462504149453</v>
      </c>
      <c r="BA189" s="66">
        <f t="shared" ca="1" si="87"/>
        <v>1224.8133495342283</v>
      </c>
      <c r="BB189" s="66">
        <f t="shared" ca="1" si="88"/>
        <v>37.597685861198244</v>
      </c>
      <c r="BC189" s="66">
        <f t="shared" ca="1" si="89"/>
        <v>90234.446066875782</v>
      </c>
      <c r="BD189" s="66">
        <f t="shared" ca="1" si="90"/>
        <v>0</v>
      </c>
      <c r="BE189" s="71">
        <f t="shared" ca="1" si="96"/>
        <v>91278.790524276264</v>
      </c>
      <c r="BF189" s="65">
        <f t="shared" ca="1" si="91"/>
        <v>218.06657799494982</v>
      </c>
      <c r="BG189" s="69">
        <f t="shared" ca="1" si="92"/>
        <v>0</v>
      </c>
      <c r="BH189" s="301">
        <f t="shared" ca="1" si="95"/>
        <v>0</v>
      </c>
      <c r="BI189" s="300">
        <f ca="1">IF(AO189&gt;TartamVálasztott,0,   (BI188+BH189)*(1+yields!$D$2)*(1-(0.0099/12)))</f>
        <v>661188.22413065832</v>
      </c>
      <c r="BJ189" s="300">
        <f ca="1">SUM(BH$6:BH189)*-1.2</f>
        <v>-594682.30220222462</v>
      </c>
      <c r="BK189" s="300">
        <f t="shared" ca="1" si="100"/>
        <v>66505.921928433701</v>
      </c>
      <c r="BL189" s="28">
        <f t="shared" ca="1" si="99"/>
        <v>2032</v>
      </c>
      <c r="BM189" s="28">
        <f t="shared" ca="1" si="97"/>
        <v>5</v>
      </c>
      <c r="BN189" s="236">
        <f t="shared" ca="1" si="98"/>
        <v>0</v>
      </c>
      <c r="BO189" s="236">
        <f t="shared" ca="1" si="93"/>
        <v>0</v>
      </c>
    </row>
    <row r="190" spans="41:67" x14ac:dyDescent="0.25">
      <c r="AO190" s="28">
        <f t="shared" si="76"/>
        <v>16</v>
      </c>
      <c r="AP190" s="28">
        <f t="shared" si="77"/>
        <v>5</v>
      </c>
      <c r="AQ190" s="65">
        <f t="shared" ca="1" si="94"/>
        <v>0</v>
      </c>
      <c r="AR190" s="66">
        <f t="shared" ca="1" si="78"/>
        <v>0</v>
      </c>
      <c r="AS190" s="66">
        <f t="shared" ca="1" si="79"/>
        <v>11947.156635934138</v>
      </c>
      <c r="AT190" s="66">
        <f t="shared" ca="1" si="80"/>
        <v>2944395.2780907834</v>
      </c>
      <c r="AU190" s="66">
        <f t="shared" ca="1" si="81"/>
        <v>0</v>
      </c>
      <c r="AV190" s="68">
        <f t="shared" ca="1" si="82"/>
        <v>2937279.6561687305</v>
      </c>
      <c r="AW190" s="65">
        <f t="shared" ca="1" si="83"/>
        <v>7115.6219220527273</v>
      </c>
      <c r="AX190" s="69">
        <f t="shared" ca="1" si="84"/>
        <v>0</v>
      </c>
      <c r="AY190" s="70">
        <f t="shared" ca="1" si="85"/>
        <v>0</v>
      </c>
      <c r="AZ190" s="66">
        <f t="shared" ca="1" si="86"/>
        <v>371.88109141760987</v>
      </c>
      <c r="BA190" s="66">
        <f t="shared" ca="1" si="87"/>
        <v>1226.8313658711597</v>
      </c>
      <c r="BB190" s="66">
        <f t="shared" ca="1" si="88"/>
        <v>38.187779839872455</v>
      </c>
      <c r="BC190" s="66">
        <f t="shared" ca="1" si="89"/>
        <v>91650.671615693878</v>
      </c>
      <c r="BD190" s="66">
        <f t="shared" ca="1" si="90"/>
        <v>0</v>
      </c>
      <c r="BE190" s="71">
        <f t="shared" ca="1" si="96"/>
        <v>92694.201638333645</v>
      </c>
      <c r="BF190" s="65">
        <f t="shared" ca="1" si="91"/>
        <v>221.48912307126022</v>
      </c>
      <c r="BG190" s="69">
        <f t="shared" ca="1" si="92"/>
        <v>0</v>
      </c>
      <c r="BH190" s="301">
        <f t="shared" ca="1" si="95"/>
        <v>42389.214629212984</v>
      </c>
      <c r="BI190" s="300">
        <f ca="1">IF(AO190&gt;TartamVálasztott,0,   (BI189+BH190)*(1+yields!$D$2)*(1-(0.0099/12)))</f>
        <v>705861.08411898348</v>
      </c>
      <c r="BJ190" s="300">
        <f ca="1">SUM(BH$6:BH190)*-1.2</f>
        <v>-645549.35975728021</v>
      </c>
      <c r="BK190" s="300">
        <f t="shared" ca="1" si="100"/>
        <v>60311.724361703265</v>
      </c>
      <c r="BL190" s="28">
        <f t="shared" ca="1" si="99"/>
        <v>2032</v>
      </c>
      <c r="BM190" s="28">
        <f t="shared" ca="1" si="97"/>
        <v>6</v>
      </c>
      <c r="BN190" s="236">
        <f t="shared" ca="1" si="98"/>
        <v>0</v>
      </c>
      <c r="BO190" s="236">
        <f t="shared" ca="1" si="93"/>
        <v>0</v>
      </c>
    </row>
    <row r="191" spans="41:67" x14ac:dyDescent="0.25">
      <c r="AO191" s="28">
        <f t="shared" si="76"/>
        <v>16</v>
      </c>
      <c r="AP191" s="28">
        <f t="shared" si="77"/>
        <v>6</v>
      </c>
      <c r="AQ191" s="65">
        <f t="shared" ca="1" si="94"/>
        <v>0</v>
      </c>
      <c r="AR191" s="66">
        <f t="shared" ca="1" si="78"/>
        <v>0</v>
      </c>
      <c r="AS191" s="66">
        <f t="shared" ca="1" si="79"/>
        <v>11966.840906423484</v>
      </c>
      <c r="AT191" s="66">
        <f t="shared" ca="1" si="80"/>
        <v>2949246.497075154</v>
      </c>
      <c r="AU191" s="66">
        <f t="shared" ca="1" si="81"/>
        <v>0</v>
      </c>
      <c r="AV191" s="68">
        <f t="shared" ca="1" si="82"/>
        <v>2942119.1513738888</v>
      </c>
      <c r="AW191" s="65">
        <f t="shared" ca="1" si="83"/>
        <v>7127.345701264956</v>
      </c>
      <c r="AX191" s="69">
        <f t="shared" ca="1" si="84"/>
        <v>0</v>
      </c>
      <c r="AY191" s="70">
        <f t="shared" ca="1" si="85"/>
        <v>0</v>
      </c>
      <c r="AZ191" s="66">
        <f t="shared" ca="1" si="86"/>
        <v>377.64765150103125</v>
      </c>
      <c r="BA191" s="66">
        <f t="shared" ca="1" si="87"/>
        <v>1228.8527071146475</v>
      </c>
      <c r="BB191" s="66">
        <f t="shared" ca="1" si="88"/>
        <v>38.779937204097784</v>
      </c>
      <c r="BC191" s="66">
        <f t="shared" ca="1" si="89"/>
        <v>93071.849289834674</v>
      </c>
      <c r="BD191" s="66">
        <f t="shared" ca="1" si="90"/>
        <v>0</v>
      </c>
      <c r="BE191" s="71">
        <f t="shared" ca="1" si="96"/>
        <v>94114.558298369651</v>
      </c>
      <c r="BF191" s="65">
        <f t="shared" ca="1" si="91"/>
        <v>224.92363578376714</v>
      </c>
      <c r="BG191" s="69">
        <f t="shared" ca="1" si="92"/>
        <v>0</v>
      </c>
      <c r="BH191" s="301">
        <f t="shared" ca="1" si="95"/>
        <v>0</v>
      </c>
      <c r="BI191" s="300">
        <f ca="1">IF(AO191&gt;TartamVálasztott,0,   (BI190+BH191)*(1+yields!$D$2)*(1-(0.0099/12)))</f>
        <v>708152.14164886589</v>
      </c>
      <c r="BJ191" s="300">
        <f ca="1">SUM(BH$6:BH191)*-1.2</f>
        <v>-645549.35975728021</v>
      </c>
      <c r="BK191" s="300">
        <f t="shared" ca="1" si="100"/>
        <v>62602.781891585677</v>
      </c>
      <c r="BL191" s="28">
        <f t="shared" ca="1" si="99"/>
        <v>2032</v>
      </c>
      <c r="BM191" s="28">
        <f t="shared" ca="1" si="97"/>
        <v>7</v>
      </c>
      <c r="BN191" s="236">
        <f t="shared" ca="1" si="98"/>
        <v>0</v>
      </c>
      <c r="BO191" s="236">
        <f t="shared" ca="1" si="93"/>
        <v>0</v>
      </c>
    </row>
    <row r="192" spans="41:67" x14ac:dyDescent="0.25">
      <c r="AO192" s="28">
        <f t="shared" si="76"/>
        <v>16</v>
      </c>
      <c r="AP192" s="28">
        <f t="shared" si="77"/>
        <v>7</v>
      </c>
      <c r="AQ192" s="65">
        <f t="shared" ca="1" si="94"/>
        <v>54311.181243679144</v>
      </c>
      <c r="AR192" s="66">
        <f t="shared" ca="1" si="78"/>
        <v>46164.504057127269</v>
      </c>
      <c r="AS192" s="66">
        <f t="shared" ca="1" si="79"/>
        <v>12174.637512879142</v>
      </c>
      <c r="AT192" s="66">
        <f t="shared" ca="1" si="80"/>
        <v>3000458.2929438949</v>
      </c>
      <c r="AU192" s="66">
        <f t="shared" ca="1" si="81"/>
        <v>0</v>
      </c>
      <c r="AV192" s="68">
        <f t="shared" ca="1" si="82"/>
        <v>2993207.1854026136</v>
      </c>
      <c r="AW192" s="65">
        <f t="shared" ca="1" si="83"/>
        <v>7251.1075412810796</v>
      </c>
      <c r="AX192" s="69">
        <f t="shared" ca="1" si="84"/>
        <v>8146.6771865518713</v>
      </c>
      <c r="AY192" s="70">
        <f t="shared" ca="1" si="85"/>
        <v>9330.6609376640772</v>
      </c>
      <c r="AZ192" s="66">
        <f t="shared" ca="1" si="86"/>
        <v>421.44862799424322</v>
      </c>
      <c r="BA192" s="66">
        <f t="shared" ca="1" si="87"/>
        <v>1250.1909553932896</v>
      </c>
      <c r="BB192" s="66">
        <f t="shared" ca="1" si="88"/>
        <v>43.277778276678333</v>
      </c>
      <c r="BC192" s="66">
        <f t="shared" ca="1" si="89"/>
        <v>103866.66786402799</v>
      </c>
      <c r="BD192" s="66">
        <f t="shared" ca="1" si="90"/>
        <v>0</v>
      </c>
      <c r="BE192" s="71">
        <f t="shared" ca="1" si="96"/>
        <v>104909.12548369322</v>
      </c>
      <c r="BF192" s="65">
        <f t="shared" ca="1" si="91"/>
        <v>251.01111400473431</v>
      </c>
      <c r="BG192" s="69">
        <f t="shared" ca="1" si="92"/>
        <v>0</v>
      </c>
      <c r="BH192" s="301">
        <f t="shared" ca="1" si="95"/>
        <v>0</v>
      </c>
      <c r="BI192" s="300">
        <f ca="1">IF(AO192&gt;TartamVálasztott,0,   (BI191+BH192)*(1+yields!$D$2)*(1-(0.0099/12)))</f>
        <v>710450.63540766551</v>
      </c>
      <c r="BJ192" s="300">
        <f ca="1">SUM(BH$6:BH192)*-1.2</f>
        <v>-645549.35975728021</v>
      </c>
      <c r="BK192" s="300">
        <f t="shared" ca="1" si="100"/>
        <v>64901.275650385302</v>
      </c>
      <c r="BL192" s="28">
        <f t="shared" ca="1" si="99"/>
        <v>2032</v>
      </c>
      <c r="BM192" s="28">
        <f t="shared" ca="1" si="97"/>
        <v>8</v>
      </c>
      <c r="BN192" s="236">
        <f t="shared" ca="1" si="98"/>
        <v>0</v>
      </c>
      <c r="BO192" s="236">
        <f t="shared" ca="1" si="93"/>
        <v>0</v>
      </c>
    </row>
    <row r="193" spans="41:67" x14ac:dyDescent="0.25">
      <c r="AO193" s="28">
        <f t="shared" si="76"/>
        <v>16</v>
      </c>
      <c r="AP193" s="28">
        <f t="shared" si="77"/>
        <v>8</v>
      </c>
      <c r="AQ193" s="65">
        <f t="shared" ca="1" si="94"/>
        <v>0</v>
      </c>
      <c r="AR193" s="66">
        <f t="shared" ca="1" si="78"/>
        <v>0</v>
      </c>
      <c r="AS193" s="66">
        <f t="shared" ca="1" si="79"/>
        <v>12194.696583435934</v>
      </c>
      <c r="AT193" s="66">
        <f t="shared" ca="1" si="80"/>
        <v>3005401.8819860495</v>
      </c>
      <c r="AU193" s="66">
        <f t="shared" ca="1" si="81"/>
        <v>0</v>
      </c>
      <c r="AV193" s="68">
        <f t="shared" ca="1" si="82"/>
        <v>2998138.8274379163</v>
      </c>
      <c r="AW193" s="65">
        <f t="shared" ca="1" si="83"/>
        <v>7263.0545481329536</v>
      </c>
      <c r="AX193" s="69">
        <f t="shared" ca="1" si="84"/>
        <v>0</v>
      </c>
      <c r="AY193" s="70">
        <f t="shared" ca="1" si="85"/>
        <v>0</v>
      </c>
      <c r="AZ193" s="66">
        <f t="shared" ca="1" si="86"/>
        <v>427.4127632548641</v>
      </c>
      <c r="BA193" s="66">
        <f t="shared" ca="1" si="87"/>
        <v>1252.250784160854</v>
      </c>
      <c r="BB193" s="66">
        <f t="shared" ca="1" si="88"/>
        <v>43.890224269561706</v>
      </c>
      <c r="BC193" s="66">
        <f t="shared" ca="1" si="89"/>
        <v>105336.53824694808</v>
      </c>
      <c r="BD193" s="66">
        <f t="shared" ca="1" si="90"/>
        <v>0</v>
      </c>
      <c r="BE193" s="71">
        <f t="shared" ca="1" si="96"/>
        <v>106378.11595461504</v>
      </c>
      <c r="BF193" s="65">
        <f t="shared" ca="1" si="91"/>
        <v>254.56330076345787</v>
      </c>
      <c r="BG193" s="69">
        <f t="shared" ca="1" si="92"/>
        <v>0</v>
      </c>
      <c r="BH193" s="301">
        <f t="shared" ca="1" si="95"/>
        <v>0</v>
      </c>
      <c r="BI193" s="300">
        <f ca="1">IF(AO193&gt;TartamVálasztott,0,   (BI192+BH193)*(1+yields!$D$2)*(1-(0.0099/12)))</f>
        <v>712756.58953161631</v>
      </c>
      <c r="BJ193" s="300">
        <f ca="1">SUM(BH$6:BH193)*-1.2</f>
        <v>-645549.35975728021</v>
      </c>
      <c r="BK193" s="300">
        <f t="shared" ca="1" si="100"/>
        <v>67207.229774336098</v>
      </c>
      <c r="BL193" s="28">
        <f t="shared" ca="1" si="99"/>
        <v>2032</v>
      </c>
      <c r="BM193" s="28">
        <f t="shared" ca="1" si="97"/>
        <v>9</v>
      </c>
      <c r="BN193" s="236">
        <f t="shared" ca="1" si="98"/>
        <v>0</v>
      </c>
      <c r="BO193" s="236">
        <f t="shared" ca="1" si="93"/>
        <v>0</v>
      </c>
    </row>
    <row r="194" spans="41:67" x14ac:dyDescent="0.25">
      <c r="AO194" s="28">
        <f t="shared" si="76"/>
        <v>16</v>
      </c>
      <c r="AP194" s="28">
        <f t="shared" si="77"/>
        <v>9</v>
      </c>
      <c r="AQ194" s="65">
        <f t="shared" ca="1" si="94"/>
        <v>0</v>
      </c>
      <c r="AR194" s="66">
        <f t="shared" ca="1" si="78"/>
        <v>0</v>
      </c>
      <c r="AS194" s="66">
        <f t="shared" ca="1" si="79"/>
        <v>12214.788703544402</v>
      </c>
      <c r="AT194" s="66">
        <f t="shared" ca="1" si="80"/>
        <v>3010353.6161414608</v>
      </c>
      <c r="AU194" s="66">
        <f t="shared" ca="1" si="81"/>
        <v>0</v>
      </c>
      <c r="AV194" s="68">
        <f t="shared" ca="1" si="82"/>
        <v>3003078.5949024521</v>
      </c>
      <c r="AW194" s="65">
        <f t="shared" ca="1" si="83"/>
        <v>7275.0212390085308</v>
      </c>
      <c r="AX194" s="69">
        <f t="shared" ca="1" si="84"/>
        <v>0</v>
      </c>
      <c r="AY194" s="70">
        <f t="shared" ca="1" si="85"/>
        <v>0</v>
      </c>
      <c r="AZ194" s="66">
        <f t="shared" ca="1" si="86"/>
        <v>433.39761227039952</v>
      </c>
      <c r="BA194" s="66">
        <f t="shared" ca="1" si="87"/>
        <v>1254.3140067256088</v>
      </c>
      <c r="BB194" s="66">
        <f t="shared" ca="1" si="88"/>
        <v>44.504797319535605</v>
      </c>
      <c r="BC194" s="66">
        <f t="shared" ca="1" si="89"/>
        <v>106811.51356688545</v>
      </c>
      <c r="BD194" s="66">
        <f t="shared" ca="1" si="90"/>
        <v>0</v>
      </c>
      <c r="BE194" s="71">
        <f t="shared" ca="1" si="96"/>
        <v>107852.2045464773</v>
      </c>
      <c r="BF194" s="65">
        <f t="shared" ca="1" si="91"/>
        <v>258.12782445330652</v>
      </c>
      <c r="BG194" s="69">
        <f t="shared" ca="1" si="92"/>
        <v>0</v>
      </c>
      <c r="BH194" s="301">
        <f t="shared" ca="1" si="95"/>
        <v>0</v>
      </c>
      <c r="BI194" s="300">
        <f ca="1">IF(AO194&gt;TartamVálasztott,0,   (BI193+BH194)*(1+yields!$D$2)*(1-(0.0099/12)))</f>
        <v>715070.02823529253</v>
      </c>
      <c r="BJ194" s="300">
        <f ca="1">SUM(BH$6:BH194)*-1.2</f>
        <v>-645549.35975728021</v>
      </c>
      <c r="BK194" s="300">
        <f t="shared" ca="1" si="100"/>
        <v>69520.668478012318</v>
      </c>
      <c r="BL194" s="28">
        <f t="shared" ca="1" si="99"/>
        <v>2032</v>
      </c>
      <c r="BM194" s="28">
        <f t="shared" ca="1" si="97"/>
        <v>10</v>
      </c>
      <c r="BN194" s="236">
        <f t="shared" ca="1" si="98"/>
        <v>0</v>
      </c>
      <c r="BO194" s="236">
        <f t="shared" ca="1" si="93"/>
        <v>0</v>
      </c>
    </row>
    <row r="195" spans="41:67" x14ac:dyDescent="0.25">
      <c r="AO195" s="28">
        <f t="shared" si="76"/>
        <v>16</v>
      </c>
      <c r="AP195" s="28">
        <f t="shared" si="77"/>
        <v>10</v>
      </c>
      <c r="AQ195" s="65">
        <f t="shared" ca="1" si="94"/>
        <v>54311.181243679144</v>
      </c>
      <c r="AR195" s="66">
        <f t="shared" ca="1" si="78"/>
        <v>46164.504057127269</v>
      </c>
      <c r="AS195" s="66">
        <f t="shared" ca="1" si="79"/>
        <v>12422.993831596832</v>
      </c>
      <c r="AT195" s="66">
        <f t="shared" ca="1" si="80"/>
        <v>3061666.0927911759</v>
      </c>
      <c r="AU195" s="66">
        <f t="shared" ca="1" si="81"/>
        <v>0</v>
      </c>
      <c r="AV195" s="68">
        <f t="shared" ca="1" si="82"/>
        <v>3054267.0664002639</v>
      </c>
      <c r="AW195" s="65">
        <f t="shared" ca="1" si="83"/>
        <v>7399.0263909120085</v>
      </c>
      <c r="AX195" s="69">
        <f t="shared" ca="1" si="84"/>
        <v>8146.6771865518713</v>
      </c>
      <c r="AY195" s="70">
        <f t="shared" ca="1" si="85"/>
        <v>9330.6609376640772</v>
      </c>
      <c r="AZ195" s="66">
        <f t="shared" ca="1" si="86"/>
        <v>477.41749930500606</v>
      </c>
      <c r="BA195" s="66">
        <f t="shared" ca="1" si="87"/>
        <v>1275.6942053296568</v>
      </c>
      <c r="BB195" s="66">
        <f t="shared" ca="1" si="88"/>
        <v>49.025117909769328</v>
      </c>
      <c r="BC195" s="66">
        <f t="shared" ca="1" si="89"/>
        <v>117660.28298344638</v>
      </c>
      <c r="BD195" s="66">
        <f t="shared" ca="1" si="90"/>
        <v>0</v>
      </c>
      <c r="BE195" s="71">
        <f t="shared" ca="1" si="96"/>
        <v>118700.65662280914</v>
      </c>
      <c r="BF195" s="65">
        <f t="shared" ca="1" si="91"/>
        <v>284.34568387666206</v>
      </c>
      <c r="BG195" s="69">
        <f t="shared" ca="1" si="92"/>
        <v>0</v>
      </c>
      <c r="BH195" s="301">
        <f t="shared" ca="1" si="95"/>
        <v>0</v>
      </c>
      <c r="BI195" s="300">
        <f ca="1">IF(AO195&gt;TartamVálasztott,0,   (BI194+BH195)*(1+yields!$D$2)*(1-(0.0099/12)))</f>
        <v>717390.97581186355</v>
      </c>
      <c r="BJ195" s="300">
        <f ca="1">SUM(BH$6:BH195)*-1.2</f>
        <v>-645549.35975728021</v>
      </c>
      <c r="BK195" s="300">
        <f t="shared" ca="1" si="100"/>
        <v>71841.616054583341</v>
      </c>
      <c r="BL195" s="28">
        <f t="shared" ca="1" si="99"/>
        <v>2032</v>
      </c>
      <c r="BM195" s="28">
        <f t="shared" ca="1" si="97"/>
        <v>11</v>
      </c>
      <c r="BN195" s="236">
        <f t="shared" ca="1" si="98"/>
        <v>0</v>
      </c>
      <c r="BO195" s="236">
        <f t="shared" ca="1" si="93"/>
        <v>0</v>
      </c>
    </row>
    <row r="196" spans="41:67" x14ac:dyDescent="0.25">
      <c r="AO196" s="28">
        <f t="shared" si="76"/>
        <v>16</v>
      </c>
      <c r="AP196" s="28">
        <f t="shared" si="77"/>
        <v>11</v>
      </c>
      <c r="AQ196" s="65">
        <f t="shared" ca="1" si="94"/>
        <v>0</v>
      </c>
      <c r="AR196" s="66">
        <f t="shared" ca="1" si="78"/>
        <v>0</v>
      </c>
      <c r="AS196" s="66">
        <f t="shared" ca="1" si="79"/>
        <v>12443.462096835201</v>
      </c>
      <c r="AT196" s="66">
        <f t="shared" ca="1" si="80"/>
        <v>3066710.5284970989</v>
      </c>
      <c r="AU196" s="66">
        <f t="shared" ca="1" si="81"/>
        <v>0</v>
      </c>
      <c r="AV196" s="68">
        <f t="shared" ca="1" si="82"/>
        <v>3059299.3113865643</v>
      </c>
      <c r="AW196" s="65">
        <f t="shared" ca="1" si="83"/>
        <v>7411.2171105346561</v>
      </c>
      <c r="AX196" s="69">
        <f t="shared" ca="1" si="84"/>
        <v>0</v>
      </c>
      <c r="AY196" s="70">
        <f t="shared" ca="1" si="85"/>
        <v>0</v>
      </c>
      <c r="AZ196" s="66">
        <f t="shared" ca="1" si="86"/>
        <v>483.60116828166315</v>
      </c>
      <c r="BA196" s="66">
        <f t="shared" ca="1" si="87"/>
        <v>1277.7960535404579</v>
      </c>
      <c r="BB196" s="66">
        <f t="shared" ca="1" si="88"/>
        <v>49.660107412954503</v>
      </c>
      <c r="BC196" s="66">
        <f t="shared" ca="1" si="89"/>
        <v>119184.2577910908</v>
      </c>
      <c r="BD196" s="66">
        <f t="shared" ca="1" si="90"/>
        <v>0</v>
      </c>
      <c r="BE196" s="71">
        <f t="shared" ca="1" si="96"/>
        <v>120223.68532904908</v>
      </c>
      <c r="BF196" s="65">
        <f t="shared" ca="1" si="91"/>
        <v>288.02862299513612</v>
      </c>
      <c r="BG196" s="69">
        <f t="shared" ca="1" si="92"/>
        <v>0</v>
      </c>
      <c r="BH196" s="301">
        <f t="shared" ca="1" si="95"/>
        <v>0</v>
      </c>
      <c r="BI196" s="300">
        <f ca="1">IF(AO196&gt;TartamVálasztott,0,   (BI195+BH196)*(1+yields!$D$2)*(1-(0.0099/12)))</f>
        <v>719719.45663334825</v>
      </c>
      <c r="BJ196" s="300">
        <f ca="1">SUM(BH$6:BH196)*-1.2</f>
        <v>-645549.35975728021</v>
      </c>
      <c r="BK196" s="300">
        <f t="shared" ca="1" si="100"/>
        <v>74170.096876068041</v>
      </c>
      <c r="BL196" s="28">
        <f t="shared" ca="1" si="99"/>
        <v>2032</v>
      </c>
      <c r="BM196" s="28">
        <f t="shared" ca="1" si="97"/>
        <v>12</v>
      </c>
      <c r="BN196" s="236">
        <f t="shared" ca="1" si="98"/>
        <v>217244.72497471658</v>
      </c>
      <c r="BO196" s="236">
        <f t="shared" ca="1" si="93"/>
        <v>43448.944994943318</v>
      </c>
    </row>
    <row r="197" spans="41:67" x14ac:dyDescent="0.25">
      <c r="AO197" s="28">
        <f t="shared" si="76"/>
        <v>16</v>
      </c>
      <c r="AP197" s="28">
        <f t="shared" si="77"/>
        <v>12</v>
      </c>
      <c r="AQ197" s="65">
        <f t="shared" ca="1" si="94"/>
        <v>0</v>
      </c>
      <c r="AR197" s="66">
        <f t="shared" ca="1" si="78"/>
        <v>0</v>
      </c>
      <c r="AS197" s="66">
        <f t="shared" ca="1" si="79"/>
        <v>12463.964085819032</v>
      </c>
      <c r="AT197" s="66">
        <f t="shared" ca="1" si="80"/>
        <v>3071763.2754723835</v>
      </c>
      <c r="AU197" s="66">
        <f t="shared" ca="1" si="81"/>
        <v>0</v>
      </c>
      <c r="AV197" s="68">
        <f t="shared" ca="1" si="82"/>
        <v>3064339.8475566586</v>
      </c>
      <c r="AW197" s="65">
        <f t="shared" ca="1" si="83"/>
        <v>7423.4279157249275</v>
      </c>
      <c r="AX197" s="69">
        <f t="shared" ca="1" si="84"/>
        <v>0</v>
      </c>
      <c r="AY197" s="70">
        <f t="shared" ca="1" si="85"/>
        <v>0</v>
      </c>
      <c r="AZ197" s="66">
        <f t="shared" ca="1" si="86"/>
        <v>489.80617575693452</v>
      </c>
      <c r="BA197" s="66">
        <f t="shared" ca="1" si="87"/>
        <v>1279.9013647801598</v>
      </c>
      <c r="BB197" s="66">
        <f t="shared" ca="1" si="88"/>
        <v>50.29728812700251</v>
      </c>
      <c r="BC197" s="66">
        <f t="shared" ca="1" si="89"/>
        <v>120713.49150480602</v>
      </c>
      <c r="BD197" s="66">
        <f t="shared" ca="1" si="90"/>
        <v>0</v>
      </c>
      <c r="BE197" s="71">
        <f t="shared" ca="1" si="96"/>
        <v>121751.96588657657</v>
      </c>
      <c r="BF197" s="65">
        <f t="shared" ca="1" si="91"/>
        <v>291.72427113661456</v>
      </c>
      <c r="BG197" s="69">
        <f t="shared" ca="1" si="92"/>
        <v>0</v>
      </c>
      <c r="BH197" s="301">
        <f t="shared" ca="1" si="95"/>
        <v>0</v>
      </c>
      <c r="BI197" s="300">
        <f ca="1">IF(AO197&gt;TartamVálasztott,0,   (BI196+BH197)*(1+yields!$D$2)*(1-(0.0099/12)))</f>
        <v>722055.49515087157</v>
      </c>
      <c r="BJ197" s="300">
        <f ca="1">SUM(BH$6:BH197)*-1.2</f>
        <v>-645549.35975728021</v>
      </c>
      <c r="BK197" s="300">
        <f t="shared" ca="1" si="100"/>
        <v>76506.135393591365</v>
      </c>
      <c r="BL197" s="28">
        <f t="shared" ca="1" si="99"/>
        <v>2033</v>
      </c>
      <c r="BM197" s="28">
        <f t="shared" ca="1" si="97"/>
        <v>1</v>
      </c>
      <c r="BN197" s="236">
        <f t="shared" ca="1" si="98"/>
        <v>0</v>
      </c>
      <c r="BO197" s="236">
        <f t="shared" ca="1" si="93"/>
        <v>0</v>
      </c>
    </row>
    <row r="198" spans="41:67" x14ac:dyDescent="0.25">
      <c r="AO198" s="28">
        <f t="shared" ref="AO198:AO261" si="101">IF(AP197=12,AO197+1,AO197)</f>
        <v>17</v>
      </c>
      <c r="AP198" s="28">
        <f t="shared" ref="AP198:AP261" si="102">IF(AP197&lt;12,AP197+1,1)</f>
        <v>1</v>
      </c>
      <c r="AQ198" s="65">
        <f t="shared" ca="1" si="94"/>
        <v>55668.96077477112</v>
      </c>
      <c r="AR198" s="66">
        <f t="shared" ref="AR198:AR261" ca="1" si="103">IF( ($AO198*12+$AP198) &gt; (12*(Term+1) ), 0,
$AQ198*(1-VLOOKUP($AO198,Pars,7))
)</f>
        <v>47318.616658555453</v>
      </c>
      <c r="AS198" s="66">
        <f t="shared" ref="AS198:AS261" ca="1" si="104">IF( ($AO198*12+$AP198) &gt; (12*(Term+1) ), 0,
($AV197+$AR198)*IF(OR(TKM=0,TKM=2),VLOOKUP($AO198,Pars,15),TKMm)
)</f>
        <v>12677.281755649912</v>
      </c>
      <c r="AT198" s="66">
        <f t="shared" ref="AT198:AT261" ca="1" si="105">IF( ($AO198*12+$AP198) &gt; (12*(Term+1) ), 0,
$AV197+$AR198+$AS198
)</f>
        <v>3124335.7459708638</v>
      </c>
      <c r="AU198" s="66">
        <f t="shared" ref="AU198:AU261" ca="1" si="106">$BD198*(1-LBe)</f>
        <v>0</v>
      </c>
      <c r="AV198" s="68">
        <f t="shared" ref="AV198:AV209" ca="1" si="107">IF( ($AO198*12+$AP198) &gt; (12*(Term+1) ), 0,
($AT198-$AW198) +$AU198
)</f>
        <v>3116785.267918101</v>
      </c>
      <c r="AW198" s="65">
        <f t="shared" ref="AW198:AW261" ca="1" si="108">$AT198* ( VLOOKUP($AO198,Pars,9) /12 )</f>
        <v>7550.4780527629209</v>
      </c>
      <c r="AX198" s="69">
        <f t="shared" ref="AX198:AX261" ca="1" si="109">$AQ198*VLOOKUP($AO198,Pars,7)</f>
        <v>8350.3441162156669</v>
      </c>
      <c r="AY198" s="70">
        <f t="shared" ref="AY198:AY261" ca="1" si="110">$AQ198*VLOOKUP($AO198,Pars,8)</f>
        <v>9920.208810064214</v>
      </c>
      <c r="AZ198" s="66">
        <f t="shared" ref="AZ198:AZ261" ca="1" si="111">($BE197+$AY198)*IF(OR(TKM=0,TKM=2),VLOOKUP($AO198,Pars,15),TKMm)</f>
        <v>536.44873857628511</v>
      </c>
      <c r="BA198" s="66">
        <f t="shared" ref="BA198:BA261" ca="1" si="112">$AT198* ( VLOOKUP($AO198,Pars,11) /12 )</f>
        <v>1301.8065608211934</v>
      </c>
      <c r="BB198" s="66">
        <f t="shared" ref="BB198:BB261" ca="1" si="113">$BC198* ( VLOOKUP($AO198,Pars,12) /12 )</f>
        <v>55.086926431340451</v>
      </c>
      <c r="BC198" s="66">
        <f t="shared" ref="BC198:BC261" ca="1" si="114">$BE197+$AY198+$AZ198</f>
        <v>132208.62343521707</v>
      </c>
      <c r="BD198" s="66">
        <f t="shared" ref="BD198:BD261" ca="1" si="115">($BC198 -$BF198 +($BA198+$BB198) ) * IF($AP198=12,VLOOKUP($AO198,Pars,13),0)</f>
        <v>0</v>
      </c>
      <c r="BE198" s="71">
        <f t="shared" ca="1" si="96"/>
        <v>133246.01274916783</v>
      </c>
      <c r="BF198" s="65">
        <f t="shared" ref="BF198:BF261" ca="1" si="116">$BC198* ( VLOOKUP($AO198,Pars,10) /12 )</f>
        <v>319.50417330177459</v>
      </c>
      <c r="BG198" s="69">
        <f t="shared" ref="BG198:BG261" ca="1" si="117">BD198*LBe</f>
        <v>0</v>
      </c>
      <c r="BH198" s="301">
        <f t="shared" ca="1" si="95"/>
        <v>0</v>
      </c>
      <c r="BI198" s="300">
        <f ca="1">IF(AO198&gt;TartamVálasztott,0,   (BI197+BH198)*(1+yields!$D$2)*(1-(0.0099/12)))</f>
        <v>724399.11589492089</v>
      </c>
      <c r="BJ198" s="300">
        <f ca="1">SUM(BH$6:BH198)*-1.2</f>
        <v>-645549.35975728021</v>
      </c>
      <c r="BK198" s="300">
        <f t="shared" ca="1" si="100"/>
        <v>78849.756137640681</v>
      </c>
      <c r="BL198" s="28">
        <f t="shared" ca="1" si="99"/>
        <v>2033</v>
      </c>
      <c r="BM198" s="28">
        <f t="shared" ca="1" si="97"/>
        <v>2</v>
      </c>
      <c r="BN198" s="236">
        <f t="shared" ca="1" si="98"/>
        <v>0</v>
      </c>
      <c r="BO198" s="236">
        <f t="shared" ref="BO198:BO261" ca="1" si="118">MIN(BN198*0.2,130000)</f>
        <v>0</v>
      </c>
    </row>
    <row r="199" spans="41:67" x14ac:dyDescent="0.25">
      <c r="AO199" s="28">
        <f t="shared" si="101"/>
        <v>17</v>
      </c>
      <c r="AP199" s="28">
        <f t="shared" si="102"/>
        <v>2</v>
      </c>
      <c r="AQ199" s="65">
        <f t="shared" ref="AQ199:AQ262" ca="1" si="119">IF( ($AO199*12+$AP199) &gt; (12*(Term+1) ), 0,
IF( OR(Freq=12, MOD($AP199,12/Freq)=1), Pr*(1+Ind)^($AO199-1)/Freq, 0) *VLOOKUP($AO199,Pars,23)
)</f>
        <v>0</v>
      </c>
      <c r="AR199" s="66">
        <f t="shared" ca="1" si="103"/>
        <v>0</v>
      </c>
      <c r="AS199" s="66">
        <f t="shared" ca="1" si="104"/>
        <v>12698.168988549942</v>
      </c>
      <c r="AT199" s="66">
        <f t="shared" ca="1" si="105"/>
        <v>3129483.4369066511</v>
      </c>
      <c r="AU199" s="66">
        <f t="shared" ca="1" si="106"/>
        <v>0</v>
      </c>
      <c r="AV199" s="68">
        <f t="shared" ca="1" si="107"/>
        <v>3121920.5186007936</v>
      </c>
      <c r="AW199" s="65">
        <f t="shared" ca="1" si="108"/>
        <v>7562.918305857741</v>
      </c>
      <c r="AX199" s="69">
        <f t="shared" ca="1" si="109"/>
        <v>0</v>
      </c>
      <c r="AY199" s="70">
        <f t="shared" ca="1" si="110"/>
        <v>0</v>
      </c>
      <c r="AZ199" s="66">
        <f t="shared" ca="1" si="111"/>
        <v>542.86074961769634</v>
      </c>
      <c r="BA199" s="66">
        <f t="shared" ca="1" si="112"/>
        <v>1303.951432044438</v>
      </c>
      <c r="BB199" s="66">
        <f t="shared" ca="1" si="113"/>
        <v>55.745363957827301</v>
      </c>
      <c r="BC199" s="66">
        <f t="shared" ca="1" si="114"/>
        <v>133788.87349878551</v>
      </c>
      <c r="BD199" s="66">
        <f t="shared" ca="1" si="115"/>
        <v>0</v>
      </c>
      <c r="BE199" s="71">
        <f t="shared" ca="1" si="96"/>
        <v>134825.2471838324</v>
      </c>
      <c r="BF199" s="65">
        <f t="shared" ca="1" si="116"/>
        <v>323.32311095539836</v>
      </c>
      <c r="BG199" s="69">
        <f t="shared" ca="1" si="117"/>
        <v>0</v>
      </c>
      <c r="BH199" s="301">
        <f t="shared" ref="BH199:BH262" ca="1" si="120">IF(AND(BM199=AdóHó,AO199&lt;=TartamVálasztott),MIN(SUMIF(BL:BL,BL199-1,AQ:AQ)*0.2,130000),0)+IF(AND(AO199=TartamVálasztott,AP199=12),MIN(SUMIF(BL:BL,BL199,AQ:AQ)*0.2,130000),0)</f>
        <v>0</v>
      </c>
      <c r="BI199" s="300">
        <f ca="1">IF(AO199&gt;TartamVálasztott,0,   (BI198+BH199)*(1+yields!$D$2)*(1-(0.0099/12)))</f>
        <v>726750.34347560373</v>
      </c>
      <c r="BJ199" s="300">
        <f ca="1">SUM(BH$6:BH199)*-1.2</f>
        <v>-645549.35975728021</v>
      </c>
      <c r="BK199" s="300">
        <f t="shared" ca="1" si="100"/>
        <v>81200.983718323521</v>
      </c>
      <c r="BL199" s="28">
        <f t="shared" ca="1" si="99"/>
        <v>2033</v>
      </c>
      <c r="BM199" s="28">
        <f t="shared" ca="1" si="97"/>
        <v>3</v>
      </c>
      <c r="BN199" s="236">
        <f t="shared" ca="1" si="98"/>
        <v>0</v>
      </c>
      <c r="BO199" s="236">
        <f t="shared" ca="1" si="118"/>
        <v>0</v>
      </c>
    </row>
    <row r="200" spans="41:67" x14ac:dyDescent="0.25">
      <c r="AO200" s="28">
        <f t="shared" si="101"/>
        <v>17</v>
      </c>
      <c r="AP200" s="28">
        <f t="shared" si="102"/>
        <v>3</v>
      </c>
      <c r="AQ200" s="65">
        <f t="shared" ca="1" si="119"/>
        <v>0</v>
      </c>
      <c r="AR200" s="66">
        <f t="shared" ca="1" si="103"/>
        <v>0</v>
      </c>
      <c r="AS200" s="66">
        <f t="shared" ca="1" si="104"/>
        <v>12719.090635491295</v>
      </c>
      <c r="AT200" s="66">
        <f t="shared" ca="1" si="105"/>
        <v>3134639.6092362846</v>
      </c>
      <c r="AU200" s="66">
        <f t="shared" ca="1" si="106"/>
        <v>0</v>
      </c>
      <c r="AV200" s="68">
        <f t="shared" ca="1" si="107"/>
        <v>3127064.2301806305</v>
      </c>
      <c r="AW200" s="65">
        <f t="shared" ca="1" si="108"/>
        <v>7575.3790556543545</v>
      </c>
      <c r="AX200" s="69">
        <f t="shared" ca="1" si="109"/>
        <v>0</v>
      </c>
      <c r="AY200" s="70">
        <f t="shared" ca="1" si="110"/>
        <v>0</v>
      </c>
      <c r="AZ200" s="66">
        <f t="shared" ca="1" si="111"/>
        <v>549.29474618791971</v>
      </c>
      <c r="BA200" s="66">
        <f t="shared" ca="1" si="112"/>
        <v>1306.0998371817852</v>
      </c>
      <c r="BB200" s="66">
        <f t="shared" ca="1" si="113"/>
        <v>56.406059137508471</v>
      </c>
      <c r="BC200" s="66">
        <f t="shared" ca="1" si="114"/>
        <v>135374.54193002032</v>
      </c>
      <c r="BD200" s="66">
        <f t="shared" ca="1" si="115"/>
        <v>0</v>
      </c>
      <c r="BE200" s="71">
        <f t="shared" ref="BE200:BE263" ca="1" si="121">$BC200 -$BF200 +($BA200+$BB200) -$BD200</f>
        <v>136409.89268334207</v>
      </c>
      <c r="BF200" s="65">
        <f t="shared" ca="1" si="116"/>
        <v>327.15514299754915</v>
      </c>
      <c r="BG200" s="69">
        <f t="shared" ca="1" si="117"/>
        <v>0</v>
      </c>
      <c r="BH200" s="301">
        <f t="shared" ca="1" si="120"/>
        <v>0</v>
      </c>
      <c r="BI200" s="300">
        <f ca="1">IF(AO200&gt;TartamVálasztott,0,   (BI199+BH200)*(1+yields!$D$2)*(1-(0.0099/12)))</f>
        <v>729109.20258290612</v>
      </c>
      <c r="BJ200" s="300">
        <f ca="1">SUM(BH$6:BH200)*-1.2</f>
        <v>-645549.35975728021</v>
      </c>
      <c r="BK200" s="300">
        <f t="shared" ca="1" si="100"/>
        <v>83559.842825625907</v>
      </c>
      <c r="BL200" s="28">
        <f t="shared" ca="1" si="99"/>
        <v>2033</v>
      </c>
      <c r="BM200" s="28">
        <f t="shared" ref="BM200:BM263" ca="1" si="122">IF(BM199=12,1,BM199+1)</f>
        <v>4</v>
      </c>
      <c r="BN200" s="236">
        <f t="shared" ref="BN200:BN263" ca="1" si="123">IF(BM200=12,SUMIF(BL:BL,BL200,AQ:AQ),0)</f>
        <v>0</v>
      </c>
      <c r="BO200" s="236">
        <f t="shared" ca="1" si="118"/>
        <v>0</v>
      </c>
    </row>
    <row r="201" spans="41:67" x14ac:dyDescent="0.25">
      <c r="AO201" s="28">
        <f t="shared" si="101"/>
        <v>17</v>
      </c>
      <c r="AP201" s="28">
        <f t="shared" si="102"/>
        <v>4</v>
      </c>
      <c r="AQ201" s="65">
        <f t="shared" ca="1" si="119"/>
        <v>55668.96077477112</v>
      </c>
      <c r="AR201" s="66">
        <f t="shared" ca="1" si="103"/>
        <v>47318.616658555453</v>
      </c>
      <c r="AS201" s="66">
        <f t="shared" ca="1" si="104"/>
        <v>12932.828654712896</v>
      </c>
      <c r="AT201" s="66">
        <f t="shared" ca="1" si="105"/>
        <v>3187315.6754938988</v>
      </c>
      <c r="AU201" s="66">
        <f t="shared" ca="1" si="106"/>
        <v>0</v>
      </c>
      <c r="AV201" s="68">
        <f t="shared" ca="1" si="107"/>
        <v>3179612.9959447887</v>
      </c>
      <c r="AW201" s="65">
        <f t="shared" ca="1" si="108"/>
        <v>7702.6795491102557</v>
      </c>
      <c r="AX201" s="69">
        <f t="shared" ca="1" si="109"/>
        <v>8350.3441162156669</v>
      </c>
      <c r="AY201" s="70">
        <f t="shared" ca="1" si="110"/>
        <v>9920.208810064214</v>
      </c>
      <c r="AZ201" s="66">
        <f t="shared" ca="1" si="111"/>
        <v>596.16694675796396</v>
      </c>
      <c r="BA201" s="66">
        <f t="shared" ca="1" si="112"/>
        <v>1328.048198122458</v>
      </c>
      <c r="BB201" s="66">
        <f t="shared" ca="1" si="113"/>
        <v>61.219278516735109</v>
      </c>
      <c r="BC201" s="66">
        <f t="shared" ca="1" si="114"/>
        <v>146926.26844016425</v>
      </c>
      <c r="BD201" s="66">
        <f t="shared" ca="1" si="115"/>
        <v>0</v>
      </c>
      <c r="BE201" s="71">
        <f t="shared" ca="1" si="121"/>
        <v>147960.46410140637</v>
      </c>
      <c r="BF201" s="65">
        <f t="shared" ca="1" si="116"/>
        <v>355.07181539706363</v>
      </c>
      <c r="BG201" s="69">
        <f t="shared" ca="1" si="117"/>
        <v>0</v>
      </c>
      <c r="BH201" s="301">
        <f t="shared" ca="1" si="120"/>
        <v>0</v>
      </c>
      <c r="BI201" s="300">
        <f ca="1">IF(AO201&gt;TartamVálasztott,0,   (BI200+BH201)*(1+yields!$D$2)*(1-(0.0099/12)))</f>
        <v>731475.71798695205</v>
      </c>
      <c r="BJ201" s="300">
        <f ca="1">SUM(BH$6:BH201)*-1.2</f>
        <v>-645549.35975728021</v>
      </c>
      <c r="BK201" s="300">
        <f t="shared" ca="1" si="100"/>
        <v>85926.358229671838</v>
      </c>
      <c r="BL201" s="28">
        <f t="shared" ca="1" si="99"/>
        <v>2033</v>
      </c>
      <c r="BM201" s="28">
        <f t="shared" ca="1" si="122"/>
        <v>5</v>
      </c>
      <c r="BN201" s="236">
        <f t="shared" ca="1" si="123"/>
        <v>0</v>
      </c>
      <c r="BO201" s="236">
        <f t="shared" ca="1" si="118"/>
        <v>0</v>
      </c>
    </row>
    <row r="202" spans="41:67" x14ac:dyDescent="0.25">
      <c r="AO202" s="28">
        <f t="shared" si="101"/>
        <v>17</v>
      </c>
      <c r="AP202" s="28">
        <f t="shared" si="102"/>
        <v>5</v>
      </c>
      <c r="AQ202" s="65">
        <f t="shared" ca="1" si="119"/>
        <v>0</v>
      </c>
      <c r="AR202" s="66">
        <f t="shared" ca="1" si="103"/>
        <v>0</v>
      </c>
      <c r="AS202" s="66">
        <f t="shared" ca="1" si="104"/>
        <v>12954.13692957606</v>
      </c>
      <c r="AT202" s="66">
        <f t="shared" ca="1" si="105"/>
        <v>3192567.132874365</v>
      </c>
      <c r="AU202" s="66">
        <f t="shared" ca="1" si="106"/>
        <v>0</v>
      </c>
      <c r="AV202" s="68">
        <f t="shared" ca="1" si="107"/>
        <v>3184851.7623032518</v>
      </c>
      <c r="AW202" s="65">
        <f t="shared" ca="1" si="108"/>
        <v>7715.3705711130488</v>
      </c>
      <c r="AX202" s="69">
        <f t="shared" ca="1" si="109"/>
        <v>0</v>
      </c>
      <c r="AY202" s="70">
        <f t="shared" ca="1" si="110"/>
        <v>0</v>
      </c>
      <c r="AZ202" s="66">
        <f t="shared" ca="1" si="111"/>
        <v>602.80924583518811</v>
      </c>
      <c r="BA202" s="66">
        <f t="shared" ca="1" si="112"/>
        <v>1330.2363053643189</v>
      </c>
      <c r="BB202" s="66">
        <f t="shared" ca="1" si="113"/>
        <v>61.901363894683982</v>
      </c>
      <c r="BC202" s="66">
        <f t="shared" ca="1" si="114"/>
        <v>148563.27334724154</v>
      </c>
      <c r="BD202" s="66">
        <f t="shared" ca="1" si="115"/>
        <v>0</v>
      </c>
      <c r="BE202" s="71">
        <f t="shared" ca="1" si="121"/>
        <v>149596.3831059114</v>
      </c>
      <c r="BF202" s="65">
        <f t="shared" ca="1" si="116"/>
        <v>359.02791058916711</v>
      </c>
      <c r="BG202" s="69">
        <f t="shared" ca="1" si="117"/>
        <v>0</v>
      </c>
      <c r="BH202" s="301">
        <f t="shared" ca="1" si="120"/>
        <v>43448.944994943318</v>
      </c>
      <c r="BI202" s="300">
        <f ca="1">IF(AO202&gt;TartamVálasztott,0,   (BI201+BH202)*(1+yields!$D$2)*(1-(0.0099/12)))</f>
        <v>777439.88449525053</v>
      </c>
      <c r="BJ202" s="300">
        <f ca="1">SUM(BH$6:BH202)*-1.2</f>
        <v>-697688.09375121223</v>
      </c>
      <c r="BK202" s="300">
        <f t="shared" ca="1" si="100"/>
        <v>79751.790744038299</v>
      </c>
      <c r="BL202" s="28">
        <f t="shared" ca="1" si="99"/>
        <v>2033</v>
      </c>
      <c r="BM202" s="28">
        <f t="shared" ca="1" si="122"/>
        <v>6</v>
      </c>
      <c r="BN202" s="236">
        <f t="shared" ca="1" si="123"/>
        <v>0</v>
      </c>
      <c r="BO202" s="236">
        <f t="shared" ca="1" si="118"/>
        <v>0</v>
      </c>
    </row>
    <row r="203" spans="41:67" x14ac:dyDescent="0.25">
      <c r="AO203" s="28">
        <f t="shared" si="101"/>
        <v>17</v>
      </c>
      <c r="AP203" s="28">
        <f t="shared" si="102"/>
        <v>6</v>
      </c>
      <c r="AQ203" s="65">
        <f t="shared" ca="1" si="119"/>
        <v>0</v>
      </c>
      <c r="AR203" s="66">
        <f t="shared" ca="1" si="103"/>
        <v>0</v>
      </c>
      <c r="AS203" s="66">
        <f t="shared" ca="1" si="104"/>
        <v>12975.480312194051</v>
      </c>
      <c r="AT203" s="66">
        <f t="shared" ca="1" si="105"/>
        <v>3197827.242615446</v>
      </c>
      <c r="AU203" s="66">
        <f t="shared" ca="1" si="106"/>
        <v>0</v>
      </c>
      <c r="AV203" s="68">
        <f t="shared" ca="1" si="107"/>
        <v>3190099.1601124587</v>
      </c>
      <c r="AW203" s="65">
        <f t="shared" ca="1" si="108"/>
        <v>7728.0825029873286</v>
      </c>
      <c r="AX203" s="69">
        <f t="shared" ca="1" si="109"/>
        <v>0</v>
      </c>
      <c r="AY203" s="70">
        <f t="shared" ca="1" si="110"/>
        <v>0</v>
      </c>
      <c r="AZ203" s="66">
        <f t="shared" ca="1" si="111"/>
        <v>609.47418235956434</v>
      </c>
      <c r="BA203" s="66">
        <f t="shared" ca="1" si="112"/>
        <v>1332.428017756436</v>
      </c>
      <c r="BB203" s="66">
        <f t="shared" ca="1" si="113"/>
        <v>62.585773870112902</v>
      </c>
      <c r="BC203" s="66">
        <f t="shared" ca="1" si="114"/>
        <v>150205.85728827096</v>
      </c>
      <c r="BD203" s="66">
        <f t="shared" ca="1" si="115"/>
        <v>0</v>
      </c>
      <c r="BE203" s="71">
        <f t="shared" ca="1" si="121"/>
        <v>151237.87359145086</v>
      </c>
      <c r="BF203" s="65">
        <f t="shared" ca="1" si="116"/>
        <v>362.99748844665481</v>
      </c>
      <c r="BG203" s="69">
        <f t="shared" ca="1" si="117"/>
        <v>0</v>
      </c>
      <c r="BH203" s="301">
        <f t="shared" ca="1" si="120"/>
        <v>0</v>
      </c>
      <c r="BI203" s="300">
        <f ca="1">IF(AO203&gt;TartamVálasztott,0,   (BI202+BH203)*(1+yields!$D$2)*(1-(0.0099/12)))</f>
        <v>779963.26982060377</v>
      </c>
      <c r="BJ203" s="300">
        <f ca="1">SUM(BH$6:BH203)*-1.2</f>
        <v>-697688.09375121223</v>
      </c>
      <c r="BK203" s="300">
        <f t="shared" ca="1" si="100"/>
        <v>82275.176069391542</v>
      </c>
      <c r="BL203" s="28">
        <f t="shared" ca="1" si="99"/>
        <v>2033</v>
      </c>
      <c r="BM203" s="28">
        <f t="shared" ca="1" si="122"/>
        <v>7</v>
      </c>
      <c r="BN203" s="236">
        <f t="shared" ca="1" si="123"/>
        <v>0</v>
      </c>
      <c r="BO203" s="236">
        <f t="shared" ca="1" si="118"/>
        <v>0</v>
      </c>
    </row>
    <row r="204" spans="41:67" x14ac:dyDescent="0.25">
      <c r="AO204" s="28">
        <f t="shared" si="101"/>
        <v>17</v>
      </c>
      <c r="AP204" s="28">
        <f t="shared" si="102"/>
        <v>7</v>
      </c>
      <c r="AQ204" s="65">
        <f t="shared" ca="1" si="119"/>
        <v>55668.96077477112</v>
      </c>
      <c r="AR204" s="66">
        <f t="shared" ca="1" si="103"/>
        <v>47318.616658555453</v>
      </c>
      <c r="AS204" s="66">
        <f t="shared" ca="1" si="104"/>
        <v>13189.640761948765</v>
      </c>
      <c r="AT204" s="66">
        <f t="shared" ca="1" si="105"/>
        <v>3250607.4175329627</v>
      </c>
      <c r="AU204" s="66">
        <f t="shared" ca="1" si="106"/>
        <v>0</v>
      </c>
      <c r="AV204" s="68">
        <f t="shared" ca="1" si="107"/>
        <v>3242751.7829405912</v>
      </c>
      <c r="AW204" s="65">
        <f t="shared" ca="1" si="108"/>
        <v>7855.634592371327</v>
      </c>
      <c r="AX204" s="69">
        <f t="shared" ca="1" si="109"/>
        <v>8350.3441162156669</v>
      </c>
      <c r="AY204" s="70">
        <f t="shared" ca="1" si="110"/>
        <v>9920.208810064214</v>
      </c>
      <c r="AZ204" s="66">
        <f t="shared" ca="1" si="111"/>
        <v>656.57797643917377</v>
      </c>
      <c r="BA204" s="66">
        <f t="shared" ca="1" si="112"/>
        <v>1354.4197573054012</v>
      </c>
      <c r="BB204" s="66">
        <f t="shared" ca="1" si="113"/>
        <v>67.422775157480942</v>
      </c>
      <c r="BC204" s="66">
        <f t="shared" ca="1" si="114"/>
        <v>161814.66037795425</v>
      </c>
      <c r="BD204" s="66">
        <f t="shared" ca="1" si="115"/>
        <v>0</v>
      </c>
      <c r="BE204" s="71">
        <f t="shared" ca="1" si="121"/>
        <v>162845.45081450374</v>
      </c>
      <c r="BF204" s="65">
        <f t="shared" ca="1" si="116"/>
        <v>391.05209591338945</v>
      </c>
      <c r="BG204" s="69">
        <f t="shared" ca="1" si="117"/>
        <v>0</v>
      </c>
      <c r="BH204" s="301">
        <f t="shared" ca="1" si="120"/>
        <v>0</v>
      </c>
      <c r="BI204" s="300">
        <f ca="1">IF(AO204&gt;TartamVálasztott,0,   (BI203+BH204)*(1+yields!$D$2)*(1-(0.0099/12)))</f>
        <v>782494.84545575094</v>
      </c>
      <c r="BJ204" s="300">
        <f ca="1">SUM(BH$6:BH204)*-1.2</f>
        <v>-697688.09375121223</v>
      </c>
      <c r="BK204" s="300">
        <f t="shared" ca="1" si="100"/>
        <v>84806.751704538707</v>
      </c>
      <c r="BL204" s="28">
        <f t="shared" ca="1" si="99"/>
        <v>2033</v>
      </c>
      <c r="BM204" s="28">
        <f t="shared" ca="1" si="122"/>
        <v>8</v>
      </c>
      <c r="BN204" s="236">
        <f t="shared" ca="1" si="123"/>
        <v>0</v>
      </c>
      <c r="BO204" s="236">
        <f t="shared" ca="1" si="118"/>
        <v>0</v>
      </c>
    </row>
    <row r="205" spans="41:67" x14ac:dyDescent="0.25">
      <c r="AO205" s="28">
        <f t="shared" si="101"/>
        <v>17</v>
      </c>
      <c r="AP205" s="28">
        <f t="shared" si="102"/>
        <v>8</v>
      </c>
      <c r="AQ205" s="65">
        <f t="shared" ca="1" si="119"/>
        <v>0</v>
      </c>
      <c r="AR205" s="66">
        <f t="shared" ca="1" si="103"/>
        <v>0</v>
      </c>
      <c r="AS205" s="66">
        <f t="shared" ca="1" si="104"/>
        <v>13211.372163346367</v>
      </c>
      <c r="AT205" s="66">
        <f t="shared" ca="1" si="105"/>
        <v>3255963.1551039377</v>
      </c>
      <c r="AU205" s="66">
        <f t="shared" ca="1" si="106"/>
        <v>0</v>
      </c>
      <c r="AV205" s="68">
        <f t="shared" ca="1" si="107"/>
        <v>3248094.5774791031</v>
      </c>
      <c r="AW205" s="65">
        <f t="shared" ca="1" si="108"/>
        <v>7868.5776248345164</v>
      </c>
      <c r="AX205" s="69">
        <f t="shared" ca="1" si="109"/>
        <v>0</v>
      </c>
      <c r="AY205" s="70">
        <f t="shared" ca="1" si="110"/>
        <v>0</v>
      </c>
      <c r="AZ205" s="66">
        <f t="shared" ca="1" si="111"/>
        <v>663.45252422230783</v>
      </c>
      <c r="BA205" s="66">
        <f t="shared" ca="1" si="112"/>
        <v>1356.6513146266409</v>
      </c>
      <c r="BB205" s="66">
        <f t="shared" ca="1" si="113"/>
        <v>68.128709724469189</v>
      </c>
      <c r="BC205" s="66">
        <f t="shared" ca="1" si="114"/>
        <v>163508.90333872606</v>
      </c>
      <c r="BD205" s="66">
        <f t="shared" ca="1" si="115"/>
        <v>0</v>
      </c>
      <c r="BE205" s="71">
        <f t="shared" ca="1" si="121"/>
        <v>164538.53684667524</v>
      </c>
      <c r="BF205" s="65">
        <f t="shared" ca="1" si="116"/>
        <v>395.1465164019213</v>
      </c>
      <c r="BG205" s="69">
        <f t="shared" ca="1" si="117"/>
        <v>0</v>
      </c>
      <c r="BH205" s="301">
        <f t="shared" ca="1" si="120"/>
        <v>0</v>
      </c>
      <c r="BI205" s="300">
        <f ca="1">IF(AO205&gt;TartamVálasztott,0,   (BI204+BH205)*(1+yields!$D$2)*(1-(0.0099/12)))</f>
        <v>785034.63798449363</v>
      </c>
      <c r="BJ205" s="300">
        <f ca="1">SUM(BH$6:BH205)*-1.2</f>
        <v>-697688.09375121223</v>
      </c>
      <c r="BK205" s="300">
        <f t="shared" ca="1" si="100"/>
        <v>87346.544233281398</v>
      </c>
      <c r="BL205" s="28">
        <f t="shared" ca="1" si="99"/>
        <v>2033</v>
      </c>
      <c r="BM205" s="28">
        <f t="shared" ca="1" si="122"/>
        <v>9</v>
      </c>
      <c r="BN205" s="236">
        <f t="shared" ca="1" si="123"/>
        <v>0</v>
      </c>
      <c r="BO205" s="236">
        <f t="shared" ca="1" si="118"/>
        <v>0</v>
      </c>
    </row>
    <row r="206" spans="41:67" x14ac:dyDescent="0.25">
      <c r="AO206" s="28">
        <f t="shared" si="101"/>
        <v>17</v>
      </c>
      <c r="AP206" s="28">
        <f t="shared" si="102"/>
        <v>9</v>
      </c>
      <c r="AQ206" s="65">
        <f t="shared" ca="1" si="119"/>
        <v>0</v>
      </c>
      <c r="AR206" s="66">
        <f t="shared" ca="1" si="103"/>
        <v>0</v>
      </c>
      <c r="AS206" s="66">
        <f t="shared" ca="1" si="104"/>
        <v>13233.139369646864</v>
      </c>
      <c r="AT206" s="66">
        <f t="shared" ca="1" si="105"/>
        <v>3261327.7168487501</v>
      </c>
      <c r="AU206" s="66">
        <f t="shared" ca="1" si="106"/>
        <v>0</v>
      </c>
      <c r="AV206" s="68">
        <f t="shared" ca="1" si="107"/>
        <v>3253446.1748663657</v>
      </c>
      <c r="AW206" s="65">
        <f t="shared" ca="1" si="108"/>
        <v>7881.5419823844795</v>
      </c>
      <c r="AX206" s="69">
        <f t="shared" ca="1" si="109"/>
        <v>0</v>
      </c>
      <c r="AY206" s="70">
        <f t="shared" ca="1" si="110"/>
        <v>0</v>
      </c>
      <c r="AZ206" s="66">
        <f t="shared" ca="1" si="111"/>
        <v>670.35036629374054</v>
      </c>
      <c r="BA206" s="66">
        <f t="shared" ca="1" si="112"/>
        <v>1358.8865486869793</v>
      </c>
      <c r="BB206" s="66">
        <f t="shared" ca="1" si="113"/>
        <v>68.837036338737079</v>
      </c>
      <c r="BC206" s="66">
        <f t="shared" ca="1" si="114"/>
        <v>165208.88721296898</v>
      </c>
      <c r="BD206" s="66">
        <f t="shared" ca="1" si="115"/>
        <v>0</v>
      </c>
      <c r="BE206" s="71">
        <f t="shared" ca="1" si="121"/>
        <v>166237.35598723002</v>
      </c>
      <c r="BF206" s="65">
        <f t="shared" ca="1" si="116"/>
        <v>399.25481076467509</v>
      </c>
      <c r="BG206" s="69">
        <f t="shared" ca="1" si="117"/>
        <v>0</v>
      </c>
      <c r="BH206" s="301">
        <f t="shared" ca="1" si="120"/>
        <v>0</v>
      </c>
      <c r="BI206" s="300">
        <f ca="1">IF(AO206&gt;TartamVálasztott,0,   (BI205+BH206)*(1+yields!$D$2)*(1-(0.0099/12)))</f>
        <v>787582.67407691793</v>
      </c>
      <c r="BJ206" s="300">
        <f ca="1">SUM(BH$6:BH206)*-1.2</f>
        <v>-697688.09375121223</v>
      </c>
      <c r="BK206" s="300">
        <f t="shared" ca="1" si="100"/>
        <v>89894.580325705698</v>
      </c>
      <c r="BL206" s="28">
        <f t="shared" ca="1" si="99"/>
        <v>2033</v>
      </c>
      <c r="BM206" s="28">
        <f t="shared" ca="1" si="122"/>
        <v>10</v>
      </c>
      <c r="BN206" s="236">
        <f t="shared" ca="1" si="123"/>
        <v>0</v>
      </c>
      <c r="BO206" s="236">
        <f t="shared" ca="1" si="118"/>
        <v>0</v>
      </c>
    </row>
    <row r="207" spans="41:67" x14ac:dyDescent="0.25">
      <c r="AO207" s="28">
        <f t="shared" si="101"/>
        <v>17</v>
      </c>
      <c r="AP207" s="28">
        <f t="shared" si="102"/>
        <v>10</v>
      </c>
      <c r="AQ207" s="65">
        <f t="shared" ca="1" si="119"/>
        <v>55668.96077477112</v>
      </c>
      <c r="AR207" s="66">
        <f t="shared" ca="1" si="103"/>
        <v>47318.616658555453</v>
      </c>
      <c r="AS207" s="66">
        <f t="shared" ca="1" si="104"/>
        <v>13447.724341380781</v>
      </c>
      <c r="AT207" s="66">
        <f t="shared" ca="1" si="105"/>
        <v>3314212.515866302</v>
      </c>
      <c r="AU207" s="66">
        <f t="shared" ca="1" si="106"/>
        <v>0</v>
      </c>
      <c r="AV207" s="68">
        <f t="shared" ca="1" si="107"/>
        <v>3306203.1689529582</v>
      </c>
      <c r="AW207" s="65">
        <f t="shared" ca="1" si="108"/>
        <v>8009.3469133435638</v>
      </c>
      <c r="AX207" s="69">
        <f t="shared" ca="1" si="109"/>
        <v>8350.3441162156669</v>
      </c>
      <c r="AY207" s="70">
        <f t="shared" ca="1" si="110"/>
        <v>9920.208810064214</v>
      </c>
      <c r="AZ207" s="66">
        <f t="shared" ca="1" si="111"/>
        <v>717.68772441023236</v>
      </c>
      <c r="BA207" s="66">
        <f t="shared" ca="1" si="112"/>
        <v>1380.9218816109592</v>
      </c>
      <c r="BB207" s="66">
        <f t="shared" ca="1" si="113"/>
        <v>73.698021884043541</v>
      </c>
      <c r="BC207" s="66">
        <f t="shared" ca="1" si="114"/>
        <v>176875.25252170447</v>
      </c>
      <c r="BD207" s="66">
        <f t="shared" ca="1" si="115"/>
        <v>0</v>
      </c>
      <c r="BE207" s="71">
        <f t="shared" ca="1" si="121"/>
        <v>177902.42389827204</v>
      </c>
      <c r="BF207" s="65">
        <f t="shared" ca="1" si="116"/>
        <v>427.44852692745252</v>
      </c>
      <c r="BG207" s="69">
        <f t="shared" ca="1" si="117"/>
        <v>0</v>
      </c>
      <c r="BH207" s="301">
        <f t="shared" ca="1" si="120"/>
        <v>0</v>
      </c>
      <c r="BI207" s="300">
        <f ca="1">IF(AO207&gt;TartamVálasztott,0,   (BI206+BH207)*(1+yields!$D$2)*(1-(0.0099/12)))</f>
        <v>790138.98048967484</v>
      </c>
      <c r="BJ207" s="300">
        <f ca="1">SUM(BH$6:BH207)*-1.2</f>
        <v>-697688.09375121223</v>
      </c>
      <c r="BK207" s="300">
        <f t="shared" ca="1" si="100"/>
        <v>92450.886738462606</v>
      </c>
      <c r="BL207" s="28">
        <f t="shared" ca="1" si="99"/>
        <v>2033</v>
      </c>
      <c r="BM207" s="28">
        <f t="shared" ca="1" si="122"/>
        <v>11</v>
      </c>
      <c r="BN207" s="236">
        <f t="shared" ca="1" si="123"/>
        <v>0</v>
      </c>
      <c r="BO207" s="236">
        <f t="shared" ca="1" si="118"/>
        <v>0</v>
      </c>
    </row>
    <row r="208" spans="41:67" x14ac:dyDescent="0.25">
      <c r="AO208" s="28">
        <f t="shared" si="101"/>
        <v>17</v>
      </c>
      <c r="AP208" s="28">
        <f t="shared" si="102"/>
        <v>11</v>
      </c>
      <c r="AQ208" s="65">
        <f t="shared" ca="1" si="119"/>
        <v>0</v>
      </c>
      <c r="AR208" s="66">
        <f t="shared" ca="1" si="103"/>
        <v>0</v>
      </c>
      <c r="AS208" s="66">
        <f t="shared" ca="1" si="104"/>
        <v>13469.880964204802</v>
      </c>
      <c r="AT208" s="66">
        <f t="shared" ca="1" si="105"/>
        <v>3319673.0499171629</v>
      </c>
      <c r="AU208" s="66">
        <f t="shared" ca="1" si="106"/>
        <v>0</v>
      </c>
      <c r="AV208" s="68">
        <f t="shared" ca="1" si="107"/>
        <v>3311650.5067131962</v>
      </c>
      <c r="AW208" s="65">
        <f t="shared" ca="1" si="108"/>
        <v>8022.5432039664774</v>
      </c>
      <c r="AX208" s="69">
        <f t="shared" ca="1" si="109"/>
        <v>0</v>
      </c>
      <c r="AY208" s="70">
        <f t="shared" ca="1" si="110"/>
        <v>0</v>
      </c>
      <c r="AZ208" s="66">
        <f t="shared" ca="1" si="111"/>
        <v>724.7964963726414</v>
      </c>
      <c r="BA208" s="66">
        <f t="shared" ca="1" si="112"/>
        <v>1383.1971041321513</v>
      </c>
      <c r="BB208" s="66">
        <f t="shared" ca="1" si="113"/>
        <v>74.428008497768616</v>
      </c>
      <c r="BC208" s="66">
        <f t="shared" ca="1" si="114"/>
        <v>178627.22039464468</v>
      </c>
      <c r="BD208" s="66">
        <f t="shared" ca="1" si="115"/>
        <v>0</v>
      </c>
      <c r="BE208" s="71">
        <f t="shared" ca="1" si="121"/>
        <v>179653.16305798755</v>
      </c>
      <c r="BF208" s="65">
        <f t="shared" ca="1" si="116"/>
        <v>431.68244928705798</v>
      </c>
      <c r="BG208" s="69">
        <f t="shared" ca="1" si="117"/>
        <v>0</v>
      </c>
      <c r="BH208" s="301">
        <f t="shared" ca="1" si="120"/>
        <v>0</v>
      </c>
      <c r="BI208" s="300">
        <f ca="1">IF(AO208&gt;TartamVálasztott,0,   (BI207+BH208)*(1+yields!$D$2)*(1-(0.0099/12)))</f>
        <v>792703.58406626096</v>
      </c>
      <c r="BJ208" s="300">
        <f ca="1">SUM(BH$6:BH208)*-1.2</f>
        <v>-697688.09375121223</v>
      </c>
      <c r="BK208" s="300">
        <f t="shared" ca="1" si="100"/>
        <v>95015.490315048723</v>
      </c>
      <c r="BL208" s="28">
        <f t="shared" ca="1" si="99"/>
        <v>2033</v>
      </c>
      <c r="BM208" s="28">
        <f t="shared" ca="1" si="122"/>
        <v>12</v>
      </c>
      <c r="BN208" s="236">
        <f t="shared" ca="1" si="123"/>
        <v>222675.84309908448</v>
      </c>
      <c r="BO208" s="236">
        <f t="shared" ca="1" si="118"/>
        <v>44535.168619816897</v>
      </c>
    </row>
    <row r="209" spans="37:67" x14ac:dyDescent="0.25">
      <c r="AL209" s="28">
        <f>AO209*12+AP209</f>
        <v>216</v>
      </c>
      <c r="AM209" s="28">
        <f ca="1">(12*(Term+1))</f>
        <v>252</v>
      </c>
      <c r="AO209" s="28">
        <f t="shared" si="101"/>
        <v>17</v>
      </c>
      <c r="AP209" s="28">
        <f t="shared" si="102"/>
        <v>12</v>
      </c>
      <c r="AQ209" s="65">
        <f t="shared" ca="1" si="119"/>
        <v>0</v>
      </c>
      <c r="AR209" s="66">
        <f t="shared" ca="1" si="103"/>
        <v>0</v>
      </c>
      <c r="AS209" s="66">
        <f t="shared" ca="1" si="104"/>
        <v>13492.074092531353</v>
      </c>
      <c r="AT209" s="66">
        <f t="shared" ca="1" si="105"/>
        <v>3325142.5808057277</v>
      </c>
      <c r="AU209" s="66">
        <f t="shared" ca="1" si="106"/>
        <v>0</v>
      </c>
      <c r="AV209" s="68">
        <f t="shared" ca="1" si="107"/>
        <v>3317106.8195687807</v>
      </c>
      <c r="AW209" s="65">
        <f t="shared" ca="1" si="108"/>
        <v>8035.7612369471753</v>
      </c>
      <c r="AX209" s="69">
        <f t="shared" ca="1" si="109"/>
        <v>0</v>
      </c>
      <c r="AY209" s="70">
        <f t="shared" ca="1" si="110"/>
        <v>0</v>
      </c>
      <c r="AZ209" s="66">
        <f t="shared" ca="1" si="111"/>
        <v>731.92922442220288</v>
      </c>
      <c r="BA209" s="66">
        <f t="shared" ca="1" si="112"/>
        <v>1385.47607533572</v>
      </c>
      <c r="BB209" s="66">
        <f t="shared" ca="1" si="113"/>
        <v>75.160455117670736</v>
      </c>
      <c r="BC209" s="66">
        <f t="shared" ca="1" si="114"/>
        <v>180385.09228240975</v>
      </c>
      <c r="BD209" s="66">
        <f t="shared" ca="1" si="115"/>
        <v>0</v>
      </c>
      <c r="BE209" s="71">
        <f t="shared" ca="1" si="121"/>
        <v>181409.79817318066</v>
      </c>
      <c r="BF209" s="65">
        <f t="shared" ca="1" si="116"/>
        <v>435.93063968249027</v>
      </c>
      <c r="BG209" s="69">
        <f t="shared" ca="1" si="117"/>
        <v>0</v>
      </c>
      <c r="BH209" s="301">
        <f t="shared" ca="1" si="120"/>
        <v>0</v>
      </c>
      <c r="BI209" s="300">
        <f ca="1">IF(AO209&gt;TartamVálasztott,0,   (BI208+BH209)*(1+yields!$D$2)*(1-(0.0099/12)))</f>
        <v>795276.51173730067</v>
      </c>
      <c r="BJ209" s="300">
        <f ca="1">SUM(BH$6:BH209)*-1.2</f>
        <v>-697688.09375121223</v>
      </c>
      <c r="BK209" s="300">
        <f t="shared" ca="1" si="100"/>
        <v>97588.417986088432</v>
      </c>
      <c r="BL209" s="28">
        <f t="shared" ca="1" si="99"/>
        <v>2034</v>
      </c>
      <c r="BM209" s="28">
        <f t="shared" ca="1" si="122"/>
        <v>1</v>
      </c>
      <c r="BN209" s="236">
        <f t="shared" ca="1" si="123"/>
        <v>0</v>
      </c>
      <c r="BO209" s="236">
        <f t="shared" ca="1" si="118"/>
        <v>0</v>
      </c>
    </row>
    <row r="210" spans="37:67" x14ac:dyDescent="0.25">
      <c r="AK210" s="28">
        <f ca="1">Term</f>
        <v>20</v>
      </c>
      <c r="AL210" s="28">
        <f>AO210*12+AP210</f>
        <v>217</v>
      </c>
      <c r="AM210" s="307">
        <f ca="1">(12*(Term+1)+TöredékHó )</f>
        <v>252</v>
      </c>
      <c r="AO210" s="28">
        <f t="shared" si="101"/>
        <v>18</v>
      </c>
      <c r="AP210" s="28">
        <f t="shared" si="102"/>
        <v>1</v>
      </c>
      <c r="AQ210" s="65">
        <f t="shared" ca="1" si="119"/>
        <v>57060.68479414039</v>
      </c>
      <c r="AR210" s="66">
        <f t="shared" ca="1" si="103"/>
        <v>48501.582075019331</v>
      </c>
      <c r="AS210" s="66">
        <f t="shared" ca="1" si="104"/>
        <v>13711.905235583727</v>
      </c>
      <c r="AT210" s="66">
        <f t="shared" ca="1" si="105"/>
        <v>3379320.306879384</v>
      </c>
      <c r="AU210" s="66">
        <f t="shared" ca="1" si="106"/>
        <v>0</v>
      </c>
      <c r="AV210" s="68">
        <f ca="1">IF( ($AO210*12+$AP210) &gt; (12*(Term+1)+TöredékHó ), 0,
($AT210-$AW210) +$AU210
)</f>
        <v>3371153.6161377588</v>
      </c>
      <c r="AW210" s="65">
        <f t="shared" ca="1" si="108"/>
        <v>8166.6907416251779</v>
      </c>
      <c r="AX210" s="69">
        <f t="shared" ca="1" si="109"/>
        <v>8559.1027191210578</v>
      </c>
      <c r="AY210" s="70">
        <f t="shared" ca="1" si="110"/>
        <v>10533.402412998317</v>
      </c>
      <c r="AZ210" s="66">
        <f t="shared" ca="1" si="111"/>
        <v>782.00035861773836</v>
      </c>
      <c r="BA210" s="66">
        <f t="shared" ca="1" si="112"/>
        <v>1408.0501278664101</v>
      </c>
      <c r="BB210" s="66">
        <f t="shared" ca="1" si="113"/>
        <v>80.302167060331982</v>
      </c>
      <c r="BC210" s="66">
        <f t="shared" ca="1" si="114"/>
        <v>192725.20094479673</v>
      </c>
      <c r="BD210" s="66">
        <f t="shared" ca="1" si="115"/>
        <v>0</v>
      </c>
      <c r="BE210" s="71">
        <f t="shared" ca="1" si="121"/>
        <v>193747.80067077355</v>
      </c>
      <c r="BF210" s="65">
        <f t="shared" ca="1" si="116"/>
        <v>465.75256894992543</v>
      </c>
      <c r="BG210" s="69">
        <f t="shared" ca="1" si="117"/>
        <v>0</v>
      </c>
      <c r="BH210" s="301">
        <f t="shared" ca="1" si="120"/>
        <v>0</v>
      </c>
      <c r="BI210" s="300">
        <f ca="1">IF(AO210&gt;TartamVálasztott,0,   (BI209+BH210)*(1+yields!$D$2)*(1-(0.0099/12)))</f>
        <v>797857.79052082857</v>
      </c>
      <c r="BJ210" s="300">
        <f ca="1">SUM(BH$6:BH210)*-1.2</f>
        <v>-697688.09375121223</v>
      </c>
      <c r="BK210" s="300">
        <f t="shared" ca="1" si="100"/>
        <v>100169.69676961633</v>
      </c>
      <c r="BL210" s="28">
        <f t="shared" ref="BL210:BL273" ca="1" si="124">IF(BM209=12,BL209+1,BL209)</f>
        <v>2034</v>
      </c>
      <c r="BM210" s="28">
        <f t="shared" ca="1" si="122"/>
        <v>2</v>
      </c>
      <c r="BN210" s="236">
        <f t="shared" ca="1" si="123"/>
        <v>0</v>
      </c>
      <c r="BO210" s="236">
        <f t="shared" ca="1" si="118"/>
        <v>0</v>
      </c>
    </row>
    <row r="211" spans="37:67" x14ac:dyDescent="0.25">
      <c r="AL211" s="28">
        <f>AO211*12+AP211</f>
        <v>218</v>
      </c>
      <c r="AM211" s="28">
        <f ca="1">(12*(Term+1))</f>
        <v>252</v>
      </c>
      <c r="AO211" s="28">
        <f t="shared" si="101"/>
        <v>18</v>
      </c>
      <c r="AP211" s="28">
        <f t="shared" si="102"/>
        <v>2</v>
      </c>
      <c r="AQ211" s="65">
        <f t="shared" ca="1" si="119"/>
        <v>0</v>
      </c>
      <c r="AR211" s="66">
        <f t="shared" ca="1" si="103"/>
        <v>0</v>
      </c>
      <c r="AS211" s="66">
        <f t="shared" ca="1" si="104"/>
        <v>13734.497125838994</v>
      </c>
      <c r="AT211" s="66">
        <f t="shared" ca="1" si="105"/>
        <v>3384888.1132635977</v>
      </c>
      <c r="AU211" s="66">
        <f t="shared" ca="1" si="106"/>
        <v>0</v>
      </c>
      <c r="AV211" s="68">
        <f t="shared" ref="AV211:AV274" ca="1" si="125">IF( ($AO211*12+$AP211) &gt; (12*(Term+1) ), 0,
($AT211-$AW211) +$AU211
)</f>
        <v>3376707.9669898772</v>
      </c>
      <c r="AW211" s="65">
        <f t="shared" ca="1" si="108"/>
        <v>8180.1462737203619</v>
      </c>
      <c r="AX211" s="69">
        <f t="shared" ca="1" si="109"/>
        <v>0</v>
      </c>
      <c r="AY211" s="70">
        <f t="shared" ca="1" si="110"/>
        <v>0</v>
      </c>
      <c r="AZ211" s="66">
        <f t="shared" ca="1" si="111"/>
        <v>789.35252274235893</v>
      </c>
      <c r="BA211" s="66">
        <f t="shared" ca="1" si="112"/>
        <v>1410.3700471931659</v>
      </c>
      <c r="BB211" s="66">
        <f t="shared" ca="1" si="113"/>
        <v>81.05714716396497</v>
      </c>
      <c r="BC211" s="66">
        <f t="shared" ca="1" si="114"/>
        <v>194537.1531935159</v>
      </c>
      <c r="BD211" s="66">
        <f t="shared" ca="1" si="115"/>
        <v>0</v>
      </c>
      <c r="BE211" s="71">
        <f t="shared" ca="1" si="121"/>
        <v>195558.44893432202</v>
      </c>
      <c r="BF211" s="65">
        <f t="shared" ca="1" si="116"/>
        <v>470.13145355099681</v>
      </c>
      <c r="BG211" s="69">
        <f t="shared" ca="1" si="117"/>
        <v>0</v>
      </c>
      <c r="BH211" s="301">
        <f t="shared" ca="1" si="120"/>
        <v>0</v>
      </c>
      <c r="BI211" s="300">
        <f ca="1">IF(AO211&gt;TartamVálasztott,0,   (BI210+BH211)*(1+yields!$D$2)*(1-(0.0099/12)))</f>
        <v>800447.44752257364</v>
      </c>
      <c r="BJ211" s="300">
        <f ca="1">SUM(BH$6:BH211)*-1.2</f>
        <v>-697688.09375121223</v>
      </c>
      <c r="BK211" s="300">
        <f t="shared" ca="1" si="100"/>
        <v>102759.35377136141</v>
      </c>
      <c r="BL211" s="28">
        <f t="shared" ca="1" si="124"/>
        <v>2034</v>
      </c>
      <c r="BM211" s="28">
        <f t="shared" ca="1" si="122"/>
        <v>3</v>
      </c>
      <c r="BN211" s="236">
        <f t="shared" ca="1" si="123"/>
        <v>0</v>
      </c>
      <c r="BO211" s="236">
        <f t="shared" ca="1" si="118"/>
        <v>0</v>
      </c>
    </row>
    <row r="212" spans="37:67" x14ac:dyDescent="0.25">
      <c r="AO212" s="28">
        <f t="shared" si="101"/>
        <v>18</v>
      </c>
      <c r="AP212" s="28">
        <f t="shared" si="102"/>
        <v>3</v>
      </c>
      <c r="AQ212" s="65">
        <f t="shared" ca="1" si="119"/>
        <v>0</v>
      </c>
      <c r="AR212" s="66">
        <f t="shared" ca="1" si="103"/>
        <v>0</v>
      </c>
      <c r="AS212" s="66">
        <f t="shared" ca="1" si="104"/>
        <v>13757.126238748338</v>
      </c>
      <c r="AT212" s="66">
        <f t="shared" ca="1" si="105"/>
        <v>3390465.0932286256</v>
      </c>
      <c r="AU212" s="66">
        <f t="shared" ca="1" si="106"/>
        <v>0</v>
      </c>
      <c r="AV212" s="68">
        <f t="shared" ca="1" si="125"/>
        <v>3382271.469253323</v>
      </c>
      <c r="AW212" s="65">
        <f t="shared" ca="1" si="108"/>
        <v>8193.6239753025129</v>
      </c>
      <c r="AX212" s="69">
        <f t="shared" ca="1" si="109"/>
        <v>0</v>
      </c>
      <c r="AY212" s="70">
        <f t="shared" ca="1" si="110"/>
        <v>0</v>
      </c>
      <c r="AZ212" s="66">
        <f t="shared" ca="1" si="111"/>
        <v>796.72932789670335</v>
      </c>
      <c r="BA212" s="66">
        <f t="shared" ca="1" si="112"/>
        <v>1412.6937888452608</v>
      </c>
      <c r="BB212" s="66">
        <f t="shared" ca="1" si="113"/>
        <v>81.814657609257807</v>
      </c>
      <c r="BC212" s="66">
        <f t="shared" ca="1" si="114"/>
        <v>196355.17826221872</v>
      </c>
      <c r="BD212" s="66">
        <f t="shared" ca="1" si="115"/>
        <v>0</v>
      </c>
      <c r="BE212" s="71">
        <f t="shared" ca="1" si="121"/>
        <v>197375.16169453954</v>
      </c>
      <c r="BF212" s="65">
        <f t="shared" ca="1" si="116"/>
        <v>474.52501413369527</v>
      </c>
      <c r="BG212" s="69">
        <f t="shared" ca="1" si="117"/>
        <v>0</v>
      </c>
      <c r="BH212" s="301">
        <f t="shared" ca="1" si="120"/>
        <v>0</v>
      </c>
      <c r="BI212" s="300">
        <f ca="1">IF(AO212&gt;TartamVálasztott,0,   (BI211+BH212)*(1+yields!$D$2)*(1-(0.0099/12)))</f>
        <v>803045.50993624341</v>
      </c>
      <c r="BJ212" s="300">
        <f ca="1">SUM(BH$6:BH212)*-1.2</f>
        <v>-697688.09375121223</v>
      </c>
      <c r="BK212" s="300">
        <f t="shared" ca="1" si="100"/>
        <v>105357.41618503118</v>
      </c>
      <c r="BL212" s="28">
        <f t="shared" ca="1" si="124"/>
        <v>2034</v>
      </c>
      <c r="BM212" s="28">
        <f t="shared" ca="1" si="122"/>
        <v>4</v>
      </c>
      <c r="BN212" s="236">
        <f t="shared" ca="1" si="123"/>
        <v>0</v>
      </c>
      <c r="BO212" s="236">
        <f t="shared" ca="1" si="118"/>
        <v>0</v>
      </c>
    </row>
    <row r="213" spans="37:67" x14ac:dyDescent="0.25">
      <c r="AO213" s="28">
        <f t="shared" si="101"/>
        <v>18</v>
      </c>
      <c r="AP213" s="28">
        <f t="shared" si="102"/>
        <v>4</v>
      </c>
      <c r="AQ213" s="65">
        <f t="shared" ca="1" si="119"/>
        <v>57060.68479414039</v>
      </c>
      <c r="AR213" s="66">
        <f t="shared" ca="1" si="103"/>
        <v>48501.582075019331</v>
      </c>
      <c r="AS213" s="66">
        <f t="shared" ca="1" si="104"/>
        <v>13977.394084716634</v>
      </c>
      <c r="AT213" s="66">
        <f t="shared" ca="1" si="105"/>
        <v>3444750.4454130591</v>
      </c>
      <c r="AU213" s="66">
        <f t="shared" ca="1" si="106"/>
        <v>0</v>
      </c>
      <c r="AV213" s="68">
        <f t="shared" ca="1" si="125"/>
        <v>3436425.6318366444</v>
      </c>
      <c r="AW213" s="65">
        <f t="shared" ca="1" si="108"/>
        <v>8324.8135764148938</v>
      </c>
      <c r="AX213" s="69">
        <f t="shared" ca="1" si="109"/>
        <v>8559.1027191210578</v>
      </c>
      <c r="AY213" s="70">
        <f t="shared" ca="1" si="110"/>
        <v>10533.402412998317</v>
      </c>
      <c r="AZ213" s="66">
        <f t="shared" ca="1" si="111"/>
        <v>847.0452258546984</v>
      </c>
      <c r="BA213" s="66">
        <f t="shared" ca="1" si="112"/>
        <v>1435.3126855887747</v>
      </c>
      <c r="BB213" s="66">
        <f t="shared" ca="1" si="113"/>
        <v>86.981503888913565</v>
      </c>
      <c r="BC213" s="66">
        <f t="shared" ca="1" si="114"/>
        <v>208755.60933339255</v>
      </c>
      <c r="BD213" s="66">
        <f t="shared" ca="1" si="115"/>
        <v>0</v>
      </c>
      <c r="BE213" s="71">
        <f t="shared" ca="1" si="121"/>
        <v>209773.41080031454</v>
      </c>
      <c r="BF213" s="65">
        <f t="shared" ca="1" si="116"/>
        <v>504.49272255569872</v>
      </c>
      <c r="BG213" s="69">
        <f t="shared" ca="1" si="117"/>
        <v>0</v>
      </c>
      <c r="BH213" s="301">
        <f t="shared" ca="1" si="120"/>
        <v>0</v>
      </c>
      <c r="BI213" s="300">
        <f ca="1">IF(AO213&gt;TartamVálasztott,0,   (BI212+BH213)*(1+yields!$D$2)*(1-(0.0099/12)))</f>
        <v>805652.00504380988</v>
      </c>
      <c r="BJ213" s="300">
        <f ca="1">SUM(BH$6:BH213)*-1.2</f>
        <v>-697688.09375121223</v>
      </c>
      <c r="BK213" s="300">
        <f t="shared" ca="1" si="100"/>
        <v>107963.91129259765</v>
      </c>
      <c r="BL213" s="28">
        <f t="shared" ca="1" si="124"/>
        <v>2034</v>
      </c>
      <c r="BM213" s="28">
        <f t="shared" ca="1" si="122"/>
        <v>5</v>
      </c>
      <c r="BN213" s="236">
        <f t="shared" ca="1" si="123"/>
        <v>0</v>
      </c>
      <c r="BO213" s="236">
        <f t="shared" ca="1" si="118"/>
        <v>0</v>
      </c>
    </row>
    <row r="214" spans="37:67" x14ac:dyDescent="0.25">
      <c r="AO214" s="28">
        <f t="shared" si="101"/>
        <v>18</v>
      </c>
      <c r="AP214" s="28">
        <f t="shared" si="102"/>
        <v>5</v>
      </c>
      <c r="AQ214" s="65">
        <f t="shared" ca="1" si="119"/>
        <v>0</v>
      </c>
      <c r="AR214" s="66">
        <f t="shared" ca="1" si="103"/>
        <v>0</v>
      </c>
      <c r="AS214" s="66">
        <f t="shared" ca="1" si="104"/>
        <v>14000.423397404493</v>
      </c>
      <c r="AT214" s="66">
        <f t="shared" ca="1" si="105"/>
        <v>3450426.055234049</v>
      </c>
      <c r="AU214" s="66">
        <f t="shared" ca="1" si="106"/>
        <v>0</v>
      </c>
      <c r="AV214" s="68">
        <f t="shared" ca="1" si="125"/>
        <v>3442087.5256005665</v>
      </c>
      <c r="AW214" s="65">
        <f t="shared" ca="1" si="108"/>
        <v>8338.5296334822851</v>
      </c>
      <c r="AX214" s="69">
        <f t="shared" ca="1" si="109"/>
        <v>0</v>
      </c>
      <c r="AY214" s="70">
        <f t="shared" ca="1" si="110"/>
        <v>0</v>
      </c>
      <c r="AZ214" s="66">
        <f t="shared" ca="1" si="111"/>
        <v>854.64284211859786</v>
      </c>
      <c r="BA214" s="66">
        <f t="shared" ca="1" si="112"/>
        <v>1437.6775230141873</v>
      </c>
      <c r="BB214" s="66">
        <f t="shared" ca="1" si="113"/>
        <v>87.761689017680482</v>
      </c>
      <c r="BC214" s="66">
        <f t="shared" ca="1" si="114"/>
        <v>210628.05364243314</v>
      </c>
      <c r="BD214" s="66">
        <f t="shared" ca="1" si="115"/>
        <v>0</v>
      </c>
      <c r="BE214" s="71">
        <f t="shared" ca="1" si="121"/>
        <v>211644.47505816247</v>
      </c>
      <c r="BF214" s="65">
        <f t="shared" ca="1" si="116"/>
        <v>509.0177963025468</v>
      </c>
      <c r="BG214" s="69">
        <f t="shared" ca="1" si="117"/>
        <v>0</v>
      </c>
      <c r="BH214" s="301">
        <f t="shared" ca="1" si="120"/>
        <v>44535.168619816897</v>
      </c>
      <c r="BI214" s="300">
        <f ca="1">IF(AO214&gt;TartamVálasztott,0,   (BI213+BH214)*(1+yields!$D$2)*(1-(0.0099/12)))</f>
        <v>852946.67942170752</v>
      </c>
      <c r="BJ214" s="300">
        <f ca="1">SUM(BH$6:BH214)*-1.2</f>
        <v>-751130.29609499255</v>
      </c>
      <c r="BK214" s="300">
        <f t="shared" ca="1" si="100"/>
        <v>101816.38332671497</v>
      </c>
      <c r="BL214" s="28">
        <f t="shared" ca="1" si="124"/>
        <v>2034</v>
      </c>
      <c r="BM214" s="28">
        <f t="shared" ca="1" si="122"/>
        <v>6</v>
      </c>
      <c r="BN214" s="236">
        <f t="shared" ca="1" si="123"/>
        <v>0</v>
      </c>
      <c r="BO214" s="236">
        <f t="shared" ca="1" si="118"/>
        <v>0</v>
      </c>
    </row>
    <row r="215" spans="37:67" x14ac:dyDescent="0.25">
      <c r="AO215" s="28">
        <f t="shared" si="101"/>
        <v>18</v>
      </c>
      <c r="AP215" s="28">
        <f t="shared" si="102"/>
        <v>6</v>
      </c>
      <c r="AQ215" s="65">
        <f t="shared" ca="1" si="119"/>
        <v>0</v>
      </c>
      <c r="AR215" s="66">
        <f t="shared" ca="1" si="103"/>
        <v>0</v>
      </c>
      <c r="AS215" s="66">
        <f t="shared" ca="1" si="104"/>
        <v>14023.490653448578</v>
      </c>
      <c r="AT215" s="66">
        <f t="shared" ca="1" si="105"/>
        <v>3456111.0162540153</v>
      </c>
      <c r="AU215" s="66">
        <f t="shared" ca="1" si="106"/>
        <v>0</v>
      </c>
      <c r="AV215" s="68">
        <f t="shared" ca="1" si="125"/>
        <v>3447758.7479647347</v>
      </c>
      <c r="AW215" s="65">
        <f t="shared" ca="1" si="108"/>
        <v>8352.2682892805369</v>
      </c>
      <c r="AX215" s="69">
        <f t="shared" ca="1" si="109"/>
        <v>0</v>
      </c>
      <c r="AY215" s="70">
        <f t="shared" ca="1" si="110"/>
        <v>0</v>
      </c>
      <c r="AZ215" s="66">
        <f t="shared" ca="1" si="111"/>
        <v>862.26578951223041</v>
      </c>
      <c r="BA215" s="66">
        <f t="shared" ca="1" si="112"/>
        <v>1440.0462567725065</v>
      </c>
      <c r="BB215" s="66">
        <f t="shared" ca="1" si="113"/>
        <v>88.544475353197797</v>
      </c>
      <c r="BC215" s="66">
        <f t="shared" ca="1" si="114"/>
        <v>212506.74084767469</v>
      </c>
      <c r="BD215" s="66">
        <f t="shared" ca="1" si="115"/>
        <v>0</v>
      </c>
      <c r="BE215" s="71">
        <f t="shared" ca="1" si="121"/>
        <v>213521.77362275185</v>
      </c>
      <c r="BF215" s="65">
        <f t="shared" ca="1" si="116"/>
        <v>513.55795704854722</v>
      </c>
      <c r="BG215" s="69">
        <f t="shared" ca="1" si="117"/>
        <v>0</v>
      </c>
      <c r="BH215" s="301">
        <f t="shared" ca="1" si="120"/>
        <v>0</v>
      </c>
      <c r="BI215" s="300">
        <f ca="1">IF(AO215&gt;TartamVálasztott,0,   (BI214+BH215)*(1+yields!$D$2)*(1-(0.0099/12)))</f>
        <v>855715.14188045938</v>
      </c>
      <c r="BJ215" s="300">
        <f ca="1">SUM(BH$6:BH215)*-1.2</f>
        <v>-751130.29609499255</v>
      </c>
      <c r="BK215" s="300">
        <f t="shared" ref="BK215:BK278" ca="1" si="126">BI215+BJ215</f>
        <v>104584.84578546684</v>
      </c>
      <c r="BL215" s="28">
        <f t="shared" ca="1" si="124"/>
        <v>2034</v>
      </c>
      <c r="BM215" s="28">
        <f t="shared" ca="1" si="122"/>
        <v>7</v>
      </c>
      <c r="BN215" s="236">
        <f t="shared" ca="1" si="123"/>
        <v>0</v>
      </c>
      <c r="BO215" s="236">
        <f t="shared" ca="1" si="118"/>
        <v>0</v>
      </c>
    </row>
    <row r="216" spans="37:67" x14ac:dyDescent="0.25">
      <c r="AO216" s="28">
        <f t="shared" si="101"/>
        <v>18</v>
      </c>
      <c r="AP216" s="28">
        <f t="shared" si="102"/>
        <v>7</v>
      </c>
      <c r="AQ216" s="65">
        <f t="shared" ca="1" si="119"/>
        <v>57060.68479414039</v>
      </c>
      <c r="AR216" s="66">
        <f t="shared" ca="1" si="103"/>
        <v>48501.582075019331</v>
      </c>
      <c r="AS216" s="66">
        <f t="shared" ca="1" si="104"/>
        <v>14244.197364441205</v>
      </c>
      <c r="AT216" s="66">
        <f t="shared" ca="1" si="105"/>
        <v>3510504.5274041952</v>
      </c>
      <c r="AU216" s="66">
        <f t="shared" ca="1" si="106"/>
        <v>0</v>
      </c>
      <c r="AV216" s="68">
        <f t="shared" ca="1" si="125"/>
        <v>3502020.8081296352</v>
      </c>
      <c r="AW216" s="65">
        <f t="shared" ca="1" si="108"/>
        <v>8483.7192745601387</v>
      </c>
      <c r="AX216" s="69">
        <f t="shared" ca="1" si="109"/>
        <v>8559.1027191210578</v>
      </c>
      <c r="AY216" s="70">
        <f t="shared" ca="1" si="110"/>
        <v>10533.402412998317</v>
      </c>
      <c r="AZ216" s="66">
        <f t="shared" ca="1" si="111"/>
        <v>912.82852153676833</v>
      </c>
      <c r="BA216" s="66">
        <f t="shared" ca="1" si="112"/>
        <v>1462.7102197517481</v>
      </c>
      <c r="BB216" s="66">
        <f t="shared" ca="1" si="113"/>
        <v>93.736668565536235</v>
      </c>
      <c r="BC216" s="66">
        <f t="shared" ca="1" si="114"/>
        <v>224968.00455728694</v>
      </c>
      <c r="BD216" s="66">
        <f t="shared" ca="1" si="115"/>
        <v>0</v>
      </c>
      <c r="BE216" s="71">
        <f t="shared" ca="1" si="121"/>
        <v>225980.77876792412</v>
      </c>
      <c r="BF216" s="65">
        <f t="shared" ca="1" si="116"/>
        <v>543.67267768011016</v>
      </c>
      <c r="BG216" s="69">
        <f t="shared" ca="1" si="117"/>
        <v>0</v>
      </c>
      <c r="BH216" s="301">
        <f t="shared" ca="1" si="120"/>
        <v>0</v>
      </c>
      <c r="BI216" s="300">
        <f ca="1">IF(AO216&gt;TartamVálasztott,0,   (BI215+BH216)*(1+yields!$D$2)*(1-(0.0099/12)))</f>
        <v>858492.59011120663</v>
      </c>
      <c r="BJ216" s="300">
        <f ca="1">SUM(BH$6:BH216)*-1.2</f>
        <v>-751130.29609499255</v>
      </c>
      <c r="BK216" s="300">
        <f t="shared" ca="1" si="126"/>
        <v>107362.29401621409</v>
      </c>
      <c r="BL216" s="28">
        <f t="shared" ca="1" si="124"/>
        <v>2034</v>
      </c>
      <c r="BM216" s="28">
        <f t="shared" ca="1" si="122"/>
        <v>8</v>
      </c>
      <c r="BN216" s="236">
        <f t="shared" ca="1" si="123"/>
        <v>0</v>
      </c>
      <c r="BO216" s="236">
        <f t="shared" ca="1" si="118"/>
        <v>0</v>
      </c>
    </row>
    <row r="217" spans="37:67" x14ac:dyDescent="0.25">
      <c r="AO217" s="28">
        <f t="shared" si="101"/>
        <v>18</v>
      </c>
      <c r="AP217" s="28">
        <f t="shared" si="102"/>
        <v>8</v>
      </c>
      <c r="AQ217" s="65">
        <f t="shared" ca="1" si="119"/>
        <v>0</v>
      </c>
      <c r="AR217" s="66">
        <f t="shared" ca="1" si="103"/>
        <v>0</v>
      </c>
      <c r="AS217" s="66">
        <f t="shared" ca="1" si="104"/>
        <v>14267.666265232374</v>
      </c>
      <c r="AT217" s="66">
        <f t="shared" ca="1" si="105"/>
        <v>3516288.4743948677</v>
      </c>
      <c r="AU217" s="66">
        <f t="shared" ca="1" si="106"/>
        <v>0</v>
      </c>
      <c r="AV217" s="68">
        <f t="shared" ca="1" si="125"/>
        <v>3507790.7772484133</v>
      </c>
      <c r="AW217" s="65">
        <f t="shared" ca="1" si="108"/>
        <v>8497.6971464542639</v>
      </c>
      <c r="AX217" s="69">
        <f t="shared" ca="1" si="109"/>
        <v>0</v>
      </c>
      <c r="AY217" s="70">
        <f t="shared" ca="1" si="110"/>
        <v>0</v>
      </c>
      <c r="AZ217" s="66">
        <f t="shared" ca="1" si="111"/>
        <v>920.67366542577645</v>
      </c>
      <c r="BA217" s="66">
        <f t="shared" ca="1" si="112"/>
        <v>1465.1201976645282</v>
      </c>
      <c r="BB217" s="66">
        <f t="shared" ca="1" si="113"/>
        <v>94.542271847229131</v>
      </c>
      <c r="BC217" s="66">
        <f t="shared" ca="1" si="114"/>
        <v>226901.45243334988</v>
      </c>
      <c r="BD217" s="66">
        <f t="shared" ca="1" si="115"/>
        <v>0</v>
      </c>
      <c r="BE217" s="71">
        <f t="shared" ca="1" si="121"/>
        <v>227912.76972614773</v>
      </c>
      <c r="BF217" s="65">
        <f t="shared" ca="1" si="116"/>
        <v>548.34517671392894</v>
      </c>
      <c r="BG217" s="69">
        <f t="shared" ca="1" si="117"/>
        <v>0</v>
      </c>
      <c r="BH217" s="301">
        <f t="shared" ca="1" si="120"/>
        <v>0</v>
      </c>
      <c r="BI217" s="300">
        <f ca="1">IF(AO217&gt;TartamVálasztott,0,   (BI216+BH217)*(1+yields!$D$2)*(1-(0.0099/12)))</f>
        <v>861279.05327963235</v>
      </c>
      <c r="BJ217" s="300">
        <f ca="1">SUM(BH$6:BH217)*-1.2</f>
        <v>-751130.29609499255</v>
      </c>
      <c r="BK217" s="300">
        <f t="shared" ca="1" si="126"/>
        <v>110148.75718463981</v>
      </c>
      <c r="BL217" s="28">
        <f t="shared" ca="1" si="124"/>
        <v>2034</v>
      </c>
      <c r="BM217" s="28">
        <f t="shared" ca="1" si="122"/>
        <v>9</v>
      </c>
      <c r="BN217" s="236">
        <f t="shared" ca="1" si="123"/>
        <v>0</v>
      </c>
      <c r="BO217" s="236">
        <f t="shared" ca="1" si="118"/>
        <v>0</v>
      </c>
    </row>
    <row r="218" spans="37:67" x14ac:dyDescent="0.25">
      <c r="AO218" s="28">
        <f t="shared" si="101"/>
        <v>18</v>
      </c>
      <c r="AP218" s="28">
        <f t="shared" si="102"/>
        <v>9</v>
      </c>
      <c r="AQ218" s="65">
        <f t="shared" ca="1" si="119"/>
        <v>0</v>
      </c>
      <c r="AR218" s="66">
        <f t="shared" ca="1" si="103"/>
        <v>0</v>
      </c>
      <c r="AS218" s="66">
        <f t="shared" ca="1" si="104"/>
        <v>14291.173833650104</v>
      </c>
      <c r="AT218" s="66">
        <f t="shared" ca="1" si="105"/>
        <v>3522081.9510820634</v>
      </c>
      <c r="AU218" s="66">
        <f t="shared" ca="1" si="106"/>
        <v>0</v>
      </c>
      <c r="AV218" s="68">
        <f t="shared" ca="1" si="125"/>
        <v>3513570.2530336152</v>
      </c>
      <c r="AW218" s="65">
        <f t="shared" ca="1" si="108"/>
        <v>8511.6980484483211</v>
      </c>
      <c r="AX218" s="69">
        <f t="shared" ca="1" si="109"/>
        <v>0</v>
      </c>
      <c r="AY218" s="70">
        <f t="shared" ca="1" si="110"/>
        <v>0</v>
      </c>
      <c r="AZ218" s="66">
        <f t="shared" ca="1" si="111"/>
        <v>928.54483573846892</v>
      </c>
      <c r="BA218" s="66">
        <f t="shared" ca="1" si="112"/>
        <v>1467.5341462841932</v>
      </c>
      <c r="BB218" s="66">
        <f t="shared" ca="1" si="113"/>
        <v>95.350547734119246</v>
      </c>
      <c r="BC218" s="66">
        <f t="shared" ca="1" si="114"/>
        <v>228841.31456188619</v>
      </c>
      <c r="BD218" s="66">
        <f t="shared" ca="1" si="115"/>
        <v>0</v>
      </c>
      <c r="BE218" s="71">
        <f t="shared" ca="1" si="121"/>
        <v>229851.16607904661</v>
      </c>
      <c r="BF218" s="65">
        <f t="shared" ca="1" si="116"/>
        <v>553.0331768578917</v>
      </c>
      <c r="BG218" s="69">
        <f t="shared" ca="1" si="117"/>
        <v>0</v>
      </c>
      <c r="BH218" s="301">
        <f t="shared" ca="1" si="120"/>
        <v>0</v>
      </c>
      <c r="BI218" s="300">
        <f ca="1">IF(AO218&gt;TartamVálasztott,0,   (BI217+BH218)*(1+yields!$D$2)*(1-(0.0099/12)))</f>
        <v>864074.56064608425</v>
      </c>
      <c r="BJ218" s="300">
        <f ca="1">SUM(BH$6:BH218)*-1.2</f>
        <v>-751130.29609499255</v>
      </c>
      <c r="BK218" s="300">
        <f t="shared" ca="1" si="126"/>
        <v>112944.26455109171</v>
      </c>
      <c r="BL218" s="28">
        <f t="shared" ca="1" si="124"/>
        <v>2034</v>
      </c>
      <c r="BM218" s="28">
        <f t="shared" ca="1" si="122"/>
        <v>10</v>
      </c>
      <c r="BN218" s="236">
        <f t="shared" ca="1" si="123"/>
        <v>0</v>
      </c>
      <c r="BO218" s="236">
        <f t="shared" ca="1" si="118"/>
        <v>0</v>
      </c>
    </row>
    <row r="219" spans="37:67" x14ac:dyDescent="0.25">
      <c r="AO219" s="28">
        <f t="shared" si="101"/>
        <v>18</v>
      </c>
      <c r="AP219" s="28">
        <f t="shared" si="102"/>
        <v>10</v>
      </c>
      <c r="AQ219" s="65">
        <f t="shared" ca="1" si="119"/>
        <v>57060.68479414039</v>
      </c>
      <c r="AR219" s="66">
        <f t="shared" ca="1" si="103"/>
        <v>48501.582075019331</v>
      </c>
      <c r="AS219" s="66">
        <f t="shared" ca="1" si="104"/>
        <v>14512.321582480025</v>
      </c>
      <c r="AT219" s="66">
        <f t="shared" ca="1" si="105"/>
        <v>3576584.1566911144</v>
      </c>
      <c r="AU219" s="66">
        <f t="shared" ca="1" si="106"/>
        <v>0</v>
      </c>
      <c r="AV219" s="68">
        <f t="shared" ca="1" si="125"/>
        <v>3567940.744979111</v>
      </c>
      <c r="AW219" s="65">
        <f t="shared" ca="1" si="108"/>
        <v>8643.4117120035262</v>
      </c>
      <c r="AX219" s="69">
        <f t="shared" ca="1" si="109"/>
        <v>8559.1027191210578</v>
      </c>
      <c r="AY219" s="70">
        <f t="shared" ca="1" si="110"/>
        <v>10533.402412998317</v>
      </c>
      <c r="AZ219" s="66">
        <f t="shared" ca="1" si="111"/>
        <v>979.35648771548688</v>
      </c>
      <c r="BA219" s="66">
        <f t="shared" ca="1" si="112"/>
        <v>1490.2433986212977</v>
      </c>
      <c r="BB219" s="66">
        <f t="shared" ca="1" si="113"/>
        <v>100.56830207490019</v>
      </c>
      <c r="BC219" s="66">
        <f t="shared" ca="1" si="114"/>
        <v>241363.92497976043</v>
      </c>
      <c r="BD219" s="66">
        <f t="shared" ca="1" si="115"/>
        <v>0</v>
      </c>
      <c r="BE219" s="71">
        <f t="shared" ca="1" si="121"/>
        <v>242371.44052842219</v>
      </c>
      <c r="BF219" s="65">
        <f t="shared" ca="1" si="116"/>
        <v>583.29615203442108</v>
      </c>
      <c r="BG219" s="69">
        <f t="shared" ca="1" si="117"/>
        <v>0</v>
      </c>
      <c r="BH219" s="301">
        <f t="shared" ca="1" si="120"/>
        <v>0</v>
      </c>
      <c r="BI219" s="300">
        <f ca="1">IF(AO219&gt;TartamVálasztott,0,   (BI218+BH219)*(1+yields!$D$2)*(1-(0.0099/12)))</f>
        <v>866879.14156588237</v>
      </c>
      <c r="BJ219" s="300">
        <f ca="1">SUM(BH$6:BH219)*-1.2</f>
        <v>-751130.29609499255</v>
      </c>
      <c r="BK219" s="300">
        <f t="shared" ca="1" si="126"/>
        <v>115748.84547088982</v>
      </c>
      <c r="BL219" s="28">
        <f t="shared" ca="1" si="124"/>
        <v>2034</v>
      </c>
      <c r="BM219" s="28">
        <f t="shared" ca="1" si="122"/>
        <v>11</v>
      </c>
      <c r="BN219" s="236">
        <f t="shared" ca="1" si="123"/>
        <v>0</v>
      </c>
      <c r="BO219" s="236">
        <f t="shared" ca="1" si="118"/>
        <v>0</v>
      </c>
    </row>
    <row r="220" spans="37:67" x14ac:dyDescent="0.25">
      <c r="AO220" s="28">
        <f t="shared" si="101"/>
        <v>18</v>
      </c>
      <c r="AP220" s="28">
        <f t="shared" si="102"/>
        <v>11</v>
      </c>
      <c r="AQ220" s="65">
        <f t="shared" ca="1" si="119"/>
        <v>0</v>
      </c>
      <c r="AR220" s="66">
        <f t="shared" ca="1" si="103"/>
        <v>0</v>
      </c>
      <c r="AS220" s="66">
        <f t="shared" ca="1" si="104"/>
        <v>14536.232247767421</v>
      </c>
      <c r="AT220" s="66">
        <f t="shared" ca="1" si="105"/>
        <v>3582476.9772268785</v>
      </c>
      <c r="AU220" s="66">
        <f t="shared" ca="1" si="106"/>
        <v>0</v>
      </c>
      <c r="AV220" s="68">
        <f t="shared" ca="1" si="125"/>
        <v>3573819.3245319137</v>
      </c>
      <c r="AW220" s="65">
        <f t="shared" ca="1" si="108"/>
        <v>8657.652694964956</v>
      </c>
      <c r="AX220" s="69">
        <f t="shared" ca="1" si="109"/>
        <v>0</v>
      </c>
      <c r="AY220" s="70">
        <f t="shared" ca="1" si="110"/>
        <v>0</v>
      </c>
      <c r="AZ220" s="66">
        <f t="shared" ca="1" si="111"/>
        <v>987.45125033395732</v>
      </c>
      <c r="BA220" s="66">
        <f t="shared" ca="1" si="112"/>
        <v>1492.6987405111995</v>
      </c>
      <c r="BB220" s="66">
        <f t="shared" ca="1" si="113"/>
        <v>101.39953824114839</v>
      </c>
      <c r="BC220" s="66">
        <f t="shared" ca="1" si="114"/>
        <v>243358.89177875614</v>
      </c>
      <c r="BD220" s="66">
        <f t="shared" ca="1" si="115"/>
        <v>0</v>
      </c>
      <c r="BE220" s="71">
        <f t="shared" ca="1" si="121"/>
        <v>244364.87273570983</v>
      </c>
      <c r="BF220" s="65">
        <f t="shared" ca="1" si="116"/>
        <v>588.11732179866067</v>
      </c>
      <c r="BG220" s="69">
        <f t="shared" ca="1" si="117"/>
        <v>0</v>
      </c>
      <c r="BH220" s="301">
        <f t="shared" ca="1" si="120"/>
        <v>0</v>
      </c>
      <c r="BI220" s="300">
        <f ca="1">IF(AO220&gt;TartamVálasztott,0,   (BI219+BH220)*(1+yields!$D$2)*(1-(0.0099/12)))</f>
        <v>869692.82548962696</v>
      </c>
      <c r="BJ220" s="300">
        <f ca="1">SUM(BH$6:BH220)*-1.2</f>
        <v>-751130.29609499255</v>
      </c>
      <c r="BK220" s="300">
        <f t="shared" ca="1" si="126"/>
        <v>118562.52939463442</v>
      </c>
      <c r="BL220" s="28">
        <f t="shared" ca="1" si="124"/>
        <v>2034</v>
      </c>
      <c r="BM220" s="28">
        <f t="shared" ca="1" si="122"/>
        <v>12</v>
      </c>
      <c r="BN220" s="236">
        <f t="shared" ca="1" si="123"/>
        <v>228242.73917656156</v>
      </c>
      <c r="BO220" s="236">
        <f t="shared" ca="1" si="118"/>
        <v>45648.547835312318</v>
      </c>
    </row>
    <row r="221" spans="37:67" x14ac:dyDescent="0.25">
      <c r="AO221" s="28">
        <f t="shared" si="101"/>
        <v>18</v>
      </c>
      <c r="AP221" s="28">
        <f t="shared" si="102"/>
        <v>12</v>
      </c>
      <c r="AQ221" s="65">
        <f t="shared" ca="1" si="119"/>
        <v>0</v>
      </c>
      <c r="AR221" s="66">
        <f t="shared" ca="1" si="103"/>
        <v>0</v>
      </c>
      <c r="AS221" s="66">
        <f t="shared" ca="1" si="104"/>
        <v>14560.182308537564</v>
      </c>
      <c r="AT221" s="66">
        <f t="shared" ca="1" si="105"/>
        <v>3588379.5068404512</v>
      </c>
      <c r="AU221" s="66">
        <f t="shared" ca="1" si="106"/>
        <v>0</v>
      </c>
      <c r="AV221" s="68">
        <f t="shared" ca="1" si="125"/>
        <v>3579707.58969892</v>
      </c>
      <c r="AW221" s="65">
        <f t="shared" ca="1" si="108"/>
        <v>8671.9171415310902</v>
      </c>
      <c r="AX221" s="69">
        <f t="shared" ca="1" si="109"/>
        <v>0</v>
      </c>
      <c r="AY221" s="70">
        <f t="shared" ca="1" si="110"/>
        <v>0</v>
      </c>
      <c r="AZ221" s="66">
        <f t="shared" ca="1" si="111"/>
        <v>995.57273990075851</v>
      </c>
      <c r="BA221" s="66">
        <f t="shared" ca="1" si="112"/>
        <v>1495.1581278501881</v>
      </c>
      <c r="BB221" s="66">
        <f t="shared" ca="1" si="113"/>
        <v>102.23351894817108</v>
      </c>
      <c r="BC221" s="66">
        <f t="shared" ca="1" si="114"/>
        <v>245360.44547561058</v>
      </c>
      <c r="BD221" s="66">
        <f t="shared" ca="1" si="115"/>
        <v>0</v>
      </c>
      <c r="BE221" s="71">
        <f t="shared" ca="1" si="121"/>
        <v>246364.88271250954</v>
      </c>
      <c r="BF221" s="65">
        <f t="shared" ca="1" si="116"/>
        <v>592.95440989939232</v>
      </c>
      <c r="BG221" s="69">
        <f t="shared" ca="1" si="117"/>
        <v>0</v>
      </c>
      <c r="BH221" s="301">
        <f t="shared" ca="1" si="120"/>
        <v>0</v>
      </c>
      <c r="BI221" s="300">
        <f ca="1">IF(AO221&gt;TartamVálasztott,0,   (BI220+BH221)*(1+yields!$D$2)*(1-(0.0099/12)))</f>
        <v>872515.64196350821</v>
      </c>
      <c r="BJ221" s="300">
        <f ca="1">SUM(BH$6:BH221)*-1.2</f>
        <v>-751130.29609499255</v>
      </c>
      <c r="BK221" s="300">
        <f t="shared" ca="1" si="126"/>
        <v>121385.34586851567</v>
      </c>
      <c r="BL221" s="28">
        <f t="shared" ca="1" si="124"/>
        <v>2035</v>
      </c>
      <c r="BM221" s="28">
        <f t="shared" ca="1" si="122"/>
        <v>1</v>
      </c>
      <c r="BN221" s="236">
        <f t="shared" ca="1" si="123"/>
        <v>0</v>
      </c>
      <c r="BO221" s="236">
        <f t="shared" ca="1" si="118"/>
        <v>0</v>
      </c>
    </row>
    <row r="222" spans="37:67" x14ac:dyDescent="0.25">
      <c r="AO222" s="28">
        <f t="shared" si="101"/>
        <v>19</v>
      </c>
      <c r="AP222" s="28">
        <f t="shared" si="102"/>
        <v>1</v>
      </c>
      <c r="AQ222" s="65">
        <f t="shared" ca="1" si="119"/>
        <v>58487.2019139939</v>
      </c>
      <c r="AR222" s="66">
        <f t="shared" ca="1" si="103"/>
        <v>49714.121626894812</v>
      </c>
      <c r="AS222" s="66">
        <f t="shared" ca="1" si="104"/>
        <v>14786.713315002211</v>
      </c>
      <c r="AT222" s="66">
        <f t="shared" ca="1" si="105"/>
        <v>3644208.4246408171</v>
      </c>
      <c r="AU222" s="66">
        <f t="shared" ca="1" si="106"/>
        <v>0</v>
      </c>
      <c r="AV222" s="68">
        <f t="shared" ca="1" si="125"/>
        <v>3635401.5876146019</v>
      </c>
      <c r="AW222" s="65">
        <f t="shared" ca="1" si="108"/>
        <v>8806.8370262153076</v>
      </c>
      <c r="AX222" s="69">
        <f t="shared" ca="1" si="109"/>
        <v>8773.0802870990847</v>
      </c>
      <c r="AY222" s="70">
        <f t="shared" ca="1" si="110"/>
        <v>11171.055565572835</v>
      </c>
      <c r="AZ222" s="66">
        <f t="shared" ca="1" si="111"/>
        <v>1049.2332912829297</v>
      </c>
      <c r="BA222" s="66">
        <f t="shared" ca="1" si="112"/>
        <v>1518.4201769336739</v>
      </c>
      <c r="BB222" s="66">
        <f t="shared" ca="1" si="113"/>
        <v>107.74382148723555</v>
      </c>
      <c r="BC222" s="66">
        <f t="shared" ca="1" si="114"/>
        <v>258585.17156936531</v>
      </c>
      <c r="BD222" s="66">
        <f t="shared" ca="1" si="115"/>
        <v>0</v>
      </c>
      <c r="BE222" s="71">
        <f t="shared" ca="1" si="121"/>
        <v>259586.42140316026</v>
      </c>
      <c r="BF222" s="65">
        <f t="shared" ca="1" si="116"/>
        <v>624.91416462596624</v>
      </c>
      <c r="BG222" s="69">
        <f t="shared" ca="1" si="117"/>
        <v>0</v>
      </c>
      <c r="BH222" s="301">
        <f t="shared" ca="1" si="120"/>
        <v>0</v>
      </c>
      <c r="BI222" s="300">
        <f ca="1">IF(AO222&gt;TartamVálasztott,0,   (BI221+BH222)*(1+yields!$D$2)*(1-(0.0099/12)))</f>
        <v>875347.62062961608</v>
      </c>
      <c r="BJ222" s="300">
        <f ca="1">SUM(BH$6:BH222)*-1.2</f>
        <v>-751130.29609499255</v>
      </c>
      <c r="BK222" s="300">
        <f t="shared" ca="1" si="126"/>
        <v>124217.32453462353</v>
      </c>
      <c r="BL222" s="28">
        <f t="shared" ca="1" si="124"/>
        <v>2035</v>
      </c>
      <c r="BM222" s="28">
        <f t="shared" ca="1" si="122"/>
        <v>2</v>
      </c>
      <c r="BN222" s="236">
        <f t="shared" ca="1" si="123"/>
        <v>0</v>
      </c>
      <c r="BO222" s="236">
        <f t="shared" ca="1" si="118"/>
        <v>0</v>
      </c>
    </row>
    <row r="223" spans="37:67" x14ac:dyDescent="0.25">
      <c r="AO223" s="28">
        <f t="shared" si="101"/>
        <v>19</v>
      </c>
      <c r="AP223" s="28">
        <f t="shared" si="102"/>
        <v>2</v>
      </c>
      <c r="AQ223" s="65">
        <f t="shared" ca="1" si="119"/>
        <v>0</v>
      </c>
      <c r="AR223" s="66">
        <f t="shared" ca="1" si="103"/>
        <v>0</v>
      </c>
      <c r="AS223" s="66">
        <f t="shared" ca="1" si="104"/>
        <v>14811.076071213633</v>
      </c>
      <c r="AT223" s="66">
        <f t="shared" ca="1" si="105"/>
        <v>3650212.6636858154</v>
      </c>
      <c r="AU223" s="66">
        <f t="shared" ca="1" si="106"/>
        <v>0</v>
      </c>
      <c r="AV223" s="68">
        <f t="shared" ca="1" si="125"/>
        <v>3641391.3164152415</v>
      </c>
      <c r="AW223" s="65">
        <f t="shared" ca="1" si="108"/>
        <v>8821.3472705740551</v>
      </c>
      <c r="AX223" s="69">
        <f t="shared" ca="1" si="109"/>
        <v>0</v>
      </c>
      <c r="AY223" s="70">
        <f t="shared" ca="1" si="110"/>
        <v>0</v>
      </c>
      <c r="AZ223" s="66">
        <f t="shared" ca="1" si="111"/>
        <v>1057.5872133507792</v>
      </c>
      <c r="BA223" s="66">
        <f t="shared" ca="1" si="112"/>
        <v>1520.9219432024231</v>
      </c>
      <c r="BB223" s="66">
        <f t="shared" ca="1" si="113"/>
        <v>108.6016702568796</v>
      </c>
      <c r="BC223" s="66">
        <f t="shared" ca="1" si="114"/>
        <v>260644.00861651104</v>
      </c>
      <c r="BD223" s="66">
        <f t="shared" ca="1" si="115"/>
        <v>0</v>
      </c>
      <c r="BE223" s="71">
        <f t="shared" ca="1" si="121"/>
        <v>261643.64254248046</v>
      </c>
      <c r="BF223" s="65">
        <f t="shared" ca="1" si="116"/>
        <v>629.88968748990169</v>
      </c>
      <c r="BG223" s="69">
        <f t="shared" ca="1" si="117"/>
        <v>0</v>
      </c>
      <c r="BH223" s="301">
        <f t="shared" ca="1" si="120"/>
        <v>0</v>
      </c>
      <c r="BI223" s="300">
        <f ca="1">IF(AO223&gt;TartamVálasztott,0,   (BI222+BH223)*(1+yields!$D$2)*(1-(0.0099/12)))</f>
        <v>878188.79122625163</v>
      </c>
      <c r="BJ223" s="300">
        <f ca="1">SUM(BH$6:BH223)*-1.2</f>
        <v>-751130.29609499255</v>
      </c>
      <c r="BK223" s="300">
        <f t="shared" ca="1" si="126"/>
        <v>127058.49513125909</v>
      </c>
      <c r="BL223" s="28">
        <f t="shared" ca="1" si="124"/>
        <v>2035</v>
      </c>
      <c r="BM223" s="28">
        <f t="shared" ca="1" si="122"/>
        <v>3</v>
      </c>
      <c r="BN223" s="236">
        <f t="shared" ca="1" si="123"/>
        <v>0</v>
      </c>
      <c r="BO223" s="236">
        <f t="shared" ca="1" si="118"/>
        <v>0</v>
      </c>
    </row>
    <row r="224" spans="37:67" x14ac:dyDescent="0.25">
      <c r="AO224" s="28">
        <f t="shared" si="101"/>
        <v>19</v>
      </c>
      <c r="AP224" s="28">
        <f t="shared" si="102"/>
        <v>3</v>
      </c>
      <c r="AQ224" s="65">
        <f t="shared" ca="1" si="119"/>
        <v>0</v>
      </c>
      <c r="AR224" s="66">
        <f t="shared" ca="1" si="103"/>
        <v>0</v>
      </c>
      <c r="AS224" s="66">
        <f t="shared" ca="1" si="104"/>
        <v>14835.478967777923</v>
      </c>
      <c r="AT224" s="66">
        <f t="shared" ca="1" si="105"/>
        <v>3656226.7953830194</v>
      </c>
      <c r="AU224" s="66">
        <f t="shared" ca="1" si="106"/>
        <v>0</v>
      </c>
      <c r="AV224" s="68">
        <f t="shared" ca="1" si="125"/>
        <v>3647390.9139608438</v>
      </c>
      <c r="AW224" s="65">
        <f t="shared" ca="1" si="108"/>
        <v>8835.8814221756311</v>
      </c>
      <c r="AX224" s="69">
        <f t="shared" ca="1" si="109"/>
        <v>0</v>
      </c>
      <c r="AY224" s="70">
        <f t="shared" ca="1" si="110"/>
        <v>0</v>
      </c>
      <c r="AZ224" s="66">
        <f t="shared" ca="1" si="111"/>
        <v>1065.9685869227078</v>
      </c>
      <c r="BA224" s="66">
        <f t="shared" ca="1" si="112"/>
        <v>1523.4278314095916</v>
      </c>
      <c r="BB224" s="66">
        <f t="shared" ca="1" si="113"/>
        <v>109.46233797058466</v>
      </c>
      <c r="BC224" s="66">
        <f t="shared" ca="1" si="114"/>
        <v>262709.61112940317</v>
      </c>
      <c r="BD224" s="66">
        <f t="shared" ca="1" si="115"/>
        <v>0</v>
      </c>
      <c r="BE224" s="71">
        <f t="shared" ca="1" si="121"/>
        <v>263707.61973855394</v>
      </c>
      <c r="BF224" s="65">
        <f t="shared" ca="1" si="116"/>
        <v>634.88156022939108</v>
      </c>
      <c r="BG224" s="69">
        <f t="shared" ca="1" si="117"/>
        <v>0</v>
      </c>
      <c r="BH224" s="301">
        <f t="shared" ca="1" si="120"/>
        <v>0</v>
      </c>
      <c r="BI224" s="300">
        <f ca="1">IF(AO224&gt;TartamVálasztott,0,   (BI223+BH224)*(1+yields!$D$2)*(1-(0.0099/12)))</f>
        <v>881039.1835882396</v>
      </c>
      <c r="BJ224" s="300">
        <f ca="1">SUM(BH$6:BH224)*-1.2</f>
        <v>-751130.29609499255</v>
      </c>
      <c r="BK224" s="300">
        <f t="shared" ca="1" si="126"/>
        <v>129908.88749324705</v>
      </c>
      <c r="BL224" s="28">
        <f t="shared" ca="1" si="124"/>
        <v>2035</v>
      </c>
      <c r="BM224" s="28">
        <f t="shared" ca="1" si="122"/>
        <v>4</v>
      </c>
      <c r="BN224" s="236">
        <f t="shared" ca="1" si="123"/>
        <v>0</v>
      </c>
      <c r="BO224" s="236">
        <f t="shared" ca="1" si="118"/>
        <v>0</v>
      </c>
    </row>
    <row r="225" spans="41:67" x14ac:dyDescent="0.25">
      <c r="AO225" s="28">
        <f t="shared" si="101"/>
        <v>19</v>
      </c>
      <c r="AP225" s="28">
        <f t="shared" si="102"/>
        <v>4</v>
      </c>
      <c r="AQ225" s="65">
        <f t="shared" ca="1" si="119"/>
        <v>58487.2019139939</v>
      </c>
      <c r="AR225" s="66">
        <f t="shared" ca="1" si="103"/>
        <v>49714.121626894812</v>
      </c>
      <c r="AS225" s="66">
        <f t="shared" ca="1" si="104"/>
        <v>15062.463556134098</v>
      </c>
      <c r="AT225" s="66">
        <f t="shared" ca="1" si="105"/>
        <v>3712167.4991438729</v>
      </c>
      <c r="AU225" s="66">
        <f t="shared" ca="1" si="106"/>
        <v>0</v>
      </c>
      <c r="AV225" s="68">
        <f t="shared" ca="1" si="125"/>
        <v>3703196.4276876086</v>
      </c>
      <c r="AW225" s="65">
        <f t="shared" ca="1" si="108"/>
        <v>8971.0714562643607</v>
      </c>
      <c r="AX225" s="69">
        <f t="shared" ca="1" si="109"/>
        <v>8773.0802870990847</v>
      </c>
      <c r="AY225" s="70">
        <f t="shared" ca="1" si="110"/>
        <v>11171.055565572835</v>
      </c>
      <c r="AZ225" s="66">
        <f t="shared" ca="1" si="111"/>
        <v>1119.889748674296</v>
      </c>
      <c r="BA225" s="66">
        <f t="shared" ca="1" si="112"/>
        <v>1546.7364579766138</v>
      </c>
      <c r="BB225" s="66">
        <f t="shared" ca="1" si="113"/>
        <v>114.99940210533377</v>
      </c>
      <c r="BC225" s="66">
        <f t="shared" ca="1" si="114"/>
        <v>275998.56505280104</v>
      </c>
      <c r="BD225" s="66">
        <f t="shared" ca="1" si="115"/>
        <v>0</v>
      </c>
      <c r="BE225" s="71">
        <f t="shared" ca="1" si="121"/>
        <v>276993.30438067205</v>
      </c>
      <c r="BF225" s="65">
        <f t="shared" ca="1" si="116"/>
        <v>666.99653221093592</v>
      </c>
      <c r="BG225" s="69">
        <f t="shared" ca="1" si="117"/>
        <v>0</v>
      </c>
      <c r="BH225" s="301">
        <f t="shared" ca="1" si="120"/>
        <v>0</v>
      </c>
      <c r="BI225" s="300">
        <f ca="1">IF(AO225&gt;TartamVálasztott,0,   (BI224+BH225)*(1+yields!$D$2)*(1-(0.0099/12)))</f>
        <v>883898.8276472413</v>
      </c>
      <c r="BJ225" s="300">
        <f ca="1">SUM(BH$6:BH225)*-1.2</f>
        <v>-751130.29609499255</v>
      </c>
      <c r="BK225" s="300">
        <f t="shared" ca="1" si="126"/>
        <v>132768.53155224875</v>
      </c>
      <c r="BL225" s="28">
        <f t="shared" ca="1" si="124"/>
        <v>2035</v>
      </c>
      <c r="BM225" s="28">
        <f t="shared" ca="1" si="122"/>
        <v>5</v>
      </c>
      <c r="BN225" s="236">
        <f t="shared" ca="1" si="123"/>
        <v>0</v>
      </c>
      <c r="BO225" s="236">
        <f t="shared" ca="1" si="118"/>
        <v>0</v>
      </c>
    </row>
    <row r="226" spans="41:67" x14ac:dyDescent="0.25">
      <c r="AO226" s="28">
        <f t="shared" si="101"/>
        <v>19</v>
      </c>
      <c r="AP226" s="28">
        <f t="shared" si="102"/>
        <v>5</v>
      </c>
      <c r="AQ226" s="65">
        <f t="shared" ca="1" si="119"/>
        <v>0</v>
      </c>
      <c r="AR226" s="66">
        <f t="shared" ca="1" si="103"/>
        <v>0</v>
      </c>
      <c r="AS226" s="66">
        <f t="shared" ca="1" si="104"/>
        <v>15087.280641563706</v>
      </c>
      <c r="AT226" s="66">
        <f t="shared" ca="1" si="105"/>
        <v>3718283.7083291723</v>
      </c>
      <c r="AU226" s="66">
        <f t="shared" ca="1" si="106"/>
        <v>0</v>
      </c>
      <c r="AV226" s="68">
        <f t="shared" ca="1" si="125"/>
        <v>3709297.8560340437</v>
      </c>
      <c r="AW226" s="65">
        <f t="shared" ca="1" si="108"/>
        <v>8985.8522951288342</v>
      </c>
      <c r="AX226" s="69">
        <f t="shared" ca="1" si="109"/>
        <v>0</v>
      </c>
      <c r="AY226" s="70">
        <f t="shared" ca="1" si="110"/>
        <v>0</v>
      </c>
      <c r="AZ226" s="66">
        <f t="shared" ca="1" si="111"/>
        <v>1128.5050092886436</v>
      </c>
      <c r="BA226" s="66">
        <f t="shared" ca="1" si="112"/>
        <v>1549.2848784704886</v>
      </c>
      <c r="BB226" s="66">
        <f t="shared" ca="1" si="113"/>
        <v>115.88408724581697</v>
      </c>
      <c r="BC226" s="66">
        <f t="shared" ca="1" si="114"/>
        <v>278121.80938996072</v>
      </c>
      <c r="BD226" s="66">
        <f t="shared" ca="1" si="115"/>
        <v>0</v>
      </c>
      <c r="BE226" s="71">
        <f t="shared" ca="1" si="121"/>
        <v>279114.85064965131</v>
      </c>
      <c r="BF226" s="65">
        <f t="shared" ca="1" si="116"/>
        <v>672.12770602573846</v>
      </c>
      <c r="BG226" s="69">
        <f t="shared" ca="1" si="117"/>
        <v>0</v>
      </c>
      <c r="BH226" s="301">
        <f t="shared" ca="1" si="120"/>
        <v>45648.547835312318</v>
      </c>
      <c r="BI226" s="300">
        <f ca="1">IF(AO226&gt;TartamVálasztott,0,   (BI225+BH226)*(1+yields!$D$2)*(1-(0.0099/12)))</f>
        <v>932564.46561812877</v>
      </c>
      <c r="BJ226" s="300">
        <f ca="1">SUM(BH$6:BH226)*-1.2</f>
        <v>-805908.55349736731</v>
      </c>
      <c r="BK226" s="300">
        <f t="shared" ca="1" si="126"/>
        <v>126655.91212076147</v>
      </c>
      <c r="BL226" s="28">
        <f t="shared" ca="1" si="124"/>
        <v>2035</v>
      </c>
      <c r="BM226" s="28">
        <f t="shared" ca="1" si="122"/>
        <v>6</v>
      </c>
      <c r="BN226" s="236">
        <f t="shared" ca="1" si="123"/>
        <v>0</v>
      </c>
      <c r="BO226" s="236">
        <f t="shared" ca="1" si="118"/>
        <v>0</v>
      </c>
    </row>
    <row r="227" spans="41:67" x14ac:dyDescent="0.25">
      <c r="AO227" s="28">
        <f t="shared" si="101"/>
        <v>19</v>
      </c>
      <c r="AP227" s="28">
        <f t="shared" si="102"/>
        <v>6</v>
      </c>
      <c r="AQ227" s="65">
        <f t="shared" ca="1" si="119"/>
        <v>0</v>
      </c>
      <c r="AR227" s="66">
        <f t="shared" ca="1" si="103"/>
        <v>0</v>
      </c>
      <c r="AS227" s="66">
        <f t="shared" ca="1" si="104"/>
        <v>15112.138615904143</v>
      </c>
      <c r="AT227" s="66">
        <f t="shared" ca="1" si="105"/>
        <v>3724409.9946499476</v>
      </c>
      <c r="AU227" s="66">
        <f t="shared" ca="1" si="106"/>
        <v>0</v>
      </c>
      <c r="AV227" s="68">
        <f t="shared" ca="1" si="125"/>
        <v>3715409.337162877</v>
      </c>
      <c r="AW227" s="65">
        <f t="shared" ca="1" si="108"/>
        <v>9000.6574870707063</v>
      </c>
      <c r="AX227" s="69">
        <f t="shared" ca="1" si="109"/>
        <v>0</v>
      </c>
      <c r="AY227" s="70">
        <f t="shared" ca="1" si="110"/>
        <v>0</v>
      </c>
      <c r="AZ227" s="66">
        <f t="shared" ca="1" si="111"/>
        <v>1137.1484514012025</v>
      </c>
      <c r="BA227" s="66">
        <f t="shared" ca="1" si="112"/>
        <v>1551.8374977708115</v>
      </c>
      <c r="BB227" s="66">
        <f t="shared" ca="1" si="113"/>
        <v>116.77166629210522</v>
      </c>
      <c r="BC227" s="66">
        <f t="shared" ca="1" si="114"/>
        <v>280251.99910105253</v>
      </c>
      <c r="BD227" s="66">
        <f t="shared" ca="1" si="115"/>
        <v>0</v>
      </c>
      <c r="BE227" s="71">
        <f t="shared" ca="1" si="121"/>
        <v>281243.33260062127</v>
      </c>
      <c r="BF227" s="65">
        <f t="shared" ca="1" si="116"/>
        <v>677.27566449421033</v>
      </c>
      <c r="BG227" s="69">
        <f t="shared" ca="1" si="117"/>
        <v>0</v>
      </c>
      <c r="BH227" s="301">
        <f t="shared" ca="1" si="120"/>
        <v>0</v>
      </c>
      <c r="BI227" s="300">
        <f ca="1">IF(AO227&gt;TartamVálasztott,0,   (BI226+BH227)*(1+yields!$D$2)*(1-(0.0099/12)))</f>
        <v>935591.34851212194</v>
      </c>
      <c r="BJ227" s="300">
        <f ca="1">SUM(BH$6:BH227)*-1.2</f>
        <v>-805908.55349736731</v>
      </c>
      <c r="BK227" s="300">
        <f t="shared" ca="1" si="126"/>
        <v>129682.79501475464</v>
      </c>
      <c r="BL227" s="28">
        <f t="shared" ca="1" si="124"/>
        <v>2035</v>
      </c>
      <c r="BM227" s="28">
        <f t="shared" ca="1" si="122"/>
        <v>7</v>
      </c>
      <c r="BN227" s="236">
        <f t="shared" ca="1" si="123"/>
        <v>0</v>
      </c>
      <c r="BO227" s="236">
        <f t="shared" ca="1" si="118"/>
        <v>0</v>
      </c>
    </row>
    <row r="228" spans="41:67" x14ac:dyDescent="0.25">
      <c r="AO228" s="28">
        <f t="shared" si="101"/>
        <v>19</v>
      </c>
      <c r="AP228" s="28">
        <f t="shared" si="102"/>
        <v>7</v>
      </c>
      <c r="AQ228" s="65">
        <f t="shared" ca="1" si="119"/>
        <v>58487.2019139939</v>
      </c>
      <c r="AR228" s="66">
        <f t="shared" ca="1" si="103"/>
        <v>49714.121626894812</v>
      </c>
      <c r="AS228" s="66">
        <f t="shared" ca="1" si="104"/>
        <v>15339.579031827761</v>
      </c>
      <c r="AT228" s="66">
        <f t="shared" ca="1" si="105"/>
        <v>3780463.0378215997</v>
      </c>
      <c r="AU228" s="66">
        <f t="shared" ca="1" si="106"/>
        <v>0</v>
      </c>
      <c r="AV228" s="68">
        <f t="shared" ca="1" si="125"/>
        <v>3771326.9188135308</v>
      </c>
      <c r="AW228" s="65">
        <f t="shared" ca="1" si="108"/>
        <v>9136.1190080688666</v>
      </c>
      <c r="AX228" s="69">
        <f t="shared" ca="1" si="109"/>
        <v>8773.0802870990847</v>
      </c>
      <c r="AY228" s="70">
        <f t="shared" ca="1" si="110"/>
        <v>11171.055565572835</v>
      </c>
      <c r="AZ228" s="66">
        <f t="shared" ca="1" si="111"/>
        <v>1191.3324135088731</v>
      </c>
      <c r="BA228" s="66">
        <f t="shared" ca="1" si="112"/>
        <v>1575.1929324256666</v>
      </c>
      <c r="BB228" s="66">
        <f t="shared" ca="1" si="113"/>
        <v>122.33571690820956</v>
      </c>
      <c r="BC228" s="66">
        <f t="shared" ca="1" si="114"/>
        <v>293605.72057970293</v>
      </c>
      <c r="BD228" s="66">
        <f t="shared" ca="1" si="115"/>
        <v>0</v>
      </c>
      <c r="BE228" s="71">
        <f t="shared" ca="1" si="121"/>
        <v>294593.70207096916</v>
      </c>
      <c r="BF228" s="65">
        <f t="shared" ca="1" si="116"/>
        <v>709.54715806761544</v>
      </c>
      <c r="BG228" s="69">
        <f t="shared" ca="1" si="117"/>
        <v>0</v>
      </c>
      <c r="BH228" s="301">
        <f t="shared" ca="1" si="120"/>
        <v>0</v>
      </c>
      <c r="BI228" s="300">
        <f ca="1">IF(AO228&gt;TartamVálasztott,0,   (BI227+BH228)*(1+yields!$D$2)*(1-(0.0099/12)))</f>
        <v>938628.05594950239</v>
      </c>
      <c r="BJ228" s="300">
        <f ca="1">SUM(BH$6:BH228)*-1.2</f>
        <v>-805908.55349736731</v>
      </c>
      <c r="BK228" s="300">
        <f t="shared" ca="1" si="126"/>
        <v>132719.50245213509</v>
      </c>
      <c r="BL228" s="28">
        <f t="shared" ca="1" si="124"/>
        <v>2035</v>
      </c>
      <c r="BM228" s="28">
        <f t="shared" ca="1" si="122"/>
        <v>8</v>
      </c>
      <c r="BN228" s="236">
        <f t="shared" ca="1" si="123"/>
        <v>0</v>
      </c>
      <c r="BO228" s="236">
        <f t="shared" ca="1" si="118"/>
        <v>0</v>
      </c>
    </row>
    <row r="229" spans="41:67" x14ac:dyDescent="0.25">
      <c r="AO229" s="28">
        <f t="shared" si="101"/>
        <v>19</v>
      </c>
      <c r="AP229" s="28">
        <f t="shared" si="102"/>
        <v>8</v>
      </c>
      <c r="AQ229" s="65">
        <f t="shared" ca="1" si="119"/>
        <v>0</v>
      </c>
      <c r="AR229" s="66">
        <f t="shared" ca="1" si="103"/>
        <v>0</v>
      </c>
      <c r="AS229" s="66">
        <f t="shared" ca="1" si="104"/>
        <v>15364.852695851469</v>
      </c>
      <c r="AT229" s="66">
        <f t="shared" ca="1" si="105"/>
        <v>3786691.7715093824</v>
      </c>
      <c r="AU229" s="66">
        <f t="shared" ca="1" si="106"/>
        <v>0</v>
      </c>
      <c r="AV229" s="68">
        <f t="shared" ca="1" si="125"/>
        <v>3777540.5997282346</v>
      </c>
      <c r="AW229" s="65">
        <f t="shared" ca="1" si="108"/>
        <v>9151.1717811476738</v>
      </c>
      <c r="AX229" s="69">
        <f t="shared" ca="1" si="109"/>
        <v>0</v>
      </c>
      <c r="AY229" s="70">
        <f t="shared" ca="1" si="110"/>
        <v>0</v>
      </c>
      <c r="AZ229" s="66">
        <f t="shared" ca="1" si="111"/>
        <v>1200.2112081203527</v>
      </c>
      <c r="BA229" s="66">
        <f t="shared" ca="1" si="112"/>
        <v>1577.7882381289094</v>
      </c>
      <c r="BB229" s="66">
        <f t="shared" ca="1" si="113"/>
        <v>123.24746386628729</v>
      </c>
      <c r="BC229" s="66">
        <f t="shared" ca="1" si="114"/>
        <v>295793.91327908949</v>
      </c>
      <c r="BD229" s="66">
        <f t="shared" ca="1" si="115"/>
        <v>0</v>
      </c>
      <c r="BE229" s="71">
        <f t="shared" ca="1" si="121"/>
        <v>296780.11369066022</v>
      </c>
      <c r="BF229" s="65">
        <f t="shared" ca="1" si="116"/>
        <v>714.83529042446628</v>
      </c>
      <c r="BG229" s="69">
        <f t="shared" ca="1" si="117"/>
        <v>0</v>
      </c>
      <c r="BH229" s="301">
        <f t="shared" ca="1" si="120"/>
        <v>0</v>
      </c>
      <c r="BI229" s="300">
        <f ca="1">IF(AO229&gt;TartamVálasztott,0,   (BI228+BH229)*(1+yields!$D$2)*(1-(0.0099/12)))</f>
        <v>941674.61981840595</v>
      </c>
      <c r="BJ229" s="300">
        <f ca="1">SUM(BH$6:BH229)*-1.2</f>
        <v>-805908.55349736731</v>
      </c>
      <c r="BK229" s="300">
        <f t="shared" ca="1" si="126"/>
        <v>135766.06632103864</v>
      </c>
      <c r="BL229" s="28">
        <f t="shared" ca="1" si="124"/>
        <v>2035</v>
      </c>
      <c r="BM229" s="28">
        <f t="shared" ca="1" si="122"/>
        <v>9</v>
      </c>
      <c r="BN229" s="236">
        <f t="shared" ca="1" si="123"/>
        <v>0</v>
      </c>
      <c r="BO229" s="236">
        <f t="shared" ca="1" si="118"/>
        <v>0</v>
      </c>
    </row>
    <row r="230" spans="41:67" x14ac:dyDescent="0.25">
      <c r="AO230" s="28">
        <f t="shared" si="101"/>
        <v>19</v>
      </c>
      <c r="AP230" s="28">
        <f t="shared" si="102"/>
        <v>9</v>
      </c>
      <c r="AQ230" s="65">
        <f t="shared" ca="1" si="119"/>
        <v>0</v>
      </c>
      <c r="AR230" s="66">
        <f t="shared" ca="1" si="103"/>
        <v>0</v>
      </c>
      <c r="AS230" s="66">
        <f t="shared" ca="1" si="104"/>
        <v>15390.168001050066</v>
      </c>
      <c r="AT230" s="66">
        <f t="shared" ca="1" si="105"/>
        <v>3792930.7677292847</v>
      </c>
      <c r="AU230" s="66">
        <f t="shared" ca="1" si="106"/>
        <v>0</v>
      </c>
      <c r="AV230" s="68">
        <f t="shared" ca="1" si="125"/>
        <v>3783764.5183739387</v>
      </c>
      <c r="AW230" s="65">
        <f t="shared" ca="1" si="108"/>
        <v>9166.2493553457716</v>
      </c>
      <c r="AX230" s="69">
        <f t="shared" ca="1" si="109"/>
        <v>0</v>
      </c>
      <c r="AY230" s="70">
        <f t="shared" ca="1" si="110"/>
        <v>0</v>
      </c>
      <c r="AZ230" s="66">
        <f t="shared" ca="1" si="111"/>
        <v>1209.1189197009812</v>
      </c>
      <c r="BA230" s="66">
        <f t="shared" ca="1" si="112"/>
        <v>1580.3878198872021</v>
      </c>
      <c r="BB230" s="66">
        <f t="shared" ca="1" si="113"/>
        <v>124.16218025431716</v>
      </c>
      <c r="BC230" s="66">
        <f t="shared" ca="1" si="114"/>
        <v>297989.23261036118</v>
      </c>
      <c r="BD230" s="66">
        <f t="shared" ca="1" si="115"/>
        <v>0</v>
      </c>
      <c r="BE230" s="71">
        <f t="shared" ca="1" si="121"/>
        <v>298973.64196502761</v>
      </c>
      <c r="BF230" s="65">
        <f t="shared" ca="1" si="116"/>
        <v>720.14064547503961</v>
      </c>
      <c r="BG230" s="69">
        <f t="shared" ca="1" si="117"/>
        <v>0</v>
      </c>
      <c r="BH230" s="301">
        <f t="shared" ca="1" si="120"/>
        <v>0</v>
      </c>
      <c r="BI230" s="300">
        <f ca="1">IF(AO230&gt;TartamVálasztott,0,   (BI229+BH230)*(1+yields!$D$2)*(1-(0.0099/12)))</f>
        <v>944731.0721104698</v>
      </c>
      <c r="BJ230" s="300">
        <f ca="1">SUM(BH$6:BH230)*-1.2</f>
        <v>-805908.55349736731</v>
      </c>
      <c r="BK230" s="300">
        <f t="shared" ca="1" si="126"/>
        <v>138822.5186131025</v>
      </c>
      <c r="BL230" s="28">
        <f t="shared" ca="1" si="124"/>
        <v>2035</v>
      </c>
      <c r="BM230" s="28">
        <f t="shared" ca="1" si="122"/>
        <v>10</v>
      </c>
      <c r="BN230" s="236">
        <f t="shared" ca="1" si="123"/>
        <v>0</v>
      </c>
      <c r="BO230" s="236">
        <f t="shared" ca="1" si="118"/>
        <v>0</v>
      </c>
    </row>
    <row r="231" spans="41:67" x14ac:dyDescent="0.25">
      <c r="AO231" s="28">
        <f t="shared" si="101"/>
        <v>19</v>
      </c>
      <c r="AP231" s="28">
        <f t="shared" si="102"/>
        <v>10</v>
      </c>
      <c r="AQ231" s="65">
        <f t="shared" ca="1" si="119"/>
        <v>58487.2019139939</v>
      </c>
      <c r="AR231" s="66">
        <f t="shared" ca="1" si="103"/>
        <v>49714.121626894812</v>
      </c>
      <c r="AS231" s="66">
        <f t="shared" ca="1" si="104"/>
        <v>15618.066501335341</v>
      </c>
      <c r="AT231" s="66">
        <f t="shared" ca="1" si="105"/>
        <v>3849096.7065021689</v>
      </c>
      <c r="AU231" s="66">
        <f t="shared" ca="1" si="106"/>
        <v>0</v>
      </c>
      <c r="AV231" s="68">
        <f t="shared" ca="1" si="125"/>
        <v>3839794.7227947889</v>
      </c>
      <c r="AW231" s="65">
        <f t="shared" ca="1" si="108"/>
        <v>9301.9837073802428</v>
      </c>
      <c r="AX231" s="69">
        <f t="shared" ca="1" si="109"/>
        <v>8773.0802870990847</v>
      </c>
      <c r="AY231" s="70">
        <f t="shared" ca="1" si="110"/>
        <v>11171.055565572835</v>
      </c>
      <c r="AZ231" s="66">
        <f t="shared" ca="1" si="111"/>
        <v>1263.5678885818438</v>
      </c>
      <c r="BA231" s="66">
        <f t="shared" ca="1" si="112"/>
        <v>1603.7902943759038</v>
      </c>
      <c r="BB231" s="66">
        <f t="shared" ca="1" si="113"/>
        <v>129.75344392465928</v>
      </c>
      <c r="BC231" s="66">
        <f t="shared" ca="1" si="114"/>
        <v>311408.26541918225</v>
      </c>
      <c r="BD231" s="66">
        <f t="shared" ca="1" si="115"/>
        <v>0</v>
      </c>
      <c r="BE231" s="71">
        <f t="shared" ca="1" si="121"/>
        <v>312389.23918271979</v>
      </c>
      <c r="BF231" s="65">
        <f t="shared" ca="1" si="116"/>
        <v>752.56997476302377</v>
      </c>
      <c r="BG231" s="69">
        <f t="shared" ca="1" si="117"/>
        <v>0</v>
      </c>
      <c r="BH231" s="301">
        <f t="shared" ca="1" si="120"/>
        <v>0</v>
      </c>
      <c r="BI231" s="300">
        <f ca="1">IF(AO231&gt;TartamVálasztott,0,   (BI230+BH231)*(1+yields!$D$2)*(1-(0.0099/12)))</f>
        <v>947797.44492116827</v>
      </c>
      <c r="BJ231" s="300">
        <f ca="1">SUM(BH$6:BH231)*-1.2</f>
        <v>-805908.55349736731</v>
      </c>
      <c r="BK231" s="300">
        <f t="shared" ca="1" si="126"/>
        <v>141888.89142380096</v>
      </c>
      <c r="BL231" s="28">
        <f t="shared" ca="1" si="124"/>
        <v>2035</v>
      </c>
      <c r="BM231" s="28">
        <f t="shared" ca="1" si="122"/>
        <v>11</v>
      </c>
      <c r="BN231" s="236">
        <f t="shared" ca="1" si="123"/>
        <v>0</v>
      </c>
      <c r="BO231" s="236">
        <f t="shared" ca="1" si="118"/>
        <v>0</v>
      </c>
    </row>
    <row r="232" spans="41:67" x14ac:dyDescent="0.25">
      <c r="AO232" s="28">
        <f t="shared" si="101"/>
        <v>19</v>
      </c>
      <c r="AP232" s="28">
        <f t="shared" si="102"/>
        <v>11</v>
      </c>
      <c r="AQ232" s="65">
        <f t="shared" ca="1" si="119"/>
        <v>0</v>
      </c>
      <c r="AR232" s="66">
        <f t="shared" ca="1" si="103"/>
        <v>0</v>
      </c>
      <c r="AS232" s="66">
        <f t="shared" ca="1" si="104"/>
        <v>15643.799004465685</v>
      </c>
      <c r="AT232" s="66">
        <f t="shared" ca="1" si="105"/>
        <v>3855438.5217992547</v>
      </c>
      <c r="AU232" s="66">
        <f t="shared" ca="1" si="106"/>
        <v>0</v>
      </c>
      <c r="AV232" s="68">
        <f t="shared" ca="1" si="125"/>
        <v>3846121.2120382399</v>
      </c>
      <c r="AW232" s="65">
        <f t="shared" ca="1" si="108"/>
        <v>9317.3097610148652</v>
      </c>
      <c r="AX232" s="69">
        <f t="shared" ca="1" si="109"/>
        <v>0</v>
      </c>
      <c r="AY232" s="70">
        <f t="shared" ca="1" si="110"/>
        <v>0</v>
      </c>
      <c r="AZ232" s="66">
        <f t="shared" ca="1" si="111"/>
        <v>1272.7124291101329</v>
      </c>
      <c r="BA232" s="66">
        <f t="shared" ca="1" si="112"/>
        <v>1606.4327174163561</v>
      </c>
      <c r="BB232" s="66">
        <f t="shared" ca="1" si="113"/>
        <v>130.69247983826247</v>
      </c>
      <c r="BC232" s="66">
        <f t="shared" ca="1" si="114"/>
        <v>313661.95161182992</v>
      </c>
      <c r="BD232" s="66">
        <f t="shared" ca="1" si="115"/>
        <v>0</v>
      </c>
      <c r="BE232" s="71">
        <f t="shared" ca="1" si="121"/>
        <v>314641.06042602262</v>
      </c>
      <c r="BF232" s="65">
        <f t="shared" ca="1" si="116"/>
        <v>758.0163830619224</v>
      </c>
      <c r="BG232" s="69">
        <f t="shared" ca="1" si="117"/>
        <v>0</v>
      </c>
      <c r="BH232" s="301">
        <f t="shared" ca="1" si="120"/>
        <v>0</v>
      </c>
      <c r="BI232" s="300">
        <f ca="1">IF(AO232&gt;TartamVálasztott,0,   (BI231+BH232)*(1+yields!$D$2)*(1-(0.0099/12)))</f>
        <v>950873.77045015013</v>
      </c>
      <c r="BJ232" s="300">
        <f ca="1">SUM(BH$6:BH232)*-1.2</f>
        <v>-805908.55349736731</v>
      </c>
      <c r="BK232" s="300">
        <f t="shared" ca="1" si="126"/>
        <v>144965.21695278282</v>
      </c>
      <c r="BL232" s="28">
        <f t="shared" ca="1" si="124"/>
        <v>2035</v>
      </c>
      <c r="BM232" s="28">
        <f t="shared" ca="1" si="122"/>
        <v>12</v>
      </c>
      <c r="BN232" s="236">
        <f t="shared" ca="1" si="123"/>
        <v>233948.8076559756</v>
      </c>
      <c r="BO232" s="236">
        <f t="shared" ca="1" si="118"/>
        <v>46789.761531195123</v>
      </c>
    </row>
    <row r="233" spans="41:67" x14ac:dyDescent="0.25">
      <c r="AO233" s="28">
        <f t="shared" si="101"/>
        <v>19</v>
      </c>
      <c r="AP233" s="28">
        <f t="shared" si="102"/>
        <v>12</v>
      </c>
      <c r="AQ233" s="65">
        <f t="shared" ca="1" si="119"/>
        <v>0</v>
      </c>
      <c r="AR233" s="66">
        <f t="shared" ca="1" si="103"/>
        <v>0</v>
      </c>
      <c r="AS233" s="66">
        <f t="shared" ca="1" si="104"/>
        <v>15669.573904759425</v>
      </c>
      <c r="AT233" s="66">
        <f t="shared" ca="1" si="105"/>
        <v>3861790.7859429992</v>
      </c>
      <c r="AU233" s="66">
        <f t="shared" ca="1" si="106"/>
        <v>0</v>
      </c>
      <c r="AV233" s="68">
        <f t="shared" ca="1" si="125"/>
        <v>3852458.1248769704</v>
      </c>
      <c r="AW233" s="65">
        <f t="shared" ca="1" si="108"/>
        <v>9332.6610660289152</v>
      </c>
      <c r="AX233" s="69">
        <f t="shared" ca="1" si="109"/>
        <v>0</v>
      </c>
      <c r="AY233" s="70">
        <f t="shared" ca="1" si="110"/>
        <v>0</v>
      </c>
      <c r="AZ233" s="66">
        <f t="shared" ca="1" si="111"/>
        <v>1281.8866275939974</v>
      </c>
      <c r="BA233" s="66">
        <f t="shared" ca="1" si="112"/>
        <v>1609.0794941429165</v>
      </c>
      <c r="BB233" s="66">
        <f t="shared" ca="1" si="113"/>
        <v>131.63456127234028</v>
      </c>
      <c r="BC233" s="66">
        <f t="shared" ca="1" si="114"/>
        <v>315922.94705361663</v>
      </c>
      <c r="BD233" s="66">
        <f t="shared" ca="1" si="115"/>
        <v>0</v>
      </c>
      <c r="BE233" s="71">
        <f t="shared" ca="1" si="121"/>
        <v>316900.18065365229</v>
      </c>
      <c r="BF233" s="65">
        <f t="shared" ca="1" si="116"/>
        <v>763.48045537957353</v>
      </c>
      <c r="BG233" s="69">
        <f t="shared" ca="1" si="117"/>
        <v>0</v>
      </c>
      <c r="BH233" s="301">
        <f t="shared" ca="1" si="120"/>
        <v>0</v>
      </c>
      <c r="BI233" s="300">
        <f ca="1">IF(AO233&gt;TartamVálasztott,0,   (BI232+BH233)*(1+yields!$D$2)*(1-(0.0099/12)))</f>
        <v>953960.08100157627</v>
      </c>
      <c r="BJ233" s="300">
        <f ca="1">SUM(BH$6:BH233)*-1.2</f>
        <v>-805908.55349736731</v>
      </c>
      <c r="BK233" s="300">
        <f t="shared" ca="1" si="126"/>
        <v>148051.52750420896</v>
      </c>
      <c r="BL233" s="28">
        <f t="shared" ca="1" si="124"/>
        <v>2036</v>
      </c>
      <c r="BM233" s="28">
        <f t="shared" ca="1" si="122"/>
        <v>1</v>
      </c>
      <c r="BN233" s="236">
        <f t="shared" ca="1" si="123"/>
        <v>0</v>
      </c>
      <c r="BO233" s="236">
        <f t="shared" ca="1" si="118"/>
        <v>0</v>
      </c>
    </row>
    <row r="234" spans="41:67" x14ac:dyDescent="0.25">
      <c r="AO234" s="28">
        <f t="shared" si="101"/>
        <v>20</v>
      </c>
      <c r="AP234" s="28">
        <f t="shared" si="102"/>
        <v>1</v>
      </c>
      <c r="AQ234" s="65">
        <f t="shared" ca="1" si="119"/>
        <v>59949.381961843748</v>
      </c>
      <c r="AR234" s="66">
        <f t="shared" ca="1" si="103"/>
        <v>50956.974667567185</v>
      </c>
      <c r="AS234" s="66">
        <f t="shared" ca="1" si="104"/>
        <v>15902.996294506507</v>
      </c>
      <c r="AT234" s="66">
        <f t="shared" ca="1" si="105"/>
        <v>3919318.0958390441</v>
      </c>
      <c r="AU234" s="66">
        <f t="shared" ca="1" si="106"/>
        <v>0</v>
      </c>
      <c r="AV234" s="68">
        <f t="shared" ca="1" si="125"/>
        <v>3909846.4104407663</v>
      </c>
      <c r="AW234" s="65">
        <f t="shared" ca="1" si="108"/>
        <v>9471.6853982776902</v>
      </c>
      <c r="AX234" s="69">
        <f t="shared" ca="1" si="109"/>
        <v>8992.4072942765615</v>
      </c>
      <c r="AY234" s="70">
        <f t="shared" ca="1" si="110"/>
        <v>11834.007999267957</v>
      </c>
      <c r="AZ234" s="66">
        <f t="shared" ca="1" si="111"/>
        <v>1339.3037764892072</v>
      </c>
      <c r="BA234" s="66">
        <f t="shared" ca="1" si="112"/>
        <v>1633.0492065996018</v>
      </c>
      <c r="BB234" s="66">
        <f t="shared" ca="1" si="113"/>
        <v>137.53062184558729</v>
      </c>
      <c r="BC234" s="66">
        <f t="shared" ca="1" si="114"/>
        <v>330073.49242940947</v>
      </c>
      <c r="BD234" s="66">
        <f t="shared" ca="1" si="115"/>
        <v>0</v>
      </c>
      <c r="BE234" s="71">
        <f t="shared" ca="1" si="121"/>
        <v>331046.39465115027</v>
      </c>
      <c r="BF234" s="65">
        <f t="shared" ca="1" si="116"/>
        <v>797.67760670440623</v>
      </c>
      <c r="BG234" s="69">
        <f t="shared" ca="1" si="117"/>
        <v>0</v>
      </c>
      <c r="BH234" s="301">
        <f t="shared" ca="1" si="120"/>
        <v>0</v>
      </c>
      <c r="BI234" s="300">
        <f ca="1">IF(AO234&gt;TartamVálasztott,0,   (BI233+BH234)*(1+yields!$D$2)*(1-(0.0099/12)))</f>
        <v>957056.40898445959</v>
      </c>
      <c r="BJ234" s="300">
        <f ca="1">SUM(BH$6:BH234)*-1.2</f>
        <v>-805908.55349736731</v>
      </c>
      <c r="BK234" s="300">
        <f t="shared" ca="1" si="126"/>
        <v>151147.85548709228</v>
      </c>
      <c r="BL234" s="28">
        <f t="shared" ca="1" si="124"/>
        <v>2036</v>
      </c>
      <c r="BM234" s="28">
        <f t="shared" ca="1" si="122"/>
        <v>2</v>
      </c>
      <c r="BN234" s="236">
        <f t="shared" ca="1" si="123"/>
        <v>0</v>
      </c>
      <c r="BO234" s="236">
        <f t="shared" ca="1" si="118"/>
        <v>0</v>
      </c>
    </row>
    <row r="235" spans="41:67" x14ac:dyDescent="0.25">
      <c r="AO235" s="28">
        <f t="shared" si="101"/>
        <v>20</v>
      </c>
      <c r="AP235" s="28">
        <f t="shared" si="102"/>
        <v>2</v>
      </c>
      <c r="AQ235" s="65">
        <f t="shared" ca="1" si="119"/>
        <v>0</v>
      </c>
      <c r="AR235" s="66">
        <f t="shared" ca="1" si="103"/>
        <v>0</v>
      </c>
      <c r="AS235" s="66">
        <f t="shared" ca="1" si="104"/>
        <v>15929.198251188867</v>
      </c>
      <c r="AT235" s="66">
        <f t="shared" ca="1" si="105"/>
        <v>3925775.608691955</v>
      </c>
      <c r="AU235" s="66">
        <f t="shared" ca="1" si="106"/>
        <v>0</v>
      </c>
      <c r="AV235" s="68">
        <f t="shared" ca="1" si="125"/>
        <v>3916288.3176376163</v>
      </c>
      <c r="AW235" s="65">
        <f t="shared" ca="1" si="108"/>
        <v>9487.2910543388916</v>
      </c>
      <c r="AX235" s="69">
        <f t="shared" ca="1" si="109"/>
        <v>0</v>
      </c>
      <c r="AY235" s="70">
        <f t="shared" ca="1" si="110"/>
        <v>0</v>
      </c>
      <c r="AZ235" s="66">
        <f t="shared" ca="1" si="111"/>
        <v>1348.7239899392905</v>
      </c>
      <c r="BA235" s="66">
        <f t="shared" ca="1" si="112"/>
        <v>1635.7398369549815</v>
      </c>
      <c r="BB235" s="66">
        <f t="shared" ca="1" si="113"/>
        <v>138.49796610045399</v>
      </c>
      <c r="BC235" s="66">
        <f t="shared" ca="1" si="114"/>
        <v>332395.11864108959</v>
      </c>
      <c r="BD235" s="66">
        <f t="shared" ca="1" si="115"/>
        <v>0</v>
      </c>
      <c r="BE235" s="71">
        <f t="shared" ca="1" si="121"/>
        <v>333366.0682407624</v>
      </c>
      <c r="BF235" s="65">
        <f t="shared" ca="1" si="116"/>
        <v>803.28820338263324</v>
      </c>
      <c r="BG235" s="69">
        <f t="shared" ca="1" si="117"/>
        <v>0</v>
      </c>
      <c r="BH235" s="301">
        <f t="shared" ca="1" si="120"/>
        <v>0</v>
      </c>
      <c r="BI235" s="300">
        <f ca="1">IF(AO235&gt;TartamVálasztott,0,   (BI234+BH235)*(1+yields!$D$2)*(1-(0.0099/12)))</f>
        <v>960162.78691300459</v>
      </c>
      <c r="BJ235" s="300">
        <f ca="1">SUM(BH$6:BH235)*-1.2</f>
        <v>-805908.55349736731</v>
      </c>
      <c r="BK235" s="300">
        <f t="shared" ca="1" si="126"/>
        <v>154254.23341563728</v>
      </c>
      <c r="BL235" s="28">
        <f t="shared" ca="1" si="124"/>
        <v>2036</v>
      </c>
      <c r="BM235" s="28">
        <f t="shared" ca="1" si="122"/>
        <v>3</v>
      </c>
      <c r="BN235" s="236">
        <f t="shared" ca="1" si="123"/>
        <v>0</v>
      </c>
      <c r="BO235" s="236">
        <f t="shared" ca="1" si="118"/>
        <v>0</v>
      </c>
    </row>
    <row r="236" spans="41:67" x14ac:dyDescent="0.25">
      <c r="AO236" s="28">
        <f t="shared" si="101"/>
        <v>20</v>
      </c>
      <c r="AP236" s="28">
        <f t="shared" si="102"/>
        <v>3</v>
      </c>
      <c r="AQ236" s="65">
        <f t="shared" ca="1" si="119"/>
        <v>0</v>
      </c>
      <c r="AR236" s="66">
        <f t="shared" ca="1" si="103"/>
        <v>0</v>
      </c>
      <c r="AS236" s="66">
        <f t="shared" ca="1" si="104"/>
        <v>15955.443378511611</v>
      </c>
      <c r="AT236" s="66">
        <f t="shared" ca="1" si="105"/>
        <v>3932243.7610161281</v>
      </c>
      <c r="AU236" s="66">
        <f t="shared" ca="1" si="106"/>
        <v>0</v>
      </c>
      <c r="AV236" s="68">
        <f t="shared" ca="1" si="125"/>
        <v>3922740.8385936725</v>
      </c>
      <c r="AW236" s="65">
        <f t="shared" ca="1" si="108"/>
        <v>9502.9224224556438</v>
      </c>
      <c r="AX236" s="69">
        <f t="shared" ca="1" si="109"/>
        <v>0</v>
      </c>
      <c r="AY236" s="70">
        <f t="shared" ca="1" si="110"/>
        <v>0</v>
      </c>
      <c r="AZ236" s="66">
        <f t="shared" ca="1" si="111"/>
        <v>1358.1746272810301</v>
      </c>
      <c r="BA236" s="66">
        <f t="shared" ca="1" si="112"/>
        <v>1638.4349004233868</v>
      </c>
      <c r="BB236" s="66">
        <f t="shared" ca="1" si="113"/>
        <v>139.46843452835142</v>
      </c>
      <c r="BC236" s="66">
        <f t="shared" ca="1" si="114"/>
        <v>334724.24286804342</v>
      </c>
      <c r="BD236" s="66">
        <f t="shared" ca="1" si="115"/>
        <v>0</v>
      </c>
      <c r="BE236" s="71">
        <f t="shared" ca="1" si="121"/>
        <v>335693.22928273072</v>
      </c>
      <c r="BF236" s="65">
        <f t="shared" ca="1" si="116"/>
        <v>808.91692026443832</v>
      </c>
      <c r="BG236" s="69">
        <f t="shared" ca="1" si="117"/>
        <v>0</v>
      </c>
      <c r="BH236" s="301">
        <f t="shared" ca="1" si="120"/>
        <v>0</v>
      </c>
      <c r="BI236" s="300">
        <f ca="1">IF(AO236&gt;TartamVálasztott,0,   (BI235+BH236)*(1+yields!$D$2)*(1-(0.0099/12)))</f>
        <v>963279.24740694952</v>
      </c>
      <c r="BJ236" s="300">
        <f ca="1">SUM(BH$6:BH236)*-1.2</f>
        <v>-805908.55349736731</v>
      </c>
      <c r="BK236" s="300">
        <f t="shared" ca="1" si="126"/>
        <v>157370.69390958222</v>
      </c>
      <c r="BL236" s="28">
        <f t="shared" ca="1" si="124"/>
        <v>2036</v>
      </c>
      <c r="BM236" s="28">
        <f t="shared" ca="1" si="122"/>
        <v>4</v>
      </c>
      <c r="BN236" s="236">
        <f t="shared" ca="1" si="123"/>
        <v>0</v>
      </c>
      <c r="BO236" s="236">
        <f t="shared" ca="1" si="118"/>
        <v>0</v>
      </c>
    </row>
    <row r="237" spans="41:67" x14ac:dyDescent="0.25">
      <c r="AO237" s="28">
        <f t="shared" si="101"/>
        <v>20</v>
      </c>
      <c r="AP237" s="28">
        <f t="shared" si="102"/>
        <v>4</v>
      </c>
      <c r="AQ237" s="65">
        <f t="shared" ca="1" si="119"/>
        <v>59949.381961843748</v>
      </c>
      <c r="AR237" s="66">
        <f t="shared" ca="1" si="103"/>
        <v>50956.974667567185</v>
      </c>
      <c r="AS237" s="66">
        <f t="shared" ca="1" si="104"/>
        <v>16189.33677003907</v>
      </c>
      <c r="AT237" s="66">
        <f t="shared" ca="1" si="105"/>
        <v>3989887.1500312788</v>
      </c>
      <c r="AU237" s="66">
        <f t="shared" ca="1" si="106"/>
        <v>0</v>
      </c>
      <c r="AV237" s="68">
        <f t="shared" ca="1" si="125"/>
        <v>3980244.9227520367</v>
      </c>
      <c r="AW237" s="65">
        <f t="shared" ca="1" si="108"/>
        <v>9642.2272792422573</v>
      </c>
      <c r="AX237" s="69">
        <f t="shared" ca="1" si="109"/>
        <v>8992.4072942765615</v>
      </c>
      <c r="AY237" s="70">
        <f t="shared" ca="1" si="110"/>
        <v>11834.007999267957</v>
      </c>
      <c r="AZ237" s="66">
        <f t="shared" ca="1" si="111"/>
        <v>1415.8689828761956</v>
      </c>
      <c r="BA237" s="66">
        <f t="shared" ca="1" si="112"/>
        <v>1662.4529791796997</v>
      </c>
      <c r="BB237" s="66">
        <f t="shared" ca="1" si="113"/>
        <v>145.39296094369786</v>
      </c>
      <c r="BC237" s="66">
        <f t="shared" ca="1" si="114"/>
        <v>348943.10626487486</v>
      </c>
      <c r="BD237" s="66">
        <f t="shared" ca="1" si="115"/>
        <v>0</v>
      </c>
      <c r="BE237" s="71">
        <f t="shared" ca="1" si="121"/>
        <v>349907.67303152481</v>
      </c>
      <c r="BF237" s="65">
        <f t="shared" ca="1" si="116"/>
        <v>843.2791734734476</v>
      </c>
      <c r="BG237" s="69">
        <f t="shared" ca="1" si="117"/>
        <v>0</v>
      </c>
      <c r="BH237" s="301">
        <f t="shared" ca="1" si="120"/>
        <v>0</v>
      </c>
      <c r="BI237" s="300">
        <f ca="1">IF(AO237&gt;TartamVálasztott,0,   (BI236+BH237)*(1+yields!$D$2)*(1-(0.0099/12)))</f>
        <v>966405.8231919083</v>
      </c>
      <c r="BJ237" s="300">
        <f ca="1">SUM(BH$6:BH237)*-1.2</f>
        <v>-805908.55349736731</v>
      </c>
      <c r="BK237" s="300">
        <f t="shared" ca="1" si="126"/>
        <v>160497.269694541</v>
      </c>
      <c r="BL237" s="28">
        <f t="shared" ca="1" si="124"/>
        <v>2036</v>
      </c>
      <c r="BM237" s="28">
        <f t="shared" ca="1" si="122"/>
        <v>5</v>
      </c>
      <c r="BN237" s="236">
        <f t="shared" ca="1" si="123"/>
        <v>0</v>
      </c>
      <c r="BO237" s="236">
        <f t="shared" ca="1" si="118"/>
        <v>0</v>
      </c>
    </row>
    <row r="238" spans="41:67" x14ac:dyDescent="0.25">
      <c r="AO238" s="28">
        <f t="shared" si="101"/>
        <v>20</v>
      </c>
      <c r="AP238" s="28">
        <f t="shared" si="102"/>
        <v>5</v>
      </c>
      <c r="AQ238" s="65">
        <f t="shared" ca="1" si="119"/>
        <v>0</v>
      </c>
      <c r="AR238" s="66">
        <f t="shared" ca="1" si="103"/>
        <v>0</v>
      </c>
      <c r="AS238" s="66">
        <f t="shared" ca="1" si="104"/>
        <v>16216.010504529677</v>
      </c>
      <c r="AT238" s="66">
        <f t="shared" ca="1" si="105"/>
        <v>3996460.9332565665</v>
      </c>
      <c r="AU238" s="66">
        <f t="shared" ca="1" si="106"/>
        <v>0</v>
      </c>
      <c r="AV238" s="68">
        <f t="shared" ca="1" si="125"/>
        <v>3986802.8193345298</v>
      </c>
      <c r="AW238" s="65">
        <f t="shared" ca="1" si="108"/>
        <v>9658.1139220367022</v>
      </c>
      <c r="AX238" s="69">
        <f t="shared" ca="1" si="109"/>
        <v>0</v>
      </c>
      <c r="AY238" s="70">
        <f t="shared" ca="1" si="110"/>
        <v>0</v>
      </c>
      <c r="AZ238" s="66">
        <f t="shared" ca="1" si="111"/>
        <v>1425.5671727787867</v>
      </c>
      <c r="BA238" s="66">
        <f t="shared" ca="1" si="112"/>
        <v>1665.1920555235695</v>
      </c>
      <c r="BB238" s="66">
        <f t="shared" ca="1" si="113"/>
        <v>146.38885008512651</v>
      </c>
      <c r="BC238" s="66">
        <f t="shared" ca="1" si="114"/>
        <v>351333.24020430358</v>
      </c>
      <c r="BD238" s="66">
        <f t="shared" ca="1" si="115"/>
        <v>0</v>
      </c>
      <c r="BE238" s="71">
        <f t="shared" ca="1" si="121"/>
        <v>352295.76577941858</v>
      </c>
      <c r="BF238" s="65">
        <f t="shared" ca="1" si="116"/>
        <v>849.05533049373366</v>
      </c>
      <c r="BG238" s="69">
        <f t="shared" ca="1" si="117"/>
        <v>0</v>
      </c>
      <c r="BH238" s="301">
        <f t="shared" ca="1" si="120"/>
        <v>46789.761531195123</v>
      </c>
      <c r="BI238" s="300">
        <f ca="1">IF(AO238&gt;TartamVálasztott,0,   (BI237+BH238)*(1+yields!$D$2)*(1-(0.0099/12)))</f>
        <v>1016484.1770904257</v>
      </c>
      <c r="BJ238" s="300">
        <f ca="1">SUM(BH$6:BH238)*-1.2</f>
        <v>-862056.26733480149</v>
      </c>
      <c r="BK238" s="300">
        <f t="shared" ca="1" si="126"/>
        <v>154427.90975562425</v>
      </c>
      <c r="BL238" s="28">
        <f t="shared" ca="1" si="124"/>
        <v>2036</v>
      </c>
      <c r="BM238" s="28">
        <f t="shared" ca="1" si="122"/>
        <v>6</v>
      </c>
      <c r="BN238" s="236">
        <f t="shared" ca="1" si="123"/>
        <v>0</v>
      </c>
      <c r="BO238" s="236">
        <f t="shared" ca="1" si="118"/>
        <v>0</v>
      </c>
    </row>
    <row r="239" spans="41:67" x14ac:dyDescent="0.25">
      <c r="AO239" s="28">
        <f t="shared" si="101"/>
        <v>20</v>
      </c>
      <c r="AP239" s="28">
        <f t="shared" si="102"/>
        <v>6</v>
      </c>
      <c r="AQ239" s="65">
        <f t="shared" ca="1" si="119"/>
        <v>0</v>
      </c>
      <c r="AR239" s="66">
        <f t="shared" ca="1" si="103"/>
        <v>0</v>
      </c>
      <c r="AS239" s="66">
        <f t="shared" ca="1" si="104"/>
        <v>16242.728186967117</v>
      </c>
      <c r="AT239" s="66">
        <f t="shared" ca="1" si="105"/>
        <v>4003045.5475214971</v>
      </c>
      <c r="AU239" s="66">
        <f t="shared" ca="1" si="106"/>
        <v>0</v>
      </c>
      <c r="AV239" s="68">
        <f t="shared" ca="1" si="125"/>
        <v>3993371.5207816535</v>
      </c>
      <c r="AW239" s="65">
        <f t="shared" ca="1" si="108"/>
        <v>9674.026739843619</v>
      </c>
      <c r="AX239" s="69">
        <f t="shared" ca="1" si="109"/>
        <v>0</v>
      </c>
      <c r="AY239" s="70">
        <f t="shared" ca="1" si="110"/>
        <v>0</v>
      </c>
      <c r="AZ239" s="66">
        <f t="shared" ca="1" si="111"/>
        <v>1435.2965582405388</v>
      </c>
      <c r="BA239" s="66">
        <f t="shared" ca="1" si="112"/>
        <v>1667.935644800624</v>
      </c>
      <c r="BB239" s="66">
        <f t="shared" ca="1" si="113"/>
        <v>147.38794264069131</v>
      </c>
      <c r="BC239" s="66">
        <f t="shared" ca="1" si="114"/>
        <v>353731.06233765912</v>
      </c>
      <c r="BD239" s="66">
        <f t="shared" ca="1" si="115"/>
        <v>0</v>
      </c>
      <c r="BE239" s="71">
        <f t="shared" ca="1" si="121"/>
        <v>354691.53585778439</v>
      </c>
      <c r="BF239" s="65">
        <f t="shared" ca="1" si="116"/>
        <v>854.85006731600959</v>
      </c>
      <c r="BG239" s="69">
        <f t="shared" ca="1" si="117"/>
        <v>0</v>
      </c>
      <c r="BH239" s="301">
        <f t="shared" ca="1" si="120"/>
        <v>0</v>
      </c>
      <c r="BI239" s="300">
        <f ca="1">IF(AO239&gt;TartamVálasztott,0,   (BI238+BH239)*(1+yields!$D$2)*(1-(0.0099/12)))</f>
        <v>1019783.4434479643</v>
      </c>
      <c r="BJ239" s="300">
        <f ca="1">SUM(BH$6:BH239)*-1.2</f>
        <v>-862056.26733480149</v>
      </c>
      <c r="BK239" s="300">
        <f t="shared" ca="1" si="126"/>
        <v>157727.17611316277</v>
      </c>
      <c r="BL239" s="28">
        <f t="shared" ca="1" si="124"/>
        <v>2036</v>
      </c>
      <c r="BM239" s="28">
        <f t="shared" ca="1" si="122"/>
        <v>7</v>
      </c>
      <c r="BN239" s="236">
        <f t="shared" ca="1" si="123"/>
        <v>0</v>
      </c>
      <c r="BO239" s="236">
        <f t="shared" ca="1" si="118"/>
        <v>0</v>
      </c>
    </row>
    <row r="240" spans="41:67" x14ac:dyDescent="0.25">
      <c r="AO240" s="28">
        <f t="shared" si="101"/>
        <v>20</v>
      </c>
      <c r="AP240" s="28">
        <f t="shared" si="102"/>
        <v>7</v>
      </c>
      <c r="AQ240" s="65">
        <f t="shared" ca="1" si="119"/>
        <v>59949.381961843748</v>
      </c>
      <c r="AR240" s="66">
        <f t="shared" ca="1" si="103"/>
        <v>50956.974667567185</v>
      </c>
      <c r="AS240" s="66">
        <f t="shared" ca="1" si="104"/>
        <v>16477.094912196433</v>
      </c>
      <c r="AT240" s="66">
        <f t="shared" ca="1" si="105"/>
        <v>4060805.5903614173</v>
      </c>
      <c r="AU240" s="66">
        <f t="shared" ca="1" si="106"/>
        <v>0</v>
      </c>
      <c r="AV240" s="68">
        <f t="shared" ca="1" si="125"/>
        <v>4050991.9768513772</v>
      </c>
      <c r="AW240" s="65">
        <f t="shared" ca="1" si="108"/>
        <v>9813.6135100400916</v>
      </c>
      <c r="AX240" s="69">
        <f t="shared" ca="1" si="109"/>
        <v>8992.4072942765615</v>
      </c>
      <c r="AY240" s="70">
        <f t="shared" ca="1" si="110"/>
        <v>11834.007999267957</v>
      </c>
      <c r="AZ240" s="66">
        <f t="shared" ca="1" si="111"/>
        <v>1493.2704355426647</v>
      </c>
      <c r="BA240" s="66">
        <f t="shared" ca="1" si="112"/>
        <v>1692.0023293172574</v>
      </c>
      <c r="BB240" s="66">
        <f t="shared" ca="1" si="113"/>
        <v>153.34117262191461</v>
      </c>
      <c r="BC240" s="66">
        <f t="shared" ca="1" si="114"/>
        <v>368018.81429259502</v>
      </c>
      <c r="BD240" s="66">
        <f t="shared" ca="1" si="115"/>
        <v>0</v>
      </c>
      <c r="BE240" s="71">
        <f t="shared" ca="1" si="121"/>
        <v>368974.77899332705</v>
      </c>
      <c r="BF240" s="65">
        <f t="shared" ca="1" si="116"/>
        <v>889.37880120710463</v>
      </c>
      <c r="BG240" s="69">
        <f t="shared" ca="1" si="117"/>
        <v>0</v>
      </c>
      <c r="BH240" s="301">
        <f t="shared" ca="1" si="120"/>
        <v>0</v>
      </c>
      <c r="BI240" s="300">
        <f ca="1">IF(AO240&gt;TartamVálasztott,0,   (BI239+BH240)*(1+yields!$D$2)*(1-(0.0099/12)))</f>
        <v>1023093.4184409574</v>
      </c>
      <c r="BJ240" s="300">
        <f ca="1">SUM(BH$6:BH240)*-1.2</f>
        <v>-862056.26733480149</v>
      </c>
      <c r="BK240" s="300">
        <f t="shared" ca="1" si="126"/>
        <v>161037.15110615594</v>
      </c>
      <c r="BL240" s="28">
        <f t="shared" ca="1" si="124"/>
        <v>2036</v>
      </c>
      <c r="BM240" s="28">
        <f t="shared" ca="1" si="122"/>
        <v>8</v>
      </c>
      <c r="BN240" s="236">
        <f t="shared" ca="1" si="123"/>
        <v>0</v>
      </c>
      <c r="BO240" s="236">
        <f t="shared" ca="1" si="118"/>
        <v>0</v>
      </c>
    </row>
    <row r="241" spans="41:67" x14ac:dyDescent="0.25">
      <c r="AO241" s="28">
        <f t="shared" si="101"/>
        <v>20</v>
      </c>
      <c r="AP241" s="28">
        <f t="shared" si="102"/>
        <v>8</v>
      </c>
      <c r="AQ241" s="65">
        <f t="shared" ca="1" si="119"/>
        <v>0</v>
      </c>
      <c r="AR241" s="66">
        <f t="shared" ca="1" si="103"/>
        <v>0</v>
      </c>
      <c r="AS241" s="66">
        <f t="shared" ca="1" si="104"/>
        <v>16504.242760258858</v>
      </c>
      <c r="AT241" s="66">
        <f t="shared" ca="1" si="105"/>
        <v>4067496.2196116359</v>
      </c>
      <c r="AU241" s="66">
        <f t="shared" ca="1" si="106"/>
        <v>0</v>
      </c>
      <c r="AV241" s="68">
        <f t="shared" ca="1" si="125"/>
        <v>4057666.4370809076</v>
      </c>
      <c r="AW241" s="65">
        <f t="shared" ca="1" si="108"/>
        <v>9829.78253072812</v>
      </c>
      <c r="AX241" s="69">
        <f t="shared" ca="1" si="109"/>
        <v>0</v>
      </c>
      <c r="AY241" s="70">
        <f t="shared" ca="1" si="110"/>
        <v>0</v>
      </c>
      <c r="AZ241" s="66">
        <f t="shared" ca="1" si="111"/>
        <v>1503.2489226631087</v>
      </c>
      <c r="BA241" s="66">
        <f t="shared" ca="1" si="112"/>
        <v>1694.7900915048483</v>
      </c>
      <c r="BB241" s="66">
        <f t="shared" ca="1" si="113"/>
        <v>154.36584496499592</v>
      </c>
      <c r="BC241" s="66">
        <f t="shared" ca="1" si="114"/>
        <v>370478.02791599015</v>
      </c>
      <c r="BD241" s="66">
        <f t="shared" ca="1" si="115"/>
        <v>0</v>
      </c>
      <c r="BE241" s="71">
        <f t="shared" ca="1" si="121"/>
        <v>371431.86195166304</v>
      </c>
      <c r="BF241" s="65">
        <f t="shared" ca="1" si="116"/>
        <v>895.32190079697625</v>
      </c>
      <c r="BG241" s="69">
        <f t="shared" ca="1" si="117"/>
        <v>0</v>
      </c>
      <c r="BH241" s="301">
        <f t="shared" ca="1" si="120"/>
        <v>0</v>
      </c>
      <c r="BI241" s="300">
        <f ca="1">IF(AO241&gt;TartamVálasztott,0,   (BI240+BH241)*(1+yields!$D$2)*(1-(0.0099/12)))</f>
        <v>1026414.1368270942</v>
      </c>
      <c r="BJ241" s="300">
        <f ca="1">SUM(BH$6:BH241)*-1.2</f>
        <v>-862056.26733480149</v>
      </c>
      <c r="BK241" s="300">
        <f t="shared" ca="1" si="126"/>
        <v>164357.86949229275</v>
      </c>
      <c r="BL241" s="28">
        <f t="shared" ca="1" si="124"/>
        <v>2036</v>
      </c>
      <c r="BM241" s="28">
        <f t="shared" ca="1" si="122"/>
        <v>9</v>
      </c>
      <c r="BN241" s="236">
        <f t="shared" ca="1" si="123"/>
        <v>0</v>
      </c>
      <c r="BO241" s="236">
        <f t="shared" ca="1" si="118"/>
        <v>0</v>
      </c>
    </row>
    <row r="242" spans="41:67" x14ac:dyDescent="0.25">
      <c r="AO242" s="28">
        <f t="shared" si="101"/>
        <v>20</v>
      </c>
      <c r="AP242" s="28">
        <f t="shared" si="102"/>
        <v>9</v>
      </c>
      <c r="AQ242" s="65">
        <f t="shared" ca="1" si="119"/>
        <v>0</v>
      </c>
      <c r="AR242" s="66">
        <f t="shared" ca="1" si="103"/>
        <v>0</v>
      </c>
      <c r="AS242" s="66">
        <f t="shared" ca="1" si="104"/>
        <v>16531.435337423001</v>
      </c>
      <c r="AT242" s="66">
        <f t="shared" ca="1" si="105"/>
        <v>4074197.8724183305</v>
      </c>
      <c r="AU242" s="66">
        <f t="shared" ca="1" si="106"/>
        <v>0</v>
      </c>
      <c r="AV242" s="68">
        <f t="shared" ca="1" si="125"/>
        <v>4064351.894226653</v>
      </c>
      <c r="AW242" s="65">
        <f t="shared" ca="1" si="108"/>
        <v>9845.9781916776319</v>
      </c>
      <c r="AX242" s="69">
        <f t="shared" ca="1" si="109"/>
        <v>0</v>
      </c>
      <c r="AY242" s="70">
        <f t="shared" ca="1" si="110"/>
        <v>0</v>
      </c>
      <c r="AZ242" s="66">
        <f t="shared" ca="1" si="111"/>
        <v>1513.2593827820624</v>
      </c>
      <c r="BA242" s="66">
        <f t="shared" ca="1" si="112"/>
        <v>1697.5824468409712</v>
      </c>
      <c r="BB242" s="66">
        <f t="shared" ca="1" si="113"/>
        <v>155.39380055601879</v>
      </c>
      <c r="BC242" s="66">
        <f t="shared" ca="1" si="114"/>
        <v>372945.12133444508</v>
      </c>
      <c r="BD242" s="66">
        <f t="shared" ca="1" si="115"/>
        <v>0</v>
      </c>
      <c r="BE242" s="71">
        <f t="shared" ca="1" si="121"/>
        <v>373896.81353861716</v>
      </c>
      <c r="BF242" s="65">
        <f t="shared" ca="1" si="116"/>
        <v>901.28404322490894</v>
      </c>
      <c r="BG242" s="69">
        <f t="shared" ca="1" si="117"/>
        <v>0</v>
      </c>
      <c r="BH242" s="301">
        <f t="shared" ca="1" si="120"/>
        <v>0</v>
      </c>
      <c r="BI242" s="300">
        <f ca="1">IF(AO242&gt;TartamVálasztott,0,   (BI241+BH242)*(1+yields!$D$2)*(1-(0.0099/12)))</f>
        <v>1029745.6334768785</v>
      </c>
      <c r="BJ242" s="300">
        <f ca="1">SUM(BH$6:BH242)*-1.2</f>
        <v>-862056.26733480149</v>
      </c>
      <c r="BK242" s="300">
        <f t="shared" ca="1" si="126"/>
        <v>167689.36614207702</v>
      </c>
      <c r="BL242" s="28">
        <f t="shared" ca="1" si="124"/>
        <v>2036</v>
      </c>
      <c r="BM242" s="28">
        <f t="shared" ca="1" si="122"/>
        <v>10</v>
      </c>
      <c r="BN242" s="236">
        <f t="shared" ca="1" si="123"/>
        <v>0</v>
      </c>
      <c r="BO242" s="236">
        <f t="shared" ca="1" si="118"/>
        <v>0</v>
      </c>
    </row>
    <row r="243" spans="41:67" x14ac:dyDescent="0.25">
      <c r="AO243" s="28">
        <f t="shared" si="101"/>
        <v>20</v>
      </c>
      <c r="AP243" s="28">
        <f t="shared" si="102"/>
        <v>10</v>
      </c>
      <c r="AQ243" s="65">
        <f t="shared" ca="1" si="119"/>
        <v>59949.381961843748</v>
      </c>
      <c r="AR243" s="66">
        <f t="shared" ca="1" si="103"/>
        <v>50956.974667567185</v>
      </c>
      <c r="AS243" s="66">
        <f t="shared" ca="1" si="104"/>
        <v>16766.277739820947</v>
      </c>
      <c r="AT243" s="66">
        <f t="shared" ca="1" si="105"/>
        <v>4132075.1466340413</v>
      </c>
      <c r="AU243" s="66">
        <f t="shared" ca="1" si="106"/>
        <v>0</v>
      </c>
      <c r="AV243" s="68">
        <f t="shared" ca="1" si="125"/>
        <v>4122089.298363009</v>
      </c>
      <c r="AW243" s="65">
        <f t="shared" ca="1" si="108"/>
        <v>9985.8482710322678</v>
      </c>
      <c r="AX243" s="69">
        <f t="shared" ca="1" si="109"/>
        <v>8992.4072942765615</v>
      </c>
      <c r="AY243" s="70">
        <f t="shared" ca="1" si="110"/>
        <v>11834.007999267957</v>
      </c>
      <c r="AZ243" s="66">
        <f t="shared" ca="1" si="111"/>
        <v>1571.5151141137162</v>
      </c>
      <c r="BA243" s="66">
        <f t="shared" ca="1" si="112"/>
        <v>1721.6979777641841</v>
      </c>
      <c r="BB243" s="66">
        <f t="shared" ca="1" si="113"/>
        <v>161.3759736049995</v>
      </c>
      <c r="BC243" s="66">
        <f t="shared" ca="1" si="114"/>
        <v>387302.3366519988</v>
      </c>
      <c r="BD243" s="66">
        <f t="shared" ca="1" si="115"/>
        <v>0</v>
      </c>
      <c r="BE243" s="71">
        <f t="shared" ca="1" si="121"/>
        <v>388249.42995645903</v>
      </c>
      <c r="BF243" s="65">
        <f t="shared" ca="1" si="116"/>
        <v>935.98064690899719</v>
      </c>
      <c r="BG243" s="69">
        <f t="shared" ca="1" si="117"/>
        <v>0</v>
      </c>
      <c r="BH243" s="301">
        <f t="shared" ca="1" si="120"/>
        <v>0</v>
      </c>
      <c r="BI243" s="300">
        <f ca="1">IF(AO243&gt;TartamVálasztott,0,   (BI242+BH243)*(1+yields!$D$2)*(1-(0.0099/12)))</f>
        <v>1033087.9433739957</v>
      </c>
      <c r="BJ243" s="300">
        <f ca="1">SUM(BH$6:BH243)*-1.2</f>
        <v>-862056.26733480149</v>
      </c>
      <c r="BK243" s="300">
        <f t="shared" ca="1" si="126"/>
        <v>171031.67603919422</v>
      </c>
      <c r="BL243" s="28">
        <f t="shared" ca="1" si="124"/>
        <v>2036</v>
      </c>
      <c r="BM243" s="28">
        <f t="shared" ca="1" si="122"/>
        <v>11</v>
      </c>
      <c r="BN243" s="236">
        <f t="shared" ca="1" si="123"/>
        <v>0</v>
      </c>
      <c r="BO243" s="236">
        <f t="shared" ca="1" si="118"/>
        <v>0</v>
      </c>
    </row>
    <row r="244" spans="41:67" x14ac:dyDescent="0.25">
      <c r="AO244" s="28">
        <f t="shared" si="101"/>
        <v>20</v>
      </c>
      <c r="AP244" s="28">
        <f t="shared" si="102"/>
        <v>11</v>
      </c>
      <c r="AQ244" s="65">
        <f t="shared" ca="1" si="119"/>
        <v>0</v>
      </c>
      <c r="AR244" s="66">
        <f t="shared" ca="1" si="103"/>
        <v>0</v>
      </c>
      <c r="AS244" s="66">
        <f t="shared" ca="1" si="104"/>
        <v>16793.902048783089</v>
      </c>
      <c r="AT244" s="66">
        <f t="shared" ca="1" si="105"/>
        <v>4138883.2004117919</v>
      </c>
      <c r="AU244" s="66">
        <f t="shared" ca="1" si="106"/>
        <v>0</v>
      </c>
      <c r="AV244" s="68">
        <f t="shared" ca="1" si="125"/>
        <v>4128880.89934413</v>
      </c>
      <c r="AW244" s="65">
        <f t="shared" ca="1" si="108"/>
        <v>10002.301067661831</v>
      </c>
      <c r="AX244" s="69">
        <f t="shared" ca="1" si="109"/>
        <v>0</v>
      </c>
      <c r="AY244" s="70">
        <f t="shared" ca="1" si="110"/>
        <v>0</v>
      </c>
      <c r="AZ244" s="66">
        <f t="shared" ca="1" si="111"/>
        <v>1581.7762365735252</v>
      </c>
      <c r="BA244" s="66">
        <f t="shared" ca="1" si="112"/>
        <v>1724.5346668382467</v>
      </c>
      <c r="BB244" s="66">
        <f t="shared" ca="1" si="113"/>
        <v>162.42966924709691</v>
      </c>
      <c r="BC244" s="66">
        <f t="shared" ca="1" si="114"/>
        <v>389831.20619303256</v>
      </c>
      <c r="BD244" s="66">
        <f t="shared" ca="1" si="115"/>
        <v>0</v>
      </c>
      <c r="BE244" s="71">
        <f t="shared" ca="1" si="121"/>
        <v>390776.07844748476</v>
      </c>
      <c r="BF244" s="65">
        <f t="shared" ca="1" si="116"/>
        <v>942.09208163316202</v>
      </c>
      <c r="BG244" s="69">
        <f t="shared" ca="1" si="117"/>
        <v>0</v>
      </c>
      <c r="BH244" s="301">
        <f t="shared" ca="1" si="120"/>
        <v>0</v>
      </c>
      <c r="BI244" s="300">
        <f ca="1">IF(AO244&gt;TartamVálasztott,0,   (BI243+BH244)*(1+yields!$D$2)*(1-(0.0099/12)))</f>
        <v>1036441.10161568</v>
      </c>
      <c r="BJ244" s="300">
        <f ca="1">SUM(BH$6:BH244)*-1.2</f>
        <v>-862056.26733480149</v>
      </c>
      <c r="BK244" s="300">
        <f t="shared" ca="1" si="126"/>
        <v>174384.83428087854</v>
      </c>
      <c r="BL244" s="28">
        <f t="shared" ca="1" si="124"/>
        <v>2036</v>
      </c>
      <c r="BM244" s="28">
        <f t="shared" ca="1" si="122"/>
        <v>12</v>
      </c>
      <c r="BN244" s="236">
        <f t="shared" ca="1" si="123"/>
        <v>239797.52784737499</v>
      </c>
      <c r="BO244" s="236">
        <f t="shared" ca="1" si="118"/>
        <v>47959.505569475004</v>
      </c>
    </row>
    <row r="245" spans="41:67" ht="15.75" thickBot="1" x14ac:dyDescent="0.3">
      <c r="AO245" s="143">
        <f t="shared" si="101"/>
        <v>20</v>
      </c>
      <c r="AP245" s="143">
        <f t="shared" si="102"/>
        <v>12</v>
      </c>
      <c r="AQ245" s="144">
        <f t="shared" ca="1" si="119"/>
        <v>0</v>
      </c>
      <c r="AR245" s="145">
        <f t="shared" ca="1" si="103"/>
        <v>0</v>
      </c>
      <c r="AS245" s="145">
        <f t="shared" ca="1" si="104"/>
        <v>16821.571871869324</v>
      </c>
      <c r="AT245" s="145">
        <f t="shared" ca="1" si="105"/>
        <v>4145702.4712159992</v>
      </c>
      <c r="AU245" s="145">
        <f t="shared" ca="1" si="106"/>
        <v>393310.78829531622</v>
      </c>
      <c r="AV245" s="145">
        <f t="shared" ca="1" si="125"/>
        <v>4528994.4785392098</v>
      </c>
      <c r="AW245" s="144">
        <f t="shared" ca="1" si="108"/>
        <v>10018.780972105333</v>
      </c>
      <c r="AX245" s="146">
        <f t="shared" ca="1" si="109"/>
        <v>0</v>
      </c>
      <c r="AY245" s="147">
        <f t="shared" ca="1" si="110"/>
        <v>0</v>
      </c>
      <c r="AZ245" s="145">
        <f t="shared" ca="1" si="111"/>
        <v>1592.0701152837323</v>
      </c>
      <c r="BA245" s="145">
        <f t="shared" ca="1" si="112"/>
        <v>1727.3760296733331</v>
      </c>
      <c r="BB245" s="145">
        <f t="shared" ca="1" si="113"/>
        <v>163.48672856782022</v>
      </c>
      <c r="BC245" s="145">
        <f t="shared" ca="1" si="114"/>
        <v>392368.14856276847</v>
      </c>
      <c r="BD245" s="145">
        <f t="shared" ca="1" si="115"/>
        <v>393310.78829531622</v>
      </c>
      <c r="BE245" s="145">
        <f t="shared" ca="1" si="121"/>
        <v>0</v>
      </c>
      <c r="BF245" s="144">
        <f t="shared" ca="1" si="116"/>
        <v>948.22302569335716</v>
      </c>
      <c r="BG245" s="146">
        <f t="shared" ca="1" si="117"/>
        <v>0</v>
      </c>
      <c r="BH245" s="301">
        <f t="shared" ca="1" si="120"/>
        <v>0</v>
      </c>
      <c r="BI245" s="300">
        <f ca="1">IF(AO245&gt;TartamVálasztott,0,   (BI244+BH245)*(1+yields!$D$2)*(1-(0.0099/12)))</f>
        <v>1039805.1434130828</v>
      </c>
      <c r="BJ245" s="300">
        <f ca="1">SUM(BH$6:BH245)*-1.2</f>
        <v>-862056.26733480149</v>
      </c>
      <c r="BK245" s="300">
        <f t="shared" ca="1" si="126"/>
        <v>177748.87607828132</v>
      </c>
      <c r="BL245" s="28">
        <f t="shared" ca="1" si="124"/>
        <v>2037</v>
      </c>
      <c r="BM245" s="28">
        <f t="shared" ca="1" si="122"/>
        <v>1</v>
      </c>
      <c r="BN245" s="236">
        <f t="shared" ca="1" si="123"/>
        <v>0</v>
      </c>
      <c r="BO245" s="236">
        <f t="shared" ca="1" si="118"/>
        <v>0</v>
      </c>
    </row>
    <row r="246" spans="41:67" ht="15.75" thickTop="1" x14ac:dyDescent="0.25">
      <c r="AO246" s="28">
        <f t="shared" si="101"/>
        <v>21</v>
      </c>
      <c r="AP246" s="28">
        <f t="shared" si="102"/>
        <v>1</v>
      </c>
      <c r="AQ246" s="65">
        <f t="shared" ca="1" si="119"/>
        <v>0</v>
      </c>
      <c r="AR246" s="66">
        <f t="shared" ca="1" si="103"/>
        <v>0</v>
      </c>
      <c r="AS246" s="66">
        <f t="shared" ca="1" si="104"/>
        <v>0</v>
      </c>
      <c r="AT246" s="66">
        <f t="shared" ca="1" si="105"/>
        <v>0</v>
      </c>
      <c r="AU246" s="66">
        <f t="shared" ca="1" si="106"/>
        <v>0</v>
      </c>
      <c r="AV246" s="68">
        <f t="shared" ca="1" si="125"/>
        <v>0</v>
      </c>
      <c r="AW246" s="65">
        <f t="shared" ca="1" si="108"/>
        <v>0</v>
      </c>
      <c r="AX246" s="69">
        <f t="shared" ca="1" si="109"/>
        <v>0</v>
      </c>
      <c r="AY246" s="70">
        <f t="shared" ca="1" si="110"/>
        <v>0</v>
      </c>
      <c r="AZ246" s="66">
        <f t="shared" ca="1" si="111"/>
        <v>0</v>
      </c>
      <c r="BA246" s="66">
        <f t="shared" ca="1" si="112"/>
        <v>0</v>
      </c>
      <c r="BB246" s="66">
        <f t="shared" ca="1" si="113"/>
        <v>0</v>
      </c>
      <c r="BC246" s="66">
        <f t="shared" ca="1" si="114"/>
        <v>0</v>
      </c>
      <c r="BD246" s="66">
        <f t="shared" ca="1" si="115"/>
        <v>0</v>
      </c>
      <c r="BE246" s="71">
        <f t="shared" ca="1" si="121"/>
        <v>0</v>
      </c>
      <c r="BF246" s="65">
        <f t="shared" ca="1" si="116"/>
        <v>0</v>
      </c>
      <c r="BG246" s="69">
        <f t="shared" ca="1" si="117"/>
        <v>0</v>
      </c>
      <c r="BH246" s="301">
        <f t="shared" ca="1" si="120"/>
        <v>0</v>
      </c>
      <c r="BI246" s="300">
        <f ca="1">IF(AO246&gt;TartamVálasztott,0,   (BI245+BH246)*(1+yields!$D$2)*(1-(0.0099/12)))</f>
        <v>0</v>
      </c>
      <c r="BJ246" s="300">
        <f ca="1">SUM(BH$6:BH246)*-1.2</f>
        <v>-862056.26733480149</v>
      </c>
      <c r="BK246" s="300">
        <f t="shared" ca="1" si="126"/>
        <v>-862056.26733480149</v>
      </c>
      <c r="BL246" s="28">
        <f t="shared" ca="1" si="124"/>
        <v>2037</v>
      </c>
      <c r="BM246" s="28">
        <f t="shared" ca="1" si="122"/>
        <v>2</v>
      </c>
      <c r="BN246" s="236">
        <f t="shared" ca="1" si="123"/>
        <v>0</v>
      </c>
      <c r="BO246" s="236">
        <f t="shared" ca="1" si="118"/>
        <v>0</v>
      </c>
    </row>
    <row r="247" spans="41:67" x14ac:dyDescent="0.25">
      <c r="AO247" s="28">
        <f t="shared" si="101"/>
        <v>21</v>
      </c>
      <c r="AP247" s="28">
        <f t="shared" si="102"/>
        <v>2</v>
      </c>
      <c r="AQ247" s="65">
        <f t="shared" ca="1" si="119"/>
        <v>0</v>
      </c>
      <c r="AR247" s="66">
        <f t="shared" ca="1" si="103"/>
        <v>0</v>
      </c>
      <c r="AS247" s="66">
        <f t="shared" ca="1" si="104"/>
        <v>0</v>
      </c>
      <c r="AT247" s="66">
        <f t="shared" ca="1" si="105"/>
        <v>0</v>
      </c>
      <c r="AU247" s="66">
        <f t="shared" ca="1" si="106"/>
        <v>0</v>
      </c>
      <c r="AV247" s="68">
        <f t="shared" ca="1" si="125"/>
        <v>0</v>
      </c>
      <c r="AW247" s="65">
        <f t="shared" ca="1" si="108"/>
        <v>0</v>
      </c>
      <c r="AX247" s="69">
        <f t="shared" ca="1" si="109"/>
        <v>0</v>
      </c>
      <c r="AY247" s="70">
        <f t="shared" ca="1" si="110"/>
        <v>0</v>
      </c>
      <c r="AZ247" s="66">
        <f t="shared" ca="1" si="111"/>
        <v>0</v>
      </c>
      <c r="BA247" s="66">
        <f t="shared" ca="1" si="112"/>
        <v>0</v>
      </c>
      <c r="BB247" s="66">
        <f t="shared" ca="1" si="113"/>
        <v>0</v>
      </c>
      <c r="BC247" s="66">
        <f t="shared" ca="1" si="114"/>
        <v>0</v>
      </c>
      <c r="BD247" s="66">
        <f t="shared" ca="1" si="115"/>
        <v>0</v>
      </c>
      <c r="BE247" s="71">
        <f t="shared" ca="1" si="121"/>
        <v>0</v>
      </c>
      <c r="BF247" s="65">
        <f t="shared" ca="1" si="116"/>
        <v>0</v>
      </c>
      <c r="BG247" s="69">
        <f t="shared" ca="1" si="117"/>
        <v>0</v>
      </c>
      <c r="BH247" s="301">
        <f t="shared" ca="1" si="120"/>
        <v>0</v>
      </c>
      <c r="BI247" s="300">
        <f ca="1">IF(AO247&gt;TartamVálasztott,0,   (BI246+BH247)*(1+yields!$D$2)*(1-(0.0099/12)))</f>
        <v>0</v>
      </c>
      <c r="BJ247" s="300">
        <f ca="1">SUM(BH$6:BH247)*-1.2</f>
        <v>-862056.26733480149</v>
      </c>
      <c r="BK247" s="300">
        <f t="shared" ca="1" si="126"/>
        <v>-862056.26733480149</v>
      </c>
      <c r="BL247" s="28">
        <f t="shared" ca="1" si="124"/>
        <v>2037</v>
      </c>
      <c r="BM247" s="28">
        <f t="shared" ca="1" si="122"/>
        <v>3</v>
      </c>
      <c r="BN247" s="236">
        <f t="shared" ca="1" si="123"/>
        <v>0</v>
      </c>
      <c r="BO247" s="236">
        <f t="shared" ca="1" si="118"/>
        <v>0</v>
      </c>
    </row>
    <row r="248" spans="41:67" x14ac:dyDescent="0.25">
      <c r="AO248" s="28">
        <f t="shared" si="101"/>
        <v>21</v>
      </c>
      <c r="AP248" s="28">
        <f t="shared" si="102"/>
        <v>3</v>
      </c>
      <c r="AQ248" s="65">
        <f t="shared" ca="1" si="119"/>
        <v>0</v>
      </c>
      <c r="AR248" s="66">
        <f t="shared" ca="1" si="103"/>
        <v>0</v>
      </c>
      <c r="AS248" s="66">
        <f t="shared" ca="1" si="104"/>
        <v>0</v>
      </c>
      <c r="AT248" s="66">
        <f t="shared" ca="1" si="105"/>
        <v>0</v>
      </c>
      <c r="AU248" s="66">
        <f t="shared" ca="1" si="106"/>
        <v>0</v>
      </c>
      <c r="AV248" s="68">
        <f t="shared" ca="1" si="125"/>
        <v>0</v>
      </c>
      <c r="AW248" s="65">
        <f t="shared" ca="1" si="108"/>
        <v>0</v>
      </c>
      <c r="AX248" s="69">
        <f t="shared" ca="1" si="109"/>
        <v>0</v>
      </c>
      <c r="AY248" s="70">
        <f t="shared" ca="1" si="110"/>
        <v>0</v>
      </c>
      <c r="AZ248" s="66">
        <f t="shared" ca="1" si="111"/>
        <v>0</v>
      </c>
      <c r="BA248" s="66">
        <f t="shared" ca="1" si="112"/>
        <v>0</v>
      </c>
      <c r="BB248" s="66">
        <f t="shared" ca="1" si="113"/>
        <v>0</v>
      </c>
      <c r="BC248" s="66">
        <f t="shared" ca="1" si="114"/>
        <v>0</v>
      </c>
      <c r="BD248" s="66">
        <f t="shared" ca="1" si="115"/>
        <v>0</v>
      </c>
      <c r="BE248" s="71">
        <f t="shared" ca="1" si="121"/>
        <v>0</v>
      </c>
      <c r="BF248" s="65">
        <f t="shared" ca="1" si="116"/>
        <v>0</v>
      </c>
      <c r="BG248" s="69">
        <f t="shared" ca="1" si="117"/>
        <v>0</v>
      </c>
      <c r="BH248" s="301">
        <f t="shared" ca="1" si="120"/>
        <v>0</v>
      </c>
      <c r="BI248" s="300">
        <f ca="1">IF(AO248&gt;TartamVálasztott,0,   (BI247+BH248)*(1+yields!$D$2)*(1-(0.0099/12)))</f>
        <v>0</v>
      </c>
      <c r="BJ248" s="300">
        <f ca="1">SUM(BH$6:BH248)*-1.2</f>
        <v>-862056.26733480149</v>
      </c>
      <c r="BK248" s="300">
        <f t="shared" ca="1" si="126"/>
        <v>-862056.26733480149</v>
      </c>
      <c r="BL248" s="28">
        <f t="shared" ca="1" si="124"/>
        <v>2037</v>
      </c>
      <c r="BM248" s="28">
        <f t="shared" ca="1" si="122"/>
        <v>4</v>
      </c>
      <c r="BN248" s="236">
        <f t="shared" ca="1" si="123"/>
        <v>0</v>
      </c>
      <c r="BO248" s="236">
        <f t="shared" ca="1" si="118"/>
        <v>0</v>
      </c>
    </row>
    <row r="249" spans="41:67" x14ac:dyDescent="0.25">
      <c r="AO249" s="28">
        <f t="shared" si="101"/>
        <v>21</v>
      </c>
      <c r="AP249" s="28">
        <f t="shared" si="102"/>
        <v>4</v>
      </c>
      <c r="AQ249" s="65">
        <f t="shared" ca="1" si="119"/>
        <v>0</v>
      </c>
      <c r="AR249" s="66">
        <f t="shared" ca="1" si="103"/>
        <v>0</v>
      </c>
      <c r="AS249" s="66">
        <f t="shared" ca="1" si="104"/>
        <v>0</v>
      </c>
      <c r="AT249" s="66">
        <f t="shared" ca="1" si="105"/>
        <v>0</v>
      </c>
      <c r="AU249" s="66">
        <f t="shared" ca="1" si="106"/>
        <v>0</v>
      </c>
      <c r="AV249" s="68">
        <f t="shared" ca="1" si="125"/>
        <v>0</v>
      </c>
      <c r="AW249" s="65">
        <f t="shared" ca="1" si="108"/>
        <v>0</v>
      </c>
      <c r="AX249" s="69">
        <f t="shared" ca="1" si="109"/>
        <v>0</v>
      </c>
      <c r="AY249" s="70">
        <f t="shared" ca="1" si="110"/>
        <v>0</v>
      </c>
      <c r="AZ249" s="66">
        <f t="shared" ca="1" si="111"/>
        <v>0</v>
      </c>
      <c r="BA249" s="66">
        <f t="shared" ca="1" si="112"/>
        <v>0</v>
      </c>
      <c r="BB249" s="66">
        <f t="shared" ca="1" si="113"/>
        <v>0</v>
      </c>
      <c r="BC249" s="66">
        <f t="shared" ca="1" si="114"/>
        <v>0</v>
      </c>
      <c r="BD249" s="66">
        <f t="shared" ca="1" si="115"/>
        <v>0</v>
      </c>
      <c r="BE249" s="71">
        <f t="shared" ca="1" si="121"/>
        <v>0</v>
      </c>
      <c r="BF249" s="65">
        <f t="shared" ca="1" si="116"/>
        <v>0</v>
      </c>
      <c r="BG249" s="69">
        <f t="shared" ca="1" si="117"/>
        <v>0</v>
      </c>
      <c r="BH249" s="301">
        <f t="shared" ca="1" si="120"/>
        <v>0</v>
      </c>
      <c r="BI249" s="300">
        <f ca="1">IF(AO249&gt;TartamVálasztott,0,   (BI248+BH249)*(1+yields!$D$2)*(1-(0.0099/12)))</f>
        <v>0</v>
      </c>
      <c r="BJ249" s="300">
        <f ca="1">SUM(BH$6:BH249)*-1.2</f>
        <v>-862056.26733480149</v>
      </c>
      <c r="BK249" s="300">
        <f t="shared" ca="1" si="126"/>
        <v>-862056.26733480149</v>
      </c>
      <c r="BL249" s="28">
        <f t="shared" ca="1" si="124"/>
        <v>2037</v>
      </c>
      <c r="BM249" s="28">
        <f t="shared" ca="1" si="122"/>
        <v>5</v>
      </c>
      <c r="BN249" s="236">
        <f t="shared" ca="1" si="123"/>
        <v>0</v>
      </c>
      <c r="BO249" s="236">
        <f t="shared" ca="1" si="118"/>
        <v>0</v>
      </c>
    </row>
    <row r="250" spans="41:67" x14ac:dyDescent="0.25">
      <c r="AO250" s="28">
        <f t="shared" si="101"/>
        <v>21</v>
      </c>
      <c r="AP250" s="28">
        <f t="shared" si="102"/>
        <v>5</v>
      </c>
      <c r="AQ250" s="65">
        <f t="shared" ca="1" si="119"/>
        <v>0</v>
      </c>
      <c r="AR250" s="66">
        <f t="shared" ca="1" si="103"/>
        <v>0</v>
      </c>
      <c r="AS250" s="66">
        <f t="shared" ca="1" si="104"/>
        <v>0</v>
      </c>
      <c r="AT250" s="66">
        <f t="shared" ca="1" si="105"/>
        <v>0</v>
      </c>
      <c r="AU250" s="66">
        <f t="shared" ca="1" si="106"/>
        <v>0</v>
      </c>
      <c r="AV250" s="68">
        <f t="shared" ca="1" si="125"/>
        <v>0</v>
      </c>
      <c r="AW250" s="65">
        <f t="shared" ca="1" si="108"/>
        <v>0</v>
      </c>
      <c r="AX250" s="69">
        <f t="shared" ca="1" si="109"/>
        <v>0</v>
      </c>
      <c r="AY250" s="70">
        <f t="shared" ca="1" si="110"/>
        <v>0</v>
      </c>
      <c r="AZ250" s="66">
        <f t="shared" ca="1" si="111"/>
        <v>0</v>
      </c>
      <c r="BA250" s="66">
        <f t="shared" ca="1" si="112"/>
        <v>0</v>
      </c>
      <c r="BB250" s="66">
        <f t="shared" ca="1" si="113"/>
        <v>0</v>
      </c>
      <c r="BC250" s="66">
        <f t="shared" ca="1" si="114"/>
        <v>0</v>
      </c>
      <c r="BD250" s="66">
        <f t="shared" ca="1" si="115"/>
        <v>0</v>
      </c>
      <c r="BE250" s="71">
        <f t="shared" ca="1" si="121"/>
        <v>0</v>
      </c>
      <c r="BF250" s="65">
        <f t="shared" ca="1" si="116"/>
        <v>0</v>
      </c>
      <c r="BG250" s="69">
        <f t="shared" ca="1" si="117"/>
        <v>0</v>
      </c>
      <c r="BH250" s="301">
        <f t="shared" ca="1" si="120"/>
        <v>0</v>
      </c>
      <c r="BI250" s="300">
        <f ca="1">IF(AO250&gt;TartamVálasztott,0,   (BI249+BH250)*(1+yields!$D$2)*(1-(0.0099/12)))</f>
        <v>0</v>
      </c>
      <c r="BJ250" s="300">
        <f ca="1">SUM(BH$6:BH250)*-1.2</f>
        <v>-862056.26733480149</v>
      </c>
      <c r="BK250" s="300">
        <f t="shared" ca="1" si="126"/>
        <v>-862056.26733480149</v>
      </c>
      <c r="BL250" s="28">
        <f t="shared" ca="1" si="124"/>
        <v>2037</v>
      </c>
      <c r="BM250" s="28">
        <f t="shared" ca="1" si="122"/>
        <v>6</v>
      </c>
      <c r="BN250" s="236">
        <f t="shared" ca="1" si="123"/>
        <v>0</v>
      </c>
      <c r="BO250" s="236">
        <f t="shared" ca="1" si="118"/>
        <v>0</v>
      </c>
    </row>
    <row r="251" spans="41:67" x14ac:dyDescent="0.25">
      <c r="AO251" s="28">
        <f t="shared" si="101"/>
        <v>21</v>
      </c>
      <c r="AP251" s="28">
        <f t="shared" si="102"/>
        <v>6</v>
      </c>
      <c r="AQ251" s="65">
        <f t="shared" ca="1" si="119"/>
        <v>0</v>
      </c>
      <c r="AR251" s="66">
        <f t="shared" ca="1" si="103"/>
        <v>0</v>
      </c>
      <c r="AS251" s="66">
        <f t="shared" ca="1" si="104"/>
        <v>0</v>
      </c>
      <c r="AT251" s="66">
        <f t="shared" ca="1" si="105"/>
        <v>0</v>
      </c>
      <c r="AU251" s="66">
        <f t="shared" ca="1" si="106"/>
        <v>0</v>
      </c>
      <c r="AV251" s="68">
        <f t="shared" ca="1" si="125"/>
        <v>0</v>
      </c>
      <c r="AW251" s="65">
        <f t="shared" ca="1" si="108"/>
        <v>0</v>
      </c>
      <c r="AX251" s="69">
        <f t="shared" ca="1" si="109"/>
        <v>0</v>
      </c>
      <c r="AY251" s="70">
        <f t="shared" ca="1" si="110"/>
        <v>0</v>
      </c>
      <c r="AZ251" s="66">
        <f t="shared" ca="1" si="111"/>
        <v>0</v>
      </c>
      <c r="BA251" s="66">
        <f t="shared" ca="1" si="112"/>
        <v>0</v>
      </c>
      <c r="BB251" s="66">
        <f t="shared" ca="1" si="113"/>
        <v>0</v>
      </c>
      <c r="BC251" s="66">
        <f t="shared" ca="1" si="114"/>
        <v>0</v>
      </c>
      <c r="BD251" s="66">
        <f t="shared" ca="1" si="115"/>
        <v>0</v>
      </c>
      <c r="BE251" s="71">
        <f t="shared" ca="1" si="121"/>
        <v>0</v>
      </c>
      <c r="BF251" s="65">
        <f t="shared" ca="1" si="116"/>
        <v>0</v>
      </c>
      <c r="BG251" s="69">
        <f t="shared" ca="1" si="117"/>
        <v>0</v>
      </c>
      <c r="BH251" s="301">
        <f t="shared" ca="1" si="120"/>
        <v>0</v>
      </c>
      <c r="BI251" s="300">
        <f ca="1">IF(AO251&gt;TartamVálasztott,0,   (BI250+BH251)*(1+yields!$D$2)*(1-(0.0099/12)))</f>
        <v>0</v>
      </c>
      <c r="BJ251" s="300">
        <f ca="1">SUM(BH$6:BH251)*-1.2</f>
        <v>-862056.26733480149</v>
      </c>
      <c r="BK251" s="300">
        <f t="shared" ca="1" si="126"/>
        <v>-862056.26733480149</v>
      </c>
      <c r="BL251" s="28">
        <f t="shared" ca="1" si="124"/>
        <v>2037</v>
      </c>
      <c r="BM251" s="28">
        <f t="shared" ca="1" si="122"/>
        <v>7</v>
      </c>
      <c r="BN251" s="236">
        <f t="shared" ca="1" si="123"/>
        <v>0</v>
      </c>
      <c r="BO251" s="236">
        <f t="shared" ca="1" si="118"/>
        <v>0</v>
      </c>
    </row>
    <row r="252" spans="41:67" x14ac:dyDescent="0.25">
      <c r="AO252" s="28">
        <f t="shared" si="101"/>
        <v>21</v>
      </c>
      <c r="AP252" s="28">
        <f t="shared" si="102"/>
        <v>7</v>
      </c>
      <c r="AQ252" s="65">
        <f t="shared" ca="1" si="119"/>
        <v>0</v>
      </c>
      <c r="AR252" s="66">
        <f t="shared" ca="1" si="103"/>
        <v>0</v>
      </c>
      <c r="AS252" s="66">
        <f t="shared" ca="1" si="104"/>
        <v>0</v>
      </c>
      <c r="AT252" s="66">
        <f t="shared" ca="1" si="105"/>
        <v>0</v>
      </c>
      <c r="AU252" s="66">
        <f t="shared" ca="1" si="106"/>
        <v>0</v>
      </c>
      <c r="AV252" s="68">
        <f t="shared" ca="1" si="125"/>
        <v>0</v>
      </c>
      <c r="AW252" s="65">
        <f t="shared" ca="1" si="108"/>
        <v>0</v>
      </c>
      <c r="AX252" s="69">
        <f t="shared" ca="1" si="109"/>
        <v>0</v>
      </c>
      <c r="AY252" s="70">
        <f t="shared" ca="1" si="110"/>
        <v>0</v>
      </c>
      <c r="AZ252" s="66">
        <f t="shared" ca="1" si="111"/>
        <v>0</v>
      </c>
      <c r="BA252" s="66">
        <f t="shared" ca="1" si="112"/>
        <v>0</v>
      </c>
      <c r="BB252" s="66">
        <f t="shared" ca="1" si="113"/>
        <v>0</v>
      </c>
      <c r="BC252" s="66">
        <f t="shared" ca="1" si="114"/>
        <v>0</v>
      </c>
      <c r="BD252" s="66">
        <f t="shared" ca="1" si="115"/>
        <v>0</v>
      </c>
      <c r="BE252" s="71">
        <f t="shared" ca="1" si="121"/>
        <v>0</v>
      </c>
      <c r="BF252" s="65">
        <f t="shared" ca="1" si="116"/>
        <v>0</v>
      </c>
      <c r="BG252" s="69">
        <f t="shared" ca="1" si="117"/>
        <v>0</v>
      </c>
      <c r="BH252" s="301">
        <f t="shared" ca="1" si="120"/>
        <v>0</v>
      </c>
      <c r="BI252" s="300">
        <f ca="1">IF(AO252&gt;TartamVálasztott,0,   (BI251+BH252)*(1+yields!$D$2)*(1-(0.0099/12)))</f>
        <v>0</v>
      </c>
      <c r="BJ252" s="300">
        <f ca="1">SUM(BH$6:BH252)*-1.2</f>
        <v>-862056.26733480149</v>
      </c>
      <c r="BK252" s="300">
        <f t="shared" ca="1" si="126"/>
        <v>-862056.26733480149</v>
      </c>
      <c r="BL252" s="28">
        <f t="shared" ca="1" si="124"/>
        <v>2037</v>
      </c>
      <c r="BM252" s="28">
        <f t="shared" ca="1" si="122"/>
        <v>8</v>
      </c>
      <c r="BN252" s="236">
        <f t="shared" ca="1" si="123"/>
        <v>0</v>
      </c>
      <c r="BO252" s="236">
        <f t="shared" ca="1" si="118"/>
        <v>0</v>
      </c>
    </row>
    <row r="253" spans="41:67" x14ac:dyDescent="0.25">
      <c r="AO253" s="28">
        <f t="shared" si="101"/>
        <v>21</v>
      </c>
      <c r="AP253" s="28">
        <f t="shared" si="102"/>
        <v>8</v>
      </c>
      <c r="AQ253" s="65">
        <f t="shared" ca="1" si="119"/>
        <v>0</v>
      </c>
      <c r="AR253" s="66">
        <f t="shared" ca="1" si="103"/>
        <v>0</v>
      </c>
      <c r="AS253" s="66">
        <f t="shared" ca="1" si="104"/>
        <v>0</v>
      </c>
      <c r="AT253" s="66">
        <f t="shared" ca="1" si="105"/>
        <v>0</v>
      </c>
      <c r="AU253" s="66">
        <f t="shared" ca="1" si="106"/>
        <v>0</v>
      </c>
      <c r="AV253" s="68">
        <f t="shared" ca="1" si="125"/>
        <v>0</v>
      </c>
      <c r="AW253" s="65">
        <f t="shared" ca="1" si="108"/>
        <v>0</v>
      </c>
      <c r="AX253" s="69">
        <f t="shared" ca="1" si="109"/>
        <v>0</v>
      </c>
      <c r="AY253" s="70">
        <f t="shared" ca="1" si="110"/>
        <v>0</v>
      </c>
      <c r="AZ253" s="66">
        <f t="shared" ca="1" si="111"/>
        <v>0</v>
      </c>
      <c r="BA253" s="66">
        <f t="shared" ca="1" si="112"/>
        <v>0</v>
      </c>
      <c r="BB253" s="66">
        <f t="shared" ca="1" si="113"/>
        <v>0</v>
      </c>
      <c r="BC253" s="66">
        <f t="shared" ca="1" si="114"/>
        <v>0</v>
      </c>
      <c r="BD253" s="66">
        <f t="shared" ca="1" si="115"/>
        <v>0</v>
      </c>
      <c r="BE253" s="71">
        <f t="shared" ca="1" si="121"/>
        <v>0</v>
      </c>
      <c r="BF253" s="65">
        <f t="shared" ca="1" si="116"/>
        <v>0</v>
      </c>
      <c r="BG253" s="69">
        <f t="shared" ca="1" si="117"/>
        <v>0</v>
      </c>
      <c r="BH253" s="301">
        <f t="shared" ca="1" si="120"/>
        <v>0</v>
      </c>
      <c r="BI253" s="300">
        <f ca="1">IF(AO253&gt;TartamVálasztott,0,   (BI252+BH253)*(1+yields!$D$2)*(1-(0.0099/12)))</f>
        <v>0</v>
      </c>
      <c r="BJ253" s="300">
        <f ca="1">SUM(BH$6:BH253)*-1.2</f>
        <v>-862056.26733480149</v>
      </c>
      <c r="BK253" s="300">
        <f t="shared" ca="1" si="126"/>
        <v>-862056.26733480149</v>
      </c>
      <c r="BL253" s="28">
        <f t="shared" ca="1" si="124"/>
        <v>2037</v>
      </c>
      <c r="BM253" s="28">
        <f t="shared" ca="1" si="122"/>
        <v>9</v>
      </c>
      <c r="BN253" s="236">
        <f t="shared" ca="1" si="123"/>
        <v>0</v>
      </c>
      <c r="BO253" s="236">
        <f t="shared" ca="1" si="118"/>
        <v>0</v>
      </c>
    </row>
    <row r="254" spans="41:67" x14ac:dyDescent="0.25">
      <c r="AO254" s="28">
        <f t="shared" si="101"/>
        <v>21</v>
      </c>
      <c r="AP254" s="28">
        <f t="shared" si="102"/>
        <v>9</v>
      </c>
      <c r="AQ254" s="65">
        <f t="shared" ca="1" si="119"/>
        <v>0</v>
      </c>
      <c r="AR254" s="66">
        <f t="shared" ca="1" si="103"/>
        <v>0</v>
      </c>
      <c r="AS254" s="66">
        <f t="shared" ca="1" si="104"/>
        <v>0</v>
      </c>
      <c r="AT254" s="66">
        <f t="shared" ca="1" si="105"/>
        <v>0</v>
      </c>
      <c r="AU254" s="66">
        <f t="shared" ca="1" si="106"/>
        <v>0</v>
      </c>
      <c r="AV254" s="68">
        <f t="shared" ca="1" si="125"/>
        <v>0</v>
      </c>
      <c r="AW254" s="65">
        <f t="shared" ca="1" si="108"/>
        <v>0</v>
      </c>
      <c r="AX254" s="69">
        <f t="shared" ca="1" si="109"/>
        <v>0</v>
      </c>
      <c r="AY254" s="70">
        <f t="shared" ca="1" si="110"/>
        <v>0</v>
      </c>
      <c r="AZ254" s="66">
        <f t="shared" ca="1" si="111"/>
        <v>0</v>
      </c>
      <c r="BA254" s="66">
        <f t="shared" ca="1" si="112"/>
        <v>0</v>
      </c>
      <c r="BB254" s="66">
        <f t="shared" ca="1" si="113"/>
        <v>0</v>
      </c>
      <c r="BC254" s="66">
        <f t="shared" ca="1" si="114"/>
        <v>0</v>
      </c>
      <c r="BD254" s="66">
        <f t="shared" ca="1" si="115"/>
        <v>0</v>
      </c>
      <c r="BE254" s="71">
        <f t="shared" ca="1" si="121"/>
        <v>0</v>
      </c>
      <c r="BF254" s="65">
        <f t="shared" ca="1" si="116"/>
        <v>0</v>
      </c>
      <c r="BG254" s="69">
        <f t="shared" ca="1" si="117"/>
        <v>0</v>
      </c>
      <c r="BH254" s="301">
        <f t="shared" ca="1" si="120"/>
        <v>0</v>
      </c>
      <c r="BI254" s="300">
        <f ca="1">IF(AO254&gt;TartamVálasztott,0,   (BI253+BH254)*(1+yields!$D$2)*(1-(0.0099/12)))</f>
        <v>0</v>
      </c>
      <c r="BJ254" s="300">
        <f ca="1">SUM(BH$6:BH254)*-1.2</f>
        <v>-862056.26733480149</v>
      </c>
      <c r="BK254" s="300">
        <f t="shared" ca="1" si="126"/>
        <v>-862056.26733480149</v>
      </c>
      <c r="BL254" s="28">
        <f t="shared" ca="1" si="124"/>
        <v>2037</v>
      </c>
      <c r="BM254" s="28">
        <f t="shared" ca="1" si="122"/>
        <v>10</v>
      </c>
      <c r="BN254" s="236">
        <f t="shared" ca="1" si="123"/>
        <v>0</v>
      </c>
      <c r="BO254" s="236">
        <f t="shared" ca="1" si="118"/>
        <v>0</v>
      </c>
    </row>
    <row r="255" spans="41:67" x14ac:dyDescent="0.25">
      <c r="AO255" s="28">
        <f t="shared" si="101"/>
        <v>21</v>
      </c>
      <c r="AP255" s="28">
        <f t="shared" si="102"/>
        <v>10</v>
      </c>
      <c r="AQ255" s="65">
        <f t="shared" ca="1" si="119"/>
        <v>0</v>
      </c>
      <c r="AR255" s="66">
        <f t="shared" ca="1" si="103"/>
        <v>0</v>
      </c>
      <c r="AS255" s="66">
        <f t="shared" ca="1" si="104"/>
        <v>0</v>
      </c>
      <c r="AT255" s="66">
        <f t="shared" ca="1" si="105"/>
        <v>0</v>
      </c>
      <c r="AU255" s="66">
        <f t="shared" ca="1" si="106"/>
        <v>0</v>
      </c>
      <c r="AV255" s="68">
        <f t="shared" ca="1" si="125"/>
        <v>0</v>
      </c>
      <c r="AW255" s="65">
        <f t="shared" ca="1" si="108"/>
        <v>0</v>
      </c>
      <c r="AX255" s="69">
        <f t="shared" ca="1" si="109"/>
        <v>0</v>
      </c>
      <c r="AY255" s="70">
        <f t="shared" ca="1" si="110"/>
        <v>0</v>
      </c>
      <c r="AZ255" s="66">
        <f t="shared" ca="1" si="111"/>
        <v>0</v>
      </c>
      <c r="BA255" s="66">
        <f t="shared" ca="1" si="112"/>
        <v>0</v>
      </c>
      <c r="BB255" s="66">
        <f t="shared" ca="1" si="113"/>
        <v>0</v>
      </c>
      <c r="BC255" s="66">
        <f t="shared" ca="1" si="114"/>
        <v>0</v>
      </c>
      <c r="BD255" s="66">
        <f t="shared" ca="1" si="115"/>
        <v>0</v>
      </c>
      <c r="BE255" s="71">
        <f t="shared" ca="1" si="121"/>
        <v>0</v>
      </c>
      <c r="BF255" s="65">
        <f t="shared" ca="1" si="116"/>
        <v>0</v>
      </c>
      <c r="BG255" s="69">
        <f t="shared" ca="1" si="117"/>
        <v>0</v>
      </c>
      <c r="BH255" s="301">
        <f t="shared" ca="1" si="120"/>
        <v>0</v>
      </c>
      <c r="BI255" s="300">
        <f ca="1">IF(AO255&gt;TartamVálasztott,0,   (BI254+BH255)*(1+yields!$D$2)*(1-(0.0099/12)))</f>
        <v>0</v>
      </c>
      <c r="BJ255" s="300">
        <f ca="1">SUM(BH$6:BH255)*-1.2</f>
        <v>-862056.26733480149</v>
      </c>
      <c r="BK255" s="300">
        <f t="shared" ca="1" si="126"/>
        <v>-862056.26733480149</v>
      </c>
      <c r="BL255" s="28">
        <f t="shared" ca="1" si="124"/>
        <v>2037</v>
      </c>
      <c r="BM255" s="28">
        <f t="shared" ca="1" si="122"/>
        <v>11</v>
      </c>
      <c r="BN255" s="236">
        <f t="shared" ca="1" si="123"/>
        <v>0</v>
      </c>
      <c r="BO255" s="236">
        <f t="shared" ca="1" si="118"/>
        <v>0</v>
      </c>
    </row>
    <row r="256" spans="41:67" x14ac:dyDescent="0.25">
      <c r="AO256" s="28">
        <f t="shared" si="101"/>
        <v>21</v>
      </c>
      <c r="AP256" s="28">
        <f t="shared" si="102"/>
        <v>11</v>
      </c>
      <c r="AQ256" s="65">
        <f t="shared" ca="1" si="119"/>
        <v>0</v>
      </c>
      <c r="AR256" s="66">
        <f t="shared" ca="1" si="103"/>
        <v>0</v>
      </c>
      <c r="AS256" s="66">
        <f t="shared" ca="1" si="104"/>
        <v>0</v>
      </c>
      <c r="AT256" s="66">
        <f t="shared" ca="1" si="105"/>
        <v>0</v>
      </c>
      <c r="AU256" s="66">
        <f t="shared" ca="1" si="106"/>
        <v>0</v>
      </c>
      <c r="AV256" s="68">
        <f t="shared" ca="1" si="125"/>
        <v>0</v>
      </c>
      <c r="AW256" s="65">
        <f t="shared" ca="1" si="108"/>
        <v>0</v>
      </c>
      <c r="AX256" s="69">
        <f t="shared" ca="1" si="109"/>
        <v>0</v>
      </c>
      <c r="AY256" s="70">
        <f t="shared" ca="1" si="110"/>
        <v>0</v>
      </c>
      <c r="AZ256" s="66">
        <f t="shared" ca="1" si="111"/>
        <v>0</v>
      </c>
      <c r="BA256" s="66">
        <f t="shared" ca="1" si="112"/>
        <v>0</v>
      </c>
      <c r="BB256" s="66">
        <f t="shared" ca="1" si="113"/>
        <v>0</v>
      </c>
      <c r="BC256" s="66">
        <f t="shared" ca="1" si="114"/>
        <v>0</v>
      </c>
      <c r="BD256" s="66">
        <f t="shared" ca="1" si="115"/>
        <v>0</v>
      </c>
      <c r="BE256" s="71">
        <f t="shared" ca="1" si="121"/>
        <v>0</v>
      </c>
      <c r="BF256" s="65">
        <f t="shared" ca="1" si="116"/>
        <v>0</v>
      </c>
      <c r="BG256" s="69">
        <f t="shared" ca="1" si="117"/>
        <v>0</v>
      </c>
      <c r="BH256" s="301">
        <f t="shared" ca="1" si="120"/>
        <v>0</v>
      </c>
      <c r="BI256" s="300">
        <f ca="1">IF(AO256&gt;TartamVálasztott,0,   (BI255+BH256)*(1+yields!$D$2)*(1-(0.0099/12)))</f>
        <v>0</v>
      </c>
      <c r="BJ256" s="300">
        <f ca="1">SUM(BH$6:BH256)*-1.2</f>
        <v>-862056.26733480149</v>
      </c>
      <c r="BK256" s="300">
        <f t="shared" ca="1" si="126"/>
        <v>-862056.26733480149</v>
      </c>
      <c r="BL256" s="28">
        <f t="shared" ca="1" si="124"/>
        <v>2037</v>
      </c>
      <c r="BM256" s="28">
        <f t="shared" ca="1" si="122"/>
        <v>12</v>
      </c>
      <c r="BN256" s="236">
        <f t="shared" ca="1" si="123"/>
        <v>0</v>
      </c>
      <c r="BO256" s="236">
        <f t="shared" ca="1" si="118"/>
        <v>0</v>
      </c>
    </row>
    <row r="257" spans="39:67" x14ac:dyDescent="0.25">
      <c r="AO257" s="28">
        <f t="shared" si="101"/>
        <v>21</v>
      </c>
      <c r="AP257" s="28">
        <f t="shared" si="102"/>
        <v>12</v>
      </c>
      <c r="AQ257" s="65">
        <f t="shared" ca="1" si="119"/>
        <v>0</v>
      </c>
      <c r="AR257" s="66">
        <f t="shared" ca="1" si="103"/>
        <v>0</v>
      </c>
      <c r="AS257" s="66">
        <f t="shared" ca="1" si="104"/>
        <v>0</v>
      </c>
      <c r="AT257" s="66">
        <f t="shared" ca="1" si="105"/>
        <v>0</v>
      </c>
      <c r="AU257" s="66">
        <f t="shared" ca="1" si="106"/>
        <v>0</v>
      </c>
      <c r="AV257" s="68">
        <f t="shared" ca="1" si="125"/>
        <v>0</v>
      </c>
      <c r="AW257" s="65">
        <f t="shared" ca="1" si="108"/>
        <v>0</v>
      </c>
      <c r="AX257" s="69">
        <f t="shared" ca="1" si="109"/>
        <v>0</v>
      </c>
      <c r="AY257" s="70">
        <f t="shared" ca="1" si="110"/>
        <v>0</v>
      </c>
      <c r="AZ257" s="66">
        <f t="shared" ca="1" si="111"/>
        <v>0</v>
      </c>
      <c r="BA257" s="66">
        <f t="shared" ca="1" si="112"/>
        <v>0</v>
      </c>
      <c r="BB257" s="66">
        <f t="shared" ca="1" si="113"/>
        <v>0</v>
      </c>
      <c r="BC257" s="66">
        <f t="shared" ca="1" si="114"/>
        <v>0</v>
      </c>
      <c r="BD257" s="66">
        <f t="shared" ca="1" si="115"/>
        <v>0</v>
      </c>
      <c r="BE257" s="71">
        <f t="shared" ca="1" si="121"/>
        <v>0</v>
      </c>
      <c r="BF257" s="65">
        <f t="shared" ca="1" si="116"/>
        <v>0</v>
      </c>
      <c r="BG257" s="69">
        <f t="shared" ca="1" si="117"/>
        <v>0</v>
      </c>
      <c r="BH257" s="301">
        <f t="shared" ca="1" si="120"/>
        <v>0</v>
      </c>
      <c r="BI257" s="300">
        <f ca="1">IF(AO257&gt;TartamVálasztott,0,   (BI256+BH257)*(1+yields!$D$2)*(1-(0.0099/12)))</f>
        <v>0</v>
      </c>
      <c r="BJ257" s="300">
        <f ca="1">SUM(BH$6:BH257)*-1.2</f>
        <v>-862056.26733480149</v>
      </c>
      <c r="BK257" s="300">
        <f t="shared" ca="1" si="126"/>
        <v>-862056.26733480149</v>
      </c>
      <c r="BL257" s="28">
        <f t="shared" ca="1" si="124"/>
        <v>2038</v>
      </c>
      <c r="BM257" s="28">
        <f t="shared" ca="1" si="122"/>
        <v>1</v>
      </c>
      <c r="BN257" s="236">
        <f t="shared" ca="1" si="123"/>
        <v>0</v>
      </c>
      <c r="BO257" s="236">
        <f t="shared" ca="1" si="118"/>
        <v>0</v>
      </c>
    </row>
    <row r="258" spans="39:67" x14ac:dyDescent="0.25">
      <c r="AO258" s="28">
        <f t="shared" si="101"/>
        <v>22</v>
      </c>
      <c r="AP258" s="28">
        <f t="shared" si="102"/>
        <v>1</v>
      </c>
      <c r="AQ258" s="65">
        <f t="shared" ca="1" si="119"/>
        <v>0</v>
      </c>
      <c r="AR258" s="66">
        <f t="shared" ca="1" si="103"/>
        <v>0</v>
      </c>
      <c r="AS258" s="66">
        <f t="shared" ca="1" si="104"/>
        <v>0</v>
      </c>
      <c r="AT258" s="66">
        <f t="shared" ca="1" si="105"/>
        <v>0</v>
      </c>
      <c r="AU258" s="66">
        <f t="shared" ca="1" si="106"/>
        <v>0</v>
      </c>
      <c r="AV258" s="68">
        <f t="shared" ca="1" si="125"/>
        <v>0</v>
      </c>
      <c r="AW258" s="65">
        <f t="shared" ca="1" si="108"/>
        <v>0</v>
      </c>
      <c r="AX258" s="69">
        <f t="shared" ca="1" si="109"/>
        <v>0</v>
      </c>
      <c r="AY258" s="70">
        <f t="shared" ca="1" si="110"/>
        <v>0</v>
      </c>
      <c r="AZ258" s="66">
        <f t="shared" ca="1" si="111"/>
        <v>0</v>
      </c>
      <c r="BA258" s="66">
        <f t="shared" ca="1" si="112"/>
        <v>0</v>
      </c>
      <c r="BB258" s="66">
        <f t="shared" ca="1" si="113"/>
        <v>0</v>
      </c>
      <c r="BC258" s="66">
        <f t="shared" ca="1" si="114"/>
        <v>0</v>
      </c>
      <c r="BD258" s="66">
        <f t="shared" ca="1" si="115"/>
        <v>0</v>
      </c>
      <c r="BE258" s="71">
        <f t="shared" ca="1" si="121"/>
        <v>0</v>
      </c>
      <c r="BF258" s="65">
        <f t="shared" ca="1" si="116"/>
        <v>0</v>
      </c>
      <c r="BG258" s="69">
        <f t="shared" ca="1" si="117"/>
        <v>0</v>
      </c>
      <c r="BH258" s="301">
        <f t="shared" ca="1" si="120"/>
        <v>0</v>
      </c>
      <c r="BI258" s="300">
        <f ca="1">IF(AO258&gt;TartamVálasztott,0,   (BI257+BH258)*(1+yields!$D$2)*(1-(0.0099/12)))</f>
        <v>0</v>
      </c>
      <c r="BJ258" s="300">
        <f ca="1">SUM(BH$6:BH258)*-1.2</f>
        <v>-862056.26733480149</v>
      </c>
      <c r="BK258" s="300">
        <f t="shared" ca="1" si="126"/>
        <v>-862056.26733480149</v>
      </c>
      <c r="BL258" s="28">
        <f t="shared" ca="1" si="124"/>
        <v>2038</v>
      </c>
      <c r="BM258" s="28">
        <f t="shared" ca="1" si="122"/>
        <v>2</v>
      </c>
      <c r="BN258" s="236">
        <f t="shared" ca="1" si="123"/>
        <v>0</v>
      </c>
      <c r="BO258" s="236">
        <f t="shared" ca="1" si="118"/>
        <v>0</v>
      </c>
    </row>
    <row r="259" spans="39:67" x14ac:dyDescent="0.25">
      <c r="AO259" s="28">
        <f t="shared" si="101"/>
        <v>22</v>
      </c>
      <c r="AP259" s="28">
        <f t="shared" si="102"/>
        <v>2</v>
      </c>
      <c r="AQ259" s="65">
        <f t="shared" ca="1" si="119"/>
        <v>0</v>
      </c>
      <c r="AR259" s="66">
        <f t="shared" ca="1" si="103"/>
        <v>0</v>
      </c>
      <c r="AS259" s="66">
        <f t="shared" ca="1" si="104"/>
        <v>0</v>
      </c>
      <c r="AT259" s="66">
        <f t="shared" ca="1" si="105"/>
        <v>0</v>
      </c>
      <c r="AU259" s="66">
        <f t="shared" ca="1" si="106"/>
        <v>0</v>
      </c>
      <c r="AV259" s="68">
        <f t="shared" ca="1" si="125"/>
        <v>0</v>
      </c>
      <c r="AW259" s="65">
        <f t="shared" ca="1" si="108"/>
        <v>0</v>
      </c>
      <c r="AX259" s="69">
        <f t="shared" ca="1" si="109"/>
        <v>0</v>
      </c>
      <c r="AY259" s="70">
        <f t="shared" ca="1" si="110"/>
        <v>0</v>
      </c>
      <c r="AZ259" s="66">
        <f t="shared" ca="1" si="111"/>
        <v>0</v>
      </c>
      <c r="BA259" s="66">
        <f t="shared" ca="1" si="112"/>
        <v>0</v>
      </c>
      <c r="BB259" s="66">
        <f t="shared" ca="1" si="113"/>
        <v>0</v>
      </c>
      <c r="BC259" s="66">
        <f t="shared" ca="1" si="114"/>
        <v>0</v>
      </c>
      <c r="BD259" s="66">
        <f t="shared" ca="1" si="115"/>
        <v>0</v>
      </c>
      <c r="BE259" s="71">
        <f t="shared" ca="1" si="121"/>
        <v>0</v>
      </c>
      <c r="BF259" s="65">
        <f t="shared" ca="1" si="116"/>
        <v>0</v>
      </c>
      <c r="BG259" s="69">
        <f t="shared" ca="1" si="117"/>
        <v>0</v>
      </c>
      <c r="BH259" s="301">
        <f t="shared" ca="1" si="120"/>
        <v>0</v>
      </c>
      <c r="BI259" s="300">
        <f ca="1">IF(AO259&gt;TartamVálasztott,0,   (BI258+BH259)*(1+yields!$D$2)*(1-(0.0099/12)))</f>
        <v>0</v>
      </c>
      <c r="BJ259" s="300">
        <f ca="1">SUM(BH$6:BH259)*-1.2</f>
        <v>-862056.26733480149</v>
      </c>
      <c r="BK259" s="300">
        <f t="shared" ca="1" si="126"/>
        <v>-862056.26733480149</v>
      </c>
      <c r="BL259" s="28">
        <f t="shared" ca="1" si="124"/>
        <v>2038</v>
      </c>
      <c r="BM259" s="28">
        <f t="shared" ca="1" si="122"/>
        <v>3</v>
      </c>
      <c r="BN259" s="236">
        <f t="shared" ca="1" si="123"/>
        <v>0</v>
      </c>
      <c r="BO259" s="236">
        <f t="shared" ca="1" si="118"/>
        <v>0</v>
      </c>
    </row>
    <row r="260" spans="39:67" x14ac:dyDescent="0.25">
      <c r="AO260" s="28">
        <f t="shared" si="101"/>
        <v>22</v>
      </c>
      <c r="AP260" s="28">
        <f t="shared" si="102"/>
        <v>3</v>
      </c>
      <c r="AQ260" s="65">
        <f t="shared" ca="1" si="119"/>
        <v>0</v>
      </c>
      <c r="AR260" s="66">
        <f t="shared" ca="1" si="103"/>
        <v>0</v>
      </c>
      <c r="AS260" s="66">
        <f t="shared" ca="1" si="104"/>
        <v>0</v>
      </c>
      <c r="AT260" s="66">
        <f t="shared" ca="1" si="105"/>
        <v>0</v>
      </c>
      <c r="AU260" s="66">
        <f t="shared" ca="1" si="106"/>
        <v>0</v>
      </c>
      <c r="AV260" s="68">
        <f t="shared" ca="1" si="125"/>
        <v>0</v>
      </c>
      <c r="AW260" s="65">
        <f t="shared" ca="1" si="108"/>
        <v>0</v>
      </c>
      <c r="AX260" s="69">
        <f t="shared" ca="1" si="109"/>
        <v>0</v>
      </c>
      <c r="AY260" s="70">
        <f t="shared" ca="1" si="110"/>
        <v>0</v>
      </c>
      <c r="AZ260" s="66">
        <f t="shared" ca="1" si="111"/>
        <v>0</v>
      </c>
      <c r="BA260" s="66">
        <f t="shared" ca="1" si="112"/>
        <v>0</v>
      </c>
      <c r="BB260" s="66">
        <f t="shared" ca="1" si="113"/>
        <v>0</v>
      </c>
      <c r="BC260" s="66">
        <f t="shared" ca="1" si="114"/>
        <v>0</v>
      </c>
      <c r="BD260" s="66">
        <f t="shared" ca="1" si="115"/>
        <v>0</v>
      </c>
      <c r="BE260" s="71">
        <f t="shared" ca="1" si="121"/>
        <v>0</v>
      </c>
      <c r="BF260" s="65">
        <f t="shared" ca="1" si="116"/>
        <v>0</v>
      </c>
      <c r="BG260" s="69">
        <f t="shared" ca="1" si="117"/>
        <v>0</v>
      </c>
      <c r="BH260" s="301">
        <f t="shared" ca="1" si="120"/>
        <v>0</v>
      </c>
      <c r="BI260" s="300">
        <f ca="1">IF(AO260&gt;TartamVálasztott,0,   (BI259+BH260)*(1+yields!$D$2)*(1-(0.0099/12)))</f>
        <v>0</v>
      </c>
      <c r="BJ260" s="300">
        <f ca="1">SUM(BH$6:BH260)*-1.2</f>
        <v>-862056.26733480149</v>
      </c>
      <c r="BK260" s="300">
        <f t="shared" ca="1" si="126"/>
        <v>-862056.26733480149</v>
      </c>
      <c r="BL260" s="28">
        <f t="shared" ca="1" si="124"/>
        <v>2038</v>
      </c>
      <c r="BM260" s="28">
        <f t="shared" ca="1" si="122"/>
        <v>4</v>
      </c>
      <c r="BN260" s="236">
        <f t="shared" ca="1" si="123"/>
        <v>0</v>
      </c>
      <c r="BO260" s="236">
        <f t="shared" ca="1" si="118"/>
        <v>0</v>
      </c>
    </row>
    <row r="261" spans="39:67" x14ac:dyDescent="0.25">
      <c r="AO261" s="28">
        <f t="shared" si="101"/>
        <v>22</v>
      </c>
      <c r="AP261" s="28">
        <f t="shared" si="102"/>
        <v>4</v>
      </c>
      <c r="AQ261" s="65">
        <f t="shared" ca="1" si="119"/>
        <v>0</v>
      </c>
      <c r="AR261" s="66">
        <f t="shared" ca="1" si="103"/>
        <v>0</v>
      </c>
      <c r="AS261" s="66">
        <f t="shared" ca="1" si="104"/>
        <v>0</v>
      </c>
      <c r="AT261" s="66">
        <f t="shared" ca="1" si="105"/>
        <v>0</v>
      </c>
      <c r="AU261" s="66">
        <f t="shared" ca="1" si="106"/>
        <v>0</v>
      </c>
      <c r="AV261" s="68">
        <f t="shared" ca="1" si="125"/>
        <v>0</v>
      </c>
      <c r="AW261" s="65">
        <f t="shared" ca="1" si="108"/>
        <v>0</v>
      </c>
      <c r="AX261" s="69">
        <f t="shared" ca="1" si="109"/>
        <v>0</v>
      </c>
      <c r="AY261" s="70">
        <f t="shared" ca="1" si="110"/>
        <v>0</v>
      </c>
      <c r="AZ261" s="66">
        <f t="shared" ca="1" si="111"/>
        <v>0</v>
      </c>
      <c r="BA261" s="66">
        <f t="shared" ca="1" si="112"/>
        <v>0</v>
      </c>
      <c r="BB261" s="66">
        <f t="shared" ca="1" si="113"/>
        <v>0</v>
      </c>
      <c r="BC261" s="66">
        <f t="shared" ca="1" si="114"/>
        <v>0</v>
      </c>
      <c r="BD261" s="66">
        <f t="shared" ca="1" si="115"/>
        <v>0</v>
      </c>
      <c r="BE261" s="71">
        <f t="shared" ca="1" si="121"/>
        <v>0</v>
      </c>
      <c r="BF261" s="65">
        <f t="shared" ca="1" si="116"/>
        <v>0</v>
      </c>
      <c r="BG261" s="69">
        <f t="shared" ca="1" si="117"/>
        <v>0</v>
      </c>
      <c r="BH261" s="301">
        <f t="shared" ca="1" si="120"/>
        <v>0</v>
      </c>
      <c r="BI261" s="300">
        <f ca="1">IF(AO261&gt;TartamVálasztott,0,   (BI260+BH261)*(1+yields!$D$2)*(1-(0.0099/12)))</f>
        <v>0</v>
      </c>
      <c r="BJ261" s="300">
        <f ca="1">SUM(BH$6:BH261)*-1.2</f>
        <v>-862056.26733480149</v>
      </c>
      <c r="BK261" s="300">
        <f t="shared" ca="1" si="126"/>
        <v>-862056.26733480149</v>
      </c>
      <c r="BL261" s="28">
        <f t="shared" ca="1" si="124"/>
        <v>2038</v>
      </c>
      <c r="BM261" s="28">
        <f t="shared" ca="1" si="122"/>
        <v>5</v>
      </c>
      <c r="BN261" s="236">
        <f t="shared" ca="1" si="123"/>
        <v>0</v>
      </c>
      <c r="BO261" s="236">
        <f t="shared" ca="1" si="118"/>
        <v>0</v>
      </c>
    </row>
    <row r="262" spans="39:67" x14ac:dyDescent="0.25">
      <c r="AO262" s="28">
        <f t="shared" ref="AO262:AO325" si="127">IF(AP261=12,AO261+1,AO261)</f>
        <v>22</v>
      </c>
      <c r="AP262" s="28">
        <f t="shared" ref="AP262:AP325" si="128">IF(AP261&lt;12,AP261+1,1)</f>
        <v>5</v>
      </c>
      <c r="AQ262" s="65">
        <f t="shared" ca="1" si="119"/>
        <v>0</v>
      </c>
      <c r="AR262" s="66">
        <f t="shared" ref="AR262:AR325" ca="1" si="129">IF( ($AO262*12+$AP262) &gt; (12*(Term+1) ), 0,
$AQ262*(1-VLOOKUP($AO262,Pars,7))
)</f>
        <v>0</v>
      </c>
      <c r="AS262" s="66">
        <f t="shared" ref="AS262:AS325" ca="1" si="130">IF( ($AO262*12+$AP262) &gt; (12*(Term+1) ), 0,
($AV261+$AR262)*IF(OR(TKM=0,TKM=2),VLOOKUP($AO262,Pars,15),TKMm)
)</f>
        <v>0</v>
      </c>
      <c r="AT262" s="66">
        <f t="shared" ref="AT262:AT325" ca="1" si="131">IF( ($AO262*12+$AP262) &gt; (12*(Term+1) ), 0,
$AV261+$AR262+$AS262
)</f>
        <v>0</v>
      </c>
      <c r="AU262" s="66">
        <f t="shared" ref="AU262:AU325" ca="1" si="132">$BD262*(1-LBe)</f>
        <v>0</v>
      </c>
      <c r="AV262" s="68">
        <f t="shared" ca="1" si="125"/>
        <v>0</v>
      </c>
      <c r="AW262" s="65">
        <f t="shared" ref="AW262:AW325" ca="1" si="133">$AT262* ( VLOOKUP($AO262,Pars,9) /12 )</f>
        <v>0</v>
      </c>
      <c r="AX262" s="69">
        <f t="shared" ref="AX262:AX325" ca="1" si="134">$AQ262*VLOOKUP($AO262,Pars,7)</f>
        <v>0</v>
      </c>
      <c r="AY262" s="70">
        <f t="shared" ref="AY262:AY325" ca="1" si="135">$AQ262*VLOOKUP($AO262,Pars,8)</f>
        <v>0</v>
      </c>
      <c r="AZ262" s="66">
        <f t="shared" ref="AZ262:AZ325" ca="1" si="136">($BE261+$AY262)*IF(OR(TKM=0,TKM=2),VLOOKUP($AO262,Pars,15),TKMm)</f>
        <v>0</v>
      </c>
      <c r="BA262" s="66">
        <f t="shared" ref="BA262:BA325" ca="1" si="137">$AT262* ( VLOOKUP($AO262,Pars,11) /12 )</f>
        <v>0</v>
      </c>
      <c r="BB262" s="66">
        <f t="shared" ref="BB262:BB325" ca="1" si="138">$BC262* ( VLOOKUP($AO262,Pars,12) /12 )</f>
        <v>0</v>
      </c>
      <c r="BC262" s="66">
        <f t="shared" ref="BC262:BC325" ca="1" si="139">$BE261+$AY262+$AZ262</f>
        <v>0</v>
      </c>
      <c r="BD262" s="66">
        <f t="shared" ref="BD262:BD325" ca="1" si="140">($BC262 -$BF262 +($BA262+$BB262) ) * IF($AP262=12,VLOOKUP($AO262,Pars,13),0)</f>
        <v>0</v>
      </c>
      <c r="BE262" s="71">
        <f t="shared" ca="1" si="121"/>
        <v>0</v>
      </c>
      <c r="BF262" s="65">
        <f t="shared" ref="BF262:BF325" ca="1" si="141">$BC262* ( VLOOKUP($AO262,Pars,10) /12 )</f>
        <v>0</v>
      </c>
      <c r="BG262" s="69">
        <f t="shared" ref="BG262:BG325" ca="1" si="142">BD262*LBe</f>
        <v>0</v>
      </c>
      <c r="BH262" s="301">
        <f t="shared" ca="1" si="120"/>
        <v>0</v>
      </c>
      <c r="BI262" s="300">
        <f ca="1">IF(AO262&gt;TartamVálasztott,0,   (BI261+BH262)*(1+yields!$D$2)*(1-(0.0099/12)))</f>
        <v>0</v>
      </c>
      <c r="BJ262" s="300">
        <f ca="1">SUM(BH$6:BH262)*-1.2</f>
        <v>-862056.26733480149</v>
      </c>
      <c r="BK262" s="300">
        <f t="shared" ca="1" si="126"/>
        <v>-862056.26733480149</v>
      </c>
      <c r="BL262" s="28">
        <f t="shared" ca="1" si="124"/>
        <v>2038</v>
      </c>
      <c r="BM262" s="28">
        <f t="shared" ca="1" si="122"/>
        <v>6</v>
      </c>
      <c r="BN262" s="236">
        <f t="shared" ca="1" si="123"/>
        <v>0</v>
      </c>
      <c r="BO262" s="236">
        <f t="shared" ref="BO262:BO325" ca="1" si="143">MIN(BN262*0.2,130000)</f>
        <v>0</v>
      </c>
    </row>
    <row r="263" spans="39:67" x14ac:dyDescent="0.25">
      <c r="AO263" s="28">
        <f t="shared" si="127"/>
        <v>22</v>
      </c>
      <c r="AP263" s="28">
        <f t="shared" si="128"/>
        <v>6</v>
      </c>
      <c r="AQ263" s="65">
        <f t="shared" ref="AQ263:AQ326" ca="1" si="144">IF( ($AO263*12+$AP263) &gt; (12*(Term+1) ), 0,
IF( OR(Freq=12, MOD($AP263,12/Freq)=1), Pr*(1+Ind)^($AO263-1)/Freq, 0) *VLOOKUP($AO263,Pars,23)
)</f>
        <v>0</v>
      </c>
      <c r="AR263" s="66">
        <f t="shared" ca="1" si="129"/>
        <v>0</v>
      </c>
      <c r="AS263" s="66">
        <f t="shared" ca="1" si="130"/>
        <v>0</v>
      </c>
      <c r="AT263" s="66">
        <f t="shared" ca="1" si="131"/>
        <v>0</v>
      </c>
      <c r="AU263" s="66">
        <f t="shared" ca="1" si="132"/>
        <v>0</v>
      </c>
      <c r="AV263" s="68">
        <f t="shared" ca="1" si="125"/>
        <v>0</v>
      </c>
      <c r="AW263" s="65">
        <f t="shared" ca="1" si="133"/>
        <v>0</v>
      </c>
      <c r="AX263" s="69">
        <f t="shared" ca="1" si="134"/>
        <v>0</v>
      </c>
      <c r="AY263" s="70">
        <f t="shared" ca="1" si="135"/>
        <v>0</v>
      </c>
      <c r="AZ263" s="66">
        <f t="shared" ca="1" si="136"/>
        <v>0</v>
      </c>
      <c r="BA263" s="66">
        <f t="shared" ca="1" si="137"/>
        <v>0</v>
      </c>
      <c r="BB263" s="66">
        <f t="shared" ca="1" si="138"/>
        <v>0</v>
      </c>
      <c r="BC263" s="66">
        <f t="shared" ca="1" si="139"/>
        <v>0</v>
      </c>
      <c r="BD263" s="66">
        <f t="shared" ca="1" si="140"/>
        <v>0</v>
      </c>
      <c r="BE263" s="71">
        <f t="shared" ca="1" si="121"/>
        <v>0</v>
      </c>
      <c r="BF263" s="65">
        <f t="shared" ca="1" si="141"/>
        <v>0</v>
      </c>
      <c r="BG263" s="69">
        <f t="shared" ca="1" si="142"/>
        <v>0</v>
      </c>
      <c r="BH263" s="301">
        <f t="shared" ref="BH263:BH326" ca="1" si="145">IF(AND(BM263=AdóHó,AO263&lt;=TartamVálasztott),MIN(SUMIF(BL:BL,BL263-1,AQ:AQ)*0.2,130000),0)+IF(AND(AO263=TartamVálasztott,AP263=12),MIN(SUMIF(BL:BL,BL263,AQ:AQ)*0.2,130000),0)</f>
        <v>0</v>
      </c>
      <c r="BI263" s="300">
        <f ca="1">IF(AO263&gt;TartamVálasztott,0,   (BI262+BH263)*(1+yields!$D$2)*(1-(0.0099/12)))</f>
        <v>0</v>
      </c>
      <c r="BJ263" s="300">
        <f ca="1">SUM(BH$6:BH263)*-1.2</f>
        <v>-862056.26733480149</v>
      </c>
      <c r="BK263" s="300">
        <f t="shared" ca="1" si="126"/>
        <v>-862056.26733480149</v>
      </c>
      <c r="BL263" s="28">
        <f t="shared" ca="1" si="124"/>
        <v>2038</v>
      </c>
      <c r="BM263" s="28">
        <f t="shared" ca="1" si="122"/>
        <v>7</v>
      </c>
      <c r="BN263" s="236">
        <f t="shared" ca="1" si="123"/>
        <v>0</v>
      </c>
      <c r="BO263" s="236">
        <f t="shared" ca="1" si="143"/>
        <v>0</v>
      </c>
    </row>
    <row r="264" spans="39:67" x14ac:dyDescent="0.25">
      <c r="AO264" s="28">
        <f t="shared" si="127"/>
        <v>22</v>
      </c>
      <c r="AP264" s="28">
        <f t="shared" si="128"/>
        <v>7</v>
      </c>
      <c r="AQ264" s="65">
        <f t="shared" ca="1" si="144"/>
        <v>0</v>
      </c>
      <c r="AR264" s="66">
        <f t="shared" ca="1" si="129"/>
        <v>0</v>
      </c>
      <c r="AS264" s="66">
        <f t="shared" ca="1" si="130"/>
        <v>0</v>
      </c>
      <c r="AT264" s="66">
        <f t="shared" ca="1" si="131"/>
        <v>0</v>
      </c>
      <c r="AU264" s="66">
        <f t="shared" ca="1" si="132"/>
        <v>0</v>
      </c>
      <c r="AV264" s="68">
        <f t="shared" ca="1" si="125"/>
        <v>0</v>
      </c>
      <c r="AW264" s="65">
        <f t="shared" ca="1" si="133"/>
        <v>0</v>
      </c>
      <c r="AX264" s="69">
        <f t="shared" ca="1" si="134"/>
        <v>0</v>
      </c>
      <c r="AY264" s="70">
        <f t="shared" ca="1" si="135"/>
        <v>0</v>
      </c>
      <c r="AZ264" s="66">
        <f t="shared" ca="1" si="136"/>
        <v>0</v>
      </c>
      <c r="BA264" s="66">
        <f t="shared" ca="1" si="137"/>
        <v>0</v>
      </c>
      <c r="BB264" s="66">
        <f t="shared" ca="1" si="138"/>
        <v>0</v>
      </c>
      <c r="BC264" s="66">
        <f t="shared" ca="1" si="139"/>
        <v>0</v>
      </c>
      <c r="BD264" s="66">
        <f t="shared" ca="1" si="140"/>
        <v>0</v>
      </c>
      <c r="BE264" s="71">
        <f t="shared" ref="BE264:BE327" ca="1" si="146">$BC264 -$BF264 +($BA264+$BB264) -$BD264</f>
        <v>0</v>
      </c>
      <c r="BF264" s="65">
        <f t="shared" ca="1" si="141"/>
        <v>0</v>
      </c>
      <c r="BG264" s="69">
        <f t="shared" ca="1" si="142"/>
        <v>0</v>
      </c>
      <c r="BH264" s="301">
        <f t="shared" ca="1" si="145"/>
        <v>0</v>
      </c>
      <c r="BI264" s="300">
        <f ca="1">IF(AO264&gt;TartamVálasztott,0,   (BI263+BH264)*(1+yields!$D$2)*(1-(0.0099/12)))</f>
        <v>0</v>
      </c>
      <c r="BJ264" s="300">
        <f ca="1">SUM(BH$6:BH264)*-1.2</f>
        <v>-862056.26733480149</v>
      </c>
      <c r="BK264" s="300">
        <f t="shared" ca="1" si="126"/>
        <v>-862056.26733480149</v>
      </c>
      <c r="BL264" s="28">
        <f t="shared" ca="1" si="124"/>
        <v>2038</v>
      </c>
      <c r="BM264" s="28">
        <f t="shared" ref="BM264:BM327" ca="1" si="147">IF(BM263=12,1,BM263+1)</f>
        <v>8</v>
      </c>
      <c r="BN264" s="236">
        <f t="shared" ref="BN264:BN327" ca="1" si="148">IF(BM264=12,SUMIF(BL:BL,BL264,AQ:AQ),0)</f>
        <v>0</v>
      </c>
      <c r="BO264" s="236">
        <f t="shared" ca="1" si="143"/>
        <v>0</v>
      </c>
    </row>
    <row r="265" spans="39:67" x14ac:dyDescent="0.25">
      <c r="AO265" s="28">
        <f t="shared" si="127"/>
        <v>22</v>
      </c>
      <c r="AP265" s="28">
        <f t="shared" si="128"/>
        <v>8</v>
      </c>
      <c r="AQ265" s="65">
        <f t="shared" ca="1" si="144"/>
        <v>0</v>
      </c>
      <c r="AR265" s="66">
        <f t="shared" ca="1" si="129"/>
        <v>0</v>
      </c>
      <c r="AS265" s="66">
        <f t="shared" ca="1" si="130"/>
        <v>0</v>
      </c>
      <c r="AT265" s="66">
        <f t="shared" ca="1" si="131"/>
        <v>0</v>
      </c>
      <c r="AU265" s="66">
        <f t="shared" ca="1" si="132"/>
        <v>0</v>
      </c>
      <c r="AV265" s="68">
        <f t="shared" ca="1" si="125"/>
        <v>0</v>
      </c>
      <c r="AW265" s="65">
        <f t="shared" ca="1" si="133"/>
        <v>0</v>
      </c>
      <c r="AX265" s="69">
        <f t="shared" ca="1" si="134"/>
        <v>0</v>
      </c>
      <c r="AY265" s="70">
        <f t="shared" ca="1" si="135"/>
        <v>0</v>
      </c>
      <c r="AZ265" s="66">
        <f t="shared" ca="1" si="136"/>
        <v>0</v>
      </c>
      <c r="BA265" s="66">
        <f t="shared" ca="1" si="137"/>
        <v>0</v>
      </c>
      <c r="BB265" s="66">
        <f t="shared" ca="1" si="138"/>
        <v>0</v>
      </c>
      <c r="BC265" s="66">
        <f t="shared" ca="1" si="139"/>
        <v>0</v>
      </c>
      <c r="BD265" s="66">
        <f t="shared" ca="1" si="140"/>
        <v>0</v>
      </c>
      <c r="BE265" s="71">
        <f t="shared" ca="1" si="146"/>
        <v>0</v>
      </c>
      <c r="BF265" s="65">
        <f t="shared" ca="1" si="141"/>
        <v>0</v>
      </c>
      <c r="BG265" s="69">
        <f t="shared" ca="1" si="142"/>
        <v>0</v>
      </c>
      <c r="BH265" s="301">
        <f t="shared" ca="1" si="145"/>
        <v>0</v>
      </c>
      <c r="BI265" s="300">
        <f ca="1">IF(AO265&gt;TartamVálasztott,0,   (BI264+BH265)*(1+yields!$D$2)*(1-(0.0099/12)))</f>
        <v>0</v>
      </c>
      <c r="BJ265" s="300">
        <f ca="1">SUM(BH$6:BH265)*-1.2</f>
        <v>-862056.26733480149</v>
      </c>
      <c r="BK265" s="300">
        <f t="shared" ca="1" si="126"/>
        <v>-862056.26733480149</v>
      </c>
      <c r="BL265" s="28">
        <f t="shared" ca="1" si="124"/>
        <v>2038</v>
      </c>
      <c r="BM265" s="28">
        <f t="shared" ca="1" si="147"/>
        <v>9</v>
      </c>
      <c r="BN265" s="236">
        <f t="shared" ca="1" si="148"/>
        <v>0</v>
      </c>
      <c r="BO265" s="236">
        <f t="shared" ca="1" si="143"/>
        <v>0</v>
      </c>
    </row>
    <row r="266" spans="39:67" x14ac:dyDescent="0.25">
      <c r="AO266" s="28">
        <f t="shared" si="127"/>
        <v>22</v>
      </c>
      <c r="AP266" s="28">
        <f t="shared" si="128"/>
        <v>9</v>
      </c>
      <c r="AQ266" s="65">
        <f t="shared" ca="1" si="144"/>
        <v>0</v>
      </c>
      <c r="AR266" s="66">
        <f t="shared" ca="1" si="129"/>
        <v>0</v>
      </c>
      <c r="AS266" s="66">
        <f t="shared" ca="1" si="130"/>
        <v>0</v>
      </c>
      <c r="AT266" s="66">
        <f t="shared" ca="1" si="131"/>
        <v>0</v>
      </c>
      <c r="AU266" s="66">
        <f t="shared" ca="1" si="132"/>
        <v>0</v>
      </c>
      <c r="AV266" s="68">
        <f t="shared" ca="1" si="125"/>
        <v>0</v>
      </c>
      <c r="AW266" s="65">
        <f t="shared" ca="1" si="133"/>
        <v>0</v>
      </c>
      <c r="AX266" s="69">
        <f t="shared" ca="1" si="134"/>
        <v>0</v>
      </c>
      <c r="AY266" s="70">
        <f t="shared" ca="1" si="135"/>
        <v>0</v>
      </c>
      <c r="AZ266" s="66">
        <f t="shared" ca="1" si="136"/>
        <v>0</v>
      </c>
      <c r="BA266" s="66">
        <f t="shared" ca="1" si="137"/>
        <v>0</v>
      </c>
      <c r="BB266" s="66">
        <f t="shared" ca="1" si="138"/>
        <v>0</v>
      </c>
      <c r="BC266" s="66">
        <f t="shared" ca="1" si="139"/>
        <v>0</v>
      </c>
      <c r="BD266" s="66">
        <f t="shared" ca="1" si="140"/>
        <v>0</v>
      </c>
      <c r="BE266" s="71">
        <f t="shared" ca="1" si="146"/>
        <v>0</v>
      </c>
      <c r="BF266" s="65">
        <f t="shared" ca="1" si="141"/>
        <v>0</v>
      </c>
      <c r="BG266" s="69">
        <f t="shared" ca="1" si="142"/>
        <v>0</v>
      </c>
      <c r="BH266" s="301">
        <f t="shared" ca="1" si="145"/>
        <v>0</v>
      </c>
      <c r="BI266" s="300">
        <f ca="1">IF(AO266&gt;TartamVálasztott,0,   (BI265+BH266)*(1+yields!$D$2)*(1-(0.0099/12)))</f>
        <v>0</v>
      </c>
      <c r="BJ266" s="300">
        <f ca="1">SUM(BH$6:BH266)*-1.2</f>
        <v>-862056.26733480149</v>
      </c>
      <c r="BK266" s="300">
        <f t="shared" ca="1" si="126"/>
        <v>-862056.26733480149</v>
      </c>
      <c r="BL266" s="28">
        <f t="shared" ca="1" si="124"/>
        <v>2038</v>
      </c>
      <c r="BM266" s="28">
        <f t="shared" ca="1" si="147"/>
        <v>10</v>
      </c>
      <c r="BN266" s="236">
        <f t="shared" ca="1" si="148"/>
        <v>0</v>
      </c>
      <c r="BO266" s="236">
        <f t="shared" ca="1" si="143"/>
        <v>0</v>
      </c>
    </row>
    <row r="267" spans="39:67" x14ac:dyDescent="0.25">
      <c r="AO267" s="28">
        <f t="shared" si="127"/>
        <v>22</v>
      </c>
      <c r="AP267" s="28">
        <f t="shared" si="128"/>
        <v>10</v>
      </c>
      <c r="AQ267" s="65">
        <f t="shared" ca="1" si="144"/>
        <v>0</v>
      </c>
      <c r="AR267" s="66">
        <f t="shared" ca="1" si="129"/>
        <v>0</v>
      </c>
      <c r="AS267" s="66">
        <f t="shared" ca="1" si="130"/>
        <v>0</v>
      </c>
      <c r="AT267" s="66">
        <f t="shared" ca="1" si="131"/>
        <v>0</v>
      </c>
      <c r="AU267" s="66">
        <f t="shared" ca="1" si="132"/>
        <v>0</v>
      </c>
      <c r="AV267" s="68">
        <f t="shared" ca="1" si="125"/>
        <v>0</v>
      </c>
      <c r="AW267" s="65">
        <f t="shared" ca="1" si="133"/>
        <v>0</v>
      </c>
      <c r="AX267" s="69">
        <f t="shared" ca="1" si="134"/>
        <v>0</v>
      </c>
      <c r="AY267" s="70">
        <f t="shared" ca="1" si="135"/>
        <v>0</v>
      </c>
      <c r="AZ267" s="66">
        <f t="shared" ca="1" si="136"/>
        <v>0</v>
      </c>
      <c r="BA267" s="66">
        <f t="shared" ca="1" si="137"/>
        <v>0</v>
      </c>
      <c r="BB267" s="66">
        <f t="shared" ca="1" si="138"/>
        <v>0</v>
      </c>
      <c r="BC267" s="66">
        <f t="shared" ca="1" si="139"/>
        <v>0</v>
      </c>
      <c r="BD267" s="66">
        <f t="shared" ca="1" si="140"/>
        <v>0</v>
      </c>
      <c r="BE267" s="71">
        <f t="shared" ca="1" si="146"/>
        <v>0</v>
      </c>
      <c r="BF267" s="65">
        <f t="shared" ca="1" si="141"/>
        <v>0</v>
      </c>
      <c r="BG267" s="69">
        <f t="shared" ca="1" si="142"/>
        <v>0</v>
      </c>
      <c r="BH267" s="301">
        <f t="shared" ca="1" si="145"/>
        <v>0</v>
      </c>
      <c r="BI267" s="300">
        <f ca="1">IF(AO267&gt;TartamVálasztott,0,   (BI266+BH267)*(1+yields!$D$2)*(1-(0.0099/12)))</f>
        <v>0</v>
      </c>
      <c r="BJ267" s="300">
        <f ca="1">SUM(BH$6:BH267)*-1.2</f>
        <v>-862056.26733480149</v>
      </c>
      <c r="BK267" s="300">
        <f t="shared" ca="1" si="126"/>
        <v>-862056.26733480149</v>
      </c>
      <c r="BL267" s="28">
        <f t="shared" ca="1" si="124"/>
        <v>2038</v>
      </c>
      <c r="BM267" s="28">
        <f t="shared" ca="1" si="147"/>
        <v>11</v>
      </c>
      <c r="BN267" s="236">
        <f t="shared" ca="1" si="148"/>
        <v>0</v>
      </c>
      <c r="BO267" s="236">
        <f t="shared" ca="1" si="143"/>
        <v>0</v>
      </c>
    </row>
    <row r="268" spans="39:67" x14ac:dyDescent="0.25">
      <c r="AO268" s="28">
        <f t="shared" si="127"/>
        <v>22</v>
      </c>
      <c r="AP268" s="28">
        <f t="shared" si="128"/>
        <v>11</v>
      </c>
      <c r="AQ268" s="65">
        <f t="shared" ca="1" si="144"/>
        <v>0</v>
      </c>
      <c r="AR268" s="66">
        <f t="shared" ca="1" si="129"/>
        <v>0</v>
      </c>
      <c r="AS268" s="66">
        <f t="shared" ca="1" si="130"/>
        <v>0</v>
      </c>
      <c r="AT268" s="66">
        <f t="shared" ca="1" si="131"/>
        <v>0</v>
      </c>
      <c r="AU268" s="66">
        <f t="shared" ca="1" si="132"/>
        <v>0</v>
      </c>
      <c r="AV268" s="68">
        <f t="shared" ca="1" si="125"/>
        <v>0</v>
      </c>
      <c r="AW268" s="65">
        <f t="shared" ca="1" si="133"/>
        <v>0</v>
      </c>
      <c r="AX268" s="69">
        <f t="shared" ca="1" si="134"/>
        <v>0</v>
      </c>
      <c r="AY268" s="70">
        <f t="shared" ca="1" si="135"/>
        <v>0</v>
      </c>
      <c r="AZ268" s="66">
        <f t="shared" ca="1" si="136"/>
        <v>0</v>
      </c>
      <c r="BA268" s="66">
        <f t="shared" ca="1" si="137"/>
        <v>0</v>
      </c>
      <c r="BB268" s="66">
        <f t="shared" ca="1" si="138"/>
        <v>0</v>
      </c>
      <c r="BC268" s="66">
        <f t="shared" ca="1" si="139"/>
        <v>0</v>
      </c>
      <c r="BD268" s="66">
        <f t="shared" ca="1" si="140"/>
        <v>0</v>
      </c>
      <c r="BE268" s="71">
        <f t="shared" ca="1" si="146"/>
        <v>0</v>
      </c>
      <c r="BF268" s="65">
        <f t="shared" ca="1" si="141"/>
        <v>0</v>
      </c>
      <c r="BG268" s="69">
        <f t="shared" ca="1" si="142"/>
        <v>0</v>
      </c>
      <c r="BH268" s="301">
        <f t="shared" ca="1" si="145"/>
        <v>0</v>
      </c>
      <c r="BI268" s="300">
        <f ca="1">IF(AO268&gt;TartamVálasztott,0,   (BI267+BH268)*(1+yields!$D$2)*(1-(0.0099/12)))</f>
        <v>0</v>
      </c>
      <c r="BJ268" s="300">
        <f ca="1">SUM(BH$6:BH268)*-1.2</f>
        <v>-862056.26733480149</v>
      </c>
      <c r="BK268" s="300">
        <f t="shared" ca="1" si="126"/>
        <v>-862056.26733480149</v>
      </c>
      <c r="BL268" s="28">
        <f t="shared" ca="1" si="124"/>
        <v>2038</v>
      </c>
      <c r="BM268" s="28">
        <f t="shared" ca="1" si="147"/>
        <v>12</v>
      </c>
      <c r="BN268" s="236">
        <f t="shared" ca="1" si="148"/>
        <v>0</v>
      </c>
      <c r="BO268" s="236">
        <f t="shared" ca="1" si="143"/>
        <v>0</v>
      </c>
    </row>
    <row r="269" spans="39:67" x14ac:dyDescent="0.25">
      <c r="AM269" s="324"/>
      <c r="AN269" s="124"/>
      <c r="AO269" s="50">
        <f t="shared" si="127"/>
        <v>22</v>
      </c>
      <c r="AP269" s="50">
        <f t="shared" si="128"/>
        <v>12</v>
      </c>
      <c r="AQ269" s="231">
        <f t="shared" ca="1" si="144"/>
        <v>0</v>
      </c>
      <c r="AR269" s="232">
        <f t="shared" ca="1" si="129"/>
        <v>0</v>
      </c>
      <c r="AS269" s="232">
        <f t="shared" ca="1" si="130"/>
        <v>0</v>
      </c>
      <c r="AT269" s="232">
        <f t="shared" ca="1" si="131"/>
        <v>0</v>
      </c>
      <c r="AU269" s="232">
        <f t="shared" ca="1" si="132"/>
        <v>0</v>
      </c>
      <c r="AV269" s="233">
        <f t="shared" ca="1" si="125"/>
        <v>0</v>
      </c>
      <c r="AW269" s="231">
        <f t="shared" ca="1" si="133"/>
        <v>0</v>
      </c>
      <c r="AX269" s="234">
        <f t="shared" ca="1" si="134"/>
        <v>0</v>
      </c>
      <c r="AY269" s="235">
        <f t="shared" ca="1" si="135"/>
        <v>0</v>
      </c>
      <c r="AZ269" s="232">
        <f t="shared" ca="1" si="136"/>
        <v>0</v>
      </c>
      <c r="BA269" s="232">
        <f t="shared" ca="1" si="137"/>
        <v>0</v>
      </c>
      <c r="BB269" s="232">
        <f t="shared" ca="1" si="138"/>
        <v>0</v>
      </c>
      <c r="BC269" s="232">
        <f t="shared" ca="1" si="139"/>
        <v>0</v>
      </c>
      <c r="BD269" s="232">
        <f t="shared" ca="1" si="140"/>
        <v>0</v>
      </c>
      <c r="BE269" s="233">
        <f t="shared" ca="1" si="146"/>
        <v>0</v>
      </c>
      <c r="BF269" s="231">
        <f t="shared" ca="1" si="141"/>
        <v>0</v>
      </c>
      <c r="BG269" s="234">
        <f t="shared" ca="1" si="142"/>
        <v>0</v>
      </c>
      <c r="BH269" s="301">
        <f t="shared" ca="1" si="145"/>
        <v>0</v>
      </c>
      <c r="BI269" s="300">
        <f ca="1">IF(AO269&gt;TartamVálasztott,0,   (BI268+BH269)*(1+yields!$D$2)*(1-(0.0099/12)))</f>
        <v>0</v>
      </c>
      <c r="BJ269" s="323">
        <f ca="1">SUM(BH$6:BH269)*-1.2</f>
        <v>-862056.26733480149</v>
      </c>
      <c r="BK269" s="323">
        <f t="shared" ca="1" si="126"/>
        <v>-862056.26733480149</v>
      </c>
      <c r="BL269" s="28">
        <f t="shared" ca="1" si="124"/>
        <v>2039</v>
      </c>
      <c r="BM269" s="28">
        <f t="shared" ca="1" si="147"/>
        <v>1</v>
      </c>
      <c r="BN269" s="236">
        <f t="shared" ca="1" si="148"/>
        <v>0</v>
      </c>
      <c r="BO269" s="236">
        <f t="shared" ca="1" si="143"/>
        <v>0</v>
      </c>
    </row>
    <row r="270" spans="39:67" x14ac:dyDescent="0.25">
      <c r="AO270" s="28">
        <f t="shared" si="127"/>
        <v>23</v>
      </c>
      <c r="AP270" s="28">
        <f t="shared" si="128"/>
        <v>1</v>
      </c>
      <c r="AQ270" s="65">
        <f t="shared" ca="1" si="144"/>
        <v>0</v>
      </c>
      <c r="AR270" s="66">
        <f t="shared" ca="1" si="129"/>
        <v>0</v>
      </c>
      <c r="AS270" s="66">
        <f t="shared" ca="1" si="130"/>
        <v>0</v>
      </c>
      <c r="AT270" s="66">
        <f t="shared" ca="1" si="131"/>
        <v>0</v>
      </c>
      <c r="AU270" s="66">
        <f t="shared" ca="1" si="132"/>
        <v>0</v>
      </c>
      <c r="AV270" s="68">
        <f t="shared" ca="1" si="125"/>
        <v>0</v>
      </c>
      <c r="AW270" s="65">
        <f t="shared" ca="1" si="133"/>
        <v>0</v>
      </c>
      <c r="AX270" s="69">
        <f t="shared" ca="1" si="134"/>
        <v>0</v>
      </c>
      <c r="AY270" s="70">
        <f t="shared" ca="1" si="135"/>
        <v>0</v>
      </c>
      <c r="AZ270" s="66">
        <f t="shared" ca="1" si="136"/>
        <v>0</v>
      </c>
      <c r="BA270" s="66">
        <f t="shared" ca="1" si="137"/>
        <v>0</v>
      </c>
      <c r="BB270" s="66">
        <f t="shared" ca="1" si="138"/>
        <v>0</v>
      </c>
      <c r="BC270" s="66">
        <f t="shared" ca="1" si="139"/>
        <v>0</v>
      </c>
      <c r="BD270" s="66">
        <f t="shared" ca="1" si="140"/>
        <v>0</v>
      </c>
      <c r="BE270" s="71">
        <f t="shared" ca="1" si="146"/>
        <v>0</v>
      </c>
      <c r="BF270" s="65">
        <f t="shared" ca="1" si="141"/>
        <v>0</v>
      </c>
      <c r="BG270" s="69">
        <f t="shared" ca="1" si="142"/>
        <v>0</v>
      </c>
      <c r="BH270" s="301">
        <f t="shared" ca="1" si="145"/>
        <v>0</v>
      </c>
      <c r="BI270" s="300">
        <f ca="1">IF(AO270&gt;TartamVálasztott,0,   (BI269+BH270)*(1+yields!$D$2)*(1-(0.0099/12)))</f>
        <v>0</v>
      </c>
      <c r="BJ270" s="300">
        <f ca="1">SUM(BH$6:BH270)*-1.2</f>
        <v>-862056.26733480149</v>
      </c>
      <c r="BK270" s="300">
        <f t="shared" ca="1" si="126"/>
        <v>-862056.26733480149</v>
      </c>
      <c r="BL270" s="28">
        <f t="shared" ca="1" si="124"/>
        <v>2039</v>
      </c>
      <c r="BM270" s="28">
        <f t="shared" ca="1" si="147"/>
        <v>2</v>
      </c>
      <c r="BN270" s="236">
        <f t="shared" ca="1" si="148"/>
        <v>0</v>
      </c>
      <c r="BO270" s="236">
        <f t="shared" ca="1" si="143"/>
        <v>0</v>
      </c>
    </row>
    <row r="271" spans="39:67" x14ac:dyDescent="0.25">
      <c r="AO271" s="28">
        <f t="shared" si="127"/>
        <v>23</v>
      </c>
      <c r="AP271" s="28">
        <f t="shared" si="128"/>
        <v>2</v>
      </c>
      <c r="AQ271" s="65">
        <f t="shared" ca="1" si="144"/>
        <v>0</v>
      </c>
      <c r="AR271" s="66">
        <f t="shared" ca="1" si="129"/>
        <v>0</v>
      </c>
      <c r="AS271" s="66">
        <f t="shared" ca="1" si="130"/>
        <v>0</v>
      </c>
      <c r="AT271" s="66">
        <f t="shared" ca="1" si="131"/>
        <v>0</v>
      </c>
      <c r="AU271" s="66">
        <f t="shared" ca="1" si="132"/>
        <v>0</v>
      </c>
      <c r="AV271" s="68">
        <f t="shared" ca="1" si="125"/>
        <v>0</v>
      </c>
      <c r="AW271" s="65">
        <f t="shared" ca="1" si="133"/>
        <v>0</v>
      </c>
      <c r="AX271" s="69">
        <f t="shared" ca="1" si="134"/>
        <v>0</v>
      </c>
      <c r="AY271" s="70">
        <f t="shared" ca="1" si="135"/>
        <v>0</v>
      </c>
      <c r="AZ271" s="66">
        <f t="shared" ca="1" si="136"/>
        <v>0</v>
      </c>
      <c r="BA271" s="66">
        <f t="shared" ca="1" si="137"/>
        <v>0</v>
      </c>
      <c r="BB271" s="66">
        <f t="shared" ca="1" si="138"/>
        <v>0</v>
      </c>
      <c r="BC271" s="66">
        <f t="shared" ca="1" si="139"/>
        <v>0</v>
      </c>
      <c r="BD271" s="66">
        <f t="shared" ca="1" si="140"/>
        <v>0</v>
      </c>
      <c r="BE271" s="71">
        <f t="shared" ca="1" si="146"/>
        <v>0</v>
      </c>
      <c r="BF271" s="65">
        <f t="shared" ca="1" si="141"/>
        <v>0</v>
      </c>
      <c r="BG271" s="69">
        <f t="shared" ca="1" si="142"/>
        <v>0</v>
      </c>
      <c r="BH271" s="301">
        <f t="shared" ca="1" si="145"/>
        <v>0</v>
      </c>
      <c r="BI271" s="300">
        <f ca="1">IF(AO271&gt;TartamVálasztott,0,   (BI270+BH271)*(1+yields!$D$2)*(1-(0.0099/12)))</f>
        <v>0</v>
      </c>
      <c r="BJ271" s="300">
        <f ca="1">SUM(BH$6:BH271)*-1.2</f>
        <v>-862056.26733480149</v>
      </c>
      <c r="BK271" s="300">
        <f t="shared" ca="1" si="126"/>
        <v>-862056.26733480149</v>
      </c>
      <c r="BL271" s="28">
        <f t="shared" ca="1" si="124"/>
        <v>2039</v>
      </c>
      <c r="BM271" s="28">
        <f t="shared" ca="1" si="147"/>
        <v>3</v>
      </c>
      <c r="BN271" s="236">
        <f t="shared" ca="1" si="148"/>
        <v>0</v>
      </c>
      <c r="BO271" s="236">
        <f t="shared" ca="1" si="143"/>
        <v>0</v>
      </c>
    </row>
    <row r="272" spans="39:67" x14ac:dyDescent="0.25">
      <c r="AO272" s="28">
        <f t="shared" si="127"/>
        <v>23</v>
      </c>
      <c r="AP272" s="28">
        <f t="shared" si="128"/>
        <v>3</v>
      </c>
      <c r="AQ272" s="65">
        <f t="shared" ca="1" si="144"/>
        <v>0</v>
      </c>
      <c r="AR272" s="66">
        <f t="shared" ca="1" si="129"/>
        <v>0</v>
      </c>
      <c r="AS272" s="66">
        <f t="shared" ca="1" si="130"/>
        <v>0</v>
      </c>
      <c r="AT272" s="66">
        <f t="shared" ca="1" si="131"/>
        <v>0</v>
      </c>
      <c r="AU272" s="66">
        <f t="shared" ca="1" si="132"/>
        <v>0</v>
      </c>
      <c r="AV272" s="68">
        <f t="shared" ca="1" si="125"/>
        <v>0</v>
      </c>
      <c r="AW272" s="65">
        <f t="shared" ca="1" si="133"/>
        <v>0</v>
      </c>
      <c r="AX272" s="69">
        <f t="shared" ca="1" si="134"/>
        <v>0</v>
      </c>
      <c r="AY272" s="70">
        <f t="shared" ca="1" si="135"/>
        <v>0</v>
      </c>
      <c r="AZ272" s="66">
        <f t="shared" ca="1" si="136"/>
        <v>0</v>
      </c>
      <c r="BA272" s="66">
        <f t="shared" ca="1" si="137"/>
        <v>0</v>
      </c>
      <c r="BB272" s="66">
        <f t="shared" ca="1" si="138"/>
        <v>0</v>
      </c>
      <c r="BC272" s="66">
        <f t="shared" ca="1" si="139"/>
        <v>0</v>
      </c>
      <c r="BD272" s="66">
        <f t="shared" ca="1" si="140"/>
        <v>0</v>
      </c>
      <c r="BE272" s="71">
        <f t="shared" ca="1" si="146"/>
        <v>0</v>
      </c>
      <c r="BF272" s="65">
        <f t="shared" ca="1" si="141"/>
        <v>0</v>
      </c>
      <c r="BG272" s="69">
        <f t="shared" ca="1" si="142"/>
        <v>0</v>
      </c>
      <c r="BH272" s="301">
        <f t="shared" ca="1" si="145"/>
        <v>0</v>
      </c>
      <c r="BI272" s="300">
        <f ca="1">IF(AO272&gt;TartamVálasztott,0,   (BI271+BH272)*(1+yields!$D$2)*(1-(0.0099/12)))</f>
        <v>0</v>
      </c>
      <c r="BJ272" s="300">
        <f ca="1">SUM(BH$6:BH272)*-1.2</f>
        <v>-862056.26733480149</v>
      </c>
      <c r="BK272" s="300">
        <f t="shared" ca="1" si="126"/>
        <v>-862056.26733480149</v>
      </c>
      <c r="BL272" s="28">
        <f t="shared" ca="1" si="124"/>
        <v>2039</v>
      </c>
      <c r="BM272" s="28">
        <f t="shared" ca="1" si="147"/>
        <v>4</v>
      </c>
      <c r="BN272" s="236">
        <f t="shared" ca="1" si="148"/>
        <v>0</v>
      </c>
      <c r="BO272" s="236">
        <f t="shared" ca="1" si="143"/>
        <v>0</v>
      </c>
    </row>
    <row r="273" spans="39:67" x14ac:dyDescent="0.25">
      <c r="AO273" s="28">
        <f t="shared" si="127"/>
        <v>23</v>
      </c>
      <c r="AP273" s="28">
        <f t="shared" si="128"/>
        <v>4</v>
      </c>
      <c r="AQ273" s="65">
        <f t="shared" ca="1" si="144"/>
        <v>0</v>
      </c>
      <c r="AR273" s="66">
        <f t="shared" ca="1" si="129"/>
        <v>0</v>
      </c>
      <c r="AS273" s="66">
        <f t="shared" ca="1" si="130"/>
        <v>0</v>
      </c>
      <c r="AT273" s="66">
        <f t="shared" ca="1" si="131"/>
        <v>0</v>
      </c>
      <c r="AU273" s="66">
        <f t="shared" ca="1" si="132"/>
        <v>0</v>
      </c>
      <c r="AV273" s="68">
        <f t="shared" ca="1" si="125"/>
        <v>0</v>
      </c>
      <c r="AW273" s="65">
        <f t="shared" ca="1" si="133"/>
        <v>0</v>
      </c>
      <c r="AX273" s="69">
        <f t="shared" ca="1" si="134"/>
        <v>0</v>
      </c>
      <c r="AY273" s="70">
        <f t="shared" ca="1" si="135"/>
        <v>0</v>
      </c>
      <c r="AZ273" s="66">
        <f t="shared" ca="1" si="136"/>
        <v>0</v>
      </c>
      <c r="BA273" s="66">
        <f t="shared" ca="1" si="137"/>
        <v>0</v>
      </c>
      <c r="BB273" s="66">
        <f t="shared" ca="1" si="138"/>
        <v>0</v>
      </c>
      <c r="BC273" s="66">
        <f t="shared" ca="1" si="139"/>
        <v>0</v>
      </c>
      <c r="BD273" s="66">
        <f t="shared" ca="1" si="140"/>
        <v>0</v>
      </c>
      <c r="BE273" s="71">
        <f t="shared" ca="1" si="146"/>
        <v>0</v>
      </c>
      <c r="BF273" s="65">
        <f t="shared" ca="1" si="141"/>
        <v>0</v>
      </c>
      <c r="BG273" s="69">
        <f t="shared" ca="1" si="142"/>
        <v>0</v>
      </c>
      <c r="BH273" s="301">
        <f t="shared" ca="1" si="145"/>
        <v>0</v>
      </c>
      <c r="BI273" s="300">
        <f ca="1">IF(AO273&gt;TartamVálasztott,0,   (BI272+BH273)*(1+yields!$D$2)*(1-(0.0099/12)))</f>
        <v>0</v>
      </c>
      <c r="BJ273" s="300">
        <f ca="1">SUM(BH$6:BH273)*-1.2</f>
        <v>-862056.26733480149</v>
      </c>
      <c r="BK273" s="300">
        <f t="shared" ca="1" si="126"/>
        <v>-862056.26733480149</v>
      </c>
      <c r="BL273" s="28">
        <f t="shared" ca="1" si="124"/>
        <v>2039</v>
      </c>
      <c r="BM273" s="28">
        <f t="shared" ca="1" si="147"/>
        <v>5</v>
      </c>
      <c r="BN273" s="236">
        <f t="shared" ca="1" si="148"/>
        <v>0</v>
      </c>
      <c r="BO273" s="236">
        <f t="shared" ca="1" si="143"/>
        <v>0</v>
      </c>
    </row>
    <row r="274" spans="39:67" x14ac:dyDescent="0.25">
      <c r="AO274" s="28">
        <f t="shared" si="127"/>
        <v>23</v>
      </c>
      <c r="AP274" s="28">
        <f t="shared" si="128"/>
        <v>5</v>
      </c>
      <c r="AQ274" s="65">
        <f t="shared" ca="1" si="144"/>
        <v>0</v>
      </c>
      <c r="AR274" s="66">
        <f t="shared" ca="1" si="129"/>
        <v>0</v>
      </c>
      <c r="AS274" s="66">
        <f t="shared" ca="1" si="130"/>
        <v>0</v>
      </c>
      <c r="AT274" s="66">
        <f t="shared" ca="1" si="131"/>
        <v>0</v>
      </c>
      <c r="AU274" s="66">
        <f t="shared" ca="1" si="132"/>
        <v>0</v>
      </c>
      <c r="AV274" s="68">
        <f t="shared" ca="1" si="125"/>
        <v>0</v>
      </c>
      <c r="AW274" s="65">
        <f t="shared" ca="1" si="133"/>
        <v>0</v>
      </c>
      <c r="AX274" s="69">
        <f t="shared" ca="1" si="134"/>
        <v>0</v>
      </c>
      <c r="AY274" s="70">
        <f t="shared" ca="1" si="135"/>
        <v>0</v>
      </c>
      <c r="AZ274" s="66">
        <f t="shared" ca="1" si="136"/>
        <v>0</v>
      </c>
      <c r="BA274" s="66">
        <f t="shared" ca="1" si="137"/>
        <v>0</v>
      </c>
      <c r="BB274" s="66">
        <f t="shared" ca="1" si="138"/>
        <v>0</v>
      </c>
      <c r="BC274" s="66">
        <f t="shared" ca="1" si="139"/>
        <v>0</v>
      </c>
      <c r="BD274" s="66">
        <f t="shared" ca="1" si="140"/>
        <v>0</v>
      </c>
      <c r="BE274" s="71">
        <f t="shared" ca="1" si="146"/>
        <v>0</v>
      </c>
      <c r="BF274" s="65">
        <f t="shared" ca="1" si="141"/>
        <v>0</v>
      </c>
      <c r="BG274" s="69">
        <f t="shared" ca="1" si="142"/>
        <v>0</v>
      </c>
      <c r="BH274" s="301">
        <f t="shared" ca="1" si="145"/>
        <v>0</v>
      </c>
      <c r="BI274" s="300">
        <f ca="1">IF(AO274&gt;TartamVálasztott,0,   (BI273+BH274)*(1+yields!$D$2)*(1-(0.0099/12)))</f>
        <v>0</v>
      </c>
      <c r="BJ274" s="300">
        <f ca="1">SUM(BH$6:BH274)*-1.2</f>
        <v>-862056.26733480149</v>
      </c>
      <c r="BK274" s="300">
        <f t="shared" ca="1" si="126"/>
        <v>-862056.26733480149</v>
      </c>
      <c r="BL274" s="28">
        <f t="shared" ref="BL274:BL337" ca="1" si="149">IF(BM273=12,BL273+1,BL273)</f>
        <v>2039</v>
      </c>
      <c r="BM274" s="28">
        <f t="shared" ca="1" si="147"/>
        <v>6</v>
      </c>
      <c r="BN274" s="236">
        <f t="shared" ca="1" si="148"/>
        <v>0</v>
      </c>
      <c r="BO274" s="236">
        <f t="shared" ca="1" si="143"/>
        <v>0</v>
      </c>
    </row>
    <row r="275" spans="39:67" x14ac:dyDescent="0.25">
      <c r="AO275" s="28">
        <f t="shared" si="127"/>
        <v>23</v>
      </c>
      <c r="AP275" s="28">
        <f t="shared" si="128"/>
        <v>6</v>
      </c>
      <c r="AQ275" s="65">
        <f t="shared" ca="1" si="144"/>
        <v>0</v>
      </c>
      <c r="AR275" s="66">
        <f t="shared" ca="1" si="129"/>
        <v>0</v>
      </c>
      <c r="AS275" s="66">
        <f t="shared" ca="1" si="130"/>
        <v>0</v>
      </c>
      <c r="AT275" s="66">
        <f t="shared" ca="1" si="131"/>
        <v>0</v>
      </c>
      <c r="AU275" s="66">
        <f t="shared" ca="1" si="132"/>
        <v>0</v>
      </c>
      <c r="AV275" s="68">
        <f t="shared" ref="AV275:AV338" ca="1" si="150">IF( ($AO275*12+$AP275) &gt; (12*(Term+1) ), 0,
($AT275-$AW275) +$AU275
)</f>
        <v>0</v>
      </c>
      <c r="AW275" s="65">
        <f t="shared" ca="1" si="133"/>
        <v>0</v>
      </c>
      <c r="AX275" s="69">
        <f t="shared" ca="1" si="134"/>
        <v>0</v>
      </c>
      <c r="AY275" s="70">
        <f t="shared" ca="1" si="135"/>
        <v>0</v>
      </c>
      <c r="AZ275" s="66">
        <f t="shared" ca="1" si="136"/>
        <v>0</v>
      </c>
      <c r="BA275" s="66">
        <f t="shared" ca="1" si="137"/>
        <v>0</v>
      </c>
      <c r="BB275" s="66">
        <f t="shared" ca="1" si="138"/>
        <v>0</v>
      </c>
      <c r="BC275" s="66">
        <f t="shared" ca="1" si="139"/>
        <v>0</v>
      </c>
      <c r="BD275" s="66">
        <f t="shared" ca="1" si="140"/>
        <v>0</v>
      </c>
      <c r="BE275" s="71">
        <f t="shared" ca="1" si="146"/>
        <v>0</v>
      </c>
      <c r="BF275" s="65">
        <f t="shared" ca="1" si="141"/>
        <v>0</v>
      </c>
      <c r="BG275" s="69">
        <f t="shared" ca="1" si="142"/>
        <v>0</v>
      </c>
      <c r="BH275" s="301">
        <f t="shared" ca="1" si="145"/>
        <v>0</v>
      </c>
      <c r="BI275" s="300">
        <f ca="1">IF(AO275&gt;TartamVálasztott,0,   (BI274+BH275)*(1+yields!$D$2)*(1-(0.0099/12)))</f>
        <v>0</v>
      </c>
      <c r="BJ275" s="300">
        <f ca="1">SUM(BH$6:BH275)*-1.2</f>
        <v>-862056.26733480149</v>
      </c>
      <c r="BK275" s="300">
        <f t="shared" ca="1" si="126"/>
        <v>-862056.26733480149</v>
      </c>
      <c r="BL275" s="28">
        <f t="shared" ca="1" si="149"/>
        <v>2039</v>
      </c>
      <c r="BM275" s="28">
        <f t="shared" ca="1" si="147"/>
        <v>7</v>
      </c>
      <c r="BN275" s="236">
        <f t="shared" ca="1" si="148"/>
        <v>0</v>
      </c>
      <c r="BO275" s="236">
        <f t="shared" ca="1" si="143"/>
        <v>0</v>
      </c>
    </row>
    <row r="276" spans="39:67" x14ac:dyDescent="0.25">
      <c r="AO276" s="28">
        <f t="shared" si="127"/>
        <v>23</v>
      </c>
      <c r="AP276" s="28">
        <f t="shared" si="128"/>
        <v>7</v>
      </c>
      <c r="AQ276" s="65">
        <f t="shared" ca="1" si="144"/>
        <v>0</v>
      </c>
      <c r="AR276" s="66">
        <f t="shared" ca="1" si="129"/>
        <v>0</v>
      </c>
      <c r="AS276" s="66">
        <f t="shared" ca="1" si="130"/>
        <v>0</v>
      </c>
      <c r="AT276" s="66">
        <f t="shared" ca="1" si="131"/>
        <v>0</v>
      </c>
      <c r="AU276" s="66">
        <f t="shared" ca="1" si="132"/>
        <v>0</v>
      </c>
      <c r="AV276" s="68">
        <f t="shared" ca="1" si="150"/>
        <v>0</v>
      </c>
      <c r="AW276" s="65">
        <f t="shared" ca="1" si="133"/>
        <v>0</v>
      </c>
      <c r="AX276" s="69">
        <f t="shared" ca="1" si="134"/>
        <v>0</v>
      </c>
      <c r="AY276" s="70">
        <f t="shared" ca="1" si="135"/>
        <v>0</v>
      </c>
      <c r="AZ276" s="66">
        <f t="shared" ca="1" si="136"/>
        <v>0</v>
      </c>
      <c r="BA276" s="66">
        <f t="shared" ca="1" si="137"/>
        <v>0</v>
      </c>
      <c r="BB276" s="66">
        <f t="shared" ca="1" si="138"/>
        <v>0</v>
      </c>
      <c r="BC276" s="66">
        <f t="shared" ca="1" si="139"/>
        <v>0</v>
      </c>
      <c r="BD276" s="66">
        <f t="shared" ca="1" si="140"/>
        <v>0</v>
      </c>
      <c r="BE276" s="71">
        <f t="shared" ca="1" si="146"/>
        <v>0</v>
      </c>
      <c r="BF276" s="65">
        <f t="shared" ca="1" si="141"/>
        <v>0</v>
      </c>
      <c r="BG276" s="69">
        <f t="shared" ca="1" si="142"/>
        <v>0</v>
      </c>
      <c r="BH276" s="301">
        <f t="shared" ca="1" si="145"/>
        <v>0</v>
      </c>
      <c r="BI276" s="300">
        <f ca="1">IF(AO276&gt;TartamVálasztott,0,   (BI275+BH276)*(1+yields!$D$2)*(1-(0.0099/12)))</f>
        <v>0</v>
      </c>
      <c r="BJ276" s="300">
        <f ca="1">SUM(BH$6:BH276)*-1.2</f>
        <v>-862056.26733480149</v>
      </c>
      <c r="BK276" s="300">
        <f t="shared" ca="1" si="126"/>
        <v>-862056.26733480149</v>
      </c>
      <c r="BL276" s="28">
        <f t="shared" ca="1" si="149"/>
        <v>2039</v>
      </c>
      <c r="BM276" s="28">
        <f t="shared" ca="1" si="147"/>
        <v>8</v>
      </c>
      <c r="BN276" s="236">
        <f t="shared" ca="1" si="148"/>
        <v>0</v>
      </c>
      <c r="BO276" s="236">
        <f t="shared" ca="1" si="143"/>
        <v>0</v>
      </c>
    </row>
    <row r="277" spans="39:67" x14ac:dyDescent="0.25">
      <c r="AO277" s="28">
        <f t="shared" si="127"/>
        <v>23</v>
      </c>
      <c r="AP277" s="28">
        <f t="shared" si="128"/>
        <v>8</v>
      </c>
      <c r="AQ277" s="65">
        <f t="shared" ca="1" si="144"/>
        <v>0</v>
      </c>
      <c r="AR277" s="66">
        <f t="shared" ca="1" si="129"/>
        <v>0</v>
      </c>
      <c r="AS277" s="66">
        <f t="shared" ca="1" si="130"/>
        <v>0</v>
      </c>
      <c r="AT277" s="66">
        <f t="shared" ca="1" si="131"/>
        <v>0</v>
      </c>
      <c r="AU277" s="66">
        <f t="shared" ca="1" si="132"/>
        <v>0</v>
      </c>
      <c r="AV277" s="68">
        <f t="shared" ca="1" si="150"/>
        <v>0</v>
      </c>
      <c r="AW277" s="65">
        <f t="shared" ca="1" si="133"/>
        <v>0</v>
      </c>
      <c r="AX277" s="69">
        <f t="shared" ca="1" si="134"/>
        <v>0</v>
      </c>
      <c r="AY277" s="70">
        <f t="shared" ca="1" si="135"/>
        <v>0</v>
      </c>
      <c r="AZ277" s="66">
        <f t="shared" ca="1" si="136"/>
        <v>0</v>
      </c>
      <c r="BA277" s="66">
        <f t="shared" ca="1" si="137"/>
        <v>0</v>
      </c>
      <c r="BB277" s="66">
        <f t="shared" ca="1" si="138"/>
        <v>0</v>
      </c>
      <c r="BC277" s="66">
        <f t="shared" ca="1" si="139"/>
        <v>0</v>
      </c>
      <c r="BD277" s="66">
        <f t="shared" ca="1" si="140"/>
        <v>0</v>
      </c>
      <c r="BE277" s="71">
        <f t="shared" ca="1" si="146"/>
        <v>0</v>
      </c>
      <c r="BF277" s="65">
        <f t="shared" ca="1" si="141"/>
        <v>0</v>
      </c>
      <c r="BG277" s="69">
        <f t="shared" ca="1" si="142"/>
        <v>0</v>
      </c>
      <c r="BH277" s="301">
        <f t="shared" ca="1" si="145"/>
        <v>0</v>
      </c>
      <c r="BI277" s="300">
        <f ca="1">IF(AO277&gt;TartamVálasztott,0,   (BI276+BH277)*(1+yields!$D$2)*(1-(0.0099/12)))</f>
        <v>0</v>
      </c>
      <c r="BJ277" s="300">
        <f ca="1">SUM(BH$6:BH277)*-1.2</f>
        <v>-862056.26733480149</v>
      </c>
      <c r="BK277" s="300">
        <f t="shared" ca="1" si="126"/>
        <v>-862056.26733480149</v>
      </c>
      <c r="BL277" s="28">
        <f t="shared" ca="1" si="149"/>
        <v>2039</v>
      </c>
      <c r="BM277" s="28">
        <f t="shared" ca="1" si="147"/>
        <v>9</v>
      </c>
      <c r="BN277" s="236">
        <f t="shared" ca="1" si="148"/>
        <v>0</v>
      </c>
      <c r="BO277" s="236">
        <f t="shared" ca="1" si="143"/>
        <v>0</v>
      </c>
    </row>
    <row r="278" spans="39:67" x14ac:dyDescent="0.25">
      <c r="AO278" s="28">
        <f t="shared" si="127"/>
        <v>23</v>
      </c>
      <c r="AP278" s="28">
        <f t="shared" si="128"/>
        <v>9</v>
      </c>
      <c r="AQ278" s="65">
        <f t="shared" ca="1" si="144"/>
        <v>0</v>
      </c>
      <c r="AR278" s="66">
        <f t="shared" ca="1" si="129"/>
        <v>0</v>
      </c>
      <c r="AS278" s="66">
        <f t="shared" ca="1" si="130"/>
        <v>0</v>
      </c>
      <c r="AT278" s="66">
        <f t="shared" ca="1" si="131"/>
        <v>0</v>
      </c>
      <c r="AU278" s="66">
        <f t="shared" ca="1" si="132"/>
        <v>0</v>
      </c>
      <c r="AV278" s="68">
        <f t="shared" ca="1" si="150"/>
        <v>0</v>
      </c>
      <c r="AW278" s="65">
        <f t="shared" ca="1" si="133"/>
        <v>0</v>
      </c>
      <c r="AX278" s="69">
        <f t="shared" ca="1" si="134"/>
        <v>0</v>
      </c>
      <c r="AY278" s="70">
        <f t="shared" ca="1" si="135"/>
        <v>0</v>
      </c>
      <c r="AZ278" s="66">
        <f t="shared" ca="1" si="136"/>
        <v>0</v>
      </c>
      <c r="BA278" s="66">
        <f t="shared" ca="1" si="137"/>
        <v>0</v>
      </c>
      <c r="BB278" s="66">
        <f t="shared" ca="1" si="138"/>
        <v>0</v>
      </c>
      <c r="BC278" s="66">
        <f t="shared" ca="1" si="139"/>
        <v>0</v>
      </c>
      <c r="BD278" s="66">
        <f t="shared" ca="1" si="140"/>
        <v>0</v>
      </c>
      <c r="BE278" s="71">
        <f t="shared" ca="1" si="146"/>
        <v>0</v>
      </c>
      <c r="BF278" s="65">
        <f t="shared" ca="1" si="141"/>
        <v>0</v>
      </c>
      <c r="BG278" s="69">
        <f t="shared" ca="1" si="142"/>
        <v>0</v>
      </c>
      <c r="BH278" s="301">
        <f t="shared" ca="1" si="145"/>
        <v>0</v>
      </c>
      <c r="BI278" s="300">
        <f ca="1">IF(AO278&gt;TartamVálasztott,0,   (BI277+BH278)*(1+yields!$D$2)*(1-(0.0099/12)))</f>
        <v>0</v>
      </c>
      <c r="BJ278" s="300">
        <f ca="1">SUM(BH$6:BH278)*-1.2</f>
        <v>-862056.26733480149</v>
      </c>
      <c r="BK278" s="300">
        <f t="shared" ca="1" si="126"/>
        <v>-862056.26733480149</v>
      </c>
      <c r="BL278" s="28">
        <f t="shared" ca="1" si="149"/>
        <v>2039</v>
      </c>
      <c r="BM278" s="28">
        <f t="shared" ca="1" si="147"/>
        <v>10</v>
      </c>
      <c r="BN278" s="236">
        <f t="shared" ca="1" si="148"/>
        <v>0</v>
      </c>
      <c r="BO278" s="236">
        <f t="shared" ca="1" si="143"/>
        <v>0</v>
      </c>
    </row>
    <row r="279" spans="39:67" x14ac:dyDescent="0.25">
      <c r="AO279" s="28">
        <f t="shared" si="127"/>
        <v>23</v>
      </c>
      <c r="AP279" s="28">
        <f t="shared" si="128"/>
        <v>10</v>
      </c>
      <c r="AQ279" s="65">
        <f t="shared" ca="1" si="144"/>
        <v>0</v>
      </c>
      <c r="AR279" s="66">
        <f t="shared" ca="1" si="129"/>
        <v>0</v>
      </c>
      <c r="AS279" s="66">
        <f t="shared" ca="1" si="130"/>
        <v>0</v>
      </c>
      <c r="AT279" s="66">
        <f t="shared" ca="1" si="131"/>
        <v>0</v>
      </c>
      <c r="AU279" s="66">
        <f t="shared" ca="1" si="132"/>
        <v>0</v>
      </c>
      <c r="AV279" s="68">
        <f t="shared" ca="1" si="150"/>
        <v>0</v>
      </c>
      <c r="AW279" s="65">
        <f t="shared" ca="1" si="133"/>
        <v>0</v>
      </c>
      <c r="AX279" s="69">
        <f t="shared" ca="1" si="134"/>
        <v>0</v>
      </c>
      <c r="AY279" s="70">
        <f t="shared" ca="1" si="135"/>
        <v>0</v>
      </c>
      <c r="AZ279" s="66">
        <f t="shared" ca="1" si="136"/>
        <v>0</v>
      </c>
      <c r="BA279" s="66">
        <f t="shared" ca="1" si="137"/>
        <v>0</v>
      </c>
      <c r="BB279" s="66">
        <f t="shared" ca="1" si="138"/>
        <v>0</v>
      </c>
      <c r="BC279" s="66">
        <f t="shared" ca="1" si="139"/>
        <v>0</v>
      </c>
      <c r="BD279" s="66">
        <f t="shared" ca="1" si="140"/>
        <v>0</v>
      </c>
      <c r="BE279" s="71">
        <f t="shared" ca="1" si="146"/>
        <v>0</v>
      </c>
      <c r="BF279" s="65">
        <f t="shared" ca="1" si="141"/>
        <v>0</v>
      </c>
      <c r="BG279" s="69">
        <f t="shared" ca="1" si="142"/>
        <v>0</v>
      </c>
      <c r="BH279" s="301">
        <f t="shared" ca="1" si="145"/>
        <v>0</v>
      </c>
      <c r="BI279" s="300">
        <f ca="1">IF(AO279&gt;TartamVálasztott,0,   (BI278+BH279)*(1+yields!$D$2)*(1-(0.0099/12)))</f>
        <v>0</v>
      </c>
      <c r="BJ279" s="300">
        <f ca="1">SUM(BH$6:BH279)*-1.2</f>
        <v>-862056.26733480149</v>
      </c>
      <c r="BK279" s="300">
        <f t="shared" ref="BK279:BK342" ca="1" si="151">BI279+BJ279</f>
        <v>-862056.26733480149</v>
      </c>
      <c r="BL279" s="28">
        <f t="shared" ca="1" si="149"/>
        <v>2039</v>
      </c>
      <c r="BM279" s="28">
        <f t="shared" ca="1" si="147"/>
        <v>11</v>
      </c>
      <c r="BN279" s="236">
        <f t="shared" ca="1" si="148"/>
        <v>0</v>
      </c>
      <c r="BO279" s="236">
        <f t="shared" ca="1" si="143"/>
        <v>0</v>
      </c>
    </row>
    <row r="280" spans="39:67" x14ac:dyDescent="0.25">
      <c r="AO280" s="28">
        <f t="shared" si="127"/>
        <v>23</v>
      </c>
      <c r="AP280" s="28">
        <f t="shared" si="128"/>
        <v>11</v>
      </c>
      <c r="AQ280" s="65">
        <f t="shared" ca="1" si="144"/>
        <v>0</v>
      </c>
      <c r="AR280" s="66">
        <f t="shared" ca="1" si="129"/>
        <v>0</v>
      </c>
      <c r="AS280" s="66">
        <f t="shared" ca="1" si="130"/>
        <v>0</v>
      </c>
      <c r="AT280" s="66">
        <f t="shared" ca="1" si="131"/>
        <v>0</v>
      </c>
      <c r="AU280" s="66">
        <f t="shared" ca="1" si="132"/>
        <v>0</v>
      </c>
      <c r="AV280" s="68">
        <f t="shared" ca="1" si="150"/>
        <v>0</v>
      </c>
      <c r="AW280" s="65">
        <f t="shared" ca="1" si="133"/>
        <v>0</v>
      </c>
      <c r="AX280" s="69">
        <f t="shared" ca="1" si="134"/>
        <v>0</v>
      </c>
      <c r="AY280" s="70">
        <f t="shared" ca="1" si="135"/>
        <v>0</v>
      </c>
      <c r="AZ280" s="66">
        <f t="shared" ca="1" si="136"/>
        <v>0</v>
      </c>
      <c r="BA280" s="66">
        <f t="shared" ca="1" si="137"/>
        <v>0</v>
      </c>
      <c r="BB280" s="66">
        <f t="shared" ca="1" si="138"/>
        <v>0</v>
      </c>
      <c r="BC280" s="66">
        <f t="shared" ca="1" si="139"/>
        <v>0</v>
      </c>
      <c r="BD280" s="66">
        <f t="shared" ca="1" si="140"/>
        <v>0</v>
      </c>
      <c r="BE280" s="71">
        <f t="shared" ca="1" si="146"/>
        <v>0</v>
      </c>
      <c r="BF280" s="65">
        <f t="shared" ca="1" si="141"/>
        <v>0</v>
      </c>
      <c r="BG280" s="69">
        <f t="shared" ca="1" si="142"/>
        <v>0</v>
      </c>
      <c r="BH280" s="301">
        <f t="shared" ca="1" si="145"/>
        <v>0</v>
      </c>
      <c r="BI280" s="300">
        <f ca="1">IF(AO280&gt;TartamVálasztott,0,   (BI279+BH280)*(1+yields!$D$2)*(1-(0.0099/12)))</f>
        <v>0</v>
      </c>
      <c r="BJ280" s="300">
        <f ca="1">SUM(BH$6:BH280)*-1.2</f>
        <v>-862056.26733480149</v>
      </c>
      <c r="BK280" s="300">
        <f t="shared" ca="1" si="151"/>
        <v>-862056.26733480149</v>
      </c>
      <c r="BL280" s="28">
        <f t="shared" ca="1" si="149"/>
        <v>2039</v>
      </c>
      <c r="BM280" s="28">
        <f t="shared" ca="1" si="147"/>
        <v>12</v>
      </c>
      <c r="BN280" s="236">
        <f t="shared" ca="1" si="148"/>
        <v>0</v>
      </c>
      <c r="BO280" s="236">
        <f t="shared" ca="1" si="143"/>
        <v>0</v>
      </c>
    </row>
    <row r="281" spans="39:67" x14ac:dyDescent="0.25">
      <c r="AM281" s="324"/>
      <c r="AN281" s="124"/>
      <c r="AO281" s="50">
        <f t="shared" si="127"/>
        <v>23</v>
      </c>
      <c r="AP281" s="50">
        <f t="shared" si="128"/>
        <v>12</v>
      </c>
      <c r="AQ281" s="231">
        <f t="shared" ca="1" si="144"/>
        <v>0</v>
      </c>
      <c r="AR281" s="232">
        <f t="shared" ca="1" si="129"/>
        <v>0</v>
      </c>
      <c r="AS281" s="232">
        <f t="shared" ca="1" si="130"/>
        <v>0</v>
      </c>
      <c r="AT281" s="232">
        <f t="shared" ca="1" si="131"/>
        <v>0</v>
      </c>
      <c r="AU281" s="232">
        <f t="shared" ca="1" si="132"/>
        <v>0</v>
      </c>
      <c r="AV281" s="233">
        <f t="shared" ca="1" si="150"/>
        <v>0</v>
      </c>
      <c r="AW281" s="231">
        <f t="shared" ca="1" si="133"/>
        <v>0</v>
      </c>
      <c r="AX281" s="234">
        <f t="shared" ca="1" si="134"/>
        <v>0</v>
      </c>
      <c r="AY281" s="235">
        <f t="shared" ca="1" si="135"/>
        <v>0</v>
      </c>
      <c r="AZ281" s="232">
        <f t="shared" ca="1" si="136"/>
        <v>0</v>
      </c>
      <c r="BA281" s="232">
        <f t="shared" ca="1" si="137"/>
        <v>0</v>
      </c>
      <c r="BB281" s="232">
        <f t="shared" ca="1" si="138"/>
        <v>0</v>
      </c>
      <c r="BC281" s="232">
        <f t="shared" ca="1" si="139"/>
        <v>0</v>
      </c>
      <c r="BD281" s="232">
        <f t="shared" ca="1" si="140"/>
        <v>0</v>
      </c>
      <c r="BE281" s="233">
        <f t="shared" ca="1" si="146"/>
        <v>0</v>
      </c>
      <c r="BF281" s="231">
        <f t="shared" ca="1" si="141"/>
        <v>0</v>
      </c>
      <c r="BG281" s="234">
        <f t="shared" ca="1" si="142"/>
        <v>0</v>
      </c>
      <c r="BH281" s="301">
        <f t="shared" ca="1" si="145"/>
        <v>0</v>
      </c>
      <c r="BI281" s="300">
        <f ca="1">IF(AO281&gt;TartamVálasztott,0,   (BI280+BH281)*(1+yields!$D$2)*(1-(0.0099/12)))</f>
        <v>0</v>
      </c>
      <c r="BJ281" s="323">
        <f ca="1">SUM(BH$6:BH281)*-1.2</f>
        <v>-862056.26733480149</v>
      </c>
      <c r="BK281" s="323">
        <f t="shared" ca="1" si="151"/>
        <v>-862056.26733480149</v>
      </c>
      <c r="BL281" s="28">
        <f t="shared" ca="1" si="149"/>
        <v>2040</v>
      </c>
      <c r="BM281" s="28">
        <f t="shared" ca="1" si="147"/>
        <v>1</v>
      </c>
      <c r="BN281" s="236">
        <f t="shared" ca="1" si="148"/>
        <v>0</v>
      </c>
      <c r="BO281" s="236">
        <f t="shared" ca="1" si="143"/>
        <v>0</v>
      </c>
    </row>
    <row r="282" spans="39:67" x14ac:dyDescent="0.25">
      <c r="AO282" s="28">
        <f t="shared" si="127"/>
        <v>24</v>
      </c>
      <c r="AP282" s="28">
        <f t="shared" si="128"/>
        <v>1</v>
      </c>
      <c r="AQ282" s="65">
        <f t="shared" ca="1" si="144"/>
        <v>0</v>
      </c>
      <c r="AR282" s="66">
        <f t="shared" ca="1" si="129"/>
        <v>0</v>
      </c>
      <c r="AS282" s="66">
        <f t="shared" ca="1" si="130"/>
        <v>0</v>
      </c>
      <c r="AT282" s="66">
        <f t="shared" ca="1" si="131"/>
        <v>0</v>
      </c>
      <c r="AU282" s="66">
        <f t="shared" ca="1" si="132"/>
        <v>0</v>
      </c>
      <c r="AV282" s="68">
        <f t="shared" ca="1" si="150"/>
        <v>0</v>
      </c>
      <c r="AW282" s="65">
        <f t="shared" ca="1" si="133"/>
        <v>0</v>
      </c>
      <c r="AX282" s="69">
        <f t="shared" ca="1" si="134"/>
        <v>0</v>
      </c>
      <c r="AY282" s="70">
        <f t="shared" ca="1" si="135"/>
        <v>0</v>
      </c>
      <c r="AZ282" s="66">
        <f t="shared" ca="1" si="136"/>
        <v>0</v>
      </c>
      <c r="BA282" s="66">
        <f t="shared" ca="1" si="137"/>
        <v>0</v>
      </c>
      <c r="BB282" s="66">
        <f t="shared" ca="1" si="138"/>
        <v>0</v>
      </c>
      <c r="BC282" s="66">
        <f t="shared" ca="1" si="139"/>
        <v>0</v>
      </c>
      <c r="BD282" s="66">
        <f t="shared" ca="1" si="140"/>
        <v>0</v>
      </c>
      <c r="BE282" s="71">
        <f t="shared" ca="1" si="146"/>
        <v>0</v>
      </c>
      <c r="BF282" s="65">
        <f t="shared" ca="1" si="141"/>
        <v>0</v>
      </c>
      <c r="BG282" s="69">
        <f t="shared" ca="1" si="142"/>
        <v>0</v>
      </c>
      <c r="BH282" s="301">
        <f t="shared" ca="1" si="145"/>
        <v>0</v>
      </c>
      <c r="BI282" s="300">
        <f ca="1">IF(AO282&gt;TartamVálasztott,0,   (BI281+BH282)*(1+yields!$D$2)*(1-(0.0099/12)))</f>
        <v>0</v>
      </c>
      <c r="BJ282" s="300">
        <f ca="1">SUM(BH$6:BH282)*-1.2</f>
        <v>-862056.26733480149</v>
      </c>
      <c r="BK282" s="300">
        <f t="shared" ca="1" si="151"/>
        <v>-862056.26733480149</v>
      </c>
      <c r="BL282" s="28">
        <f t="shared" ca="1" si="149"/>
        <v>2040</v>
      </c>
      <c r="BM282" s="28">
        <f t="shared" ca="1" si="147"/>
        <v>2</v>
      </c>
      <c r="BN282" s="236">
        <f t="shared" ca="1" si="148"/>
        <v>0</v>
      </c>
      <c r="BO282" s="236">
        <f t="shared" ca="1" si="143"/>
        <v>0</v>
      </c>
    </row>
    <row r="283" spans="39:67" x14ac:dyDescent="0.25">
      <c r="AO283" s="28">
        <f t="shared" si="127"/>
        <v>24</v>
      </c>
      <c r="AP283" s="28">
        <f t="shared" si="128"/>
        <v>2</v>
      </c>
      <c r="AQ283" s="65">
        <f t="shared" ca="1" si="144"/>
        <v>0</v>
      </c>
      <c r="AR283" s="66">
        <f t="shared" ca="1" si="129"/>
        <v>0</v>
      </c>
      <c r="AS283" s="66">
        <f t="shared" ca="1" si="130"/>
        <v>0</v>
      </c>
      <c r="AT283" s="66">
        <f t="shared" ca="1" si="131"/>
        <v>0</v>
      </c>
      <c r="AU283" s="66">
        <f t="shared" ca="1" si="132"/>
        <v>0</v>
      </c>
      <c r="AV283" s="68">
        <f t="shared" ca="1" si="150"/>
        <v>0</v>
      </c>
      <c r="AW283" s="65">
        <f t="shared" ca="1" si="133"/>
        <v>0</v>
      </c>
      <c r="AX283" s="69">
        <f t="shared" ca="1" si="134"/>
        <v>0</v>
      </c>
      <c r="AY283" s="70">
        <f t="shared" ca="1" si="135"/>
        <v>0</v>
      </c>
      <c r="AZ283" s="66">
        <f t="shared" ca="1" si="136"/>
        <v>0</v>
      </c>
      <c r="BA283" s="66">
        <f t="shared" ca="1" si="137"/>
        <v>0</v>
      </c>
      <c r="BB283" s="66">
        <f t="shared" ca="1" si="138"/>
        <v>0</v>
      </c>
      <c r="BC283" s="66">
        <f t="shared" ca="1" si="139"/>
        <v>0</v>
      </c>
      <c r="BD283" s="66">
        <f t="shared" ca="1" si="140"/>
        <v>0</v>
      </c>
      <c r="BE283" s="71">
        <f t="shared" ca="1" si="146"/>
        <v>0</v>
      </c>
      <c r="BF283" s="65">
        <f t="shared" ca="1" si="141"/>
        <v>0</v>
      </c>
      <c r="BG283" s="69">
        <f t="shared" ca="1" si="142"/>
        <v>0</v>
      </c>
      <c r="BH283" s="301">
        <f t="shared" ca="1" si="145"/>
        <v>0</v>
      </c>
      <c r="BI283" s="300">
        <f ca="1">IF(AO283&gt;TartamVálasztott,0,   (BI282+BH283)*(1+yields!$D$2)*(1-(0.0099/12)))</f>
        <v>0</v>
      </c>
      <c r="BJ283" s="300">
        <f ca="1">SUM(BH$6:BH283)*-1.2</f>
        <v>-862056.26733480149</v>
      </c>
      <c r="BK283" s="300">
        <f t="shared" ca="1" si="151"/>
        <v>-862056.26733480149</v>
      </c>
      <c r="BL283" s="28">
        <f t="shared" ca="1" si="149"/>
        <v>2040</v>
      </c>
      <c r="BM283" s="28">
        <f t="shared" ca="1" si="147"/>
        <v>3</v>
      </c>
      <c r="BN283" s="236">
        <f t="shared" ca="1" si="148"/>
        <v>0</v>
      </c>
      <c r="BO283" s="236">
        <f t="shared" ca="1" si="143"/>
        <v>0</v>
      </c>
    </row>
    <row r="284" spans="39:67" x14ac:dyDescent="0.25">
      <c r="AO284" s="28">
        <f t="shared" si="127"/>
        <v>24</v>
      </c>
      <c r="AP284" s="28">
        <f t="shared" si="128"/>
        <v>3</v>
      </c>
      <c r="AQ284" s="65">
        <f t="shared" ca="1" si="144"/>
        <v>0</v>
      </c>
      <c r="AR284" s="66">
        <f t="shared" ca="1" si="129"/>
        <v>0</v>
      </c>
      <c r="AS284" s="66">
        <f t="shared" ca="1" si="130"/>
        <v>0</v>
      </c>
      <c r="AT284" s="66">
        <f t="shared" ca="1" si="131"/>
        <v>0</v>
      </c>
      <c r="AU284" s="66">
        <f t="shared" ca="1" si="132"/>
        <v>0</v>
      </c>
      <c r="AV284" s="68">
        <f t="shared" ca="1" si="150"/>
        <v>0</v>
      </c>
      <c r="AW284" s="65">
        <f t="shared" ca="1" si="133"/>
        <v>0</v>
      </c>
      <c r="AX284" s="69">
        <f t="shared" ca="1" si="134"/>
        <v>0</v>
      </c>
      <c r="AY284" s="70">
        <f t="shared" ca="1" si="135"/>
        <v>0</v>
      </c>
      <c r="AZ284" s="66">
        <f t="shared" ca="1" si="136"/>
        <v>0</v>
      </c>
      <c r="BA284" s="66">
        <f t="shared" ca="1" si="137"/>
        <v>0</v>
      </c>
      <c r="BB284" s="66">
        <f t="shared" ca="1" si="138"/>
        <v>0</v>
      </c>
      <c r="BC284" s="66">
        <f t="shared" ca="1" si="139"/>
        <v>0</v>
      </c>
      <c r="BD284" s="66">
        <f t="shared" ca="1" si="140"/>
        <v>0</v>
      </c>
      <c r="BE284" s="71">
        <f t="shared" ca="1" si="146"/>
        <v>0</v>
      </c>
      <c r="BF284" s="65">
        <f t="shared" ca="1" si="141"/>
        <v>0</v>
      </c>
      <c r="BG284" s="69">
        <f t="shared" ca="1" si="142"/>
        <v>0</v>
      </c>
      <c r="BH284" s="301">
        <f t="shared" ca="1" si="145"/>
        <v>0</v>
      </c>
      <c r="BI284" s="300">
        <f ca="1">IF(AO284&gt;TartamVálasztott,0,   (BI283+BH284)*(1+yields!$D$2)*(1-(0.0099/12)))</f>
        <v>0</v>
      </c>
      <c r="BJ284" s="300">
        <f ca="1">SUM(BH$6:BH284)*-1.2</f>
        <v>-862056.26733480149</v>
      </c>
      <c r="BK284" s="300">
        <f t="shared" ca="1" si="151"/>
        <v>-862056.26733480149</v>
      </c>
      <c r="BL284" s="28">
        <f t="shared" ca="1" si="149"/>
        <v>2040</v>
      </c>
      <c r="BM284" s="28">
        <f t="shared" ca="1" si="147"/>
        <v>4</v>
      </c>
      <c r="BN284" s="236">
        <f t="shared" ca="1" si="148"/>
        <v>0</v>
      </c>
      <c r="BO284" s="236">
        <f t="shared" ca="1" si="143"/>
        <v>0</v>
      </c>
    </row>
    <row r="285" spans="39:67" x14ac:dyDescent="0.25">
      <c r="AO285" s="28">
        <f t="shared" si="127"/>
        <v>24</v>
      </c>
      <c r="AP285" s="28">
        <f t="shared" si="128"/>
        <v>4</v>
      </c>
      <c r="AQ285" s="65">
        <f t="shared" ca="1" si="144"/>
        <v>0</v>
      </c>
      <c r="AR285" s="66">
        <f t="shared" ca="1" si="129"/>
        <v>0</v>
      </c>
      <c r="AS285" s="66">
        <f t="shared" ca="1" si="130"/>
        <v>0</v>
      </c>
      <c r="AT285" s="66">
        <f t="shared" ca="1" si="131"/>
        <v>0</v>
      </c>
      <c r="AU285" s="66">
        <f t="shared" ca="1" si="132"/>
        <v>0</v>
      </c>
      <c r="AV285" s="68">
        <f t="shared" ca="1" si="150"/>
        <v>0</v>
      </c>
      <c r="AW285" s="65">
        <f t="shared" ca="1" si="133"/>
        <v>0</v>
      </c>
      <c r="AX285" s="69">
        <f t="shared" ca="1" si="134"/>
        <v>0</v>
      </c>
      <c r="AY285" s="70">
        <f t="shared" ca="1" si="135"/>
        <v>0</v>
      </c>
      <c r="AZ285" s="66">
        <f t="shared" ca="1" si="136"/>
        <v>0</v>
      </c>
      <c r="BA285" s="66">
        <f t="shared" ca="1" si="137"/>
        <v>0</v>
      </c>
      <c r="BB285" s="66">
        <f t="shared" ca="1" si="138"/>
        <v>0</v>
      </c>
      <c r="BC285" s="66">
        <f t="shared" ca="1" si="139"/>
        <v>0</v>
      </c>
      <c r="BD285" s="66">
        <f t="shared" ca="1" si="140"/>
        <v>0</v>
      </c>
      <c r="BE285" s="71">
        <f t="shared" ca="1" si="146"/>
        <v>0</v>
      </c>
      <c r="BF285" s="65">
        <f t="shared" ca="1" si="141"/>
        <v>0</v>
      </c>
      <c r="BG285" s="69">
        <f t="shared" ca="1" si="142"/>
        <v>0</v>
      </c>
      <c r="BH285" s="301">
        <f t="shared" ca="1" si="145"/>
        <v>0</v>
      </c>
      <c r="BI285" s="300">
        <f ca="1">IF(AO285&gt;TartamVálasztott,0,   (BI284+BH285)*(1+yields!$D$2)*(1-(0.0099/12)))</f>
        <v>0</v>
      </c>
      <c r="BJ285" s="300">
        <f ca="1">SUM(BH$6:BH285)*-1.2</f>
        <v>-862056.26733480149</v>
      </c>
      <c r="BK285" s="300">
        <f t="shared" ca="1" si="151"/>
        <v>-862056.26733480149</v>
      </c>
      <c r="BL285" s="28">
        <f t="shared" ca="1" si="149"/>
        <v>2040</v>
      </c>
      <c r="BM285" s="28">
        <f t="shared" ca="1" si="147"/>
        <v>5</v>
      </c>
      <c r="BN285" s="236">
        <f t="shared" ca="1" si="148"/>
        <v>0</v>
      </c>
      <c r="BO285" s="236">
        <f t="shared" ca="1" si="143"/>
        <v>0</v>
      </c>
    </row>
    <row r="286" spans="39:67" x14ac:dyDescent="0.25">
      <c r="AO286" s="28">
        <f t="shared" si="127"/>
        <v>24</v>
      </c>
      <c r="AP286" s="28">
        <f t="shared" si="128"/>
        <v>5</v>
      </c>
      <c r="AQ286" s="65">
        <f t="shared" ca="1" si="144"/>
        <v>0</v>
      </c>
      <c r="AR286" s="66">
        <f t="shared" ca="1" si="129"/>
        <v>0</v>
      </c>
      <c r="AS286" s="66">
        <f t="shared" ca="1" si="130"/>
        <v>0</v>
      </c>
      <c r="AT286" s="66">
        <f t="shared" ca="1" si="131"/>
        <v>0</v>
      </c>
      <c r="AU286" s="66">
        <f t="shared" ca="1" si="132"/>
        <v>0</v>
      </c>
      <c r="AV286" s="68">
        <f t="shared" ca="1" si="150"/>
        <v>0</v>
      </c>
      <c r="AW286" s="65">
        <f t="shared" ca="1" si="133"/>
        <v>0</v>
      </c>
      <c r="AX286" s="69">
        <f t="shared" ca="1" si="134"/>
        <v>0</v>
      </c>
      <c r="AY286" s="70">
        <f t="shared" ca="1" si="135"/>
        <v>0</v>
      </c>
      <c r="AZ286" s="66">
        <f t="shared" ca="1" si="136"/>
        <v>0</v>
      </c>
      <c r="BA286" s="66">
        <f t="shared" ca="1" si="137"/>
        <v>0</v>
      </c>
      <c r="BB286" s="66">
        <f t="shared" ca="1" si="138"/>
        <v>0</v>
      </c>
      <c r="BC286" s="66">
        <f t="shared" ca="1" si="139"/>
        <v>0</v>
      </c>
      <c r="BD286" s="66">
        <f t="shared" ca="1" si="140"/>
        <v>0</v>
      </c>
      <c r="BE286" s="71">
        <f t="shared" ca="1" si="146"/>
        <v>0</v>
      </c>
      <c r="BF286" s="65">
        <f t="shared" ca="1" si="141"/>
        <v>0</v>
      </c>
      <c r="BG286" s="69">
        <f t="shared" ca="1" si="142"/>
        <v>0</v>
      </c>
      <c r="BH286" s="301">
        <f t="shared" ca="1" si="145"/>
        <v>0</v>
      </c>
      <c r="BI286" s="300">
        <f ca="1">IF(AO286&gt;TartamVálasztott,0,   (BI285+BH286)*(1+yields!$D$2)*(1-(0.0099/12)))</f>
        <v>0</v>
      </c>
      <c r="BJ286" s="300">
        <f ca="1">SUM(BH$6:BH286)*-1.2</f>
        <v>-862056.26733480149</v>
      </c>
      <c r="BK286" s="300">
        <f t="shared" ca="1" si="151"/>
        <v>-862056.26733480149</v>
      </c>
      <c r="BL286" s="28">
        <f t="shared" ca="1" si="149"/>
        <v>2040</v>
      </c>
      <c r="BM286" s="28">
        <f t="shared" ca="1" si="147"/>
        <v>6</v>
      </c>
      <c r="BN286" s="236">
        <f t="shared" ca="1" si="148"/>
        <v>0</v>
      </c>
      <c r="BO286" s="236">
        <f t="shared" ca="1" si="143"/>
        <v>0</v>
      </c>
    </row>
    <row r="287" spans="39:67" x14ac:dyDescent="0.25">
      <c r="AO287" s="28">
        <f t="shared" si="127"/>
        <v>24</v>
      </c>
      <c r="AP287" s="28">
        <f t="shared" si="128"/>
        <v>6</v>
      </c>
      <c r="AQ287" s="65">
        <f t="shared" ca="1" si="144"/>
        <v>0</v>
      </c>
      <c r="AR287" s="66">
        <f t="shared" ca="1" si="129"/>
        <v>0</v>
      </c>
      <c r="AS287" s="66">
        <f t="shared" ca="1" si="130"/>
        <v>0</v>
      </c>
      <c r="AT287" s="66">
        <f t="shared" ca="1" si="131"/>
        <v>0</v>
      </c>
      <c r="AU287" s="66">
        <f t="shared" ca="1" si="132"/>
        <v>0</v>
      </c>
      <c r="AV287" s="68">
        <f t="shared" ca="1" si="150"/>
        <v>0</v>
      </c>
      <c r="AW287" s="65">
        <f t="shared" ca="1" si="133"/>
        <v>0</v>
      </c>
      <c r="AX287" s="69">
        <f t="shared" ca="1" si="134"/>
        <v>0</v>
      </c>
      <c r="AY287" s="70">
        <f t="shared" ca="1" si="135"/>
        <v>0</v>
      </c>
      <c r="AZ287" s="66">
        <f t="shared" ca="1" si="136"/>
        <v>0</v>
      </c>
      <c r="BA287" s="66">
        <f t="shared" ca="1" si="137"/>
        <v>0</v>
      </c>
      <c r="BB287" s="66">
        <f t="shared" ca="1" si="138"/>
        <v>0</v>
      </c>
      <c r="BC287" s="66">
        <f t="shared" ca="1" si="139"/>
        <v>0</v>
      </c>
      <c r="BD287" s="66">
        <f t="shared" ca="1" si="140"/>
        <v>0</v>
      </c>
      <c r="BE287" s="71">
        <f t="shared" ca="1" si="146"/>
        <v>0</v>
      </c>
      <c r="BF287" s="65">
        <f t="shared" ca="1" si="141"/>
        <v>0</v>
      </c>
      <c r="BG287" s="69">
        <f t="shared" ca="1" si="142"/>
        <v>0</v>
      </c>
      <c r="BH287" s="301">
        <f t="shared" ca="1" si="145"/>
        <v>0</v>
      </c>
      <c r="BI287" s="300">
        <f ca="1">IF(AO287&gt;TartamVálasztott,0,   (BI286+BH287)*(1+yields!$D$2)*(1-(0.0099/12)))</f>
        <v>0</v>
      </c>
      <c r="BJ287" s="300">
        <f ca="1">SUM(BH$6:BH287)*-1.2</f>
        <v>-862056.26733480149</v>
      </c>
      <c r="BK287" s="300">
        <f t="shared" ca="1" si="151"/>
        <v>-862056.26733480149</v>
      </c>
      <c r="BL287" s="28">
        <f t="shared" ca="1" si="149"/>
        <v>2040</v>
      </c>
      <c r="BM287" s="28">
        <f t="shared" ca="1" si="147"/>
        <v>7</v>
      </c>
      <c r="BN287" s="236">
        <f t="shared" ca="1" si="148"/>
        <v>0</v>
      </c>
      <c r="BO287" s="236">
        <f t="shared" ca="1" si="143"/>
        <v>0</v>
      </c>
    </row>
    <row r="288" spans="39:67" x14ac:dyDescent="0.25">
      <c r="AO288" s="28">
        <f t="shared" si="127"/>
        <v>24</v>
      </c>
      <c r="AP288" s="28">
        <f t="shared" si="128"/>
        <v>7</v>
      </c>
      <c r="AQ288" s="65">
        <f t="shared" ca="1" si="144"/>
        <v>0</v>
      </c>
      <c r="AR288" s="66">
        <f t="shared" ca="1" si="129"/>
        <v>0</v>
      </c>
      <c r="AS288" s="66">
        <f t="shared" ca="1" si="130"/>
        <v>0</v>
      </c>
      <c r="AT288" s="66">
        <f t="shared" ca="1" si="131"/>
        <v>0</v>
      </c>
      <c r="AU288" s="66">
        <f t="shared" ca="1" si="132"/>
        <v>0</v>
      </c>
      <c r="AV288" s="68">
        <f t="shared" ca="1" si="150"/>
        <v>0</v>
      </c>
      <c r="AW288" s="65">
        <f t="shared" ca="1" si="133"/>
        <v>0</v>
      </c>
      <c r="AX288" s="69">
        <f t="shared" ca="1" si="134"/>
        <v>0</v>
      </c>
      <c r="AY288" s="70">
        <f t="shared" ca="1" si="135"/>
        <v>0</v>
      </c>
      <c r="AZ288" s="66">
        <f t="shared" ca="1" si="136"/>
        <v>0</v>
      </c>
      <c r="BA288" s="66">
        <f t="shared" ca="1" si="137"/>
        <v>0</v>
      </c>
      <c r="BB288" s="66">
        <f t="shared" ca="1" si="138"/>
        <v>0</v>
      </c>
      <c r="BC288" s="66">
        <f t="shared" ca="1" si="139"/>
        <v>0</v>
      </c>
      <c r="BD288" s="66">
        <f t="shared" ca="1" si="140"/>
        <v>0</v>
      </c>
      <c r="BE288" s="71">
        <f t="shared" ca="1" si="146"/>
        <v>0</v>
      </c>
      <c r="BF288" s="65">
        <f t="shared" ca="1" si="141"/>
        <v>0</v>
      </c>
      <c r="BG288" s="69">
        <f t="shared" ca="1" si="142"/>
        <v>0</v>
      </c>
      <c r="BH288" s="301">
        <f t="shared" ca="1" si="145"/>
        <v>0</v>
      </c>
      <c r="BI288" s="300">
        <f ca="1">IF(AO288&gt;TartamVálasztott,0,   (BI287+BH288)*(1+yields!$D$2)*(1-(0.0099/12)))</f>
        <v>0</v>
      </c>
      <c r="BJ288" s="300">
        <f ca="1">SUM(BH$6:BH288)*-1.2</f>
        <v>-862056.26733480149</v>
      </c>
      <c r="BK288" s="300">
        <f t="shared" ca="1" si="151"/>
        <v>-862056.26733480149</v>
      </c>
      <c r="BL288" s="28">
        <f t="shared" ca="1" si="149"/>
        <v>2040</v>
      </c>
      <c r="BM288" s="28">
        <f t="shared" ca="1" si="147"/>
        <v>8</v>
      </c>
      <c r="BN288" s="236">
        <f t="shared" ca="1" si="148"/>
        <v>0</v>
      </c>
      <c r="BO288" s="236">
        <f t="shared" ca="1" si="143"/>
        <v>0</v>
      </c>
    </row>
    <row r="289" spans="41:67" x14ac:dyDescent="0.25">
      <c r="AO289" s="28">
        <f t="shared" si="127"/>
        <v>24</v>
      </c>
      <c r="AP289" s="28">
        <f t="shared" si="128"/>
        <v>8</v>
      </c>
      <c r="AQ289" s="65">
        <f t="shared" ca="1" si="144"/>
        <v>0</v>
      </c>
      <c r="AR289" s="66">
        <f t="shared" ca="1" si="129"/>
        <v>0</v>
      </c>
      <c r="AS289" s="66">
        <f t="shared" ca="1" si="130"/>
        <v>0</v>
      </c>
      <c r="AT289" s="66">
        <f t="shared" ca="1" si="131"/>
        <v>0</v>
      </c>
      <c r="AU289" s="66">
        <f t="shared" ca="1" si="132"/>
        <v>0</v>
      </c>
      <c r="AV289" s="68">
        <f t="shared" ca="1" si="150"/>
        <v>0</v>
      </c>
      <c r="AW289" s="65">
        <f t="shared" ca="1" si="133"/>
        <v>0</v>
      </c>
      <c r="AX289" s="69">
        <f t="shared" ca="1" si="134"/>
        <v>0</v>
      </c>
      <c r="AY289" s="70">
        <f t="shared" ca="1" si="135"/>
        <v>0</v>
      </c>
      <c r="AZ289" s="66">
        <f t="shared" ca="1" si="136"/>
        <v>0</v>
      </c>
      <c r="BA289" s="66">
        <f t="shared" ca="1" si="137"/>
        <v>0</v>
      </c>
      <c r="BB289" s="66">
        <f t="shared" ca="1" si="138"/>
        <v>0</v>
      </c>
      <c r="BC289" s="66">
        <f t="shared" ca="1" si="139"/>
        <v>0</v>
      </c>
      <c r="BD289" s="66">
        <f t="shared" ca="1" si="140"/>
        <v>0</v>
      </c>
      <c r="BE289" s="71">
        <f t="shared" ca="1" si="146"/>
        <v>0</v>
      </c>
      <c r="BF289" s="65">
        <f t="shared" ca="1" si="141"/>
        <v>0</v>
      </c>
      <c r="BG289" s="69">
        <f t="shared" ca="1" si="142"/>
        <v>0</v>
      </c>
      <c r="BH289" s="301">
        <f t="shared" ca="1" si="145"/>
        <v>0</v>
      </c>
      <c r="BI289" s="300">
        <f ca="1">IF(AO289&gt;TartamVálasztott,0,   (BI288+BH289)*(1+yields!$D$2)*(1-(0.0099/12)))</f>
        <v>0</v>
      </c>
      <c r="BJ289" s="300">
        <f ca="1">SUM(BH$6:BH289)*-1.2</f>
        <v>-862056.26733480149</v>
      </c>
      <c r="BK289" s="300">
        <f t="shared" ca="1" si="151"/>
        <v>-862056.26733480149</v>
      </c>
      <c r="BL289" s="28">
        <f t="shared" ca="1" si="149"/>
        <v>2040</v>
      </c>
      <c r="BM289" s="28">
        <f t="shared" ca="1" si="147"/>
        <v>9</v>
      </c>
      <c r="BN289" s="236">
        <f t="shared" ca="1" si="148"/>
        <v>0</v>
      </c>
      <c r="BO289" s="236">
        <f t="shared" ca="1" si="143"/>
        <v>0</v>
      </c>
    </row>
    <row r="290" spans="41:67" x14ac:dyDescent="0.25">
      <c r="AO290" s="28">
        <f t="shared" si="127"/>
        <v>24</v>
      </c>
      <c r="AP290" s="28">
        <f t="shared" si="128"/>
        <v>9</v>
      </c>
      <c r="AQ290" s="65">
        <f t="shared" ca="1" si="144"/>
        <v>0</v>
      </c>
      <c r="AR290" s="66">
        <f t="shared" ca="1" si="129"/>
        <v>0</v>
      </c>
      <c r="AS290" s="66">
        <f t="shared" ca="1" si="130"/>
        <v>0</v>
      </c>
      <c r="AT290" s="66">
        <f t="shared" ca="1" si="131"/>
        <v>0</v>
      </c>
      <c r="AU290" s="66">
        <f t="shared" ca="1" si="132"/>
        <v>0</v>
      </c>
      <c r="AV290" s="68">
        <f t="shared" ca="1" si="150"/>
        <v>0</v>
      </c>
      <c r="AW290" s="65">
        <f t="shared" ca="1" si="133"/>
        <v>0</v>
      </c>
      <c r="AX290" s="69">
        <f t="shared" ca="1" si="134"/>
        <v>0</v>
      </c>
      <c r="AY290" s="70">
        <f t="shared" ca="1" si="135"/>
        <v>0</v>
      </c>
      <c r="AZ290" s="66">
        <f t="shared" ca="1" si="136"/>
        <v>0</v>
      </c>
      <c r="BA290" s="66">
        <f t="shared" ca="1" si="137"/>
        <v>0</v>
      </c>
      <c r="BB290" s="66">
        <f t="shared" ca="1" si="138"/>
        <v>0</v>
      </c>
      <c r="BC290" s="66">
        <f t="shared" ca="1" si="139"/>
        <v>0</v>
      </c>
      <c r="BD290" s="66">
        <f t="shared" ca="1" si="140"/>
        <v>0</v>
      </c>
      <c r="BE290" s="71">
        <f t="shared" ca="1" si="146"/>
        <v>0</v>
      </c>
      <c r="BF290" s="65">
        <f t="shared" ca="1" si="141"/>
        <v>0</v>
      </c>
      <c r="BG290" s="69">
        <f t="shared" ca="1" si="142"/>
        <v>0</v>
      </c>
      <c r="BH290" s="301">
        <f t="shared" ca="1" si="145"/>
        <v>0</v>
      </c>
      <c r="BI290" s="300">
        <f ca="1">IF(AO290&gt;TartamVálasztott,0,   (BI289+BH290)*(1+yields!$D$2)*(1-(0.0099/12)))</f>
        <v>0</v>
      </c>
      <c r="BJ290" s="300">
        <f ca="1">SUM(BH$6:BH290)*-1.2</f>
        <v>-862056.26733480149</v>
      </c>
      <c r="BK290" s="300">
        <f t="shared" ca="1" si="151"/>
        <v>-862056.26733480149</v>
      </c>
      <c r="BL290" s="28">
        <f t="shared" ca="1" si="149"/>
        <v>2040</v>
      </c>
      <c r="BM290" s="28">
        <f t="shared" ca="1" si="147"/>
        <v>10</v>
      </c>
      <c r="BN290" s="236">
        <f t="shared" ca="1" si="148"/>
        <v>0</v>
      </c>
      <c r="BO290" s="236">
        <f t="shared" ca="1" si="143"/>
        <v>0</v>
      </c>
    </row>
    <row r="291" spans="41:67" x14ac:dyDescent="0.25">
      <c r="AO291" s="28">
        <f t="shared" si="127"/>
        <v>24</v>
      </c>
      <c r="AP291" s="28">
        <f t="shared" si="128"/>
        <v>10</v>
      </c>
      <c r="AQ291" s="65">
        <f t="shared" ca="1" si="144"/>
        <v>0</v>
      </c>
      <c r="AR291" s="66">
        <f t="shared" ca="1" si="129"/>
        <v>0</v>
      </c>
      <c r="AS291" s="66">
        <f t="shared" ca="1" si="130"/>
        <v>0</v>
      </c>
      <c r="AT291" s="66">
        <f t="shared" ca="1" si="131"/>
        <v>0</v>
      </c>
      <c r="AU291" s="66">
        <f t="shared" ca="1" si="132"/>
        <v>0</v>
      </c>
      <c r="AV291" s="68">
        <f t="shared" ca="1" si="150"/>
        <v>0</v>
      </c>
      <c r="AW291" s="65">
        <f t="shared" ca="1" si="133"/>
        <v>0</v>
      </c>
      <c r="AX291" s="69">
        <f t="shared" ca="1" si="134"/>
        <v>0</v>
      </c>
      <c r="AY291" s="70">
        <f t="shared" ca="1" si="135"/>
        <v>0</v>
      </c>
      <c r="AZ291" s="66">
        <f t="shared" ca="1" si="136"/>
        <v>0</v>
      </c>
      <c r="BA291" s="66">
        <f t="shared" ca="1" si="137"/>
        <v>0</v>
      </c>
      <c r="BB291" s="66">
        <f t="shared" ca="1" si="138"/>
        <v>0</v>
      </c>
      <c r="BC291" s="66">
        <f t="shared" ca="1" si="139"/>
        <v>0</v>
      </c>
      <c r="BD291" s="66">
        <f t="shared" ca="1" si="140"/>
        <v>0</v>
      </c>
      <c r="BE291" s="71">
        <f t="shared" ca="1" si="146"/>
        <v>0</v>
      </c>
      <c r="BF291" s="65">
        <f t="shared" ca="1" si="141"/>
        <v>0</v>
      </c>
      <c r="BG291" s="69">
        <f t="shared" ca="1" si="142"/>
        <v>0</v>
      </c>
      <c r="BH291" s="301">
        <f t="shared" ca="1" si="145"/>
        <v>0</v>
      </c>
      <c r="BI291" s="300">
        <f ca="1">IF(AO291&gt;TartamVálasztott,0,   (BI290+BH291)*(1+yields!$D$2)*(1-(0.0099/12)))</f>
        <v>0</v>
      </c>
      <c r="BJ291" s="300">
        <f ca="1">SUM(BH$6:BH291)*-1.2</f>
        <v>-862056.26733480149</v>
      </c>
      <c r="BK291" s="300">
        <f t="shared" ca="1" si="151"/>
        <v>-862056.26733480149</v>
      </c>
      <c r="BL291" s="28">
        <f t="shared" ca="1" si="149"/>
        <v>2040</v>
      </c>
      <c r="BM291" s="28">
        <f t="shared" ca="1" si="147"/>
        <v>11</v>
      </c>
      <c r="BN291" s="236">
        <f t="shared" ca="1" si="148"/>
        <v>0</v>
      </c>
      <c r="BO291" s="236">
        <f t="shared" ca="1" si="143"/>
        <v>0</v>
      </c>
    </row>
    <row r="292" spans="41:67" x14ac:dyDescent="0.25">
      <c r="AO292" s="28">
        <f t="shared" si="127"/>
        <v>24</v>
      </c>
      <c r="AP292" s="28">
        <f t="shared" si="128"/>
        <v>11</v>
      </c>
      <c r="AQ292" s="65">
        <f t="shared" ca="1" si="144"/>
        <v>0</v>
      </c>
      <c r="AR292" s="66">
        <f t="shared" ca="1" si="129"/>
        <v>0</v>
      </c>
      <c r="AS292" s="66">
        <f t="shared" ca="1" si="130"/>
        <v>0</v>
      </c>
      <c r="AT292" s="66">
        <f t="shared" ca="1" si="131"/>
        <v>0</v>
      </c>
      <c r="AU292" s="66">
        <f t="shared" ca="1" si="132"/>
        <v>0</v>
      </c>
      <c r="AV292" s="68">
        <f t="shared" ca="1" si="150"/>
        <v>0</v>
      </c>
      <c r="AW292" s="65">
        <f t="shared" ca="1" si="133"/>
        <v>0</v>
      </c>
      <c r="AX292" s="69">
        <f t="shared" ca="1" si="134"/>
        <v>0</v>
      </c>
      <c r="AY292" s="70">
        <f t="shared" ca="1" si="135"/>
        <v>0</v>
      </c>
      <c r="AZ292" s="66">
        <f t="shared" ca="1" si="136"/>
        <v>0</v>
      </c>
      <c r="BA292" s="66">
        <f t="shared" ca="1" si="137"/>
        <v>0</v>
      </c>
      <c r="BB292" s="66">
        <f t="shared" ca="1" si="138"/>
        <v>0</v>
      </c>
      <c r="BC292" s="66">
        <f t="shared" ca="1" si="139"/>
        <v>0</v>
      </c>
      <c r="BD292" s="66">
        <f t="shared" ca="1" si="140"/>
        <v>0</v>
      </c>
      <c r="BE292" s="71">
        <f t="shared" ca="1" si="146"/>
        <v>0</v>
      </c>
      <c r="BF292" s="65">
        <f t="shared" ca="1" si="141"/>
        <v>0</v>
      </c>
      <c r="BG292" s="69">
        <f t="shared" ca="1" si="142"/>
        <v>0</v>
      </c>
      <c r="BH292" s="301">
        <f t="shared" ca="1" si="145"/>
        <v>0</v>
      </c>
      <c r="BI292" s="300">
        <f ca="1">IF(AO292&gt;TartamVálasztott,0,   (BI291+BH292)*(1+yields!$D$2)*(1-(0.0099/12)))</f>
        <v>0</v>
      </c>
      <c r="BJ292" s="300">
        <f ca="1">SUM(BH$6:BH292)*-1.2</f>
        <v>-862056.26733480149</v>
      </c>
      <c r="BK292" s="300">
        <f t="shared" ca="1" si="151"/>
        <v>-862056.26733480149</v>
      </c>
      <c r="BL292" s="28">
        <f t="shared" ca="1" si="149"/>
        <v>2040</v>
      </c>
      <c r="BM292" s="28">
        <f t="shared" ca="1" si="147"/>
        <v>12</v>
      </c>
      <c r="BN292" s="236">
        <f t="shared" ca="1" si="148"/>
        <v>0</v>
      </c>
      <c r="BO292" s="236">
        <f t="shared" ca="1" si="143"/>
        <v>0</v>
      </c>
    </row>
    <row r="293" spans="41:67" x14ac:dyDescent="0.25">
      <c r="AO293" s="28">
        <f t="shared" si="127"/>
        <v>24</v>
      </c>
      <c r="AP293" s="28">
        <f t="shared" si="128"/>
        <v>12</v>
      </c>
      <c r="AQ293" s="65">
        <f t="shared" ca="1" si="144"/>
        <v>0</v>
      </c>
      <c r="AR293" s="66">
        <f t="shared" ca="1" si="129"/>
        <v>0</v>
      </c>
      <c r="AS293" s="66">
        <f t="shared" ca="1" si="130"/>
        <v>0</v>
      </c>
      <c r="AT293" s="66">
        <f t="shared" ca="1" si="131"/>
        <v>0</v>
      </c>
      <c r="AU293" s="66">
        <f t="shared" ca="1" si="132"/>
        <v>0</v>
      </c>
      <c r="AV293" s="68">
        <f t="shared" ca="1" si="150"/>
        <v>0</v>
      </c>
      <c r="AW293" s="65">
        <f t="shared" ca="1" si="133"/>
        <v>0</v>
      </c>
      <c r="AX293" s="69">
        <f t="shared" ca="1" si="134"/>
        <v>0</v>
      </c>
      <c r="AY293" s="70">
        <f t="shared" ca="1" si="135"/>
        <v>0</v>
      </c>
      <c r="AZ293" s="66">
        <f t="shared" ca="1" si="136"/>
        <v>0</v>
      </c>
      <c r="BA293" s="66">
        <f t="shared" ca="1" si="137"/>
        <v>0</v>
      </c>
      <c r="BB293" s="66">
        <f t="shared" ca="1" si="138"/>
        <v>0</v>
      </c>
      <c r="BC293" s="66">
        <f t="shared" ca="1" si="139"/>
        <v>0</v>
      </c>
      <c r="BD293" s="66">
        <f t="shared" ca="1" si="140"/>
        <v>0</v>
      </c>
      <c r="BE293" s="71">
        <f t="shared" ca="1" si="146"/>
        <v>0</v>
      </c>
      <c r="BF293" s="65">
        <f t="shared" ca="1" si="141"/>
        <v>0</v>
      </c>
      <c r="BG293" s="69">
        <f t="shared" ca="1" si="142"/>
        <v>0</v>
      </c>
      <c r="BH293" s="301">
        <f t="shared" ca="1" si="145"/>
        <v>0</v>
      </c>
      <c r="BI293" s="300">
        <f ca="1">IF(AO293&gt;TartamVálasztott,0,   (BI292+BH293)*(1+yields!$D$2)*(1-(0.0099/12)))</f>
        <v>0</v>
      </c>
      <c r="BJ293" s="300">
        <f ca="1">SUM(BH$6:BH293)*-1.2</f>
        <v>-862056.26733480149</v>
      </c>
      <c r="BK293" s="300">
        <f t="shared" ca="1" si="151"/>
        <v>-862056.26733480149</v>
      </c>
      <c r="BL293" s="28">
        <f t="shared" ca="1" si="149"/>
        <v>2041</v>
      </c>
      <c r="BM293" s="28">
        <f t="shared" ca="1" si="147"/>
        <v>1</v>
      </c>
      <c r="BN293" s="236">
        <f t="shared" ca="1" si="148"/>
        <v>0</v>
      </c>
      <c r="BO293" s="236">
        <f t="shared" ca="1" si="143"/>
        <v>0</v>
      </c>
    </row>
    <row r="294" spans="41:67" x14ac:dyDescent="0.25">
      <c r="AO294" s="28">
        <f t="shared" si="127"/>
        <v>25</v>
      </c>
      <c r="AP294" s="28">
        <f t="shared" si="128"/>
        <v>1</v>
      </c>
      <c r="AQ294" s="65">
        <f t="shared" ca="1" si="144"/>
        <v>0</v>
      </c>
      <c r="AR294" s="66">
        <f t="shared" ca="1" si="129"/>
        <v>0</v>
      </c>
      <c r="AS294" s="66">
        <f t="shared" ca="1" si="130"/>
        <v>0</v>
      </c>
      <c r="AT294" s="66">
        <f t="shared" ca="1" si="131"/>
        <v>0</v>
      </c>
      <c r="AU294" s="66">
        <f t="shared" ca="1" si="132"/>
        <v>0</v>
      </c>
      <c r="AV294" s="68">
        <f t="shared" ca="1" si="150"/>
        <v>0</v>
      </c>
      <c r="AW294" s="65">
        <f t="shared" ca="1" si="133"/>
        <v>0</v>
      </c>
      <c r="AX294" s="69">
        <f t="shared" ca="1" si="134"/>
        <v>0</v>
      </c>
      <c r="AY294" s="70">
        <f t="shared" ca="1" si="135"/>
        <v>0</v>
      </c>
      <c r="AZ294" s="66">
        <f t="shared" ca="1" si="136"/>
        <v>0</v>
      </c>
      <c r="BA294" s="66">
        <f t="shared" ca="1" si="137"/>
        <v>0</v>
      </c>
      <c r="BB294" s="66">
        <f t="shared" ca="1" si="138"/>
        <v>0</v>
      </c>
      <c r="BC294" s="66">
        <f t="shared" ca="1" si="139"/>
        <v>0</v>
      </c>
      <c r="BD294" s="66">
        <f t="shared" ca="1" si="140"/>
        <v>0</v>
      </c>
      <c r="BE294" s="71">
        <f t="shared" ca="1" si="146"/>
        <v>0</v>
      </c>
      <c r="BF294" s="65">
        <f t="shared" ca="1" si="141"/>
        <v>0</v>
      </c>
      <c r="BG294" s="69">
        <f t="shared" ca="1" si="142"/>
        <v>0</v>
      </c>
      <c r="BH294" s="301">
        <f t="shared" ca="1" si="145"/>
        <v>0</v>
      </c>
      <c r="BI294" s="300">
        <f ca="1">IF(AO294&gt;TartamVálasztott,0,   (BI293+BH294)*(1+yields!$D$2)*(1-(0.0099/12)))</f>
        <v>0</v>
      </c>
      <c r="BJ294" s="300">
        <f ca="1">SUM(BH$6:BH294)*-1.2</f>
        <v>-862056.26733480149</v>
      </c>
      <c r="BK294" s="300">
        <f t="shared" ca="1" si="151"/>
        <v>-862056.26733480149</v>
      </c>
      <c r="BL294" s="28">
        <f t="shared" ca="1" si="149"/>
        <v>2041</v>
      </c>
      <c r="BM294" s="28">
        <f t="shared" ca="1" si="147"/>
        <v>2</v>
      </c>
      <c r="BN294" s="236">
        <f t="shared" ca="1" si="148"/>
        <v>0</v>
      </c>
      <c r="BO294" s="236">
        <f t="shared" ca="1" si="143"/>
        <v>0</v>
      </c>
    </row>
    <row r="295" spans="41:67" x14ac:dyDescent="0.25">
      <c r="AO295" s="28">
        <f t="shared" si="127"/>
        <v>25</v>
      </c>
      <c r="AP295" s="28">
        <f t="shared" si="128"/>
        <v>2</v>
      </c>
      <c r="AQ295" s="65">
        <f t="shared" ca="1" si="144"/>
        <v>0</v>
      </c>
      <c r="AR295" s="66">
        <f t="shared" ca="1" si="129"/>
        <v>0</v>
      </c>
      <c r="AS295" s="66">
        <f t="shared" ca="1" si="130"/>
        <v>0</v>
      </c>
      <c r="AT295" s="66">
        <f t="shared" ca="1" si="131"/>
        <v>0</v>
      </c>
      <c r="AU295" s="66">
        <f t="shared" ca="1" si="132"/>
        <v>0</v>
      </c>
      <c r="AV295" s="68">
        <f t="shared" ca="1" si="150"/>
        <v>0</v>
      </c>
      <c r="AW295" s="65">
        <f t="shared" ca="1" si="133"/>
        <v>0</v>
      </c>
      <c r="AX295" s="69">
        <f t="shared" ca="1" si="134"/>
        <v>0</v>
      </c>
      <c r="AY295" s="70">
        <f t="shared" ca="1" si="135"/>
        <v>0</v>
      </c>
      <c r="AZ295" s="66">
        <f t="shared" ca="1" si="136"/>
        <v>0</v>
      </c>
      <c r="BA295" s="66">
        <f t="shared" ca="1" si="137"/>
        <v>0</v>
      </c>
      <c r="BB295" s="66">
        <f t="shared" ca="1" si="138"/>
        <v>0</v>
      </c>
      <c r="BC295" s="66">
        <f t="shared" ca="1" si="139"/>
        <v>0</v>
      </c>
      <c r="BD295" s="66">
        <f t="shared" ca="1" si="140"/>
        <v>0</v>
      </c>
      <c r="BE295" s="71">
        <f t="shared" ca="1" si="146"/>
        <v>0</v>
      </c>
      <c r="BF295" s="65">
        <f t="shared" ca="1" si="141"/>
        <v>0</v>
      </c>
      <c r="BG295" s="69">
        <f t="shared" ca="1" si="142"/>
        <v>0</v>
      </c>
      <c r="BH295" s="301">
        <f t="shared" ca="1" si="145"/>
        <v>0</v>
      </c>
      <c r="BI295" s="300">
        <f ca="1">IF(AO295&gt;TartamVálasztott,0,   (BI294+BH295)*(1+yields!$D$2)*(1-(0.0099/12)))</f>
        <v>0</v>
      </c>
      <c r="BJ295" s="300">
        <f ca="1">SUM(BH$6:BH295)*-1.2</f>
        <v>-862056.26733480149</v>
      </c>
      <c r="BK295" s="300">
        <f t="shared" ca="1" si="151"/>
        <v>-862056.26733480149</v>
      </c>
      <c r="BL295" s="28">
        <f t="shared" ca="1" si="149"/>
        <v>2041</v>
      </c>
      <c r="BM295" s="28">
        <f t="shared" ca="1" si="147"/>
        <v>3</v>
      </c>
      <c r="BN295" s="236">
        <f t="shared" ca="1" si="148"/>
        <v>0</v>
      </c>
      <c r="BO295" s="236">
        <f t="shared" ca="1" si="143"/>
        <v>0</v>
      </c>
    </row>
    <row r="296" spans="41:67" x14ac:dyDescent="0.25">
      <c r="AO296" s="28">
        <f t="shared" si="127"/>
        <v>25</v>
      </c>
      <c r="AP296" s="28">
        <f t="shared" si="128"/>
        <v>3</v>
      </c>
      <c r="AQ296" s="65">
        <f t="shared" ca="1" si="144"/>
        <v>0</v>
      </c>
      <c r="AR296" s="66">
        <f t="shared" ca="1" si="129"/>
        <v>0</v>
      </c>
      <c r="AS296" s="66">
        <f t="shared" ca="1" si="130"/>
        <v>0</v>
      </c>
      <c r="AT296" s="66">
        <f t="shared" ca="1" si="131"/>
        <v>0</v>
      </c>
      <c r="AU296" s="66">
        <f t="shared" ca="1" si="132"/>
        <v>0</v>
      </c>
      <c r="AV296" s="68">
        <f t="shared" ca="1" si="150"/>
        <v>0</v>
      </c>
      <c r="AW296" s="65">
        <f t="shared" ca="1" si="133"/>
        <v>0</v>
      </c>
      <c r="AX296" s="69">
        <f t="shared" ca="1" si="134"/>
        <v>0</v>
      </c>
      <c r="AY296" s="70">
        <f t="shared" ca="1" si="135"/>
        <v>0</v>
      </c>
      <c r="AZ296" s="66">
        <f t="shared" ca="1" si="136"/>
        <v>0</v>
      </c>
      <c r="BA296" s="66">
        <f t="shared" ca="1" si="137"/>
        <v>0</v>
      </c>
      <c r="BB296" s="66">
        <f t="shared" ca="1" si="138"/>
        <v>0</v>
      </c>
      <c r="BC296" s="66">
        <f t="shared" ca="1" si="139"/>
        <v>0</v>
      </c>
      <c r="BD296" s="66">
        <f t="shared" ca="1" si="140"/>
        <v>0</v>
      </c>
      <c r="BE296" s="71">
        <f t="shared" ca="1" si="146"/>
        <v>0</v>
      </c>
      <c r="BF296" s="65">
        <f t="shared" ca="1" si="141"/>
        <v>0</v>
      </c>
      <c r="BG296" s="69">
        <f t="shared" ca="1" si="142"/>
        <v>0</v>
      </c>
      <c r="BH296" s="301">
        <f t="shared" ca="1" si="145"/>
        <v>0</v>
      </c>
      <c r="BI296" s="300">
        <f ca="1">IF(AO296&gt;TartamVálasztott,0,   (BI295+BH296)*(1+yields!$D$2)*(1-(0.0099/12)))</f>
        <v>0</v>
      </c>
      <c r="BJ296" s="300">
        <f ca="1">SUM(BH$6:BH296)*-1.2</f>
        <v>-862056.26733480149</v>
      </c>
      <c r="BK296" s="300">
        <f t="shared" ca="1" si="151"/>
        <v>-862056.26733480149</v>
      </c>
      <c r="BL296" s="28">
        <f t="shared" ca="1" si="149"/>
        <v>2041</v>
      </c>
      <c r="BM296" s="28">
        <f t="shared" ca="1" si="147"/>
        <v>4</v>
      </c>
      <c r="BN296" s="236">
        <f t="shared" ca="1" si="148"/>
        <v>0</v>
      </c>
      <c r="BO296" s="236">
        <f t="shared" ca="1" si="143"/>
        <v>0</v>
      </c>
    </row>
    <row r="297" spans="41:67" x14ac:dyDescent="0.25">
      <c r="AO297" s="28">
        <f t="shared" si="127"/>
        <v>25</v>
      </c>
      <c r="AP297" s="28">
        <f t="shared" si="128"/>
        <v>4</v>
      </c>
      <c r="AQ297" s="65">
        <f t="shared" ca="1" si="144"/>
        <v>0</v>
      </c>
      <c r="AR297" s="66">
        <f t="shared" ca="1" si="129"/>
        <v>0</v>
      </c>
      <c r="AS297" s="66">
        <f t="shared" ca="1" si="130"/>
        <v>0</v>
      </c>
      <c r="AT297" s="66">
        <f t="shared" ca="1" si="131"/>
        <v>0</v>
      </c>
      <c r="AU297" s="66">
        <f t="shared" ca="1" si="132"/>
        <v>0</v>
      </c>
      <c r="AV297" s="68">
        <f t="shared" ca="1" si="150"/>
        <v>0</v>
      </c>
      <c r="AW297" s="65">
        <f t="shared" ca="1" si="133"/>
        <v>0</v>
      </c>
      <c r="AX297" s="69">
        <f t="shared" ca="1" si="134"/>
        <v>0</v>
      </c>
      <c r="AY297" s="70">
        <f t="shared" ca="1" si="135"/>
        <v>0</v>
      </c>
      <c r="AZ297" s="66">
        <f t="shared" ca="1" si="136"/>
        <v>0</v>
      </c>
      <c r="BA297" s="66">
        <f t="shared" ca="1" si="137"/>
        <v>0</v>
      </c>
      <c r="BB297" s="66">
        <f t="shared" ca="1" si="138"/>
        <v>0</v>
      </c>
      <c r="BC297" s="66">
        <f t="shared" ca="1" si="139"/>
        <v>0</v>
      </c>
      <c r="BD297" s="66">
        <f t="shared" ca="1" si="140"/>
        <v>0</v>
      </c>
      <c r="BE297" s="71">
        <f t="shared" ca="1" si="146"/>
        <v>0</v>
      </c>
      <c r="BF297" s="65">
        <f t="shared" ca="1" si="141"/>
        <v>0</v>
      </c>
      <c r="BG297" s="69">
        <f t="shared" ca="1" si="142"/>
        <v>0</v>
      </c>
      <c r="BH297" s="301">
        <f t="shared" ca="1" si="145"/>
        <v>0</v>
      </c>
      <c r="BI297" s="300">
        <f ca="1">IF(AO297&gt;TartamVálasztott,0,   (BI296+BH297)*(1+yields!$D$2)*(1-(0.0099/12)))</f>
        <v>0</v>
      </c>
      <c r="BJ297" s="300">
        <f ca="1">SUM(BH$6:BH297)*-1.2</f>
        <v>-862056.26733480149</v>
      </c>
      <c r="BK297" s="300">
        <f t="shared" ca="1" si="151"/>
        <v>-862056.26733480149</v>
      </c>
      <c r="BL297" s="28">
        <f t="shared" ca="1" si="149"/>
        <v>2041</v>
      </c>
      <c r="BM297" s="28">
        <f t="shared" ca="1" si="147"/>
        <v>5</v>
      </c>
      <c r="BN297" s="236">
        <f t="shared" ca="1" si="148"/>
        <v>0</v>
      </c>
      <c r="BO297" s="236">
        <f t="shared" ca="1" si="143"/>
        <v>0</v>
      </c>
    </row>
    <row r="298" spans="41:67" x14ac:dyDescent="0.25">
      <c r="AO298" s="28">
        <f t="shared" si="127"/>
        <v>25</v>
      </c>
      <c r="AP298" s="28">
        <f t="shared" si="128"/>
        <v>5</v>
      </c>
      <c r="AQ298" s="65">
        <f t="shared" ca="1" si="144"/>
        <v>0</v>
      </c>
      <c r="AR298" s="66">
        <f t="shared" ca="1" si="129"/>
        <v>0</v>
      </c>
      <c r="AS298" s="66">
        <f t="shared" ca="1" si="130"/>
        <v>0</v>
      </c>
      <c r="AT298" s="66">
        <f t="shared" ca="1" si="131"/>
        <v>0</v>
      </c>
      <c r="AU298" s="66">
        <f t="shared" ca="1" si="132"/>
        <v>0</v>
      </c>
      <c r="AV298" s="68">
        <f t="shared" ca="1" si="150"/>
        <v>0</v>
      </c>
      <c r="AW298" s="65">
        <f t="shared" ca="1" si="133"/>
        <v>0</v>
      </c>
      <c r="AX298" s="69">
        <f t="shared" ca="1" si="134"/>
        <v>0</v>
      </c>
      <c r="AY298" s="70">
        <f t="shared" ca="1" si="135"/>
        <v>0</v>
      </c>
      <c r="AZ298" s="66">
        <f t="shared" ca="1" si="136"/>
        <v>0</v>
      </c>
      <c r="BA298" s="66">
        <f t="shared" ca="1" si="137"/>
        <v>0</v>
      </c>
      <c r="BB298" s="66">
        <f t="shared" ca="1" si="138"/>
        <v>0</v>
      </c>
      <c r="BC298" s="66">
        <f t="shared" ca="1" si="139"/>
        <v>0</v>
      </c>
      <c r="BD298" s="66">
        <f t="shared" ca="1" si="140"/>
        <v>0</v>
      </c>
      <c r="BE298" s="71">
        <f t="shared" ca="1" si="146"/>
        <v>0</v>
      </c>
      <c r="BF298" s="65">
        <f t="shared" ca="1" si="141"/>
        <v>0</v>
      </c>
      <c r="BG298" s="69">
        <f t="shared" ca="1" si="142"/>
        <v>0</v>
      </c>
      <c r="BH298" s="301">
        <f t="shared" ca="1" si="145"/>
        <v>0</v>
      </c>
      <c r="BI298" s="300">
        <f ca="1">IF(AO298&gt;TartamVálasztott,0,   (BI297+BH298)*(1+yields!$D$2)*(1-(0.0099/12)))</f>
        <v>0</v>
      </c>
      <c r="BJ298" s="300">
        <f ca="1">SUM(BH$6:BH298)*-1.2</f>
        <v>-862056.26733480149</v>
      </c>
      <c r="BK298" s="300">
        <f t="shared" ca="1" si="151"/>
        <v>-862056.26733480149</v>
      </c>
      <c r="BL298" s="28">
        <f t="shared" ca="1" si="149"/>
        <v>2041</v>
      </c>
      <c r="BM298" s="28">
        <f t="shared" ca="1" si="147"/>
        <v>6</v>
      </c>
      <c r="BN298" s="236">
        <f t="shared" ca="1" si="148"/>
        <v>0</v>
      </c>
      <c r="BO298" s="236">
        <f t="shared" ca="1" si="143"/>
        <v>0</v>
      </c>
    </row>
    <row r="299" spans="41:67" x14ac:dyDescent="0.25">
      <c r="AO299" s="28">
        <f t="shared" si="127"/>
        <v>25</v>
      </c>
      <c r="AP299" s="28">
        <f t="shared" si="128"/>
        <v>6</v>
      </c>
      <c r="AQ299" s="65">
        <f t="shared" ca="1" si="144"/>
        <v>0</v>
      </c>
      <c r="AR299" s="66">
        <f t="shared" ca="1" si="129"/>
        <v>0</v>
      </c>
      <c r="AS299" s="66">
        <f t="shared" ca="1" si="130"/>
        <v>0</v>
      </c>
      <c r="AT299" s="66">
        <f t="shared" ca="1" si="131"/>
        <v>0</v>
      </c>
      <c r="AU299" s="66">
        <f t="shared" ca="1" si="132"/>
        <v>0</v>
      </c>
      <c r="AV299" s="68">
        <f t="shared" ca="1" si="150"/>
        <v>0</v>
      </c>
      <c r="AW299" s="65">
        <f t="shared" ca="1" si="133"/>
        <v>0</v>
      </c>
      <c r="AX299" s="69">
        <f t="shared" ca="1" si="134"/>
        <v>0</v>
      </c>
      <c r="AY299" s="70">
        <f t="shared" ca="1" si="135"/>
        <v>0</v>
      </c>
      <c r="AZ299" s="66">
        <f t="shared" ca="1" si="136"/>
        <v>0</v>
      </c>
      <c r="BA299" s="66">
        <f t="shared" ca="1" si="137"/>
        <v>0</v>
      </c>
      <c r="BB299" s="66">
        <f t="shared" ca="1" si="138"/>
        <v>0</v>
      </c>
      <c r="BC299" s="66">
        <f t="shared" ca="1" si="139"/>
        <v>0</v>
      </c>
      <c r="BD299" s="66">
        <f t="shared" ca="1" si="140"/>
        <v>0</v>
      </c>
      <c r="BE299" s="71">
        <f t="shared" ca="1" si="146"/>
        <v>0</v>
      </c>
      <c r="BF299" s="65">
        <f t="shared" ca="1" si="141"/>
        <v>0</v>
      </c>
      <c r="BG299" s="69">
        <f t="shared" ca="1" si="142"/>
        <v>0</v>
      </c>
      <c r="BH299" s="301">
        <f t="shared" ca="1" si="145"/>
        <v>0</v>
      </c>
      <c r="BI299" s="300">
        <f ca="1">IF(AO299&gt;TartamVálasztott,0,   (BI298+BH299)*(1+yields!$D$2)*(1-(0.0099/12)))</f>
        <v>0</v>
      </c>
      <c r="BJ299" s="300">
        <f ca="1">SUM(BH$6:BH299)*-1.2</f>
        <v>-862056.26733480149</v>
      </c>
      <c r="BK299" s="300">
        <f t="shared" ca="1" si="151"/>
        <v>-862056.26733480149</v>
      </c>
      <c r="BL299" s="28">
        <f t="shared" ca="1" si="149"/>
        <v>2041</v>
      </c>
      <c r="BM299" s="28">
        <f t="shared" ca="1" si="147"/>
        <v>7</v>
      </c>
      <c r="BN299" s="236">
        <f t="shared" ca="1" si="148"/>
        <v>0</v>
      </c>
      <c r="BO299" s="236">
        <f t="shared" ca="1" si="143"/>
        <v>0</v>
      </c>
    </row>
    <row r="300" spans="41:67" x14ac:dyDescent="0.25">
      <c r="AO300" s="28">
        <f t="shared" si="127"/>
        <v>25</v>
      </c>
      <c r="AP300" s="28">
        <f t="shared" si="128"/>
        <v>7</v>
      </c>
      <c r="AQ300" s="65">
        <f t="shared" ca="1" si="144"/>
        <v>0</v>
      </c>
      <c r="AR300" s="66">
        <f t="shared" ca="1" si="129"/>
        <v>0</v>
      </c>
      <c r="AS300" s="66">
        <f t="shared" ca="1" si="130"/>
        <v>0</v>
      </c>
      <c r="AT300" s="66">
        <f t="shared" ca="1" si="131"/>
        <v>0</v>
      </c>
      <c r="AU300" s="66">
        <f t="shared" ca="1" si="132"/>
        <v>0</v>
      </c>
      <c r="AV300" s="68">
        <f t="shared" ca="1" si="150"/>
        <v>0</v>
      </c>
      <c r="AW300" s="65">
        <f t="shared" ca="1" si="133"/>
        <v>0</v>
      </c>
      <c r="AX300" s="69">
        <f t="shared" ca="1" si="134"/>
        <v>0</v>
      </c>
      <c r="AY300" s="70">
        <f t="shared" ca="1" si="135"/>
        <v>0</v>
      </c>
      <c r="AZ300" s="66">
        <f t="shared" ca="1" si="136"/>
        <v>0</v>
      </c>
      <c r="BA300" s="66">
        <f t="shared" ca="1" si="137"/>
        <v>0</v>
      </c>
      <c r="BB300" s="66">
        <f t="shared" ca="1" si="138"/>
        <v>0</v>
      </c>
      <c r="BC300" s="66">
        <f t="shared" ca="1" si="139"/>
        <v>0</v>
      </c>
      <c r="BD300" s="66">
        <f t="shared" ca="1" si="140"/>
        <v>0</v>
      </c>
      <c r="BE300" s="71">
        <f t="shared" ca="1" si="146"/>
        <v>0</v>
      </c>
      <c r="BF300" s="65">
        <f t="shared" ca="1" si="141"/>
        <v>0</v>
      </c>
      <c r="BG300" s="69">
        <f t="shared" ca="1" si="142"/>
        <v>0</v>
      </c>
      <c r="BH300" s="301">
        <f t="shared" ca="1" si="145"/>
        <v>0</v>
      </c>
      <c r="BI300" s="300">
        <f ca="1">IF(AO300&gt;TartamVálasztott,0,   (BI299+BH300)*(1+yields!$D$2)*(1-(0.0099/12)))</f>
        <v>0</v>
      </c>
      <c r="BJ300" s="300">
        <f ca="1">SUM(BH$6:BH300)*-1.2</f>
        <v>-862056.26733480149</v>
      </c>
      <c r="BK300" s="300">
        <f t="shared" ca="1" si="151"/>
        <v>-862056.26733480149</v>
      </c>
      <c r="BL300" s="28">
        <f t="shared" ca="1" si="149"/>
        <v>2041</v>
      </c>
      <c r="BM300" s="28">
        <f t="shared" ca="1" si="147"/>
        <v>8</v>
      </c>
      <c r="BN300" s="236">
        <f t="shared" ca="1" si="148"/>
        <v>0</v>
      </c>
      <c r="BO300" s="236">
        <f t="shared" ca="1" si="143"/>
        <v>0</v>
      </c>
    </row>
    <row r="301" spans="41:67" x14ac:dyDescent="0.25">
      <c r="AO301" s="28">
        <f t="shared" si="127"/>
        <v>25</v>
      </c>
      <c r="AP301" s="28">
        <f t="shared" si="128"/>
        <v>8</v>
      </c>
      <c r="AQ301" s="65">
        <f t="shared" ca="1" si="144"/>
        <v>0</v>
      </c>
      <c r="AR301" s="66">
        <f t="shared" ca="1" si="129"/>
        <v>0</v>
      </c>
      <c r="AS301" s="66">
        <f t="shared" ca="1" si="130"/>
        <v>0</v>
      </c>
      <c r="AT301" s="66">
        <f t="shared" ca="1" si="131"/>
        <v>0</v>
      </c>
      <c r="AU301" s="66">
        <f t="shared" ca="1" si="132"/>
        <v>0</v>
      </c>
      <c r="AV301" s="68">
        <f t="shared" ca="1" si="150"/>
        <v>0</v>
      </c>
      <c r="AW301" s="65">
        <f t="shared" ca="1" si="133"/>
        <v>0</v>
      </c>
      <c r="AX301" s="69">
        <f t="shared" ca="1" si="134"/>
        <v>0</v>
      </c>
      <c r="AY301" s="70">
        <f t="shared" ca="1" si="135"/>
        <v>0</v>
      </c>
      <c r="AZ301" s="66">
        <f t="shared" ca="1" si="136"/>
        <v>0</v>
      </c>
      <c r="BA301" s="66">
        <f t="shared" ca="1" si="137"/>
        <v>0</v>
      </c>
      <c r="BB301" s="66">
        <f t="shared" ca="1" si="138"/>
        <v>0</v>
      </c>
      <c r="BC301" s="66">
        <f t="shared" ca="1" si="139"/>
        <v>0</v>
      </c>
      <c r="BD301" s="66">
        <f t="shared" ca="1" si="140"/>
        <v>0</v>
      </c>
      <c r="BE301" s="71">
        <f t="shared" ca="1" si="146"/>
        <v>0</v>
      </c>
      <c r="BF301" s="65">
        <f t="shared" ca="1" si="141"/>
        <v>0</v>
      </c>
      <c r="BG301" s="69">
        <f t="shared" ca="1" si="142"/>
        <v>0</v>
      </c>
      <c r="BH301" s="301">
        <f t="shared" ca="1" si="145"/>
        <v>0</v>
      </c>
      <c r="BI301" s="300">
        <f ca="1">IF(AO301&gt;TartamVálasztott,0,   (BI300+BH301)*(1+yields!$D$2)*(1-(0.0099/12)))</f>
        <v>0</v>
      </c>
      <c r="BJ301" s="300">
        <f ca="1">SUM(BH$6:BH301)*-1.2</f>
        <v>-862056.26733480149</v>
      </c>
      <c r="BK301" s="300">
        <f t="shared" ca="1" si="151"/>
        <v>-862056.26733480149</v>
      </c>
      <c r="BL301" s="28">
        <f t="shared" ca="1" si="149"/>
        <v>2041</v>
      </c>
      <c r="BM301" s="28">
        <f t="shared" ca="1" si="147"/>
        <v>9</v>
      </c>
      <c r="BN301" s="236">
        <f t="shared" ca="1" si="148"/>
        <v>0</v>
      </c>
      <c r="BO301" s="236">
        <f t="shared" ca="1" si="143"/>
        <v>0</v>
      </c>
    </row>
    <row r="302" spans="41:67" x14ac:dyDescent="0.25">
      <c r="AO302" s="28">
        <f t="shared" si="127"/>
        <v>25</v>
      </c>
      <c r="AP302" s="28">
        <f t="shared" si="128"/>
        <v>9</v>
      </c>
      <c r="AQ302" s="65">
        <f t="shared" ca="1" si="144"/>
        <v>0</v>
      </c>
      <c r="AR302" s="66">
        <f t="shared" ca="1" si="129"/>
        <v>0</v>
      </c>
      <c r="AS302" s="66">
        <f t="shared" ca="1" si="130"/>
        <v>0</v>
      </c>
      <c r="AT302" s="66">
        <f t="shared" ca="1" si="131"/>
        <v>0</v>
      </c>
      <c r="AU302" s="66">
        <f t="shared" ca="1" si="132"/>
        <v>0</v>
      </c>
      <c r="AV302" s="68">
        <f t="shared" ca="1" si="150"/>
        <v>0</v>
      </c>
      <c r="AW302" s="65">
        <f t="shared" ca="1" si="133"/>
        <v>0</v>
      </c>
      <c r="AX302" s="69">
        <f t="shared" ca="1" si="134"/>
        <v>0</v>
      </c>
      <c r="AY302" s="70">
        <f t="shared" ca="1" si="135"/>
        <v>0</v>
      </c>
      <c r="AZ302" s="66">
        <f t="shared" ca="1" si="136"/>
        <v>0</v>
      </c>
      <c r="BA302" s="66">
        <f t="shared" ca="1" si="137"/>
        <v>0</v>
      </c>
      <c r="BB302" s="66">
        <f t="shared" ca="1" si="138"/>
        <v>0</v>
      </c>
      <c r="BC302" s="66">
        <f t="shared" ca="1" si="139"/>
        <v>0</v>
      </c>
      <c r="BD302" s="66">
        <f t="shared" ca="1" si="140"/>
        <v>0</v>
      </c>
      <c r="BE302" s="71">
        <f t="shared" ca="1" si="146"/>
        <v>0</v>
      </c>
      <c r="BF302" s="65">
        <f t="shared" ca="1" si="141"/>
        <v>0</v>
      </c>
      <c r="BG302" s="69">
        <f t="shared" ca="1" si="142"/>
        <v>0</v>
      </c>
      <c r="BH302" s="301">
        <f t="shared" ca="1" si="145"/>
        <v>0</v>
      </c>
      <c r="BI302" s="300">
        <f ca="1">IF(AO302&gt;TartamVálasztott,0,   (BI301+BH302)*(1+yields!$D$2)*(1-(0.0099/12)))</f>
        <v>0</v>
      </c>
      <c r="BJ302" s="300">
        <f ca="1">SUM(BH$6:BH302)*-1.2</f>
        <v>-862056.26733480149</v>
      </c>
      <c r="BK302" s="300">
        <f t="shared" ca="1" si="151"/>
        <v>-862056.26733480149</v>
      </c>
      <c r="BL302" s="28">
        <f t="shared" ca="1" si="149"/>
        <v>2041</v>
      </c>
      <c r="BM302" s="28">
        <f t="shared" ca="1" si="147"/>
        <v>10</v>
      </c>
      <c r="BN302" s="236">
        <f t="shared" ca="1" si="148"/>
        <v>0</v>
      </c>
      <c r="BO302" s="236">
        <f t="shared" ca="1" si="143"/>
        <v>0</v>
      </c>
    </row>
    <row r="303" spans="41:67" x14ac:dyDescent="0.25">
      <c r="AO303" s="28">
        <f t="shared" si="127"/>
        <v>25</v>
      </c>
      <c r="AP303" s="28">
        <f t="shared" si="128"/>
        <v>10</v>
      </c>
      <c r="AQ303" s="65">
        <f t="shared" ca="1" si="144"/>
        <v>0</v>
      </c>
      <c r="AR303" s="66">
        <f t="shared" ca="1" si="129"/>
        <v>0</v>
      </c>
      <c r="AS303" s="66">
        <f t="shared" ca="1" si="130"/>
        <v>0</v>
      </c>
      <c r="AT303" s="66">
        <f t="shared" ca="1" si="131"/>
        <v>0</v>
      </c>
      <c r="AU303" s="66">
        <f t="shared" ca="1" si="132"/>
        <v>0</v>
      </c>
      <c r="AV303" s="68">
        <f t="shared" ca="1" si="150"/>
        <v>0</v>
      </c>
      <c r="AW303" s="65">
        <f t="shared" ca="1" si="133"/>
        <v>0</v>
      </c>
      <c r="AX303" s="69">
        <f t="shared" ca="1" si="134"/>
        <v>0</v>
      </c>
      <c r="AY303" s="70">
        <f t="shared" ca="1" si="135"/>
        <v>0</v>
      </c>
      <c r="AZ303" s="66">
        <f t="shared" ca="1" si="136"/>
        <v>0</v>
      </c>
      <c r="BA303" s="66">
        <f t="shared" ca="1" si="137"/>
        <v>0</v>
      </c>
      <c r="BB303" s="66">
        <f t="shared" ca="1" si="138"/>
        <v>0</v>
      </c>
      <c r="BC303" s="66">
        <f t="shared" ca="1" si="139"/>
        <v>0</v>
      </c>
      <c r="BD303" s="66">
        <f t="shared" ca="1" si="140"/>
        <v>0</v>
      </c>
      <c r="BE303" s="71">
        <f t="shared" ca="1" si="146"/>
        <v>0</v>
      </c>
      <c r="BF303" s="65">
        <f t="shared" ca="1" si="141"/>
        <v>0</v>
      </c>
      <c r="BG303" s="69">
        <f t="shared" ca="1" si="142"/>
        <v>0</v>
      </c>
      <c r="BH303" s="301">
        <f t="shared" ca="1" si="145"/>
        <v>0</v>
      </c>
      <c r="BI303" s="300">
        <f ca="1">IF(AO303&gt;TartamVálasztott,0,   (BI302+BH303)*(1+yields!$D$2)*(1-(0.0099/12)))</f>
        <v>0</v>
      </c>
      <c r="BJ303" s="300">
        <f ca="1">SUM(BH$6:BH303)*-1.2</f>
        <v>-862056.26733480149</v>
      </c>
      <c r="BK303" s="300">
        <f t="shared" ca="1" si="151"/>
        <v>-862056.26733480149</v>
      </c>
      <c r="BL303" s="28">
        <f t="shared" ca="1" si="149"/>
        <v>2041</v>
      </c>
      <c r="BM303" s="28">
        <f t="shared" ca="1" si="147"/>
        <v>11</v>
      </c>
      <c r="BN303" s="236">
        <f t="shared" ca="1" si="148"/>
        <v>0</v>
      </c>
      <c r="BO303" s="236">
        <f t="shared" ca="1" si="143"/>
        <v>0</v>
      </c>
    </row>
    <row r="304" spans="41:67" x14ac:dyDescent="0.25">
      <c r="AO304" s="28">
        <f t="shared" si="127"/>
        <v>25</v>
      </c>
      <c r="AP304" s="28">
        <f t="shared" si="128"/>
        <v>11</v>
      </c>
      <c r="AQ304" s="65">
        <f t="shared" ca="1" si="144"/>
        <v>0</v>
      </c>
      <c r="AR304" s="66">
        <f t="shared" ca="1" si="129"/>
        <v>0</v>
      </c>
      <c r="AS304" s="66">
        <f t="shared" ca="1" si="130"/>
        <v>0</v>
      </c>
      <c r="AT304" s="66">
        <f t="shared" ca="1" si="131"/>
        <v>0</v>
      </c>
      <c r="AU304" s="66">
        <f t="shared" ca="1" si="132"/>
        <v>0</v>
      </c>
      <c r="AV304" s="68">
        <f t="shared" ca="1" si="150"/>
        <v>0</v>
      </c>
      <c r="AW304" s="65">
        <f t="shared" ca="1" si="133"/>
        <v>0</v>
      </c>
      <c r="AX304" s="69">
        <f t="shared" ca="1" si="134"/>
        <v>0</v>
      </c>
      <c r="AY304" s="70">
        <f t="shared" ca="1" si="135"/>
        <v>0</v>
      </c>
      <c r="AZ304" s="66">
        <f t="shared" ca="1" si="136"/>
        <v>0</v>
      </c>
      <c r="BA304" s="66">
        <f t="shared" ca="1" si="137"/>
        <v>0</v>
      </c>
      <c r="BB304" s="66">
        <f t="shared" ca="1" si="138"/>
        <v>0</v>
      </c>
      <c r="BC304" s="66">
        <f t="shared" ca="1" si="139"/>
        <v>0</v>
      </c>
      <c r="BD304" s="66">
        <f t="shared" ca="1" si="140"/>
        <v>0</v>
      </c>
      <c r="BE304" s="71">
        <f t="shared" ca="1" si="146"/>
        <v>0</v>
      </c>
      <c r="BF304" s="65">
        <f t="shared" ca="1" si="141"/>
        <v>0</v>
      </c>
      <c r="BG304" s="69">
        <f t="shared" ca="1" si="142"/>
        <v>0</v>
      </c>
      <c r="BH304" s="301">
        <f t="shared" ca="1" si="145"/>
        <v>0</v>
      </c>
      <c r="BI304" s="300">
        <f ca="1">IF(AO304&gt;TartamVálasztott,0,   (BI303+BH304)*(1+yields!$D$2)*(1-(0.0099/12)))</f>
        <v>0</v>
      </c>
      <c r="BJ304" s="300">
        <f ca="1">SUM(BH$6:BH304)*-1.2</f>
        <v>-862056.26733480149</v>
      </c>
      <c r="BK304" s="300">
        <f t="shared" ca="1" si="151"/>
        <v>-862056.26733480149</v>
      </c>
      <c r="BL304" s="28">
        <f t="shared" ca="1" si="149"/>
        <v>2041</v>
      </c>
      <c r="BM304" s="28">
        <f t="shared" ca="1" si="147"/>
        <v>12</v>
      </c>
      <c r="BN304" s="236">
        <f t="shared" ca="1" si="148"/>
        <v>0</v>
      </c>
      <c r="BO304" s="236">
        <f t="shared" ca="1" si="143"/>
        <v>0</v>
      </c>
    </row>
    <row r="305" spans="41:67" x14ac:dyDescent="0.25">
      <c r="AO305" s="28">
        <f t="shared" si="127"/>
        <v>25</v>
      </c>
      <c r="AP305" s="28">
        <f t="shared" si="128"/>
        <v>12</v>
      </c>
      <c r="AQ305" s="65">
        <f t="shared" ca="1" si="144"/>
        <v>0</v>
      </c>
      <c r="AR305" s="66">
        <f t="shared" ca="1" si="129"/>
        <v>0</v>
      </c>
      <c r="AS305" s="66">
        <f t="shared" ca="1" si="130"/>
        <v>0</v>
      </c>
      <c r="AT305" s="66">
        <f t="shared" ca="1" si="131"/>
        <v>0</v>
      </c>
      <c r="AU305" s="66">
        <f t="shared" ca="1" si="132"/>
        <v>0</v>
      </c>
      <c r="AV305" s="68">
        <f t="shared" ca="1" si="150"/>
        <v>0</v>
      </c>
      <c r="AW305" s="65">
        <f t="shared" ca="1" si="133"/>
        <v>0</v>
      </c>
      <c r="AX305" s="69">
        <f t="shared" ca="1" si="134"/>
        <v>0</v>
      </c>
      <c r="AY305" s="70">
        <f t="shared" ca="1" si="135"/>
        <v>0</v>
      </c>
      <c r="AZ305" s="66">
        <f t="shared" ca="1" si="136"/>
        <v>0</v>
      </c>
      <c r="BA305" s="66">
        <f t="shared" ca="1" si="137"/>
        <v>0</v>
      </c>
      <c r="BB305" s="66">
        <f t="shared" ca="1" si="138"/>
        <v>0</v>
      </c>
      <c r="BC305" s="66">
        <f t="shared" ca="1" si="139"/>
        <v>0</v>
      </c>
      <c r="BD305" s="66">
        <f t="shared" ca="1" si="140"/>
        <v>0</v>
      </c>
      <c r="BE305" s="71">
        <f t="shared" ca="1" si="146"/>
        <v>0</v>
      </c>
      <c r="BF305" s="65">
        <f t="shared" ca="1" si="141"/>
        <v>0</v>
      </c>
      <c r="BG305" s="69">
        <f t="shared" ca="1" si="142"/>
        <v>0</v>
      </c>
      <c r="BH305" s="301">
        <f t="shared" ca="1" si="145"/>
        <v>0</v>
      </c>
      <c r="BI305" s="300">
        <f ca="1">IF(AO305&gt;TartamVálasztott,0,   (BI304+BH305)*(1+yields!$D$2)*(1-(0.0099/12)))</f>
        <v>0</v>
      </c>
      <c r="BJ305" s="300">
        <f ca="1">SUM(BH$6:BH305)*-1.2</f>
        <v>-862056.26733480149</v>
      </c>
      <c r="BK305" s="300">
        <f t="shared" ca="1" si="151"/>
        <v>-862056.26733480149</v>
      </c>
      <c r="BL305" s="28">
        <f t="shared" ca="1" si="149"/>
        <v>2042</v>
      </c>
      <c r="BM305" s="28">
        <f t="shared" ca="1" si="147"/>
        <v>1</v>
      </c>
      <c r="BN305" s="236">
        <f t="shared" ca="1" si="148"/>
        <v>0</v>
      </c>
      <c r="BO305" s="236">
        <f t="shared" ca="1" si="143"/>
        <v>0</v>
      </c>
    </row>
    <row r="306" spans="41:67" x14ac:dyDescent="0.25">
      <c r="AO306" s="28">
        <f t="shared" si="127"/>
        <v>26</v>
      </c>
      <c r="AP306" s="28">
        <f t="shared" si="128"/>
        <v>1</v>
      </c>
      <c r="AQ306" s="65">
        <f t="shared" ca="1" si="144"/>
        <v>0</v>
      </c>
      <c r="AR306" s="66">
        <f t="shared" ca="1" si="129"/>
        <v>0</v>
      </c>
      <c r="AS306" s="66">
        <f t="shared" ca="1" si="130"/>
        <v>0</v>
      </c>
      <c r="AT306" s="66">
        <f t="shared" ca="1" si="131"/>
        <v>0</v>
      </c>
      <c r="AU306" s="66">
        <f t="shared" ca="1" si="132"/>
        <v>0</v>
      </c>
      <c r="AV306" s="68">
        <f t="shared" ca="1" si="150"/>
        <v>0</v>
      </c>
      <c r="AW306" s="65">
        <f t="shared" ca="1" si="133"/>
        <v>0</v>
      </c>
      <c r="AX306" s="69">
        <f t="shared" ca="1" si="134"/>
        <v>0</v>
      </c>
      <c r="AY306" s="70">
        <f t="shared" ca="1" si="135"/>
        <v>0</v>
      </c>
      <c r="AZ306" s="66">
        <f t="shared" ca="1" si="136"/>
        <v>0</v>
      </c>
      <c r="BA306" s="66">
        <f t="shared" ca="1" si="137"/>
        <v>0</v>
      </c>
      <c r="BB306" s="66">
        <f t="shared" ca="1" si="138"/>
        <v>0</v>
      </c>
      <c r="BC306" s="66">
        <f t="shared" ca="1" si="139"/>
        <v>0</v>
      </c>
      <c r="BD306" s="66">
        <f t="shared" ca="1" si="140"/>
        <v>0</v>
      </c>
      <c r="BE306" s="71">
        <f t="shared" ca="1" si="146"/>
        <v>0</v>
      </c>
      <c r="BF306" s="65">
        <f t="shared" ca="1" si="141"/>
        <v>0</v>
      </c>
      <c r="BG306" s="69">
        <f t="shared" ca="1" si="142"/>
        <v>0</v>
      </c>
      <c r="BH306" s="301">
        <f t="shared" ca="1" si="145"/>
        <v>0</v>
      </c>
      <c r="BI306" s="300">
        <f ca="1">IF(AO306&gt;TartamVálasztott,0,   (BI305+BH306)*(1+yields!$D$2)*(1-(0.0099/12)))</f>
        <v>0</v>
      </c>
      <c r="BJ306" s="300">
        <f ca="1">SUM(BH$6:BH306)*-1.2</f>
        <v>-862056.26733480149</v>
      </c>
      <c r="BK306" s="300">
        <f t="shared" ca="1" si="151"/>
        <v>-862056.26733480149</v>
      </c>
      <c r="BL306" s="28">
        <f t="shared" ca="1" si="149"/>
        <v>2042</v>
      </c>
      <c r="BM306" s="28">
        <f t="shared" ca="1" si="147"/>
        <v>2</v>
      </c>
      <c r="BN306" s="236">
        <f t="shared" ca="1" si="148"/>
        <v>0</v>
      </c>
      <c r="BO306" s="236">
        <f t="shared" ca="1" si="143"/>
        <v>0</v>
      </c>
    </row>
    <row r="307" spans="41:67" x14ac:dyDescent="0.25">
      <c r="AO307" s="28">
        <f t="shared" si="127"/>
        <v>26</v>
      </c>
      <c r="AP307" s="28">
        <f t="shared" si="128"/>
        <v>2</v>
      </c>
      <c r="AQ307" s="65">
        <f t="shared" ca="1" si="144"/>
        <v>0</v>
      </c>
      <c r="AR307" s="66">
        <f t="shared" ca="1" si="129"/>
        <v>0</v>
      </c>
      <c r="AS307" s="66">
        <f t="shared" ca="1" si="130"/>
        <v>0</v>
      </c>
      <c r="AT307" s="66">
        <f t="shared" ca="1" si="131"/>
        <v>0</v>
      </c>
      <c r="AU307" s="66">
        <f t="shared" ca="1" si="132"/>
        <v>0</v>
      </c>
      <c r="AV307" s="68">
        <f t="shared" ca="1" si="150"/>
        <v>0</v>
      </c>
      <c r="AW307" s="65">
        <f t="shared" ca="1" si="133"/>
        <v>0</v>
      </c>
      <c r="AX307" s="69">
        <f t="shared" ca="1" si="134"/>
        <v>0</v>
      </c>
      <c r="AY307" s="70">
        <f t="shared" ca="1" si="135"/>
        <v>0</v>
      </c>
      <c r="AZ307" s="66">
        <f t="shared" ca="1" si="136"/>
        <v>0</v>
      </c>
      <c r="BA307" s="66">
        <f t="shared" ca="1" si="137"/>
        <v>0</v>
      </c>
      <c r="BB307" s="66">
        <f t="shared" ca="1" si="138"/>
        <v>0</v>
      </c>
      <c r="BC307" s="66">
        <f t="shared" ca="1" si="139"/>
        <v>0</v>
      </c>
      <c r="BD307" s="66">
        <f t="shared" ca="1" si="140"/>
        <v>0</v>
      </c>
      <c r="BE307" s="71">
        <f t="shared" ca="1" si="146"/>
        <v>0</v>
      </c>
      <c r="BF307" s="65">
        <f t="shared" ca="1" si="141"/>
        <v>0</v>
      </c>
      <c r="BG307" s="69">
        <f t="shared" ca="1" si="142"/>
        <v>0</v>
      </c>
      <c r="BH307" s="301">
        <f t="shared" ca="1" si="145"/>
        <v>0</v>
      </c>
      <c r="BI307" s="300">
        <f ca="1">IF(AO307&gt;TartamVálasztott,0,   (BI306+BH307)*(1+yields!$D$2)*(1-(0.0099/12)))</f>
        <v>0</v>
      </c>
      <c r="BJ307" s="300">
        <f ca="1">SUM(BH$6:BH307)*-1.2</f>
        <v>-862056.26733480149</v>
      </c>
      <c r="BK307" s="300">
        <f t="shared" ca="1" si="151"/>
        <v>-862056.26733480149</v>
      </c>
      <c r="BL307" s="28">
        <f t="shared" ca="1" si="149"/>
        <v>2042</v>
      </c>
      <c r="BM307" s="28">
        <f t="shared" ca="1" si="147"/>
        <v>3</v>
      </c>
      <c r="BN307" s="236">
        <f t="shared" ca="1" si="148"/>
        <v>0</v>
      </c>
      <c r="BO307" s="236">
        <f t="shared" ca="1" si="143"/>
        <v>0</v>
      </c>
    </row>
    <row r="308" spans="41:67" x14ac:dyDescent="0.25">
      <c r="AO308" s="28">
        <f t="shared" si="127"/>
        <v>26</v>
      </c>
      <c r="AP308" s="28">
        <f t="shared" si="128"/>
        <v>3</v>
      </c>
      <c r="AQ308" s="65">
        <f t="shared" ca="1" si="144"/>
        <v>0</v>
      </c>
      <c r="AR308" s="66">
        <f t="shared" ca="1" si="129"/>
        <v>0</v>
      </c>
      <c r="AS308" s="66">
        <f t="shared" ca="1" si="130"/>
        <v>0</v>
      </c>
      <c r="AT308" s="66">
        <f t="shared" ca="1" si="131"/>
        <v>0</v>
      </c>
      <c r="AU308" s="66">
        <f t="shared" ca="1" si="132"/>
        <v>0</v>
      </c>
      <c r="AV308" s="68">
        <f t="shared" ca="1" si="150"/>
        <v>0</v>
      </c>
      <c r="AW308" s="65">
        <f t="shared" ca="1" si="133"/>
        <v>0</v>
      </c>
      <c r="AX308" s="69">
        <f t="shared" ca="1" si="134"/>
        <v>0</v>
      </c>
      <c r="AY308" s="70">
        <f t="shared" ca="1" si="135"/>
        <v>0</v>
      </c>
      <c r="AZ308" s="66">
        <f t="shared" ca="1" si="136"/>
        <v>0</v>
      </c>
      <c r="BA308" s="66">
        <f t="shared" ca="1" si="137"/>
        <v>0</v>
      </c>
      <c r="BB308" s="66">
        <f t="shared" ca="1" si="138"/>
        <v>0</v>
      </c>
      <c r="BC308" s="66">
        <f t="shared" ca="1" si="139"/>
        <v>0</v>
      </c>
      <c r="BD308" s="66">
        <f t="shared" ca="1" si="140"/>
        <v>0</v>
      </c>
      <c r="BE308" s="71">
        <f t="shared" ca="1" si="146"/>
        <v>0</v>
      </c>
      <c r="BF308" s="65">
        <f t="shared" ca="1" si="141"/>
        <v>0</v>
      </c>
      <c r="BG308" s="69">
        <f t="shared" ca="1" si="142"/>
        <v>0</v>
      </c>
      <c r="BH308" s="301">
        <f t="shared" ca="1" si="145"/>
        <v>0</v>
      </c>
      <c r="BI308" s="300">
        <f ca="1">IF(AO308&gt;TartamVálasztott,0,   (BI307+BH308)*(1+yields!$D$2)*(1-(0.0099/12)))</f>
        <v>0</v>
      </c>
      <c r="BJ308" s="300">
        <f ca="1">SUM(BH$6:BH308)*-1.2</f>
        <v>-862056.26733480149</v>
      </c>
      <c r="BK308" s="300">
        <f t="shared" ca="1" si="151"/>
        <v>-862056.26733480149</v>
      </c>
      <c r="BL308" s="28">
        <f t="shared" ca="1" si="149"/>
        <v>2042</v>
      </c>
      <c r="BM308" s="28">
        <f t="shared" ca="1" si="147"/>
        <v>4</v>
      </c>
      <c r="BN308" s="236">
        <f t="shared" ca="1" si="148"/>
        <v>0</v>
      </c>
      <c r="BO308" s="236">
        <f t="shared" ca="1" si="143"/>
        <v>0</v>
      </c>
    </row>
    <row r="309" spans="41:67" x14ac:dyDescent="0.25">
      <c r="AO309" s="28">
        <f t="shared" si="127"/>
        <v>26</v>
      </c>
      <c r="AP309" s="28">
        <f t="shared" si="128"/>
        <v>4</v>
      </c>
      <c r="AQ309" s="65">
        <f t="shared" ca="1" si="144"/>
        <v>0</v>
      </c>
      <c r="AR309" s="66">
        <f t="shared" ca="1" si="129"/>
        <v>0</v>
      </c>
      <c r="AS309" s="66">
        <f t="shared" ca="1" si="130"/>
        <v>0</v>
      </c>
      <c r="AT309" s="66">
        <f t="shared" ca="1" si="131"/>
        <v>0</v>
      </c>
      <c r="AU309" s="66">
        <f t="shared" ca="1" si="132"/>
        <v>0</v>
      </c>
      <c r="AV309" s="68">
        <f t="shared" ca="1" si="150"/>
        <v>0</v>
      </c>
      <c r="AW309" s="65">
        <f t="shared" ca="1" si="133"/>
        <v>0</v>
      </c>
      <c r="AX309" s="69">
        <f t="shared" ca="1" si="134"/>
        <v>0</v>
      </c>
      <c r="AY309" s="70">
        <f t="shared" ca="1" si="135"/>
        <v>0</v>
      </c>
      <c r="AZ309" s="66">
        <f t="shared" ca="1" si="136"/>
        <v>0</v>
      </c>
      <c r="BA309" s="66">
        <f t="shared" ca="1" si="137"/>
        <v>0</v>
      </c>
      <c r="BB309" s="66">
        <f t="shared" ca="1" si="138"/>
        <v>0</v>
      </c>
      <c r="BC309" s="66">
        <f t="shared" ca="1" si="139"/>
        <v>0</v>
      </c>
      <c r="BD309" s="66">
        <f t="shared" ca="1" si="140"/>
        <v>0</v>
      </c>
      <c r="BE309" s="71">
        <f t="shared" ca="1" si="146"/>
        <v>0</v>
      </c>
      <c r="BF309" s="65">
        <f t="shared" ca="1" si="141"/>
        <v>0</v>
      </c>
      <c r="BG309" s="69">
        <f t="shared" ca="1" si="142"/>
        <v>0</v>
      </c>
      <c r="BH309" s="301">
        <f t="shared" ca="1" si="145"/>
        <v>0</v>
      </c>
      <c r="BI309" s="300">
        <f ca="1">IF(AO309&gt;TartamVálasztott,0,   (BI308+BH309)*(1+yields!$D$2)*(1-(0.0099/12)))</f>
        <v>0</v>
      </c>
      <c r="BJ309" s="300">
        <f ca="1">SUM(BH$6:BH309)*-1.2</f>
        <v>-862056.26733480149</v>
      </c>
      <c r="BK309" s="300">
        <f t="shared" ca="1" si="151"/>
        <v>-862056.26733480149</v>
      </c>
      <c r="BL309" s="28">
        <f t="shared" ca="1" si="149"/>
        <v>2042</v>
      </c>
      <c r="BM309" s="28">
        <f t="shared" ca="1" si="147"/>
        <v>5</v>
      </c>
      <c r="BN309" s="236">
        <f t="shared" ca="1" si="148"/>
        <v>0</v>
      </c>
      <c r="BO309" s="236">
        <f t="shared" ca="1" si="143"/>
        <v>0</v>
      </c>
    </row>
    <row r="310" spans="41:67" x14ac:dyDescent="0.25">
      <c r="AO310" s="28">
        <f t="shared" si="127"/>
        <v>26</v>
      </c>
      <c r="AP310" s="28">
        <f t="shared" si="128"/>
        <v>5</v>
      </c>
      <c r="AQ310" s="65">
        <f t="shared" ca="1" si="144"/>
        <v>0</v>
      </c>
      <c r="AR310" s="66">
        <f t="shared" ca="1" si="129"/>
        <v>0</v>
      </c>
      <c r="AS310" s="66">
        <f t="shared" ca="1" si="130"/>
        <v>0</v>
      </c>
      <c r="AT310" s="66">
        <f t="shared" ca="1" si="131"/>
        <v>0</v>
      </c>
      <c r="AU310" s="66">
        <f t="shared" ca="1" si="132"/>
        <v>0</v>
      </c>
      <c r="AV310" s="68">
        <f t="shared" ca="1" si="150"/>
        <v>0</v>
      </c>
      <c r="AW310" s="65">
        <f t="shared" ca="1" si="133"/>
        <v>0</v>
      </c>
      <c r="AX310" s="69">
        <f t="shared" ca="1" si="134"/>
        <v>0</v>
      </c>
      <c r="AY310" s="70">
        <f t="shared" ca="1" si="135"/>
        <v>0</v>
      </c>
      <c r="AZ310" s="66">
        <f t="shared" ca="1" si="136"/>
        <v>0</v>
      </c>
      <c r="BA310" s="66">
        <f t="shared" ca="1" si="137"/>
        <v>0</v>
      </c>
      <c r="BB310" s="66">
        <f t="shared" ca="1" si="138"/>
        <v>0</v>
      </c>
      <c r="BC310" s="66">
        <f t="shared" ca="1" si="139"/>
        <v>0</v>
      </c>
      <c r="BD310" s="66">
        <f t="shared" ca="1" si="140"/>
        <v>0</v>
      </c>
      <c r="BE310" s="71">
        <f t="shared" ca="1" si="146"/>
        <v>0</v>
      </c>
      <c r="BF310" s="65">
        <f t="shared" ca="1" si="141"/>
        <v>0</v>
      </c>
      <c r="BG310" s="69">
        <f t="shared" ca="1" si="142"/>
        <v>0</v>
      </c>
      <c r="BH310" s="301">
        <f t="shared" ca="1" si="145"/>
        <v>0</v>
      </c>
      <c r="BI310" s="300">
        <f ca="1">IF(AO310&gt;TartamVálasztott,0,   (BI309+BH310)*(1+yields!$D$2)*(1-(0.0099/12)))</f>
        <v>0</v>
      </c>
      <c r="BJ310" s="300">
        <f ca="1">SUM(BH$6:BH310)*-1.2</f>
        <v>-862056.26733480149</v>
      </c>
      <c r="BK310" s="300">
        <f t="shared" ca="1" si="151"/>
        <v>-862056.26733480149</v>
      </c>
      <c r="BL310" s="28">
        <f t="shared" ca="1" si="149"/>
        <v>2042</v>
      </c>
      <c r="BM310" s="28">
        <f t="shared" ca="1" si="147"/>
        <v>6</v>
      </c>
      <c r="BN310" s="236">
        <f t="shared" ca="1" si="148"/>
        <v>0</v>
      </c>
      <c r="BO310" s="236">
        <f t="shared" ca="1" si="143"/>
        <v>0</v>
      </c>
    </row>
    <row r="311" spans="41:67" x14ac:dyDescent="0.25">
      <c r="AO311" s="28">
        <f t="shared" si="127"/>
        <v>26</v>
      </c>
      <c r="AP311" s="28">
        <f t="shared" si="128"/>
        <v>6</v>
      </c>
      <c r="AQ311" s="65">
        <f t="shared" ca="1" si="144"/>
        <v>0</v>
      </c>
      <c r="AR311" s="66">
        <f t="shared" ca="1" si="129"/>
        <v>0</v>
      </c>
      <c r="AS311" s="66">
        <f t="shared" ca="1" si="130"/>
        <v>0</v>
      </c>
      <c r="AT311" s="66">
        <f t="shared" ca="1" si="131"/>
        <v>0</v>
      </c>
      <c r="AU311" s="66">
        <f t="shared" ca="1" si="132"/>
        <v>0</v>
      </c>
      <c r="AV311" s="68">
        <f t="shared" ca="1" si="150"/>
        <v>0</v>
      </c>
      <c r="AW311" s="65">
        <f t="shared" ca="1" si="133"/>
        <v>0</v>
      </c>
      <c r="AX311" s="69">
        <f t="shared" ca="1" si="134"/>
        <v>0</v>
      </c>
      <c r="AY311" s="70">
        <f t="shared" ca="1" si="135"/>
        <v>0</v>
      </c>
      <c r="AZ311" s="66">
        <f t="shared" ca="1" si="136"/>
        <v>0</v>
      </c>
      <c r="BA311" s="66">
        <f t="shared" ca="1" si="137"/>
        <v>0</v>
      </c>
      <c r="BB311" s="66">
        <f t="shared" ca="1" si="138"/>
        <v>0</v>
      </c>
      <c r="BC311" s="66">
        <f t="shared" ca="1" si="139"/>
        <v>0</v>
      </c>
      <c r="BD311" s="66">
        <f t="shared" ca="1" si="140"/>
        <v>0</v>
      </c>
      <c r="BE311" s="71">
        <f t="shared" ca="1" si="146"/>
        <v>0</v>
      </c>
      <c r="BF311" s="65">
        <f t="shared" ca="1" si="141"/>
        <v>0</v>
      </c>
      <c r="BG311" s="69">
        <f t="shared" ca="1" si="142"/>
        <v>0</v>
      </c>
      <c r="BH311" s="301">
        <f t="shared" ca="1" si="145"/>
        <v>0</v>
      </c>
      <c r="BI311" s="300">
        <f ca="1">IF(AO311&gt;TartamVálasztott,0,   (BI310+BH311)*(1+yields!$D$2)*(1-(0.0099/12)))</f>
        <v>0</v>
      </c>
      <c r="BJ311" s="300">
        <f ca="1">SUM(BH$6:BH311)*-1.2</f>
        <v>-862056.26733480149</v>
      </c>
      <c r="BK311" s="300">
        <f t="shared" ca="1" si="151"/>
        <v>-862056.26733480149</v>
      </c>
      <c r="BL311" s="28">
        <f t="shared" ca="1" si="149"/>
        <v>2042</v>
      </c>
      <c r="BM311" s="28">
        <f t="shared" ca="1" si="147"/>
        <v>7</v>
      </c>
      <c r="BN311" s="236">
        <f t="shared" ca="1" si="148"/>
        <v>0</v>
      </c>
      <c r="BO311" s="236">
        <f t="shared" ca="1" si="143"/>
        <v>0</v>
      </c>
    </row>
    <row r="312" spans="41:67" x14ac:dyDescent="0.25">
      <c r="AO312" s="28">
        <f t="shared" si="127"/>
        <v>26</v>
      </c>
      <c r="AP312" s="28">
        <f t="shared" si="128"/>
        <v>7</v>
      </c>
      <c r="AQ312" s="65">
        <f t="shared" ca="1" si="144"/>
        <v>0</v>
      </c>
      <c r="AR312" s="66">
        <f t="shared" ca="1" si="129"/>
        <v>0</v>
      </c>
      <c r="AS312" s="66">
        <f t="shared" ca="1" si="130"/>
        <v>0</v>
      </c>
      <c r="AT312" s="66">
        <f t="shared" ca="1" si="131"/>
        <v>0</v>
      </c>
      <c r="AU312" s="66">
        <f t="shared" ca="1" si="132"/>
        <v>0</v>
      </c>
      <c r="AV312" s="68">
        <f t="shared" ca="1" si="150"/>
        <v>0</v>
      </c>
      <c r="AW312" s="65">
        <f t="shared" ca="1" si="133"/>
        <v>0</v>
      </c>
      <c r="AX312" s="69">
        <f t="shared" ca="1" si="134"/>
        <v>0</v>
      </c>
      <c r="AY312" s="70">
        <f t="shared" ca="1" si="135"/>
        <v>0</v>
      </c>
      <c r="AZ312" s="66">
        <f t="shared" ca="1" si="136"/>
        <v>0</v>
      </c>
      <c r="BA312" s="66">
        <f t="shared" ca="1" si="137"/>
        <v>0</v>
      </c>
      <c r="BB312" s="66">
        <f t="shared" ca="1" si="138"/>
        <v>0</v>
      </c>
      <c r="BC312" s="66">
        <f t="shared" ca="1" si="139"/>
        <v>0</v>
      </c>
      <c r="BD312" s="66">
        <f t="shared" ca="1" si="140"/>
        <v>0</v>
      </c>
      <c r="BE312" s="71">
        <f t="shared" ca="1" si="146"/>
        <v>0</v>
      </c>
      <c r="BF312" s="65">
        <f t="shared" ca="1" si="141"/>
        <v>0</v>
      </c>
      <c r="BG312" s="69">
        <f t="shared" ca="1" si="142"/>
        <v>0</v>
      </c>
      <c r="BH312" s="301">
        <f t="shared" ca="1" si="145"/>
        <v>0</v>
      </c>
      <c r="BI312" s="300">
        <f ca="1">IF(AO312&gt;TartamVálasztott,0,   (BI311+BH312)*(1+yields!$D$2)*(1-(0.0099/12)))</f>
        <v>0</v>
      </c>
      <c r="BJ312" s="300">
        <f ca="1">SUM(BH$6:BH312)*-1.2</f>
        <v>-862056.26733480149</v>
      </c>
      <c r="BK312" s="300">
        <f t="shared" ca="1" si="151"/>
        <v>-862056.26733480149</v>
      </c>
      <c r="BL312" s="28">
        <f t="shared" ca="1" si="149"/>
        <v>2042</v>
      </c>
      <c r="BM312" s="28">
        <f t="shared" ca="1" si="147"/>
        <v>8</v>
      </c>
      <c r="BN312" s="236">
        <f t="shared" ca="1" si="148"/>
        <v>0</v>
      </c>
      <c r="BO312" s="236">
        <f t="shared" ca="1" si="143"/>
        <v>0</v>
      </c>
    </row>
    <row r="313" spans="41:67" x14ac:dyDescent="0.25">
      <c r="AO313" s="28">
        <f t="shared" si="127"/>
        <v>26</v>
      </c>
      <c r="AP313" s="28">
        <f t="shared" si="128"/>
        <v>8</v>
      </c>
      <c r="AQ313" s="65">
        <f t="shared" ca="1" si="144"/>
        <v>0</v>
      </c>
      <c r="AR313" s="66">
        <f t="shared" ca="1" si="129"/>
        <v>0</v>
      </c>
      <c r="AS313" s="66">
        <f t="shared" ca="1" si="130"/>
        <v>0</v>
      </c>
      <c r="AT313" s="66">
        <f t="shared" ca="1" si="131"/>
        <v>0</v>
      </c>
      <c r="AU313" s="66">
        <f t="shared" ca="1" si="132"/>
        <v>0</v>
      </c>
      <c r="AV313" s="68">
        <f t="shared" ca="1" si="150"/>
        <v>0</v>
      </c>
      <c r="AW313" s="65">
        <f t="shared" ca="1" si="133"/>
        <v>0</v>
      </c>
      <c r="AX313" s="69">
        <f t="shared" ca="1" si="134"/>
        <v>0</v>
      </c>
      <c r="AY313" s="70">
        <f t="shared" ca="1" si="135"/>
        <v>0</v>
      </c>
      <c r="AZ313" s="66">
        <f t="shared" ca="1" si="136"/>
        <v>0</v>
      </c>
      <c r="BA313" s="66">
        <f t="shared" ca="1" si="137"/>
        <v>0</v>
      </c>
      <c r="BB313" s="66">
        <f t="shared" ca="1" si="138"/>
        <v>0</v>
      </c>
      <c r="BC313" s="66">
        <f t="shared" ca="1" si="139"/>
        <v>0</v>
      </c>
      <c r="BD313" s="66">
        <f t="shared" ca="1" si="140"/>
        <v>0</v>
      </c>
      <c r="BE313" s="71">
        <f t="shared" ca="1" si="146"/>
        <v>0</v>
      </c>
      <c r="BF313" s="65">
        <f t="shared" ca="1" si="141"/>
        <v>0</v>
      </c>
      <c r="BG313" s="69">
        <f t="shared" ca="1" si="142"/>
        <v>0</v>
      </c>
      <c r="BH313" s="301">
        <f t="shared" ca="1" si="145"/>
        <v>0</v>
      </c>
      <c r="BI313" s="300">
        <f ca="1">IF(AO313&gt;TartamVálasztott,0,   (BI312+BH313)*(1+yields!$D$2)*(1-(0.0099/12)))</f>
        <v>0</v>
      </c>
      <c r="BJ313" s="300">
        <f ca="1">SUM(BH$6:BH313)*-1.2</f>
        <v>-862056.26733480149</v>
      </c>
      <c r="BK313" s="300">
        <f t="shared" ca="1" si="151"/>
        <v>-862056.26733480149</v>
      </c>
      <c r="BL313" s="28">
        <f t="shared" ca="1" si="149"/>
        <v>2042</v>
      </c>
      <c r="BM313" s="28">
        <f t="shared" ca="1" si="147"/>
        <v>9</v>
      </c>
      <c r="BN313" s="236">
        <f t="shared" ca="1" si="148"/>
        <v>0</v>
      </c>
      <c r="BO313" s="236">
        <f t="shared" ca="1" si="143"/>
        <v>0</v>
      </c>
    </row>
    <row r="314" spans="41:67" x14ac:dyDescent="0.25">
      <c r="AO314" s="28">
        <f t="shared" si="127"/>
        <v>26</v>
      </c>
      <c r="AP314" s="28">
        <f t="shared" si="128"/>
        <v>9</v>
      </c>
      <c r="AQ314" s="65">
        <f t="shared" ca="1" si="144"/>
        <v>0</v>
      </c>
      <c r="AR314" s="66">
        <f t="shared" ca="1" si="129"/>
        <v>0</v>
      </c>
      <c r="AS314" s="66">
        <f t="shared" ca="1" si="130"/>
        <v>0</v>
      </c>
      <c r="AT314" s="66">
        <f t="shared" ca="1" si="131"/>
        <v>0</v>
      </c>
      <c r="AU314" s="66">
        <f t="shared" ca="1" si="132"/>
        <v>0</v>
      </c>
      <c r="AV314" s="68">
        <f t="shared" ca="1" si="150"/>
        <v>0</v>
      </c>
      <c r="AW314" s="65">
        <f t="shared" ca="1" si="133"/>
        <v>0</v>
      </c>
      <c r="AX314" s="69">
        <f t="shared" ca="1" si="134"/>
        <v>0</v>
      </c>
      <c r="AY314" s="70">
        <f t="shared" ca="1" si="135"/>
        <v>0</v>
      </c>
      <c r="AZ314" s="66">
        <f t="shared" ca="1" si="136"/>
        <v>0</v>
      </c>
      <c r="BA314" s="66">
        <f t="shared" ca="1" si="137"/>
        <v>0</v>
      </c>
      <c r="BB314" s="66">
        <f t="shared" ca="1" si="138"/>
        <v>0</v>
      </c>
      <c r="BC314" s="66">
        <f t="shared" ca="1" si="139"/>
        <v>0</v>
      </c>
      <c r="BD314" s="66">
        <f t="shared" ca="1" si="140"/>
        <v>0</v>
      </c>
      <c r="BE314" s="71">
        <f t="shared" ca="1" si="146"/>
        <v>0</v>
      </c>
      <c r="BF314" s="65">
        <f t="shared" ca="1" si="141"/>
        <v>0</v>
      </c>
      <c r="BG314" s="69">
        <f t="shared" ca="1" si="142"/>
        <v>0</v>
      </c>
      <c r="BH314" s="301">
        <f t="shared" ca="1" si="145"/>
        <v>0</v>
      </c>
      <c r="BI314" s="300">
        <f ca="1">IF(AO314&gt;TartamVálasztott,0,   (BI313+BH314)*(1+yields!$D$2)*(1-(0.0099/12)))</f>
        <v>0</v>
      </c>
      <c r="BJ314" s="300">
        <f ca="1">SUM(BH$6:BH314)*-1.2</f>
        <v>-862056.26733480149</v>
      </c>
      <c r="BK314" s="300">
        <f t="shared" ca="1" si="151"/>
        <v>-862056.26733480149</v>
      </c>
      <c r="BL314" s="28">
        <f t="shared" ca="1" si="149"/>
        <v>2042</v>
      </c>
      <c r="BM314" s="28">
        <f t="shared" ca="1" si="147"/>
        <v>10</v>
      </c>
      <c r="BN314" s="236">
        <f t="shared" ca="1" si="148"/>
        <v>0</v>
      </c>
      <c r="BO314" s="236">
        <f t="shared" ca="1" si="143"/>
        <v>0</v>
      </c>
    </row>
    <row r="315" spans="41:67" x14ac:dyDescent="0.25">
      <c r="AO315" s="28">
        <f t="shared" si="127"/>
        <v>26</v>
      </c>
      <c r="AP315" s="28">
        <f t="shared" si="128"/>
        <v>10</v>
      </c>
      <c r="AQ315" s="65">
        <f t="shared" ca="1" si="144"/>
        <v>0</v>
      </c>
      <c r="AR315" s="66">
        <f t="shared" ca="1" si="129"/>
        <v>0</v>
      </c>
      <c r="AS315" s="66">
        <f t="shared" ca="1" si="130"/>
        <v>0</v>
      </c>
      <c r="AT315" s="66">
        <f t="shared" ca="1" si="131"/>
        <v>0</v>
      </c>
      <c r="AU315" s="66">
        <f t="shared" ca="1" si="132"/>
        <v>0</v>
      </c>
      <c r="AV315" s="68">
        <f t="shared" ca="1" si="150"/>
        <v>0</v>
      </c>
      <c r="AW315" s="65">
        <f t="shared" ca="1" si="133"/>
        <v>0</v>
      </c>
      <c r="AX315" s="69">
        <f t="shared" ca="1" si="134"/>
        <v>0</v>
      </c>
      <c r="AY315" s="70">
        <f t="shared" ca="1" si="135"/>
        <v>0</v>
      </c>
      <c r="AZ315" s="66">
        <f t="shared" ca="1" si="136"/>
        <v>0</v>
      </c>
      <c r="BA315" s="66">
        <f t="shared" ca="1" si="137"/>
        <v>0</v>
      </c>
      <c r="BB315" s="66">
        <f t="shared" ca="1" si="138"/>
        <v>0</v>
      </c>
      <c r="BC315" s="66">
        <f t="shared" ca="1" si="139"/>
        <v>0</v>
      </c>
      <c r="BD315" s="66">
        <f t="shared" ca="1" si="140"/>
        <v>0</v>
      </c>
      <c r="BE315" s="71">
        <f t="shared" ca="1" si="146"/>
        <v>0</v>
      </c>
      <c r="BF315" s="65">
        <f t="shared" ca="1" si="141"/>
        <v>0</v>
      </c>
      <c r="BG315" s="69">
        <f t="shared" ca="1" si="142"/>
        <v>0</v>
      </c>
      <c r="BH315" s="301">
        <f t="shared" ca="1" si="145"/>
        <v>0</v>
      </c>
      <c r="BI315" s="300">
        <f ca="1">IF(AO315&gt;TartamVálasztott,0,   (BI314+BH315)*(1+yields!$D$2)*(1-(0.0099/12)))</f>
        <v>0</v>
      </c>
      <c r="BJ315" s="300">
        <f ca="1">SUM(BH$6:BH315)*-1.2</f>
        <v>-862056.26733480149</v>
      </c>
      <c r="BK315" s="300">
        <f t="shared" ca="1" si="151"/>
        <v>-862056.26733480149</v>
      </c>
      <c r="BL315" s="28">
        <f t="shared" ca="1" si="149"/>
        <v>2042</v>
      </c>
      <c r="BM315" s="28">
        <f t="shared" ca="1" si="147"/>
        <v>11</v>
      </c>
      <c r="BN315" s="236">
        <f t="shared" ca="1" si="148"/>
        <v>0</v>
      </c>
      <c r="BO315" s="236">
        <f t="shared" ca="1" si="143"/>
        <v>0</v>
      </c>
    </row>
    <row r="316" spans="41:67" x14ac:dyDescent="0.25">
      <c r="AO316" s="28">
        <f t="shared" si="127"/>
        <v>26</v>
      </c>
      <c r="AP316" s="28">
        <f t="shared" si="128"/>
        <v>11</v>
      </c>
      <c r="AQ316" s="65">
        <f t="shared" ca="1" si="144"/>
        <v>0</v>
      </c>
      <c r="AR316" s="66">
        <f t="shared" ca="1" si="129"/>
        <v>0</v>
      </c>
      <c r="AS316" s="66">
        <f t="shared" ca="1" si="130"/>
        <v>0</v>
      </c>
      <c r="AT316" s="66">
        <f t="shared" ca="1" si="131"/>
        <v>0</v>
      </c>
      <c r="AU316" s="66">
        <f t="shared" ca="1" si="132"/>
        <v>0</v>
      </c>
      <c r="AV316" s="68">
        <f t="shared" ca="1" si="150"/>
        <v>0</v>
      </c>
      <c r="AW316" s="65">
        <f t="shared" ca="1" si="133"/>
        <v>0</v>
      </c>
      <c r="AX316" s="69">
        <f t="shared" ca="1" si="134"/>
        <v>0</v>
      </c>
      <c r="AY316" s="70">
        <f t="shared" ca="1" si="135"/>
        <v>0</v>
      </c>
      <c r="AZ316" s="66">
        <f t="shared" ca="1" si="136"/>
        <v>0</v>
      </c>
      <c r="BA316" s="66">
        <f t="shared" ca="1" si="137"/>
        <v>0</v>
      </c>
      <c r="BB316" s="66">
        <f t="shared" ca="1" si="138"/>
        <v>0</v>
      </c>
      <c r="BC316" s="66">
        <f t="shared" ca="1" si="139"/>
        <v>0</v>
      </c>
      <c r="BD316" s="66">
        <f t="shared" ca="1" si="140"/>
        <v>0</v>
      </c>
      <c r="BE316" s="71">
        <f t="shared" ca="1" si="146"/>
        <v>0</v>
      </c>
      <c r="BF316" s="65">
        <f t="shared" ca="1" si="141"/>
        <v>0</v>
      </c>
      <c r="BG316" s="69">
        <f t="shared" ca="1" si="142"/>
        <v>0</v>
      </c>
      <c r="BH316" s="301">
        <f t="shared" ca="1" si="145"/>
        <v>0</v>
      </c>
      <c r="BI316" s="300">
        <f ca="1">IF(AO316&gt;TartamVálasztott,0,   (BI315+BH316)*(1+yields!$D$2)*(1-(0.0099/12)))</f>
        <v>0</v>
      </c>
      <c r="BJ316" s="300">
        <f ca="1">SUM(BH$6:BH316)*-1.2</f>
        <v>-862056.26733480149</v>
      </c>
      <c r="BK316" s="300">
        <f t="shared" ca="1" si="151"/>
        <v>-862056.26733480149</v>
      </c>
      <c r="BL316" s="28">
        <f t="shared" ca="1" si="149"/>
        <v>2042</v>
      </c>
      <c r="BM316" s="28">
        <f t="shared" ca="1" si="147"/>
        <v>12</v>
      </c>
      <c r="BN316" s="236">
        <f t="shared" ca="1" si="148"/>
        <v>0</v>
      </c>
      <c r="BO316" s="236">
        <f t="shared" ca="1" si="143"/>
        <v>0</v>
      </c>
    </row>
    <row r="317" spans="41:67" x14ac:dyDescent="0.25">
      <c r="AO317" s="28">
        <f t="shared" si="127"/>
        <v>26</v>
      </c>
      <c r="AP317" s="28">
        <f t="shared" si="128"/>
        <v>12</v>
      </c>
      <c r="AQ317" s="65">
        <f t="shared" ca="1" si="144"/>
        <v>0</v>
      </c>
      <c r="AR317" s="66">
        <f t="shared" ca="1" si="129"/>
        <v>0</v>
      </c>
      <c r="AS317" s="66">
        <f t="shared" ca="1" si="130"/>
        <v>0</v>
      </c>
      <c r="AT317" s="66">
        <f t="shared" ca="1" si="131"/>
        <v>0</v>
      </c>
      <c r="AU317" s="66">
        <f t="shared" ca="1" si="132"/>
        <v>0</v>
      </c>
      <c r="AV317" s="68">
        <f t="shared" ca="1" si="150"/>
        <v>0</v>
      </c>
      <c r="AW317" s="65">
        <f t="shared" ca="1" si="133"/>
        <v>0</v>
      </c>
      <c r="AX317" s="69">
        <f t="shared" ca="1" si="134"/>
        <v>0</v>
      </c>
      <c r="AY317" s="70">
        <f t="shared" ca="1" si="135"/>
        <v>0</v>
      </c>
      <c r="AZ317" s="66">
        <f t="shared" ca="1" si="136"/>
        <v>0</v>
      </c>
      <c r="BA317" s="66">
        <f t="shared" ca="1" si="137"/>
        <v>0</v>
      </c>
      <c r="BB317" s="66">
        <f t="shared" ca="1" si="138"/>
        <v>0</v>
      </c>
      <c r="BC317" s="66">
        <f t="shared" ca="1" si="139"/>
        <v>0</v>
      </c>
      <c r="BD317" s="66">
        <f t="shared" ca="1" si="140"/>
        <v>0</v>
      </c>
      <c r="BE317" s="71">
        <f t="shared" ca="1" si="146"/>
        <v>0</v>
      </c>
      <c r="BF317" s="65">
        <f t="shared" ca="1" si="141"/>
        <v>0</v>
      </c>
      <c r="BG317" s="69">
        <f t="shared" ca="1" si="142"/>
        <v>0</v>
      </c>
      <c r="BH317" s="301">
        <f t="shared" ca="1" si="145"/>
        <v>0</v>
      </c>
      <c r="BI317" s="300">
        <f ca="1">IF(AO317&gt;TartamVálasztott,0,   (BI316+BH317)*(1+yields!$D$2)*(1-(0.0099/12)))</f>
        <v>0</v>
      </c>
      <c r="BJ317" s="300">
        <f ca="1">SUM(BH$6:BH317)*-1.2</f>
        <v>-862056.26733480149</v>
      </c>
      <c r="BK317" s="300">
        <f t="shared" ca="1" si="151"/>
        <v>-862056.26733480149</v>
      </c>
      <c r="BL317" s="28">
        <f t="shared" ca="1" si="149"/>
        <v>2043</v>
      </c>
      <c r="BM317" s="28">
        <f t="shared" ca="1" si="147"/>
        <v>1</v>
      </c>
      <c r="BN317" s="236">
        <f t="shared" ca="1" si="148"/>
        <v>0</v>
      </c>
      <c r="BO317" s="236">
        <f t="shared" ca="1" si="143"/>
        <v>0</v>
      </c>
    </row>
    <row r="318" spans="41:67" x14ac:dyDescent="0.25">
      <c r="AO318" s="28">
        <f t="shared" si="127"/>
        <v>27</v>
      </c>
      <c r="AP318" s="28">
        <f t="shared" si="128"/>
        <v>1</v>
      </c>
      <c r="AQ318" s="65">
        <f t="shared" ca="1" si="144"/>
        <v>0</v>
      </c>
      <c r="AR318" s="66">
        <f t="shared" ca="1" si="129"/>
        <v>0</v>
      </c>
      <c r="AS318" s="66">
        <f t="shared" ca="1" si="130"/>
        <v>0</v>
      </c>
      <c r="AT318" s="66">
        <f t="shared" ca="1" si="131"/>
        <v>0</v>
      </c>
      <c r="AU318" s="66">
        <f t="shared" ca="1" si="132"/>
        <v>0</v>
      </c>
      <c r="AV318" s="68">
        <f t="shared" ca="1" si="150"/>
        <v>0</v>
      </c>
      <c r="AW318" s="65">
        <f t="shared" ca="1" si="133"/>
        <v>0</v>
      </c>
      <c r="AX318" s="69">
        <f t="shared" ca="1" si="134"/>
        <v>0</v>
      </c>
      <c r="AY318" s="70">
        <f t="shared" ca="1" si="135"/>
        <v>0</v>
      </c>
      <c r="AZ318" s="66">
        <f t="shared" ca="1" si="136"/>
        <v>0</v>
      </c>
      <c r="BA318" s="66">
        <f t="shared" ca="1" si="137"/>
        <v>0</v>
      </c>
      <c r="BB318" s="66">
        <f t="shared" ca="1" si="138"/>
        <v>0</v>
      </c>
      <c r="BC318" s="66">
        <f t="shared" ca="1" si="139"/>
        <v>0</v>
      </c>
      <c r="BD318" s="66">
        <f t="shared" ca="1" si="140"/>
        <v>0</v>
      </c>
      <c r="BE318" s="71">
        <f t="shared" ca="1" si="146"/>
        <v>0</v>
      </c>
      <c r="BF318" s="65">
        <f t="shared" ca="1" si="141"/>
        <v>0</v>
      </c>
      <c r="BG318" s="69">
        <f t="shared" ca="1" si="142"/>
        <v>0</v>
      </c>
      <c r="BH318" s="301">
        <f t="shared" ca="1" si="145"/>
        <v>0</v>
      </c>
      <c r="BI318" s="300">
        <f ca="1">IF(AO318&gt;TartamVálasztott,0,   (BI317+BH318)*(1+yields!$D$2)*(1-(0.0099/12)))</f>
        <v>0</v>
      </c>
      <c r="BJ318" s="300">
        <f ca="1">SUM(BH$6:BH318)*-1.2</f>
        <v>-862056.26733480149</v>
      </c>
      <c r="BK318" s="300">
        <f t="shared" ca="1" si="151"/>
        <v>-862056.26733480149</v>
      </c>
      <c r="BL318" s="28">
        <f t="shared" ca="1" si="149"/>
        <v>2043</v>
      </c>
      <c r="BM318" s="28">
        <f t="shared" ca="1" si="147"/>
        <v>2</v>
      </c>
      <c r="BN318" s="236">
        <f t="shared" ca="1" si="148"/>
        <v>0</v>
      </c>
      <c r="BO318" s="236">
        <f t="shared" ca="1" si="143"/>
        <v>0</v>
      </c>
    </row>
    <row r="319" spans="41:67" x14ac:dyDescent="0.25">
      <c r="AO319" s="28">
        <f t="shared" si="127"/>
        <v>27</v>
      </c>
      <c r="AP319" s="28">
        <f t="shared" si="128"/>
        <v>2</v>
      </c>
      <c r="AQ319" s="65">
        <f t="shared" ca="1" si="144"/>
        <v>0</v>
      </c>
      <c r="AR319" s="66">
        <f t="shared" ca="1" si="129"/>
        <v>0</v>
      </c>
      <c r="AS319" s="66">
        <f t="shared" ca="1" si="130"/>
        <v>0</v>
      </c>
      <c r="AT319" s="66">
        <f t="shared" ca="1" si="131"/>
        <v>0</v>
      </c>
      <c r="AU319" s="66">
        <f t="shared" ca="1" si="132"/>
        <v>0</v>
      </c>
      <c r="AV319" s="68">
        <f t="shared" ca="1" si="150"/>
        <v>0</v>
      </c>
      <c r="AW319" s="65">
        <f t="shared" ca="1" si="133"/>
        <v>0</v>
      </c>
      <c r="AX319" s="69">
        <f t="shared" ca="1" si="134"/>
        <v>0</v>
      </c>
      <c r="AY319" s="70">
        <f t="shared" ca="1" si="135"/>
        <v>0</v>
      </c>
      <c r="AZ319" s="66">
        <f t="shared" ca="1" si="136"/>
        <v>0</v>
      </c>
      <c r="BA319" s="66">
        <f t="shared" ca="1" si="137"/>
        <v>0</v>
      </c>
      <c r="BB319" s="66">
        <f t="shared" ca="1" si="138"/>
        <v>0</v>
      </c>
      <c r="BC319" s="66">
        <f t="shared" ca="1" si="139"/>
        <v>0</v>
      </c>
      <c r="BD319" s="66">
        <f t="shared" ca="1" si="140"/>
        <v>0</v>
      </c>
      <c r="BE319" s="71">
        <f t="shared" ca="1" si="146"/>
        <v>0</v>
      </c>
      <c r="BF319" s="65">
        <f t="shared" ca="1" si="141"/>
        <v>0</v>
      </c>
      <c r="BG319" s="69">
        <f t="shared" ca="1" si="142"/>
        <v>0</v>
      </c>
      <c r="BH319" s="301">
        <f t="shared" ca="1" si="145"/>
        <v>0</v>
      </c>
      <c r="BI319" s="300">
        <f ca="1">IF(AO319&gt;TartamVálasztott,0,   (BI318+BH319)*(1+yields!$D$2)*(1-(0.0099/12)))</f>
        <v>0</v>
      </c>
      <c r="BJ319" s="300">
        <f ca="1">SUM(BH$6:BH319)*-1.2</f>
        <v>-862056.26733480149</v>
      </c>
      <c r="BK319" s="300">
        <f t="shared" ca="1" si="151"/>
        <v>-862056.26733480149</v>
      </c>
      <c r="BL319" s="28">
        <f t="shared" ca="1" si="149"/>
        <v>2043</v>
      </c>
      <c r="BM319" s="28">
        <f t="shared" ca="1" si="147"/>
        <v>3</v>
      </c>
      <c r="BN319" s="236">
        <f t="shared" ca="1" si="148"/>
        <v>0</v>
      </c>
      <c r="BO319" s="236">
        <f t="shared" ca="1" si="143"/>
        <v>0</v>
      </c>
    </row>
    <row r="320" spans="41:67" x14ac:dyDescent="0.25">
      <c r="AO320" s="28">
        <f t="shared" si="127"/>
        <v>27</v>
      </c>
      <c r="AP320" s="28">
        <f t="shared" si="128"/>
        <v>3</v>
      </c>
      <c r="AQ320" s="65">
        <f t="shared" ca="1" si="144"/>
        <v>0</v>
      </c>
      <c r="AR320" s="66">
        <f t="shared" ca="1" si="129"/>
        <v>0</v>
      </c>
      <c r="AS320" s="66">
        <f t="shared" ca="1" si="130"/>
        <v>0</v>
      </c>
      <c r="AT320" s="66">
        <f t="shared" ca="1" si="131"/>
        <v>0</v>
      </c>
      <c r="AU320" s="66">
        <f t="shared" ca="1" si="132"/>
        <v>0</v>
      </c>
      <c r="AV320" s="68">
        <f t="shared" ca="1" si="150"/>
        <v>0</v>
      </c>
      <c r="AW320" s="65">
        <f t="shared" ca="1" si="133"/>
        <v>0</v>
      </c>
      <c r="AX320" s="69">
        <f t="shared" ca="1" si="134"/>
        <v>0</v>
      </c>
      <c r="AY320" s="70">
        <f t="shared" ca="1" si="135"/>
        <v>0</v>
      </c>
      <c r="AZ320" s="66">
        <f t="shared" ca="1" si="136"/>
        <v>0</v>
      </c>
      <c r="BA320" s="66">
        <f t="shared" ca="1" si="137"/>
        <v>0</v>
      </c>
      <c r="BB320" s="66">
        <f t="shared" ca="1" si="138"/>
        <v>0</v>
      </c>
      <c r="BC320" s="66">
        <f t="shared" ca="1" si="139"/>
        <v>0</v>
      </c>
      <c r="BD320" s="66">
        <f t="shared" ca="1" si="140"/>
        <v>0</v>
      </c>
      <c r="BE320" s="71">
        <f t="shared" ca="1" si="146"/>
        <v>0</v>
      </c>
      <c r="BF320" s="65">
        <f t="shared" ca="1" si="141"/>
        <v>0</v>
      </c>
      <c r="BG320" s="69">
        <f t="shared" ca="1" si="142"/>
        <v>0</v>
      </c>
      <c r="BH320" s="301">
        <f t="shared" ca="1" si="145"/>
        <v>0</v>
      </c>
      <c r="BI320" s="300">
        <f ca="1">IF(AO320&gt;TartamVálasztott,0,   (BI319+BH320)*(1+yields!$D$2)*(1-(0.0099/12)))</f>
        <v>0</v>
      </c>
      <c r="BJ320" s="300">
        <f ca="1">SUM(BH$6:BH320)*-1.2</f>
        <v>-862056.26733480149</v>
      </c>
      <c r="BK320" s="300">
        <f t="shared" ca="1" si="151"/>
        <v>-862056.26733480149</v>
      </c>
      <c r="BL320" s="28">
        <f t="shared" ca="1" si="149"/>
        <v>2043</v>
      </c>
      <c r="BM320" s="28">
        <f t="shared" ca="1" si="147"/>
        <v>4</v>
      </c>
      <c r="BN320" s="236">
        <f t="shared" ca="1" si="148"/>
        <v>0</v>
      </c>
      <c r="BO320" s="236">
        <f t="shared" ca="1" si="143"/>
        <v>0</v>
      </c>
    </row>
    <row r="321" spans="41:67" x14ac:dyDescent="0.25">
      <c r="AO321" s="28">
        <f t="shared" si="127"/>
        <v>27</v>
      </c>
      <c r="AP321" s="28">
        <f t="shared" si="128"/>
        <v>4</v>
      </c>
      <c r="AQ321" s="65">
        <f t="shared" ca="1" si="144"/>
        <v>0</v>
      </c>
      <c r="AR321" s="66">
        <f t="shared" ca="1" si="129"/>
        <v>0</v>
      </c>
      <c r="AS321" s="66">
        <f t="shared" ca="1" si="130"/>
        <v>0</v>
      </c>
      <c r="AT321" s="66">
        <f t="shared" ca="1" si="131"/>
        <v>0</v>
      </c>
      <c r="AU321" s="66">
        <f t="shared" ca="1" si="132"/>
        <v>0</v>
      </c>
      <c r="AV321" s="68">
        <f t="shared" ca="1" si="150"/>
        <v>0</v>
      </c>
      <c r="AW321" s="65">
        <f t="shared" ca="1" si="133"/>
        <v>0</v>
      </c>
      <c r="AX321" s="69">
        <f t="shared" ca="1" si="134"/>
        <v>0</v>
      </c>
      <c r="AY321" s="70">
        <f t="shared" ca="1" si="135"/>
        <v>0</v>
      </c>
      <c r="AZ321" s="66">
        <f t="shared" ca="1" si="136"/>
        <v>0</v>
      </c>
      <c r="BA321" s="66">
        <f t="shared" ca="1" si="137"/>
        <v>0</v>
      </c>
      <c r="BB321" s="66">
        <f t="shared" ca="1" si="138"/>
        <v>0</v>
      </c>
      <c r="BC321" s="66">
        <f t="shared" ca="1" si="139"/>
        <v>0</v>
      </c>
      <c r="BD321" s="66">
        <f t="shared" ca="1" si="140"/>
        <v>0</v>
      </c>
      <c r="BE321" s="71">
        <f t="shared" ca="1" si="146"/>
        <v>0</v>
      </c>
      <c r="BF321" s="65">
        <f t="shared" ca="1" si="141"/>
        <v>0</v>
      </c>
      <c r="BG321" s="69">
        <f t="shared" ca="1" si="142"/>
        <v>0</v>
      </c>
      <c r="BH321" s="301">
        <f t="shared" ca="1" si="145"/>
        <v>0</v>
      </c>
      <c r="BI321" s="300">
        <f ca="1">IF(AO321&gt;TartamVálasztott,0,   (BI320+BH321)*(1+yields!$D$2)*(1-(0.0099/12)))</f>
        <v>0</v>
      </c>
      <c r="BJ321" s="300">
        <f ca="1">SUM(BH$6:BH321)*-1.2</f>
        <v>-862056.26733480149</v>
      </c>
      <c r="BK321" s="300">
        <f t="shared" ca="1" si="151"/>
        <v>-862056.26733480149</v>
      </c>
      <c r="BL321" s="28">
        <f t="shared" ca="1" si="149"/>
        <v>2043</v>
      </c>
      <c r="BM321" s="28">
        <f t="shared" ca="1" si="147"/>
        <v>5</v>
      </c>
      <c r="BN321" s="236">
        <f t="shared" ca="1" si="148"/>
        <v>0</v>
      </c>
      <c r="BO321" s="236">
        <f t="shared" ca="1" si="143"/>
        <v>0</v>
      </c>
    </row>
    <row r="322" spans="41:67" x14ac:dyDescent="0.25">
      <c r="AO322" s="28">
        <f t="shared" si="127"/>
        <v>27</v>
      </c>
      <c r="AP322" s="28">
        <f t="shared" si="128"/>
        <v>5</v>
      </c>
      <c r="AQ322" s="65">
        <f t="shared" ca="1" si="144"/>
        <v>0</v>
      </c>
      <c r="AR322" s="66">
        <f t="shared" ca="1" si="129"/>
        <v>0</v>
      </c>
      <c r="AS322" s="66">
        <f t="shared" ca="1" si="130"/>
        <v>0</v>
      </c>
      <c r="AT322" s="66">
        <f t="shared" ca="1" si="131"/>
        <v>0</v>
      </c>
      <c r="AU322" s="66">
        <f t="shared" ca="1" si="132"/>
        <v>0</v>
      </c>
      <c r="AV322" s="68">
        <f t="shared" ca="1" si="150"/>
        <v>0</v>
      </c>
      <c r="AW322" s="65">
        <f t="shared" ca="1" si="133"/>
        <v>0</v>
      </c>
      <c r="AX322" s="69">
        <f t="shared" ca="1" si="134"/>
        <v>0</v>
      </c>
      <c r="AY322" s="70">
        <f t="shared" ca="1" si="135"/>
        <v>0</v>
      </c>
      <c r="AZ322" s="66">
        <f t="shared" ca="1" si="136"/>
        <v>0</v>
      </c>
      <c r="BA322" s="66">
        <f t="shared" ca="1" si="137"/>
        <v>0</v>
      </c>
      <c r="BB322" s="66">
        <f t="shared" ca="1" si="138"/>
        <v>0</v>
      </c>
      <c r="BC322" s="66">
        <f t="shared" ca="1" si="139"/>
        <v>0</v>
      </c>
      <c r="BD322" s="66">
        <f t="shared" ca="1" si="140"/>
        <v>0</v>
      </c>
      <c r="BE322" s="71">
        <f t="shared" ca="1" si="146"/>
        <v>0</v>
      </c>
      <c r="BF322" s="65">
        <f t="shared" ca="1" si="141"/>
        <v>0</v>
      </c>
      <c r="BG322" s="69">
        <f t="shared" ca="1" si="142"/>
        <v>0</v>
      </c>
      <c r="BH322" s="301">
        <f t="shared" ca="1" si="145"/>
        <v>0</v>
      </c>
      <c r="BI322" s="300">
        <f ca="1">IF(AO322&gt;TartamVálasztott,0,   (BI321+BH322)*(1+yields!$D$2)*(1-(0.0099/12)))</f>
        <v>0</v>
      </c>
      <c r="BJ322" s="300">
        <f ca="1">SUM(BH$6:BH322)*-1.2</f>
        <v>-862056.26733480149</v>
      </c>
      <c r="BK322" s="300">
        <f t="shared" ca="1" si="151"/>
        <v>-862056.26733480149</v>
      </c>
      <c r="BL322" s="28">
        <f t="shared" ca="1" si="149"/>
        <v>2043</v>
      </c>
      <c r="BM322" s="28">
        <f t="shared" ca="1" si="147"/>
        <v>6</v>
      </c>
      <c r="BN322" s="236">
        <f t="shared" ca="1" si="148"/>
        <v>0</v>
      </c>
      <c r="BO322" s="236">
        <f t="shared" ca="1" si="143"/>
        <v>0</v>
      </c>
    </row>
    <row r="323" spans="41:67" x14ac:dyDescent="0.25">
      <c r="AO323" s="28">
        <f t="shared" si="127"/>
        <v>27</v>
      </c>
      <c r="AP323" s="28">
        <f t="shared" si="128"/>
        <v>6</v>
      </c>
      <c r="AQ323" s="65">
        <f t="shared" ca="1" si="144"/>
        <v>0</v>
      </c>
      <c r="AR323" s="66">
        <f t="shared" ca="1" si="129"/>
        <v>0</v>
      </c>
      <c r="AS323" s="66">
        <f t="shared" ca="1" si="130"/>
        <v>0</v>
      </c>
      <c r="AT323" s="66">
        <f t="shared" ca="1" si="131"/>
        <v>0</v>
      </c>
      <c r="AU323" s="66">
        <f t="shared" ca="1" si="132"/>
        <v>0</v>
      </c>
      <c r="AV323" s="68">
        <f t="shared" ca="1" si="150"/>
        <v>0</v>
      </c>
      <c r="AW323" s="65">
        <f t="shared" ca="1" si="133"/>
        <v>0</v>
      </c>
      <c r="AX323" s="69">
        <f t="shared" ca="1" si="134"/>
        <v>0</v>
      </c>
      <c r="AY323" s="70">
        <f t="shared" ca="1" si="135"/>
        <v>0</v>
      </c>
      <c r="AZ323" s="66">
        <f t="shared" ca="1" si="136"/>
        <v>0</v>
      </c>
      <c r="BA323" s="66">
        <f t="shared" ca="1" si="137"/>
        <v>0</v>
      </c>
      <c r="BB323" s="66">
        <f t="shared" ca="1" si="138"/>
        <v>0</v>
      </c>
      <c r="BC323" s="66">
        <f t="shared" ca="1" si="139"/>
        <v>0</v>
      </c>
      <c r="BD323" s="66">
        <f t="shared" ca="1" si="140"/>
        <v>0</v>
      </c>
      <c r="BE323" s="71">
        <f t="shared" ca="1" si="146"/>
        <v>0</v>
      </c>
      <c r="BF323" s="65">
        <f t="shared" ca="1" si="141"/>
        <v>0</v>
      </c>
      <c r="BG323" s="69">
        <f t="shared" ca="1" si="142"/>
        <v>0</v>
      </c>
      <c r="BH323" s="301">
        <f t="shared" ca="1" si="145"/>
        <v>0</v>
      </c>
      <c r="BI323" s="300">
        <f ca="1">IF(AO323&gt;TartamVálasztott,0,   (BI322+BH323)*(1+yields!$D$2)*(1-(0.0099/12)))</f>
        <v>0</v>
      </c>
      <c r="BJ323" s="300">
        <f ca="1">SUM(BH$6:BH323)*-1.2</f>
        <v>-862056.26733480149</v>
      </c>
      <c r="BK323" s="300">
        <f t="shared" ca="1" si="151"/>
        <v>-862056.26733480149</v>
      </c>
      <c r="BL323" s="28">
        <f t="shared" ca="1" si="149"/>
        <v>2043</v>
      </c>
      <c r="BM323" s="28">
        <f t="shared" ca="1" si="147"/>
        <v>7</v>
      </c>
      <c r="BN323" s="236">
        <f t="shared" ca="1" si="148"/>
        <v>0</v>
      </c>
      <c r="BO323" s="236">
        <f t="shared" ca="1" si="143"/>
        <v>0</v>
      </c>
    </row>
    <row r="324" spans="41:67" x14ac:dyDescent="0.25">
      <c r="AO324" s="28">
        <f t="shared" si="127"/>
        <v>27</v>
      </c>
      <c r="AP324" s="28">
        <f t="shared" si="128"/>
        <v>7</v>
      </c>
      <c r="AQ324" s="65">
        <f t="shared" ca="1" si="144"/>
        <v>0</v>
      </c>
      <c r="AR324" s="66">
        <f t="shared" ca="1" si="129"/>
        <v>0</v>
      </c>
      <c r="AS324" s="66">
        <f t="shared" ca="1" si="130"/>
        <v>0</v>
      </c>
      <c r="AT324" s="66">
        <f t="shared" ca="1" si="131"/>
        <v>0</v>
      </c>
      <c r="AU324" s="66">
        <f t="shared" ca="1" si="132"/>
        <v>0</v>
      </c>
      <c r="AV324" s="68">
        <f t="shared" ca="1" si="150"/>
        <v>0</v>
      </c>
      <c r="AW324" s="65">
        <f t="shared" ca="1" si="133"/>
        <v>0</v>
      </c>
      <c r="AX324" s="69">
        <f t="shared" ca="1" si="134"/>
        <v>0</v>
      </c>
      <c r="AY324" s="70">
        <f t="shared" ca="1" si="135"/>
        <v>0</v>
      </c>
      <c r="AZ324" s="66">
        <f t="shared" ca="1" si="136"/>
        <v>0</v>
      </c>
      <c r="BA324" s="66">
        <f t="shared" ca="1" si="137"/>
        <v>0</v>
      </c>
      <c r="BB324" s="66">
        <f t="shared" ca="1" si="138"/>
        <v>0</v>
      </c>
      <c r="BC324" s="66">
        <f t="shared" ca="1" si="139"/>
        <v>0</v>
      </c>
      <c r="BD324" s="66">
        <f t="shared" ca="1" si="140"/>
        <v>0</v>
      </c>
      <c r="BE324" s="71">
        <f t="shared" ca="1" si="146"/>
        <v>0</v>
      </c>
      <c r="BF324" s="65">
        <f t="shared" ca="1" si="141"/>
        <v>0</v>
      </c>
      <c r="BG324" s="69">
        <f t="shared" ca="1" si="142"/>
        <v>0</v>
      </c>
      <c r="BH324" s="301">
        <f t="shared" ca="1" si="145"/>
        <v>0</v>
      </c>
      <c r="BI324" s="300">
        <f ca="1">IF(AO324&gt;TartamVálasztott,0,   (BI323+BH324)*(1+yields!$D$2)*(1-(0.0099/12)))</f>
        <v>0</v>
      </c>
      <c r="BJ324" s="300">
        <f ca="1">SUM(BH$6:BH324)*-1.2</f>
        <v>-862056.26733480149</v>
      </c>
      <c r="BK324" s="300">
        <f t="shared" ca="1" si="151"/>
        <v>-862056.26733480149</v>
      </c>
      <c r="BL324" s="28">
        <f t="shared" ca="1" si="149"/>
        <v>2043</v>
      </c>
      <c r="BM324" s="28">
        <f t="shared" ca="1" si="147"/>
        <v>8</v>
      </c>
      <c r="BN324" s="236">
        <f t="shared" ca="1" si="148"/>
        <v>0</v>
      </c>
      <c r="BO324" s="236">
        <f t="shared" ca="1" si="143"/>
        <v>0</v>
      </c>
    </row>
    <row r="325" spans="41:67" x14ac:dyDescent="0.25">
      <c r="AO325" s="28">
        <f t="shared" si="127"/>
        <v>27</v>
      </c>
      <c r="AP325" s="28">
        <f t="shared" si="128"/>
        <v>8</v>
      </c>
      <c r="AQ325" s="65">
        <f t="shared" ca="1" si="144"/>
        <v>0</v>
      </c>
      <c r="AR325" s="66">
        <f t="shared" ca="1" si="129"/>
        <v>0</v>
      </c>
      <c r="AS325" s="66">
        <f t="shared" ca="1" si="130"/>
        <v>0</v>
      </c>
      <c r="AT325" s="66">
        <f t="shared" ca="1" si="131"/>
        <v>0</v>
      </c>
      <c r="AU325" s="66">
        <f t="shared" ca="1" si="132"/>
        <v>0</v>
      </c>
      <c r="AV325" s="68">
        <f t="shared" ca="1" si="150"/>
        <v>0</v>
      </c>
      <c r="AW325" s="65">
        <f t="shared" ca="1" si="133"/>
        <v>0</v>
      </c>
      <c r="AX325" s="69">
        <f t="shared" ca="1" si="134"/>
        <v>0</v>
      </c>
      <c r="AY325" s="70">
        <f t="shared" ca="1" si="135"/>
        <v>0</v>
      </c>
      <c r="AZ325" s="66">
        <f t="shared" ca="1" si="136"/>
        <v>0</v>
      </c>
      <c r="BA325" s="66">
        <f t="shared" ca="1" si="137"/>
        <v>0</v>
      </c>
      <c r="BB325" s="66">
        <f t="shared" ca="1" si="138"/>
        <v>0</v>
      </c>
      <c r="BC325" s="66">
        <f t="shared" ca="1" si="139"/>
        <v>0</v>
      </c>
      <c r="BD325" s="66">
        <f t="shared" ca="1" si="140"/>
        <v>0</v>
      </c>
      <c r="BE325" s="71">
        <f t="shared" ca="1" si="146"/>
        <v>0</v>
      </c>
      <c r="BF325" s="65">
        <f t="shared" ca="1" si="141"/>
        <v>0</v>
      </c>
      <c r="BG325" s="69">
        <f t="shared" ca="1" si="142"/>
        <v>0</v>
      </c>
      <c r="BH325" s="301">
        <f t="shared" ca="1" si="145"/>
        <v>0</v>
      </c>
      <c r="BI325" s="300">
        <f ca="1">IF(AO325&gt;TartamVálasztott,0,   (BI324+BH325)*(1+yields!$D$2)*(1-(0.0099/12)))</f>
        <v>0</v>
      </c>
      <c r="BJ325" s="300">
        <f ca="1">SUM(BH$6:BH325)*-1.2</f>
        <v>-862056.26733480149</v>
      </c>
      <c r="BK325" s="300">
        <f t="shared" ca="1" si="151"/>
        <v>-862056.26733480149</v>
      </c>
      <c r="BL325" s="28">
        <f t="shared" ca="1" si="149"/>
        <v>2043</v>
      </c>
      <c r="BM325" s="28">
        <f t="shared" ca="1" si="147"/>
        <v>9</v>
      </c>
      <c r="BN325" s="236">
        <f t="shared" ca="1" si="148"/>
        <v>0</v>
      </c>
      <c r="BO325" s="236">
        <f t="shared" ca="1" si="143"/>
        <v>0</v>
      </c>
    </row>
    <row r="326" spans="41:67" x14ac:dyDescent="0.25">
      <c r="AO326" s="28">
        <f t="shared" ref="AO326:AO389" si="152">IF(AP325=12,AO325+1,AO325)</f>
        <v>27</v>
      </c>
      <c r="AP326" s="28">
        <f t="shared" ref="AP326:AP389" si="153">IF(AP325&lt;12,AP325+1,1)</f>
        <v>9</v>
      </c>
      <c r="AQ326" s="65">
        <f t="shared" ca="1" si="144"/>
        <v>0</v>
      </c>
      <c r="AR326" s="66">
        <f t="shared" ref="AR326:AR389" ca="1" si="154">IF( ($AO326*12+$AP326) &gt; (12*(Term+1) ), 0,
$AQ326*(1-VLOOKUP($AO326,Pars,7))
)</f>
        <v>0</v>
      </c>
      <c r="AS326" s="66">
        <f t="shared" ref="AS326:AS389" ca="1" si="155">IF( ($AO326*12+$AP326) &gt; (12*(Term+1) ), 0,
($AV325+$AR326)*IF(OR(TKM=0,TKM=2),VLOOKUP($AO326,Pars,15),TKMm)
)</f>
        <v>0</v>
      </c>
      <c r="AT326" s="66">
        <f t="shared" ref="AT326:AT389" ca="1" si="156">IF( ($AO326*12+$AP326) &gt; (12*(Term+1) ), 0,
$AV325+$AR326+$AS326
)</f>
        <v>0</v>
      </c>
      <c r="AU326" s="66">
        <f t="shared" ref="AU326:AU389" ca="1" si="157">$BD326*(1-LBe)</f>
        <v>0</v>
      </c>
      <c r="AV326" s="68">
        <f t="shared" ca="1" si="150"/>
        <v>0</v>
      </c>
      <c r="AW326" s="65">
        <f t="shared" ref="AW326:AW389" ca="1" si="158">$AT326* ( VLOOKUP($AO326,Pars,9) /12 )</f>
        <v>0</v>
      </c>
      <c r="AX326" s="69">
        <f t="shared" ref="AX326:AX389" ca="1" si="159">$AQ326*VLOOKUP($AO326,Pars,7)</f>
        <v>0</v>
      </c>
      <c r="AY326" s="70">
        <f t="shared" ref="AY326:AY389" ca="1" si="160">$AQ326*VLOOKUP($AO326,Pars,8)</f>
        <v>0</v>
      </c>
      <c r="AZ326" s="66">
        <f t="shared" ref="AZ326:AZ389" ca="1" si="161">($BE325+$AY326)*IF(OR(TKM=0,TKM=2),VLOOKUP($AO326,Pars,15),TKMm)</f>
        <v>0</v>
      </c>
      <c r="BA326" s="66">
        <f t="shared" ref="BA326:BA389" ca="1" si="162">$AT326* ( VLOOKUP($AO326,Pars,11) /12 )</f>
        <v>0</v>
      </c>
      <c r="BB326" s="66">
        <f t="shared" ref="BB326:BB389" ca="1" si="163">$BC326* ( VLOOKUP($AO326,Pars,12) /12 )</f>
        <v>0</v>
      </c>
      <c r="BC326" s="66">
        <f t="shared" ref="BC326:BC389" ca="1" si="164">$BE325+$AY326+$AZ326</f>
        <v>0</v>
      </c>
      <c r="BD326" s="66">
        <f t="shared" ref="BD326:BD389" ca="1" si="165">($BC326 -$BF326 +($BA326+$BB326) ) * IF($AP326=12,VLOOKUP($AO326,Pars,13),0)</f>
        <v>0</v>
      </c>
      <c r="BE326" s="71">
        <f t="shared" ca="1" si="146"/>
        <v>0</v>
      </c>
      <c r="BF326" s="65">
        <f t="shared" ref="BF326:BF389" ca="1" si="166">$BC326* ( VLOOKUP($AO326,Pars,10) /12 )</f>
        <v>0</v>
      </c>
      <c r="BG326" s="69">
        <f t="shared" ref="BG326:BG389" ca="1" si="167">BD326*LBe</f>
        <v>0</v>
      </c>
      <c r="BH326" s="301">
        <f t="shared" ca="1" si="145"/>
        <v>0</v>
      </c>
      <c r="BI326" s="300">
        <f ca="1">IF(AO326&gt;TartamVálasztott,0,   (BI325+BH326)*(1+yields!$D$2)*(1-(0.0099/12)))</f>
        <v>0</v>
      </c>
      <c r="BJ326" s="300">
        <f ca="1">SUM(BH$6:BH326)*-1.2</f>
        <v>-862056.26733480149</v>
      </c>
      <c r="BK326" s="300">
        <f t="shared" ca="1" si="151"/>
        <v>-862056.26733480149</v>
      </c>
      <c r="BL326" s="28">
        <f t="shared" ca="1" si="149"/>
        <v>2043</v>
      </c>
      <c r="BM326" s="28">
        <f t="shared" ca="1" si="147"/>
        <v>10</v>
      </c>
      <c r="BN326" s="236">
        <f t="shared" ca="1" si="148"/>
        <v>0</v>
      </c>
      <c r="BO326" s="236">
        <f t="shared" ref="BO326:BO389" ca="1" si="168">MIN(BN326*0.2,130000)</f>
        <v>0</v>
      </c>
    </row>
    <row r="327" spans="41:67" x14ac:dyDescent="0.25">
      <c r="AO327" s="28">
        <f t="shared" si="152"/>
        <v>27</v>
      </c>
      <c r="AP327" s="28">
        <f t="shared" si="153"/>
        <v>10</v>
      </c>
      <c r="AQ327" s="65">
        <f t="shared" ref="AQ327:AQ390" ca="1" si="169">IF( ($AO327*12+$AP327) &gt; (12*(Term+1) ), 0,
IF( OR(Freq=12, MOD($AP327,12/Freq)=1), Pr*(1+Ind)^($AO327-1)/Freq, 0) *VLOOKUP($AO327,Pars,23)
)</f>
        <v>0</v>
      </c>
      <c r="AR327" s="66">
        <f t="shared" ca="1" si="154"/>
        <v>0</v>
      </c>
      <c r="AS327" s="66">
        <f t="shared" ca="1" si="155"/>
        <v>0</v>
      </c>
      <c r="AT327" s="66">
        <f t="shared" ca="1" si="156"/>
        <v>0</v>
      </c>
      <c r="AU327" s="66">
        <f t="shared" ca="1" si="157"/>
        <v>0</v>
      </c>
      <c r="AV327" s="68">
        <f t="shared" ca="1" si="150"/>
        <v>0</v>
      </c>
      <c r="AW327" s="65">
        <f t="shared" ca="1" si="158"/>
        <v>0</v>
      </c>
      <c r="AX327" s="69">
        <f t="shared" ca="1" si="159"/>
        <v>0</v>
      </c>
      <c r="AY327" s="70">
        <f t="shared" ca="1" si="160"/>
        <v>0</v>
      </c>
      <c r="AZ327" s="66">
        <f t="shared" ca="1" si="161"/>
        <v>0</v>
      </c>
      <c r="BA327" s="66">
        <f t="shared" ca="1" si="162"/>
        <v>0</v>
      </c>
      <c r="BB327" s="66">
        <f t="shared" ca="1" si="163"/>
        <v>0</v>
      </c>
      <c r="BC327" s="66">
        <f t="shared" ca="1" si="164"/>
        <v>0</v>
      </c>
      <c r="BD327" s="66">
        <f t="shared" ca="1" si="165"/>
        <v>0</v>
      </c>
      <c r="BE327" s="71">
        <f t="shared" ca="1" si="146"/>
        <v>0</v>
      </c>
      <c r="BF327" s="65">
        <f t="shared" ca="1" si="166"/>
        <v>0</v>
      </c>
      <c r="BG327" s="69">
        <f t="shared" ca="1" si="167"/>
        <v>0</v>
      </c>
      <c r="BH327" s="301">
        <f t="shared" ref="BH327:BH390" ca="1" si="170">IF(AND(BM327=AdóHó,AO327&lt;=TartamVálasztott),MIN(SUMIF(BL:BL,BL327-1,AQ:AQ)*0.2,130000),0)+IF(AND(AO327=TartamVálasztott,AP327=12),MIN(SUMIF(BL:BL,BL327,AQ:AQ)*0.2,130000),0)</f>
        <v>0</v>
      </c>
      <c r="BI327" s="300">
        <f ca="1">IF(AO327&gt;TartamVálasztott,0,   (BI326+BH327)*(1+yields!$D$2)*(1-(0.0099/12)))</f>
        <v>0</v>
      </c>
      <c r="BJ327" s="300">
        <f ca="1">SUM(BH$6:BH327)*-1.2</f>
        <v>-862056.26733480149</v>
      </c>
      <c r="BK327" s="300">
        <f t="shared" ca="1" si="151"/>
        <v>-862056.26733480149</v>
      </c>
      <c r="BL327" s="28">
        <f t="shared" ca="1" si="149"/>
        <v>2043</v>
      </c>
      <c r="BM327" s="28">
        <f t="shared" ca="1" si="147"/>
        <v>11</v>
      </c>
      <c r="BN327" s="236">
        <f t="shared" ca="1" si="148"/>
        <v>0</v>
      </c>
      <c r="BO327" s="236">
        <f t="shared" ca="1" si="168"/>
        <v>0</v>
      </c>
    </row>
    <row r="328" spans="41:67" x14ac:dyDescent="0.25">
      <c r="AO328" s="28">
        <f t="shared" si="152"/>
        <v>27</v>
      </c>
      <c r="AP328" s="28">
        <f t="shared" si="153"/>
        <v>11</v>
      </c>
      <c r="AQ328" s="65">
        <f t="shared" ca="1" si="169"/>
        <v>0</v>
      </c>
      <c r="AR328" s="66">
        <f t="shared" ca="1" si="154"/>
        <v>0</v>
      </c>
      <c r="AS328" s="66">
        <f t="shared" ca="1" si="155"/>
        <v>0</v>
      </c>
      <c r="AT328" s="66">
        <f t="shared" ca="1" si="156"/>
        <v>0</v>
      </c>
      <c r="AU328" s="66">
        <f t="shared" ca="1" si="157"/>
        <v>0</v>
      </c>
      <c r="AV328" s="68">
        <f t="shared" ca="1" si="150"/>
        <v>0</v>
      </c>
      <c r="AW328" s="65">
        <f t="shared" ca="1" si="158"/>
        <v>0</v>
      </c>
      <c r="AX328" s="69">
        <f t="shared" ca="1" si="159"/>
        <v>0</v>
      </c>
      <c r="AY328" s="70">
        <f t="shared" ca="1" si="160"/>
        <v>0</v>
      </c>
      <c r="AZ328" s="66">
        <f t="shared" ca="1" si="161"/>
        <v>0</v>
      </c>
      <c r="BA328" s="66">
        <f t="shared" ca="1" si="162"/>
        <v>0</v>
      </c>
      <c r="BB328" s="66">
        <f t="shared" ca="1" si="163"/>
        <v>0</v>
      </c>
      <c r="BC328" s="66">
        <f t="shared" ca="1" si="164"/>
        <v>0</v>
      </c>
      <c r="BD328" s="66">
        <f t="shared" ca="1" si="165"/>
        <v>0</v>
      </c>
      <c r="BE328" s="71">
        <f t="shared" ref="BE328:BE391" ca="1" si="171">$BC328 -$BF328 +($BA328+$BB328) -$BD328</f>
        <v>0</v>
      </c>
      <c r="BF328" s="65">
        <f t="shared" ca="1" si="166"/>
        <v>0</v>
      </c>
      <c r="BG328" s="69">
        <f t="shared" ca="1" si="167"/>
        <v>0</v>
      </c>
      <c r="BH328" s="301">
        <f t="shared" ca="1" si="170"/>
        <v>0</v>
      </c>
      <c r="BI328" s="300">
        <f ca="1">IF(AO328&gt;TartamVálasztott,0,   (BI327+BH328)*(1+yields!$D$2)*(1-(0.0099/12)))</f>
        <v>0</v>
      </c>
      <c r="BJ328" s="300">
        <f ca="1">SUM(BH$6:BH328)*-1.2</f>
        <v>-862056.26733480149</v>
      </c>
      <c r="BK328" s="300">
        <f t="shared" ca="1" si="151"/>
        <v>-862056.26733480149</v>
      </c>
      <c r="BL328" s="28">
        <f t="shared" ca="1" si="149"/>
        <v>2043</v>
      </c>
      <c r="BM328" s="28">
        <f t="shared" ref="BM328:BM391" ca="1" si="172">IF(BM327=12,1,BM327+1)</f>
        <v>12</v>
      </c>
      <c r="BN328" s="236">
        <f t="shared" ref="BN328:BN391" ca="1" si="173">IF(BM328=12,SUMIF(BL:BL,BL328,AQ:AQ),0)</f>
        <v>0</v>
      </c>
      <c r="BO328" s="236">
        <f t="shared" ca="1" si="168"/>
        <v>0</v>
      </c>
    </row>
    <row r="329" spans="41:67" x14ac:dyDescent="0.25">
      <c r="AO329" s="28">
        <f t="shared" si="152"/>
        <v>27</v>
      </c>
      <c r="AP329" s="28">
        <f t="shared" si="153"/>
        <v>12</v>
      </c>
      <c r="AQ329" s="65">
        <f t="shared" ca="1" si="169"/>
        <v>0</v>
      </c>
      <c r="AR329" s="66">
        <f t="shared" ca="1" si="154"/>
        <v>0</v>
      </c>
      <c r="AS329" s="66">
        <f t="shared" ca="1" si="155"/>
        <v>0</v>
      </c>
      <c r="AT329" s="66">
        <f t="shared" ca="1" si="156"/>
        <v>0</v>
      </c>
      <c r="AU329" s="66">
        <f t="shared" ca="1" si="157"/>
        <v>0</v>
      </c>
      <c r="AV329" s="68">
        <f t="shared" ca="1" si="150"/>
        <v>0</v>
      </c>
      <c r="AW329" s="65">
        <f t="shared" ca="1" si="158"/>
        <v>0</v>
      </c>
      <c r="AX329" s="69">
        <f t="shared" ca="1" si="159"/>
        <v>0</v>
      </c>
      <c r="AY329" s="70">
        <f t="shared" ca="1" si="160"/>
        <v>0</v>
      </c>
      <c r="AZ329" s="66">
        <f t="shared" ca="1" si="161"/>
        <v>0</v>
      </c>
      <c r="BA329" s="66">
        <f t="shared" ca="1" si="162"/>
        <v>0</v>
      </c>
      <c r="BB329" s="66">
        <f t="shared" ca="1" si="163"/>
        <v>0</v>
      </c>
      <c r="BC329" s="66">
        <f t="shared" ca="1" si="164"/>
        <v>0</v>
      </c>
      <c r="BD329" s="66">
        <f t="shared" ca="1" si="165"/>
        <v>0</v>
      </c>
      <c r="BE329" s="71">
        <f t="shared" ca="1" si="171"/>
        <v>0</v>
      </c>
      <c r="BF329" s="65">
        <f t="shared" ca="1" si="166"/>
        <v>0</v>
      </c>
      <c r="BG329" s="69">
        <f t="shared" ca="1" si="167"/>
        <v>0</v>
      </c>
      <c r="BH329" s="301">
        <f t="shared" ca="1" si="170"/>
        <v>0</v>
      </c>
      <c r="BI329" s="300">
        <f ca="1">IF(AO329&gt;TartamVálasztott,0,   (BI328+BH329)*(1+yields!$D$2)*(1-(0.0099/12)))</f>
        <v>0</v>
      </c>
      <c r="BJ329" s="300">
        <f ca="1">SUM(BH$6:BH329)*-1.2</f>
        <v>-862056.26733480149</v>
      </c>
      <c r="BK329" s="300">
        <f t="shared" ca="1" si="151"/>
        <v>-862056.26733480149</v>
      </c>
      <c r="BL329" s="28">
        <f t="shared" ca="1" si="149"/>
        <v>2044</v>
      </c>
      <c r="BM329" s="28">
        <f t="shared" ca="1" si="172"/>
        <v>1</v>
      </c>
      <c r="BN329" s="236">
        <f t="shared" ca="1" si="173"/>
        <v>0</v>
      </c>
      <c r="BO329" s="236">
        <f t="shared" ca="1" si="168"/>
        <v>0</v>
      </c>
    </row>
    <row r="330" spans="41:67" x14ac:dyDescent="0.25">
      <c r="AO330" s="28">
        <f t="shared" si="152"/>
        <v>28</v>
      </c>
      <c r="AP330" s="28">
        <f t="shared" si="153"/>
        <v>1</v>
      </c>
      <c r="AQ330" s="65">
        <f t="shared" ca="1" si="169"/>
        <v>0</v>
      </c>
      <c r="AR330" s="66">
        <f t="shared" ca="1" si="154"/>
        <v>0</v>
      </c>
      <c r="AS330" s="66">
        <f t="shared" ca="1" si="155"/>
        <v>0</v>
      </c>
      <c r="AT330" s="66">
        <f t="shared" ca="1" si="156"/>
        <v>0</v>
      </c>
      <c r="AU330" s="66">
        <f t="shared" ca="1" si="157"/>
        <v>0</v>
      </c>
      <c r="AV330" s="68">
        <f t="shared" ca="1" si="150"/>
        <v>0</v>
      </c>
      <c r="AW330" s="65">
        <f t="shared" ca="1" si="158"/>
        <v>0</v>
      </c>
      <c r="AX330" s="69">
        <f t="shared" ca="1" si="159"/>
        <v>0</v>
      </c>
      <c r="AY330" s="70">
        <f t="shared" ca="1" si="160"/>
        <v>0</v>
      </c>
      <c r="AZ330" s="66">
        <f t="shared" ca="1" si="161"/>
        <v>0</v>
      </c>
      <c r="BA330" s="66">
        <f t="shared" ca="1" si="162"/>
        <v>0</v>
      </c>
      <c r="BB330" s="66">
        <f t="shared" ca="1" si="163"/>
        <v>0</v>
      </c>
      <c r="BC330" s="66">
        <f t="shared" ca="1" si="164"/>
        <v>0</v>
      </c>
      <c r="BD330" s="66">
        <f t="shared" ca="1" si="165"/>
        <v>0</v>
      </c>
      <c r="BE330" s="71">
        <f t="shared" ca="1" si="171"/>
        <v>0</v>
      </c>
      <c r="BF330" s="65">
        <f t="shared" ca="1" si="166"/>
        <v>0</v>
      </c>
      <c r="BG330" s="69">
        <f t="shared" ca="1" si="167"/>
        <v>0</v>
      </c>
      <c r="BH330" s="301">
        <f t="shared" ca="1" si="170"/>
        <v>0</v>
      </c>
      <c r="BI330" s="300">
        <f ca="1">IF(AO330&gt;TartamVálasztott,0,   (BI329+BH330)*(1+yields!$D$2)*(1-(0.0099/12)))</f>
        <v>0</v>
      </c>
      <c r="BJ330" s="300">
        <f ca="1">SUM(BH$6:BH330)*-1.2</f>
        <v>-862056.26733480149</v>
      </c>
      <c r="BK330" s="300">
        <f t="shared" ca="1" si="151"/>
        <v>-862056.26733480149</v>
      </c>
      <c r="BL330" s="28">
        <f t="shared" ca="1" si="149"/>
        <v>2044</v>
      </c>
      <c r="BM330" s="28">
        <f t="shared" ca="1" si="172"/>
        <v>2</v>
      </c>
      <c r="BN330" s="236">
        <f t="shared" ca="1" si="173"/>
        <v>0</v>
      </c>
      <c r="BO330" s="236">
        <f t="shared" ca="1" si="168"/>
        <v>0</v>
      </c>
    </row>
    <row r="331" spans="41:67" x14ac:dyDescent="0.25">
      <c r="AO331" s="28">
        <f t="shared" si="152"/>
        <v>28</v>
      </c>
      <c r="AP331" s="28">
        <f t="shared" si="153"/>
        <v>2</v>
      </c>
      <c r="AQ331" s="65">
        <f t="shared" ca="1" si="169"/>
        <v>0</v>
      </c>
      <c r="AR331" s="66">
        <f t="shared" ca="1" si="154"/>
        <v>0</v>
      </c>
      <c r="AS331" s="66">
        <f t="shared" ca="1" si="155"/>
        <v>0</v>
      </c>
      <c r="AT331" s="66">
        <f t="shared" ca="1" si="156"/>
        <v>0</v>
      </c>
      <c r="AU331" s="66">
        <f t="shared" ca="1" si="157"/>
        <v>0</v>
      </c>
      <c r="AV331" s="68">
        <f t="shared" ca="1" si="150"/>
        <v>0</v>
      </c>
      <c r="AW331" s="65">
        <f t="shared" ca="1" si="158"/>
        <v>0</v>
      </c>
      <c r="AX331" s="69">
        <f t="shared" ca="1" si="159"/>
        <v>0</v>
      </c>
      <c r="AY331" s="70">
        <f t="shared" ca="1" si="160"/>
        <v>0</v>
      </c>
      <c r="AZ331" s="66">
        <f t="shared" ca="1" si="161"/>
        <v>0</v>
      </c>
      <c r="BA331" s="66">
        <f t="shared" ca="1" si="162"/>
        <v>0</v>
      </c>
      <c r="BB331" s="66">
        <f t="shared" ca="1" si="163"/>
        <v>0</v>
      </c>
      <c r="BC331" s="66">
        <f t="shared" ca="1" si="164"/>
        <v>0</v>
      </c>
      <c r="BD331" s="66">
        <f t="shared" ca="1" si="165"/>
        <v>0</v>
      </c>
      <c r="BE331" s="71">
        <f t="shared" ca="1" si="171"/>
        <v>0</v>
      </c>
      <c r="BF331" s="65">
        <f t="shared" ca="1" si="166"/>
        <v>0</v>
      </c>
      <c r="BG331" s="69">
        <f t="shared" ca="1" si="167"/>
        <v>0</v>
      </c>
      <c r="BH331" s="301">
        <f t="shared" ca="1" si="170"/>
        <v>0</v>
      </c>
      <c r="BI331" s="300">
        <f ca="1">IF(AO331&gt;TartamVálasztott,0,   (BI330+BH331)*(1+yields!$D$2)*(1-(0.0099/12)))</f>
        <v>0</v>
      </c>
      <c r="BJ331" s="300">
        <f ca="1">SUM(BH$6:BH331)*-1.2</f>
        <v>-862056.26733480149</v>
      </c>
      <c r="BK331" s="300">
        <f t="shared" ca="1" si="151"/>
        <v>-862056.26733480149</v>
      </c>
      <c r="BL331" s="28">
        <f t="shared" ca="1" si="149"/>
        <v>2044</v>
      </c>
      <c r="BM331" s="28">
        <f t="shared" ca="1" si="172"/>
        <v>3</v>
      </c>
      <c r="BN331" s="236">
        <f t="shared" ca="1" si="173"/>
        <v>0</v>
      </c>
      <c r="BO331" s="236">
        <f t="shared" ca="1" si="168"/>
        <v>0</v>
      </c>
    </row>
    <row r="332" spans="41:67" x14ac:dyDescent="0.25">
      <c r="AO332" s="28">
        <f t="shared" si="152"/>
        <v>28</v>
      </c>
      <c r="AP332" s="28">
        <f t="shared" si="153"/>
        <v>3</v>
      </c>
      <c r="AQ332" s="65">
        <f t="shared" ca="1" si="169"/>
        <v>0</v>
      </c>
      <c r="AR332" s="66">
        <f t="shared" ca="1" si="154"/>
        <v>0</v>
      </c>
      <c r="AS332" s="66">
        <f t="shared" ca="1" si="155"/>
        <v>0</v>
      </c>
      <c r="AT332" s="66">
        <f t="shared" ca="1" si="156"/>
        <v>0</v>
      </c>
      <c r="AU332" s="66">
        <f t="shared" ca="1" si="157"/>
        <v>0</v>
      </c>
      <c r="AV332" s="68">
        <f t="shared" ca="1" si="150"/>
        <v>0</v>
      </c>
      <c r="AW332" s="65">
        <f t="shared" ca="1" si="158"/>
        <v>0</v>
      </c>
      <c r="AX332" s="69">
        <f t="shared" ca="1" si="159"/>
        <v>0</v>
      </c>
      <c r="AY332" s="70">
        <f t="shared" ca="1" si="160"/>
        <v>0</v>
      </c>
      <c r="AZ332" s="66">
        <f t="shared" ca="1" si="161"/>
        <v>0</v>
      </c>
      <c r="BA332" s="66">
        <f t="shared" ca="1" si="162"/>
        <v>0</v>
      </c>
      <c r="BB332" s="66">
        <f t="shared" ca="1" si="163"/>
        <v>0</v>
      </c>
      <c r="BC332" s="66">
        <f t="shared" ca="1" si="164"/>
        <v>0</v>
      </c>
      <c r="BD332" s="66">
        <f t="shared" ca="1" si="165"/>
        <v>0</v>
      </c>
      <c r="BE332" s="71">
        <f t="shared" ca="1" si="171"/>
        <v>0</v>
      </c>
      <c r="BF332" s="65">
        <f t="shared" ca="1" si="166"/>
        <v>0</v>
      </c>
      <c r="BG332" s="69">
        <f t="shared" ca="1" si="167"/>
        <v>0</v>
      </c>
      <c r="BH332" s="301">
        <f t="shared" ca="1" si="170"/>
        <v>0</v>
      </c>
      <c r="BI332" s="300">
        <f ca="1">IF(AO332&gt;TartamVálasztott,0,   (BI331+BH332)*(1+yields!$D$2)*(1-(0.0099/12)))</f>
        <v>0</v>
      </c>
      <c r="BJ332" s="300">
        <f ca="1">SUM(BH$6:BH332)*-1.2</f>
        <v>-862056.26733480149</v>
      </c>
      <c r="BK332" s="300">
        <f t="shared" ca="1" si="151"/>
        <v>-862056.26733480149</v>
      </c>
      <c r="BL332" s="28">
        <f t="shared" ca="1" si="149"/>
        <v>2044</v>
      </c>
      <c r="BM332" s="28">
        <f t="shared" ca="1" si="172"/>
        <v>4</v>
      </c>
      <c r="BN332" s="236">
        <f t="shared" ca="1" si="173"/>
        <v>0</v>
      </c>
      <c r="BO332" s="236">
        <f t="shared" ca="1" si="168"/>
        <v>0</v>
      </c>
    </row>
    <row r="333" spans="41:67" x14ac:dyDescent="0.25">
      <c r="AO333" s="28">
        <f t="shared" si="152"/>
        <v>28</v>
      </c>
      <c r="AP333" s="28">
        <f t="shared" si="153"/>
        <v>4</v>
      </c>
      <c r="AQ333" s="65">
        <f t="shared" ca="1" si="169"/>
        <v>0</v>
      </c>
      <c r="AR333" s="66">
        <f t="shared" ca="1" si="154"/>
        <v>0</v>
      </c>
      <c r="AS333" s="66">
        <f t="shared" ca="1" si="155"/>
        <v>0</v>
      </c>
      <c r="AT333" s="66">
        <f t="shared" ca="1" si="156"/>
        <v>0</v>
      </c>
      <c r="AU333" s="66">
        <f t="shared" ca="1" si="157"/>
        <v>0</v>
      </c>
      <c r="AV333" s="68">
        <f t="shared" ca="1" si="150"/>
        <v>0</v>
      </c>
      <c r="AW333" s="65">
        <f t="shared" ca="1" si="158"/>
        <v>0</v>
      </c>
      <c r="AX333" s="69">
        <f t="shared" ca="1" si="159"/>
        <v>0</v>
      </c>
      <c r="AY333" s="70">
        <f t="shared" ca="1" si="160"/>
        <v>0</v>
      </c>
      <c r="AZ333" s="66">
        <f t="shared" ca="1" si="161"/>
        <v>0</v>
      </c>
      <c r="BA333" s="66">
        <f t="shared" ca="1" si="162"/>
        <v>0</v>
      </c>
      <c r="BB333" s="66">
        <f t="shared" ca="1" si="163"/>
        <v>0</v>
      </c>
      <c r="BC333" s="66">
        <f t="shared" ca="1" si="164"/>
        <v>0</v>
      </c>
      <c r="BD333" s="66">
        <f t="shared" ca="1" si="165"/>
        <v>0</v>
      </c>
      <c r="BE333" s="71">
        <f t="shared" ca="1" si="171"/>
        <v>0</v>
      </c>
      <c r="BF333" s="65">
        <f t="shared" ca="1" si="166"/>
        <v>0</v>
      </c>
      <c r="BG333" s="69">
        <f t="shared" ca="1" si="167"/>
        <v>0</v>
      </c>
      <c r="BH333" s="301">
        <f t="shared" ca="1" si="170"/>
        <v>0</v>
      </c>
      <c r="BI333" s="300">
        <f ca="1">IF(AO333&gt;TartamVálasztott,0,   (BI332+BH333)*(1+yields!$D$2)*(1-(0.0099/12)))</f>
        <v>0</v>
      </c>
      <c r="BJ333" s="300">
        <f ca="1">SUM(BH$6:BH333)*-1.2</f>
        <v>-862056.26733480149</v>
      </c>
      <c r="BK333" s="300">
        <f t="shared" ca="1" si="151"/>
        <v>-862056.26733480149</v>
      </c>
      <c r="BL333" s="28">
        <f t="shared" ca="1" si="149"/>
        <v>2044</v>
      </c>
      <c r="BM333" s="28">
        <f t="shared" ca="1" si="172"/>
        <v>5</v>
      </c>
      <c r="BN333" s="236">
        <f t="shared" ca="1" si="173"/>
        <v>0</v>
      </c>
      <c r="BO333" s="236">
        <f t="shared" ca="1" si="168"/>
        <v>0</v>
      </c>
    </row>
    <row r="334" spans="41:67" x14ac:dyDescent="0.25">
      <c r="AO334" s="28">
        <f t="shared" si="152"/>
        <v>28</v>
      </c>
      <c r="AP334" s="28">
        <f t="shared" si="153"/>
        <v>5</v>
      </c>
      <c r="AQ334" s="65">
        <f t="shared" ca="1" si="169"/>
        <v>0</v>
      </c>
      <c r="AR334" s="66">
        <f t="shared" ca="1" si="154"/>
        <v>0</v>
      </c>
      <c r="AS334" s="66">
        <f t="shared" ca="1" si="155"/>
        <v>0</v>
      </c>
      <c r="AT334" s="66">
        <f t="shared" ca="1" si="156"/>
        <v>0</v>
      </c>
      <c r="AU334" s="66">
        <f t="shared" ca="1" si="157"/>
        <v>0</v>
      </c>
      <c r="AV334" s="68">
        <f t="shared" ca="1" si="150"/>
        <v>0</v>
      </c>
      <c r="AW334" s="65">
        <f t="shared" ca="1" si="158"/>
        <v>0</v>
      </c>
      <c r="AX334" s="69">
        <f t="shared" ca="1" si="159"/>
        <v>0</v>
      </c>
      <c r="AY334" s="70">
        <f t="shared" ca="1" si="160"/>
        <v>0</v>
      </c>
      <c r="AZ334" s="66">
        <f t="shared" ca="1" si="161"/>
        <v>0</v>
      </c>
      <c r="BA334" s="66">
        <f t="shared" ca="1" si="162"/>
        <v>0</v>
      </c>
      <c r="BB334" s="66">
        <f t="shared" ca="1" si="163"/>
        <v>0</v>
      </c>
      <c r="BC334" s="66">
        <f t="shared" ca="1" si="164"/>
        <v>0</v>
      </c>
      <c r="BD334" s="66">
        <f t="shared" ca="1" si="165"/>
        <v>0</v>
      </c>
      <c r="BE334" s="71">
        <f t="shared" ca="1" si="171"/>
        <v>0</v>
      </c>
      <c r="BF334" s="65">
        <f t="shared" ca="1" si="166"/>
        <v>0</v>
      </c>
      <c r="BG334" s="69">
        <f t="shared" ca="1" si="167"/>
        <v>0</v>
      </c>
      <c r="BH334" s="301">
        <f t="shared" ca="1" si="170"/>
        <v>0</v>
      </c>
      <c r="BI334" s="300">
        <f ca="1">IF(AO334&gt;TartamVálasztott,0,   (BI333+BH334)*(1+yields!$D$2)*(1-(0.0099/12)))</f>
        <v>0</v>
      </c>
      <c r="BJ334" s="300">
        <f ca="1">SUM(BH$6:BH334)*-1.2</f>
        <v>-862056.26733480149</v>
      </c>
      <c r="BK334" s="300">
        <f t="shared" ca="1" si="151"/>
        <v>-862056.26733480149</v>
      </c>
      <c r="BL334" s="28">
        <f t="shared" ca="1" si="149"/>
        <v>2044</v>
      </c>
      <c r="BM334" s="28">
        <f t="shared" ca="1" si="172"/>
        <v>6</v>
      </c>
      <c r="BN334" s="236">
        <f t="shared" ca="1" si="173"/>
        <v>0</v>
      </c>
      <c r="BO334" s="236">
        <f t="shared" ca="1" si="168"/>
        <v>0</v>
      </c>
    </row>
    <row r="335" spans="41:67" x14ac:dyDescent="0.25">
      <c r="AO335" s="28">
        <f t="shared" si="152"/>
        <v>28</v>
      </c>
      <c r="AP335" s="28">
        <f t="shared" si="153"/>
        <v>6</v>
      </c>
      <c r="AQ335" s="65">
        <f t="shared" ca="1" si="169"/>
        <v>0</v>
      </c>
      <c r="AR335" s="66">
        <f t="shared" ca="1" si="154"/>
        <v>0</v>
      </c>
      <c r="AS335" s="66">
        <f t="shared" ca="1" si="155"/>
        <v>0</v>
      </c>
      <c r="AT335" s="66">
        <f t="shared" ca="1" si="156"/>
        <v>0</v>
      </c>
      <c r="AU335" s="66">
        <f t="shared" ca="1" si="157"/>
        <v>0</v>
      </c>
      <c r="AV335" s="68">
        <f t="shared" ca="1" si="150"/>
        <v>0</v>
      </c>
      <c r="AW335" s="65">
        <f t="shared" ca="1" si="158"/>
        <v>0</v>
      </c>
      <c r="AX335" s="69">
        <f t="shared" ca="1" si="159"/>
        <v>0</v>
      </c>
      <c r="AY335" s="70">
        <f t="shared" ca="1" si="160"/>
        <v>0</v>
      </c>
      <c r="AZ335" s="66">
        <f t="shared" ca="1" si="161"/>
        <v>0</v>
      </c>
      <c r="BA335" s="66">
        <f t="shared" ca="1" si="162"/>
        <v>0</v>
      </c>
      <c r="BB335" s="66">
        <f t="shared" ca="1" si="163"/>
        <v>0</v>
      </c>
      <c r="BC335" s="66">
        <f t="shared" ca="1" si="164"/>
        <v>0</v>
      </c>
      <c r="BD335" s="66">
        <f t="shared" ca="1" si="165"/>
        <v>0</v>
      </c>
      <c r="BE335" s="71">
        <f t="shared" ca="1" si="171"/>
        <v>0</v>
      </c>
      <c r="BF335" s="65">
        <f t="shared" ca="1" si="166"/>
        <v>0</v>
      </c>
      <c r="BG335" s="69">
        <f t="shared" ca="1" si="167"/>
        <v>0</v>
      </c>
      <c r="BH335" s="301">
        <f t="shared" ca="1" si="170"/>
        <v>0</v>
      </c>
      <c r="BI335" s="300">
        <f ca="1">IF(AO335&gt;TartamVálasztott,0,   (BI334+BH335)*(1+yields!$D$2)*(1-(0.0099/12)))</f>
        <v>0</v>
      </c>
      <c r="BJ335" s="300">
        <f ca="1">SUM(BH$6:BH335)*-1.2</f>
        <v>-862056.26733480149</v>
      </c>
      <c r="BK335" s="300">
        <f t="shared" ca="1" si="151"/>
        <v>-862056.26733480149</v>
      </c>
      <c r="BL335" s="28">
        <f t="shared" ca="1" si="149"/>
        <v>2044</v>
      </c>
      <c r="BM335" s="28">
        <f t="shared" ca="1" si="172"/>
        <v>7</v>
      </c>
      <c r="BN335" s="236">
        <f t="shared" ca="1" si="173"/>
        <v>0</v>
      </c>
      <c r="BO335" s="236">
        <f t="shared" ca="1" si="168"/>
        <v>0</v>
      </c>
    </row>
    <row r="336" spans="41:67" x14ac:dyDescent="0.25">
      <c r="AO336" s="28">
        <f t="shared" si="152"/>
        <v>28</v>
      </c>
      <c r="AP336" s="28">
        <f t="shared" si="153"/>
        <v>7</v>
      </c>
      <c r="AQ336" s="65">
        <f t="shared" ca="1" si="169"/>
        <v>0</v>
      </c>
      <c r="AR336" s="66">
        <f t="shared" ca="1" si="154"/>
        <v>0</v>
      </c>
      <c r="AS336" s="66">
        <f t="shared" ca="1" si="155"/>
        <v>0</v>
      </c>
      <c r="AT336" s="66">
        <f t="shared" ca="1" si="156"/>
        <v>0</v>
      </c>
      <c r="AU336" s="66">
        <f t="shared" ca="1" si="157"/>
        <v>0</v>
      </c>
      <c r="AV336" s="68">
        <f t="shared" ca="1" si="150"/>
        <v>0</v>
      </c>
      <c r="AW336" s="65">
        <f t="shared" ca="1" si="158"/>
        <v>0</v>
      </c>
      <c r="AX336" s="69">
        <f t="shared" ca="1" si="159"/>
        <v>0</v>
      </c>
      <c r="AY336" s="70">
        <f t="shared" ca="1" si="160"/>
        <v>0</v>
      </c>
      <c r="AZ336" s="66">
        <f t="shared" ca="1" si="161"/>
        <v>0</v>
      </c>
      <c r="BA336" s="66">
        <f t="shared" ca="1" si="162"/>
        <v>0</v>
      </c>
      <c r="BB336" s="66">
        <f t="shared" ca="1" si="163"/>
        <v>0</v>
      </c>
      <c r="BC336" s="66">
        <f t="shared" ca="1" si="164"/>
        <v>0</v>
      </c>
      <c r="BD336" s="66">
        <f t="shared" ca="1" si="165"/>
        <v>0</v>
      </c>
      <c r="BE336" s="71">
        <f t="shared" ca="1" si="171"/>
        <v>0</v>
      </c>
      <c r="BF336" s="65">
        <f t="shared" ca="1" si="166"/>
        <v>0</v>
      </c>
      <c r="BG336" s="69">
        <f t="shared" ca="1" si="167"/>
        <v>0</v>
      </c>
      <c r="BH336" s="301">
        <f t="shared" ca="1" si="170"/>
        <v>0</v>
      </c>
      <c r="BI336" s="300">
        <f ca="1">IF(AO336&gt;TartamVálasztott,0,   (BI335+BH336)*(1+yields!$D$2)*(1-(0.0099/12)))</f>
        <v>0</v>
      </c>
      <c r="BJ336" s="300">
        <f ca="1">SUM(BH$6:BH336)*-1.2</f>
        <v>-862056.26733480149</v>
      </c>
      <c r="BK336" s="300">
        <f t="shared" ca="1" si="151"/>
        <v>-862056.26733480149</v>
      </c>
      <c r="BL336" s="28">
        <f t="shared" ca="1" si="149"/>
        <v>2044</v>
      </c>
      <c r="BM336" s="28">
        <f t="shared" ca="1" si="172"/>
        <v>8</v>
      </c>
      <c r="BN336" s="236">
        <f t="shared" ca="1" si="173"/>
        <v>0</v>
      </c>
      <c r="BO336" s="236">
        <f t="shared" ca="1" si="168"/>
        <v>0</v>
      </c>
    </row>
    <row r="337" spans="41:67" x14ac:dyDescent="0.25">
      <c r="AO337" s="28">
        <f t="shared" si="152"/>
        <v>28</v>
      </c>
      <c r="AP337" s="28">
        <f t="shared" si="153"/>
        <v>8</v>
      </c>
      <c r="AQ337" s="65">
        <f t="shared" ca="1" si="169"/>
        <v>0</v>
      </c>
      <c r="AR337" s="66">
        <f t="shared" ca="1" si="154"/>
        <v>0</v>
      </c>
      <c r="AS337" s="66">
        <f t="shared" ca="1" si="155"/>
        <v>0</v>
      </c>
      <c r="AT337" s="66">
        <f t="shared" ca="1" si="156"/>
        <v>0</v>
      </c>
      <c r="AU337" s="66">
        <f t="shared" ca="1" si="157"/>
        <v>0</v>
      </c>
      <c r="AV337" s="68">
        <f t="shared" ca="1" si="150"/>
        <v>0</v>
      </c>
      <c r="AW337" s="65">
        <f t="shared" ca="1" si="158"/>
        <v>0</v>
      </c>
      <c r="AX337" s="69">
        <f t="shared" ca="1" si="159"/>
        <v>0</v>
      </c>
      <c r="AY337" s="70">
        <f t="shared" ca="1" si="160"/>
        <v>0</v>
      </c>
      <c r="AZ337" s="66">
        <f t="shared" ca="1" si="161"/>
        <v>0</v>
      </c>
      <c r="BA337" s="66">
        <f t="shared" ca="1" si="162"/>
        <v>0</v>
      </c>
      <c r="BB337" s="66">
        <f t="shared" ca="1" si="163"/>
        <v>0</v>
      </c>
      <c r="BC337" s="66">
        <f t="shared" ca="1" si="164"/>
        <v>0</v>
      </c>
      <c r="BD337" s="66">
        <f t="shared" ca="1" si="165"/>
        <v>0</v>
      </c>
      <c r="BE337" s="71">
        <f t="shared" ca="1" si="171"/>
        <v>0</v>
      </c>
      <c r="BF337" s="65">
        <f t="shared" ca="1" si="166"/>
        <v>0</v>
      </c>
      <c r="BG337" s="69">
        <f t="shared" ca="1" si="167"/>
        <v>0</v>
      </c>
      <c r="BH337" s="301">
        <f t="shared" ca="1" si="170"/>
        <v>0</v>
      </c>
      <c r="BI337" s="300">
        <f ca="1">IF(AO337&gt;TartamVálasztott,0,   (BI336+BH337)*(1+yields!$D$2)*(1-(0.0099/12)))</f>
        <v>0</v>
      </c>
      <c r="BJ337" s="300">
        <f ca="1">SUM(BH$6:BH337)*-1.2</f>
        <v>-862056.26733480149</v>
      </c>
      <c r="BK337" s="300">
        <f t="shared" ca="1" si="151"/>
        <v>-862056.26733480149</v>
      </c>
      <c r="BL337" s="28">
        <f t="shared" ca="1" si="149"/>
        <v>2044</v>
      </c>
      <c r="BM337" s="28">
        <f t="shared" ca="1" si="172"/>
        <v>9</v>
      </c>
      <c r="BN337" s="236">
        <f t="shared" ca="1" si="173"/>
        <v>0</v>
      </c>
      <c r="BO337" s="236">
        <f t="shared" ca="1" si="168"/>
        <v>0</v>
      </c>
    </row>
    <row r="338" spans="41:67" x14ac:dyDescent="0.25">
      <c r="AO338" s="28">
        <f t="shared" si="152"/>
        <v>28</v>
      </c>
      <c r="AP338" s="28">
        <f t="shared" si="153"/>
        <v>9</v>
      </c>
      <c r="AQ338" s="65">
        <f t="shared" ca="1" si="169"/>
        <v>0</v>
      </c>
      <c r="AR338" s="66">
        <f t="shared" ca="1" si="154"/>
        <v>0</v>
      </c>
      <c r="AS338" s="66">
        <f t="shared" ca="1" si="155"/>
        <v>0</v>
      </c>
      <c r="AT338" s="66">
        <f t="shared" ca="1" si="156"/>
        <v>0</v>
      </c>
      <c r="AU338" s="66">
        <f t="shared" ca="1" si="157"/>
        <v>0</v>
      </c>
      <c r="AV338" s="68">
        <f t="shared" ca="1" si="150"/>
        <v>0</v>
      </c>
      <c r="AW338" s="65">
        <f t="shared" ca="1" si="158"/>
        <v>0</v>
      </c>
      <c r="AX338" s="69">
        <f t="shared" ca="1" si="159"/>
        <v>0</v>
      </c>
      <c r="AY338" s="70">
        <f t="shared" ca="1" si="160"/>
        <v>0</v>
      </c>
      <c r="AZ338" s="66">
        <f t="shared" ca="1" si="161"/>
        <v>0</v>
      </c>
      <c r="BA338" s="66">
        <f t="shared" ca="1" si="162"/>
        <v>0</v>
      </c>
      <c r="BB338" s="66">
        <f t="shared" ca="1" si="163"/>
        <v>0</v>
      </c>
      <c r="BC338" s="66">
        <f t="shared" ca="1" si="164"/>
        <v>0</v>
      </c>
      <c r="BD338" s="66">
        <f t="shared" ca="1" si="165"/>
        <v>0</v>
      </c>
      <c r="BE338" s="71">
        <f t="shared" ca="1" si="171"/>
        <v>0</v>
      </c>
      <c r="BF338" s="65">
        <f t="shared" ca="1" si="166"/>
        <v>0</v>
      </c>
      <c r="BG338" s="69">
        <f t="shared" ca="1" si="167"/>
        <v>0</v>
      </c>
      <c r="BH338" s="301">
        <f t="shared" ca="1" si="170"/>
        <v>0</v>
      </c>
      <c r="BI338" s="300">
        <f ca="1">IF(AO338&gt;TartamVálasztott,0,   (BI337+BH338)*(1+yields!$D$2)*(1-(0.0099/12)))</f>
        <v>0</v>
      </c>
      <c r="BJ338" s="300">
        <f ca="1">SUM(BH$6:BH338)*-1.2</f>
        <v>-862056.26733480149</v>
      </c>
      <c r="BK338" s="300">
        <f t="shared" ca="1" si="151"/>
        <v>-862056.26733480149</v>
      </c>
      <c r="BL338" s="28">
        <f t="shared" ref="BL338:BL401" ca="1" si="174">IF(BM337=12,BL337+1,BL337)</f>
        <v>2044</v>
      </c>
      <c r="BM338" s="28">
        <f t="shared" ca="1" si="172"/>
        <v>10</v>
      </c>
      <c r="BN338" s="236">
        <f t="shared" ca="1" si="173"/>
        <v>0</v>
      </c>
      <c r="BO338" s="236">
        <f t="shared" ca="1" si="168"/>
        <v>0</v>
      </c>
    </row>
    <row r="339" spans="41:67" x14ac:dyDescent="0.25">
      <c r="AO339" s="28">
        <f t="shared" si="152"/>
        <v>28</v>
      </c>
      <c r="AP339" s="28">
        <f t="shared" si="153"/>
        <v>10</v>
      </c>
      <c r="AQ339" s="65">
        <f t="shared" ca="1" si="169"/>
        <v>0</v>
      </c>
      <c r="AR339" s="66">
        <f t="shared" ca="1" si="154"/>
        <v>0</v>
      </c>
      <c r="AS339" s="66">
        <f t="shared" ca="1" si="155"/>
        <v>0</v>
      </c>
      <c r="AT339" s="66">
        <f t="shared" ca="1" si="156"/>
        <v>0</v>
      </c>
      <c r="AU339" s="66">
        <f t="shared" ca="1" si="157"/>
        <v>0</v>
      </c>
      <c r="AV339" s="68">
        <f t="shared" ref="AV339:AV402" ca="1" si="175">IF( ($AO339*12+$AP339) &gt; (12*(Term+1) ), 0,
($AT339-$AW339) +$AU339
)</f>
        <v>0</v>
      </c>
      <c r="AW339" s="65">
        <f t="shared" ca="1" si="158"/>
        <v>0</v>
      </c>
      <c r="AX339" s="69">
        <f t="shared" ca="1" si="159"/>
        <v>0</v>
      </c>
      <c r="AY339" s="70">
        <f t="shared" ca="1" si="160"/>
        <v>0</v>
      </c>
      <c r="AZ339" s="66">
        <f t="shared" ca="1" si="161"/>
        <v>0</v>
      </c>
      <c r="BA339" s="66">
        <f t="shared" ca="1" si="162"/>
        <v>0</v>
      </c>
      <c r="BB339" s="66">
        <f t="shared" ca="1" si="163"/>
        <v>0</v>
      </c>
      <c r="BC339" s="66">
        <f t="shared" ca="1" si="164"/>
        <v>0</v>
      </c>
      <c r="BD339" s="66">
        <f t="shared" ca="1" si="165"/>
        <v>0</v>
      </c>
      <c r="BE339" s="71">
        <f t="shared" ca="1" si="171"/>
        <v>0</v>
      </c>
      <c r="BF339" s="65">
        <f t="shared" ca="1" si="166"/>
        <v>0</v>
      </c>
      <c r="BG339" s="69">
        <f t="shared" ca="1" si="167"/>
        <v>0</v>
      </c>
      <c r="BH339" s="301">
        <f t="shared" ca="1" si="170"/>
        <v>0</v>
      </c>
      <c r="BI339" s="300">
        <f ca="1">IF(AO339&gt;TartamVálasztott,0,   (BI338+BH339)*(1+yields!$D$2)*(1-(0.0099/12)))</f>
        <v>0</v>
      </c>
      <c r="BJ339" s="300">
        <f ca="1">SUM(BH$6:BH339)*-1.2</f>
        <v>-862056.26733480149</v>
      </c>
      <c r="BK339" s="300">
        <f t="shared" ca="1" si="151"/>
        <v>-862056.26733480149</v>
      </c>
      <c r="BL339" s="28">
        <f t="shared" ca="1" si="174"/>
        <v>2044</v>
      </c>
      <c r="BM339" s="28">
        <f t="shared" ca="1" si="172"/>
        <v>11</v>
      </c>
      <c r="BN339" s="236">
        <f t="shared" ca="1" si="173"/>
        <v>0</v>
      </c>
      <c r="BO339" s="236">
        <f t="shared" ca="1" si="168"/>
        <v>0</v>
      </c>
    </row>
    <row r="340" spans="41:67" x14ac:dyDescent="0.25">
      <c r="AO340" s="28">
        <f t="shared" si="152"/>
        <v>28</v>
      </c>
      <c r="AP340" s="28">
        <f t="shared" si="153"/>
        <v>11</v>
      </c>
      <c r="AQ340" s="65">
        <f t="shared" ca="1" si="169"/>
        <v>0</v>
      </c>
      <c r="AR340" s="66">
        <f t="shared" ca="1" si="154"/>
        <v>0</v>
      </c>
      <c r="AS340" s="66">
        <f t="shared" ca="1" si="155"/>
        <v>0</v>
      </c>
      <c r="AT340" s="66">
        <f t="shared" ca="1" si="156"/>
        <v>0</v>
      </c>
      <c r="AU340" s="66">
        <f t="shared" ca="1" si="157"/>
        <v>0</v>
      </c>
      <c r="AV340" s="68">
        <f t="shared" ca="1" si="175"/>
        <v>0</v>
      </c>
      <c r="AW340" s="65">
        <f t="shared" ca="1" si="158"/>
        <v>0</v>
      </c>
      <c r="AX340" s="69">
        <f t="shared" ca="1" si="159"/>
        <v>0</v>
      </c>
      <c r="AY340" s="70">
        <f t="shared" ca="1" si="160"/>
        <v>0</v>
      </c>
      <c r="AZ340" s="66">
        <f t="shared" ca="1" si="161"/>
        <v>0</v>
      </c>
      <c r="BA340" s="66">
        <f t="shared" ca="1" si="162"/>
        <v>0</v>
      </c>
      <c r="BB340" s="66">
        <f t="shared" ca="1" si="163"/>
        <v>0</v>
      </c>
      <c r="BC340" s="66">
        <f t="shared" ca="1" si="164"/>
        <v>0</v>
      </c>
      <c r="BD340" s="66">
        <f t="shared" ca="1" si="165"/>
        <v>0</v>
      </c>
      <c r="BE340" s="71">
        <f t="shared" ca="1" si="171"/>
        <v>0</v>
      </c>
      <c r="BF340" s="65">
        <f t="shared" ca="1" si="166"/>
        <v>0</v>
      </c>
      <c r="BG340" s="69">
        <f t="shared" ca="1" si="167"/>
        <v>0</v>
      </c>
      <c r="BH340" s="301">
        <f t="shared" ca="1" si="170"/>
        <v>0</v>
      </c>
      <c r="BI340" s="300">
        <f ca="1">IF(AO340&gt;TartamVálasztott,0,   (BI339+BH340)*(1+yields!$D$2)*(1-(0.0099/12)))</f>
        <v>0</v>
      </c>
      <c r="BJ340" s="300">
        <f ca="1">SUM(BH$6:BH340)*-1.2</f>
        <v>-862056.26733480149</v>
      </c>
      <c r="BK340" s="300">
        <f t="shared" ca="1" si="151"/>
        <v>-862056.26733480149</v>
      </c>
      <c r="BL340" s="28">
        <f t="shared" ca="1" si="174"/>
        <v>2044</v>
      </c>
      <c r="BM340" s="28">
        <f t="shared" ca="1" si="172"/>
        <v>12</v>
      </c>
      <c r="BN340" s="236">
        <f t="shared" ca="1" si="173"/>
        <v>0</v>
      </c>
      <c r="BO340" s="236">
        <f t="shared" ca="1" si="168"/>
        <v>0</v>
      </c>
    </row>
    <row r="341" spans="41:67" x14ac:dyDescent="0.25">
      <c r="AO341" s="28">
        <f t="shared" si="152"/>
        <v>28</v>
      </c>
      <c r="AP341" s="28">
        <f t="shared" si="153"/>
        <v>12</v>
      </c>
      <c r="AQ341" s="65">
        <f t="shared" ca="1" si="169"/>
        <v>0</v>
      </c>
      <c r="AR341" s="66">
        <f t="shared" ca="1" si="154"/>
        <v>0</v>
      </c>
      <c r="AS341" s="66">
        <f t="shared" ca="1" si="155"/>
        <v>0</v>
      </c>
      <c r="AT341" s="66">
        <f t="shared" ca="1" si="156"/>
        <v>0</v>
      </c>
      <c r="AU341" s="66">
        <f t="shared" ca="1" si="157"/>
        <v>0</v>
      </c>
      <c r="AV341" s="68">
        <f t="shared" ca="1" si="175"/>
        <v>0</v>
      </c>
      <c r="AW341" s="65">
        <f t="shared" ca="1" si="158"/>
        <v>0</v>
      </c>
      <c r="AX341" s="69">
        <f t="shared" ca="1" si="159"/>
        <v>0</v>
      </c>
      <c r="AY341" s="70">
        <f t="shared" ca="1" si="160"/>
        <v>0</v>
      </c>
      <c r="AZ341" s="66">
        <f t="shared" ca="1" si="161"/>
        <v>0</v>
      </c>
      <c r="BA341" s="66">
        <f t="shared" ca="1" si="162"/>
        <v>0</v>
      </c>
      <c r="BB341" s="66">
        <f t="shared" ca="1" si="163"/>
        <v>0</v>
      </c>
      <c r="BC341" s="66">
        <f t="shared" ca="1" si="164"/>
        <v>0</v>
      </c>
      <c r="BD341" s="66">
        <f t="shared" ca="1" si="165"/>
        <v>0</v>
      </c>
      <c r="BE341" s="71">
        <f t="shared" ca="1" si="171"/>
        <v>0</v>
      </c>
      <c r="BF341" s="65">
        <f t="shared" ca="1" si="166"/>
        <v>0</v>
      </c>
      <c r="BG341" s="69">
        <f t="shared" ca="1" si="167"/>
        <v>0</v>
      </c>
      <c r="BH341" s="301">
        <f t="shared" ca="1" si="170"/>
        <v>0</v>
      </c>
      <c r="BI341" s="300">
        <f ca="1">IF(AO341&gt;TartamVálasztott,0,   (BI340+BH341)*(1+yields!$D$2)*(1-(0.0099/12)))</f>
        <v>0</v>
      </c>
      <c r="BJ341" s="300">
        <f ca="1">SUM(BH$6:BH341)*-1.2</f>
        <v>-862056.26733480149</v>
      </c>
      <c r="BK341" s="300">
        <f t="shared" ca="1" si="151"/>
        <v>-862056.26733480149</v>
      </c>
      <c r="BL341" s="28">
        <f t="shared" ca="1" si="174"/>
        <v>2045</v>
      </c>
      <c r="BM341" s="28">
        <f t="shared" ca="1" si="172"/>
        <v>1</v>
      </c>
      <c r="BN341" s="236">
        <f t="shared" ca="1" si="173"/>
        <v>0</v>
      </c>
      <c r="BO341" s="236">
        <f t="shared" ca="1" si="168"/>
        <v>0</v>
      </c>
    </row>
    <row r="342" spans="41:67" x14ac:dyDescent="0.25">
      <c r="AO342" s="28">
        <f t="shared" si="152"/>
        <v>29</v>
      </c>
      <c r="AP342" s="28">
        <f t="shared" si="153"/>
        <v>1</v>
      </c>
      <c r="AQ342" s="65">
        <f t="shared" ca="1" si="169"/>
        <v>0</v>
      </c>
      <c r="AR342" s="66">
        <f t="shared" ca="1" si="154"/>
        <v>0</v>
      </c>
      <c r="AS342" s="66">
        <f t="shared" ca="1" si="155"/>
        <v>0</v>
      </c>
      <c r="AT342" s="66">
        <f t="shared" ca="1" si="156"/>
        <v>0</v>
      </c>
      <c r="AU342" s="66">
        <f t="shared" ca="1" si="157"/>
        <v>0</v>
      </c>
      <c r="AV342" s="68">
        <f t="shared" ca="1" si="175"/>
        <v>0</v>
      </c>
      <c r="AW342" s="65">
        <f t="shared" ca="1" si="158"/>
        <v>0</v>
      </c>
      <c r="AX342" s="69">
        <f t="shared" ca="1" si="159"/>
        <v>0</v>
      </c>
      <c r="AY342" s="70">
        <f t="shared" ca="1" si="160"/>
        <v>0</v>
      </c>
      <c r="AZ342" s="66">
        <f t="shared" ca="1" si="161"/>
        <v>0</v>
      </c>
      <c r="BA342" s="66">
        <f t="shared" ca="1" si="162"/>
        <v>0</v>
      </c>
      <c r="BB342" s="66">
        <f t="shared" ca="1" si="163"/>
        <v>0</v>
      </c>
      <c r="BC342" s="66">
        <f t="shared" ca="1" si="164"/>
        <v>0</v>
      </c>
      <c r="BD342" s="66">
        <f t="shared" ca="1" si="165"/>
        <v>0</v>
      </c>
      <c r="BE342" s="71">
        <f t="shared" ca="1" si="171"/>
        <v>0</v>
      </c>
      <c r="BF342" s="65">
        <f t="shared" ca="1" si="166"/>
        <v>0</v>
      </c>
      <c r="BG342" s="69">
        <f t="shared" ca="1" si="167"/>
        <v>0</v>
      </c>
      <c r="BH342" s="301">
        <f t="shared" ca="1" si="170"/>
        <v>0</v>
      </c>
      <c r="BI342" s="300">
        <f ca="1">IF(AO342&gt;TartamVálasztott,0,   (BI341+BH342)*(1+yields!$D$2)*(1-(0.0099/12)))</f>
        <v>0</v>
      </c>
      <c r="BJ342" s="300">
        <f ca="1">SUM(BH$6:BH342)*-1.2</f>
        <v>-862056.26733480149</v>
      </c>
      <c r="BK342" s="300">
        <f t="shared" ca="1" si="151"/>
        <v>-862056.26733480149</v>
      </c>
      <c r="BL342" s="28">
        <f t="shared" ca="1" si="174"/>
        <v>2045</v>
      </c>
      <c r="BM342" s="28">
        <f t="shared" ca="1" si="172"/>
        <v>2</v>
      </c>
      <c r="BN342" s="236">
        <f t="shared" ca="1" si="173"/>
        <v>0</v>
      </c>
      <c r="BO342" s="236">
        <f t="shared" ca="1" si="168"/>
        <v>0</v>
      </c>
    </row>
    <row r="343" spans="41:67" x14ac:dyDescent="0.25">
      <c r="AO343" s="28">
        <f t="shared" si="152"/>
        <v>29</v>
      </c>
      <c r="AP343" s="28">
        <f t="shared" si="153"/>
        <v>2</v>
      </c>
      <c r="AQ343" s="65">
        <f t="shared" ca="1" si="169"/>
        <v>0</v>
      </c>
      <c r="AR343" s="66">
        <f t="shared" ca="1" si="154"/>
        <v>0</v>
      </c>
      <c r="AS343" s="66">
        <f t="shared" ca="1" si="155"/>
        <v>0</v>
      </c>
      <c r="AT343" s="66">
        <f t="shared" ca="1" si="156"/>
        <v>0</v>
      </c>
      <c r="AU343" s="66">
        <f t="shared" ca="1" si="157"/>
        <v>0</v>
      </c>
      <c r="AV343" s="68">
        <f t="shared" ca="1" si="175"/>
        <v>0</v>
      </c>
      <c r="AW343" s="65">
        <f t="shared" ca="1" si="158"/>
        <v>0</v>
      </c>
      <c r="AX343" s="69">
        <f t="shared" ca="1" si="159"/>
        <v>0</v>
      </c>
      <c r="AY343" s="70">
        <f t="shared" ca="1" si="160"/>
        <v>0</v>
      </c>
      <c r="AZ343" s="66">
        <f t="shared" ca="1" si="161"/>
        <v>0</v>
      </c>
      <c r="BA343" s="66">
        <f t="shared" ca="1" si="162"/>
        <v>0</v>
      </c>
      <c r="BB343" s="66">
        <f t="shared" ca="1" si="163"/>
        <v>0</v>
      </c>
      <c r="BC343" s="66">
        <f t="shared" ca="1" si="164"/>
        <v>0</v>
      </c>
      <c r="BD343" s="66">
        <f t="shared" ca="1" si="165"/>
        <v>0</v>
      </c>
      <c r="BE343" s="71">
        <f t="shared" ca="1" si="171"/>
        <v>0</v>
      </c>
      <c r="BF343" s="65">
        <f t="shared" ca="1" si="166"/>
        <v>0</v>
      </c>
      <c r="BG343" s="69">
        <f t="shared" ca="1" si="167"/>
        <v>0</v>
      </c>
      <c r="BH343" s="301">
        <f t="shared" ca="1" si="170"/>
        <v>0</v>
      </c>
      <c r="BI343" s="300">
        <f ca="1">IF(AO343&gt;TartamVálasztott,0,   (BI342+BH343)*(1+yields!$D$2)*(1-(0.0099/12)))</f>
        <v>0</v>
      </c>
      <c r="BJ343" s="300">
        <f ca="1">SUM(BH$6:BH343)*-1.2</f>
        <v>-862056.26733480149</v>
      </c>
      <c r="BK343" s="300">
        <f t="shared" ref="BK343:BK406" ca="1" si="176">BI343+BJ343</f>
        <v>-862056.26733480149</v>
      </c>
      <c r="BL343" s="28">
        <f t="shared" ca="1" si="174"/>
        <v>2045</v>
      </c>
      <c r="BM343" s="28">
        <f t="shared" ca="1" si="172"/>
        <v>3</v>
      </c>
      <c r="BN343" s="236">
        <f t="shared" ca="1" si="173"/>
        <v>0</v>
      </c>
      <c r="BO343" s="236">
        <f t="shared" ca="1" si="168"/>
        <v>0</v>
      </c>
    </row>
    <row r="344" spans="41:67" x14ac:dyDescent="0.25">
      <c r="AO344" s="28">
        <f t="shared" si="152"/>
        <v>29</v>
      </c>
      <c r="AP344" s="28">
        <f t="shared" si="153"/>
        <v>3</v>
      </c>
      <c r="AQ344" s="65">
        <f t="shared" ca="1" si="169"/>
        <v>0</v>
      </c>
      <c r="AR344" s="66">
        <f t="shared" ca="1" si="154"/>
        <v>0</v>
      </c>
      <c r="AS344" s="66">
        <f t="shared" ca="1" si="155"/>
        <v>0</v>
      </c>
      <c r="AT344" s="66">
        <f t="shared" ca="1" si="156"/>
        <v>0</v>
      </c>
      <c r="AU344" s="66">
        <f t="shared" ca="1" si="157"/>
        <v>0</v>
      </c>
      <c r="AV344" s="68">
        <f t="shared" ca="1" si="175"/>
        <v>0</v>
      </c>
      <c r="AW344" s="65">
        <f t="shared" ca="1" si="158"/>
        <v>0</v>
      </c>
      <c r="AX344" s="69">
        <f t="shared" ca="1" si="159"/>
        <v>0</v>
      </c>
      <c r="AY344" s="70">
        <f t="shared" ca="1" si="160"/>
        <v>0</v>
      </c>
      <c r="AZ344" s="66">
        <f t="shared" ca="1" si="161"/>
        <v>0</v>
      </c>
      <c r="BA344" s="66">
        <f t="shared" ca="1" si="162"/>
        <v>0</v>
      </c>
      <c r="BB344" s="66">
        <f t="shared" ca="1" si="163"/>
        <v>0</v>
      </c>
      <c r="BC344" s="66">
        <f t="shared" ca="1" si="164"/>
        <v>0</v>
      </c>
      <c r="BD344" s="66">
        <f t="shared" ca="1" si="165"/>
        <v>0</v>
      </c>
      <c r="BE344" s="71">
        <f t="shared" ca="1" si="171"/>
        <v>0</v>
      </c>
      <c r="BF344" s="65">
        <f t="shared" ca="1" si="166"/>
        <v>0</v>
      </c>
      <c r="BG344" s="69">
        <f t="shared" ca="1" si="167"/>
        <v>0</v>
      </c>
      <c r="BH344" s="301">
        <f t="shared" ca="1" si="170"/>
        <v>0</v>
      </c>
      <c r="BI344" s="300">
        <f ca="1">IF(AO344&gt;TartamVálasztott,0,   (BI343+BH344)*(1+yields!$D$2)*(1-(0.0099/12)))</f>
        <v>0</v>
      </c>
      <c r="BJ344" s="300">
        <f ca="1">SUM(BH$6:BH344)*-1.2</f>
        <v>-862056.26733480149</v>
      </c>
      <c r="BK344" s="300">
        <f t="shared" ca="1" si="176"/>
        <v>-862056.26733480149</v>
      </c>
      <c r="BL344" s="28">
        <f t="shared" ca="1" si="174"/>
        <v>2045</v>
      </c>
      <c r="BM344" s="28">
        <f t="shared" ca="1" si="172"/>
        <v>4</v>
      </c>
      <c r="BN344" s="236">
        <f t="shared" ca="1" si="173"/>
        <v>0</v>
      </c>
      <c r="BO344" s="236">
        <f t="shared" ca="1" si="168"/>
        <v>0</v>
      </c>
    </row>
    <row r="345" spans="41:67" x14ac:dyDescent="0.25">
      <c r="AO345" s="28">
        <f t="shared" si="152"/>
        <v>29</v>
      </c>
      <c r="AP345" s="28">
        <f t="shared" si="153"/>
        <v>4</v>
      </c>
      <c r="AQ345" s="65">
        <f t="shared" ca="1" si="169"/>
        <v>0</v>
      </c>
      <c r="AR345" s="66">
        <f t="shared" ca="1" si="154"/>
        <v>0</v>
      </c>
      <c r="AS345" s="66">
        <f t="shared" ca="1" si="155"/>
        <v>0</v>
      </c>
      <c r="AT345" s="66">
        <f t="shared" ca="1" si="156"/>
        <v>0</v>
      </c>
      <c r="AU345" s="66">
        <f t="shared" ca="1" si="157"/>
        <v>0</v>
      </c>
      <c r="AV345" s="68">
        <f t="shared" ca="1" si="175"/>
        <v>0</v>
      </c>
      <c r="AW345" s="65">
        <f t="shared" ca="1" si="158"/>
        <v>0</v>
      </c>
      <c r="AX345" s="69">
        <f t="shared" ca="1" si="159"/>
        <v>0</v>
      </c>
      <c r="AY345" s="70">
        <f t="shared" ca="1" si="160"/>
        <v>0</v>
      </c>
      <c r="AZ345" s="66">
        <f t="shared" ca="1" si="161"/>
        <v>0</v>
      </c>
      <c r="BA345" s="66">
        <f t="shared" ca="1" si="162"/>
        <v>0</v>
      </c>
      <c r="BB345" s="66">
        <f t="shared" ca="1" si="163"/>
        <v>0</v>
      </c>
      <c r="BC345" s="66">
        <f t="shared" ca="1" si="164"/>
        <v>0</v>
      </c>
      <c r="BD345" s="66">
        <f t="shared" ca="1" si="165"/>
        <v>0</v>
      </c>
      <c r="BE345" s="71">
        <f t="shared" ca="1" si="171"/>
        <v>0</v>
      </c>
      <c r="BF345" s="65">
        <f t="shared" ca="1" si="166"/>
        <v>0</v>
      </c>
      <c r="BG345" s="69">
        <f t="shared" ca="1" si="167"/>
        <v>0</v>
      </c>
      <c r="BH345" s="301">
        <f t="shared" ca="1" si="170"/>
        <v>0</v>
      </c>
      <c r="BI345" s="300">
        <f ca="1">IF(AO345&gt;TartamVálasztott,0,   (BI344+BH345)*(1+yields!$D$2)*(1-(0.0099/12)))</f>
        <v>0</v>
      </c>
      <c r="BJ345" s="300">
        <f ca="1">SUM(BH$6:BH345)*-1.2</f>
        <v>-862056.26733480149</v>
      </c>
      <c r="BK345" s="300">
        <f t="shared" ca="1" si="176"/>
        <v>-862056.26733480149</v>
      </c>
      <c r="BL345" s="28">
        <f t="shared" ca="1" si="174"/>
        <v>2045</v>
      </c>
      <c r="BM345" s="28">
        <f t="shared" ca="1" si="172"/>
        <v>5</v>
      </c>
      <c r="BN345" s="236">
        <f t="shared" ca="1" si="173"/>
        <v>0</v>
      </c>
      <c r="BO345" s="236">
        <f t="shared" ca="1" si="168"/>
        <v>0</v>
      </c>
    </row>
    <row r="346" spans="41:67" x14ac:dyDescent="0.25">
      <c r="AO346" s="28">
        <f t="shared" si="152"/>
        <v>29</v>
      </c>
      <c r="AP346" s="28">
        <f t="shared" si="153"/>
        <v>5</v>
      </c>
      <c r="AQ346" s="65">
        <f t="shared" ca="1" si="169"/>
        <v>0</v>
      </c>
      <c r="AR346" s="66">
        <f t="shared" ca="1" si="154"/>
        <v>0</v>
      </c>
      <c r="AS346" s="66">
        <f t="shared" ca="1" si="155"/>
        <v>0</v>
      </c>
      <c r="AT346" s="66">
        <f t="shared" ca="1" si="156"/>
        <v>0</v>
      </c>
      <c r="AU346" s="66">
        <f t="shared" ca="1" si="157"/>
        <v>0</v>
      </c>
      <c r="AV346" s="68">
        <f t="shared" ca="1" si="175"/>
        <v>0</v>
      </c>
      <c r="AW346" s="65">
        <f t="shared" ca="1" si="158"/>
        <v>0</v>
      </c>
      <c r="AX346" s="69">
        <f t="shared" ca="1" si="159"/>
        <v>0</v>
      </c>
      <c r="AY346" s="70">
        <f t="shared" ca="1" si="160"/>
        <v>0</v>
      </c>
      <c r="AZ346" s="66">
        <f t="shared" ca="1" si="161"/>
        <v>0</v>
      </c>
      <c r="BA346" s="66">
        <f t="shared" ca="1" si="162"/>
        <v>0</v>
      </c>
      <c r="BB346" s="66">
        <f t="shared" ca="1" si="163"/>
        <v>0</v>
      </c>
      <c r="BC346" s="66">
        <f t="shared" ca="1" si="164"/>
        <v>0</v>
      </c>
      <c r="BD346" s="66">
        <f t="shared" ca="1" si="165"/>
        <v>0</v>
      </c>
      <c r="BE346" s="71">
        <f t="shared" ca="1" si="171"/>
        <v>0</v>
      </c>
      <c r="BF346" s="65">
        <f t="shared" ca="1" si="166"/>
        <v>0</v>
      </c>
      <c r="BG346" s="69">
        <f t="shared" ca="1" si="167"/>
        <v>0</v>
      </c>
      <c r="BH346" s="301">
        <f t="shared" ca="1" si="170"/>
        <v>0</v>
      </c>
      <c r="BI346" s="300">
        <f ca="1">IF(AO346&gt;TartamVálasztott,0,   (BI345+BH346)*(1+yields!$D$2)*(1-(0.0099/12)))</f>
        <v>0</v>
      </c>
      <c r="BJ346" s="300">
        <f ca="1">SUM(BH$6:BH346)*-1.2</f>
        <v>-862056.26733480149</v>
      </c>
      <c r="BK346" s="300">
        <f t="shared" ca="1" si="176"/>
        <v>-862056.26733480149</v>
      </c>
      <c r="BL346" s="28">
        <f t="shared" ca="1" si="174"/>
        <v>2045</v>
      </c>
      <c r="BM346" s="28">
        <f t="shared" ca="1" si="172"/>
        <v>6</v>
      </c>
      <c r="BN346" s="236">
        <f t="shared" ca="1" si="173"/>
        <v>0</v>
      </c>
      <c r="BO346" s="236">
        <f t="shared" ca="1" si="168"/>
        <v>0</v>
      </c>
    </row>
    <row r="347" spans="41:67" x14ac:dyDescent="0.25">
      <c r="AO347" s="28">
        <f t="shared" si="152"/>
        <v>29</v>
      </c>
      <c r="AP347" s="28">
        <f t="shared" si="153"/>
        <v>6</v>
      </c>
      <c r="AQ347" s="65">
        <f t="shared" ca="1" si="169"/>
        <v>0</v>
      </c>
      <c r="AR347" s="66">
        <f t="shared" ca="1" si="154"/>
        <v>0</v>
      </c>
      <c r="AS347" s="66">
        <f t="shared" ca="1" si="155"/>
        <v>0</v>
      </c>
      <c r="AT347" s="66">
        <f t="shared" ca="1" si="156"/>
        <v>0</v>
      </c>
      <c r="AU347" s="66">
        <f t="shared" ca="1" si="157"/>
        <v>0</v>
      </c>
      <c r="AV347" s="68">
        <f t="shared" ca="1" si="175"/>
        <v>0</v>
      </c>
      <c r="AW347" s="65">
        <f t="shared" ca="1" si="158"/>
        <v>0</v>
      </c>
      <c r="AX347" s="69">
        <f t="shared" ca="1" si="159"/>
        <v>0</v>
      </c>
      <c r="AY347" s="70">
        <f t="shared" ca="1" si="160"/>
        <v>0</v>
      </c>
      <c r="AZ347" s="66">
        <f t="shared" ca="1" si="161"/>
        <v>0</v>
      </c>
      <c r="BA347" s="66">
        <f t="shared" ca="1" si="162"/>
        <v>0</v>
      </c>
      <c r="BB347" s="66">
        <f t="shared" ca="1" si="163"/>
        <v>0</v>
      </c>
      <c r="BC347" s="66">
        <f t="shared" ca="1" si="164"/>
        <v>0</v>
      </c>
      <c r="BD347" s="66">
        <f t="shared" ca="1" si="165"/>
        <v>0</v>
      </c>
      <c r="BE347" s="71">
        <f t="shared" ca="1" si="171"/>
        <v>0</v>
      </c>
      <c r="BF347" s="65">
        <f t="shared" ca="1" si="166"/>
        <v>0</v>
      </c>
      <c r="BG347" s="69">
        <f t="shared" ca="1" si="167"/>
        <v>0</v>
      </c>
      <c r="BH347" s="301">
        <f t="shared" ca="1" si="170"/>
        <v>0</v>
      </c>
      <c r="BI347" s="300">
        <f ca="1">IF(AO347&gt;TartamVálasztott,0,   (BI346+BH347)*(1+yields!$D$2)*(1-(0.0099/12)))</f>
        <v>0</v>
      </c>
      <c r="BJ347" s="300">
        <f ca="1">SUM(BH$6:BH347)*-1.2</f>
        <v>-862056.26733480149</v>
      </c>
      <c r="BK347" s="300">
        <f t="shared" ca="1" si="176"/>
        <v>-862056.26733480149</v>
      </c>
      <c r="BL347" s="28">
        <f t="shared" ca="1" si="174"/>
        <v>2045</v>
      </c>
      <c r="BM347" s="28">
        <f t="shared" ca="1" si="172"/>
        <v>7</v>
      </c>
      <c r="BN347" s="236">
        <f t="shared" ca="1" si="173"/>
        <v>0</v>
      </c>
      <c r="BO347" s="236">
        <f t="shared" ca="1" si="168"/>
        <v>0</v>
      </c>
    </row>
    <row r="348" spans="41:67" x14ac:dyDescent="0.25">
      <c r="AO348" s="28">
        <f t="shared" si="152"/>
        <v>29</v>
      </c>
      <c r="AP348" s="28">
        <f t="shared" si="153"/>
        <v>7</v>
      </c>
      <c r="AQ348" s="65">
        <f t="shared" ca="1" si="169"/>
        <v>0</v>
      </c>
      <c r="AR348" s="66">
        <f t="shared" ca="1" si="154"/>
        <v>0</v>
      </c>
      <c r="AS348" s="66">
        <f t="shared" ca="1" si="155"/>
        <v>0</v>
      </c>
      <c r="AT348" s="66">
        <f t="shared" ca="1" si="156"/>
        <v>0</v>
      </c>
      <c r="AU348" s="66">
        <f t="shared" ca="1" si="157"/>
        <v>0</v>
      </c>
      <c r="AV348" s="68">
        <f t="shared" ca="1" si="175"/>
        <v>0</v>
      </c>
      <c r="AW348" s="65">
        <f t="shared" ca="1" si="158"/>
        <v>0</v>
      </c>
      <c r="AX348" s="69">
        <f t="shared" ca="1" si="159"/>
        <v>0</v>
      </c>
      <c r="AY348" s="70">
        <f t="shared" ca="1" si="160"/>
        <v>0</v>
      </c>
      <c r="AZ348" s="66">
        <f t="shared" ca="1" si="161"/>
        <v>0</v>
      </c>
      <c r="BA348" s="66">
        <f t="shared" ca="1" si="162"/>
        <v>0</v>
      </c>
      <c r="BB348" s="66">
        <f t="shared" ca="1" si="163"/>
        <v>0</v>
      </c>
      <c r="BC348" s="66">
        <f t="shared" ca="1" si="164"/>
        <v>0</v>
      </c>
      <c r="BD348" s="66">
        <f t="shared" ca="1" si="165"/>
        <v>0</v>
      </c>
      <c r="BE348" s="71">
        <f t="shared" ca="1" si="171"/>
        <v>0</v>
      </c>
      <c r="BF348" s="65">
        <f t="shared" ca="1" si="166"/>
        <v>0</v>
      </c>
      <c r="BG348" s="69">
        <f t="shared" ca="1" si="167"/>
        <v>0</v>
      </c>
      <c r="BH348" s="301">
        <f t="shared" ca="1" si="170"/>
        <v>0</v>
      </c>
      <c r="BI348" s="300">
        <f ca="1">IF(AO348&gt;TartamVálasztott,0,   (BI347+BH348)*(1+yields!$D$2)*(1-(0.0099/12)))</f>
        <v>0</v>
      </c>
      <c r="BJ348" s="300">
        <f ca="1">SUM(BH$6:BH348)*-1.2</f>
        <v>-862056.26733480149</v>
      </c>
      <c r="BK348" s="300">
        <f t="shared" ca="1" si="176"/>
        <v>-862056.26733480149</v>
      </c>
      <c r="BL348" s="28">
        <f t="shared" ca="1" si="174"/>
        <v>2045</v>
      </c>
      <c r="BM348" s="28">
        <f t="shared" ca="1" si="172"/>
        <v>8</v>
      </c>
      <c r="BN348" s="236">
        <f t="shared" ca="1" si="173"/>
        <v>0</v>
      </c>
      <c r="BO348" s="236">
        <f t="shared" ca="1" si="168"/>
        <v>0</v>
      </c>
    </row>
    <row r="349" spans="41:67" x14ac:dyDescent="0.25">
      <c r="AO349" s="28">
        <f t="shared" si="152"/>
        <v>29</v>
      </c>
      <c r="AP349" s="28">
        <f t="shared" si="153"/>
        <v>8</v>
      </c>
      <c r="AQ349" s="65">
        <f t="shared" ca="1" si="169"/>
        <v>0</v>
      </c>
      <c r="AR349" s="66">
        <f t="shared" ca="1" si="154"/>
        <v>0</v>
      </c>
      <c r="AS349" s="66">
        <f t="shared" ca="1" si="155"/>
        <v>0</v>
      </c>
      <c r="AT349" s="66">
        <f t="shared" ca="1" si="156"/>
        <v>0</v>
      </c>
      <c r="AU349" s="66">
        <f t="shared" ca="1" si="157"/>
        <v>0</v>
      </c>
      <c r="AV349" s="68">
        <f t="shared" ca="1" si="175"/>
        <v>0</v>
      </c>
      <c r="AW349" s="65">
        <f t="shared" ca="1" si="158"/>
        <v>0</v>
      </c>
      <c r="AX349" s="69">
        <f t="shared" ca="1" si="159"/>
        <v>0</v>
      </c>
      <c r="AY349" s="70">
        <f t="shared" ca="1" si="160"/>
        <v>0</v>
      </c>
      <c r="AZ349" s="66">
        <f t="shared" ca="1" si="161"/>
        <v>0</v>
      </c>
      <c r="BA349" s="66">
        <f t="shared" ca="1" si="162"/>
        <v>0</v>
      </c>
      <c r="BB349" s="66">
        <f t="shared" ca="1" si="163"/>
        <v>0</v>
      </c>
      <c r="BC349" s="66">
        <f t="shared" ca="1" si="164"/>
        <v>0</v>
      </c>
      <c r="BD349" s="66">
        <f t="shared" ca="1" si="165"/>
        <v>0</v>
      </c>
      <c r="BE349" s="71">
        <f t="shared" ca="1" si="171"/>
        <v>0</v>
      </c>
      <c r="BF349" s="65">
        <f t="shared" ca="1" si="166"/>
        <v>0</v>
      </c>
      <c r="BG349" s="69">
        <f t="shared" ca="1" si="167"/>
        <v>0</v>
      </c>
      <c r="BH349" s="301">
        <f t="shared" ca="1" si="170"/>
        <v>0</v>
      </c>
      <c r="BI349" s="300">
        <f ca="1">IF(AO349&gt;TartamVálasztott,0,   (BI348+BH349)*(1+yields!$D$2)*(1-(0.0099/12)))</f>
        <v>0</v>
      </c>
      <c r="BJ349" s="300">
        <f ca="1">SUM(BH$6:BH349)*-1.2</f>
        <v>-862056.26733480149</v>
      </c>
      <c r="BK349" s="300">
        <f t="shared" ca="1" si="176"/>
        <v>-862056.26733480149</v>
      </c>
      <c r="BL349" s="28">
        <f t="shared" ca="1" si="174"/>
        <v>2045</v>
      </c>
      <c r="BM349" s="28">
        <f t="shared" ca="1" si="172"/>
        <v>9</v>
      </c>
      <c r="BN349" s="236">
        <f t="shared" ca="1" si="173"/>
        <v>0</v>
      </c>
      <c r="BO349" s="236">
        <f t="shared" ca="1" si="168"/>
        <v>0</v>
      </c>
    </row>
    <row r="350" spans="41:67" x14ac:dyDescent="0.25">
      <c r="AO350" s="28">
        <f t="shared" si="152"/>
        <v>29</v>
      </c>
      <c r="AP350" s="28">
        <f t="shared" si="153"/>
        <v>9</v>
      </c>
      <c r="AQ350" s="65">
        <f t="shared" ca="1" si="169"/>
        <v>0</v>
      </c>
      <c r="AR350" s="66">
        <f t="shared" ca="1" si="154"/>
        <v>0</v>
      </c>
      <c r="AS350" s="66">
        <f t="shared" ca="1" si="155"/>
        <v>0</v>
      </c>
      <c r="AT350" s="66">
        <f t="shared" ca="1" si="156"/>
        <v>0</v>
      </c>
      <c r="AU350" s="66">
        <f t="shared" ca="1" si="157"/>
        <v>0</v>
      </c>
      <c r="AV350" s="68">
        <f t="shared" ca="1" si="175"/>
        <v>0</v>
      </c>
      <c r="AW350" s="65">
        <f t="shared" ca="1" si="158"/>
        <v>0</v>
      </c>
      <c r="AX350" s="69">
        <f t="shared" ca="1" si="159"/>
        <v>0</v>
      </c>
      <c r="AY350" s="70">
        <f t="shared" ca="1" si="160"/>
        <v>0</v>
      </c>
      <c r="AZ350" s="66">
        <f t="shared" ca="1" si="161"/>
        <v>0</v>
      </c>
      <c r="BA350" s="66">
        <f t="shared" ca="1" si="162"/>
        <v>0</v>
      </c>
      <c r="BB350" s="66">
        <f t="shared" ca="1" si="163"/>
        <v>0</v>
      </c>
      <c r="BC350" s="66">
        <f t="shared" ca="1" si="164"/>
        <v>0</v>
      </c>
      <c r="BD350" s="66">
        <f t="shared" ca="1" si="165"/>
        <v>0</v>
      </c>
      <c r="BE350" s="71">
        <f t="shared" ca="1" si="171"/>
        <v>0</v>
      </c>
      <c r="BF350" s="65">
        <f t="shared" ca="1" si="166"/>
        <v>0</v>
      </c>
      <c r="BG350" s="69">
        <f t="shared" ca="1" si="167"/>
        <v>0</v>
      </c>
      <c r="BH350" s="301">
        <f t="shared" ca="1" si="170"/>
        <v>0</v>
      </c>
      <c r="BI350" s="300">
        <f ca="1">IF(AO350&gt;TartamVálasztott,0,   (BI349+BH350)*(1+yields!$D$2)*(1-(0.0099/12)))</f>
        <v>0</v>
      </c>
      <c r="BJ350" s="300">
        <f ca="1">SUM(BH$6:BH350)*-1.2</f>
        <v>-862056.26733480149</v>
      </c>
      <c r="BK350" s="300">
        <f t="shared" ca="1" si="176"/>
        <v>-862056.26733480149</v>
      </c>
      <c r="BL350" s="28">
        <f t="shared" ca="1" si="174"/>
        <v>2045</v>
      </c>
      <c r="BM350" s="28">
        <f t="shared" ca="1" si="172"/>
        <v>10</v>
      </c>
      <c r="BN350" s="236">
        <f t="shared" ca="1" si="173"/>
        <v>0</v>
      </c>
      <c r="BO350" s="236">
        <f t="shared" ca="1" si="168"/>
        <v>0</v>
      </c>
    </row>
    <row r="351" spans="41:67" x14ac:dyDescent="0.25">
      <c r="AO351" s="28">
        <f t="shared" si="152"/>
        <v>29</v>
      </c>
      <c r="AP351" s="28">
        <f t="shared" si="153"/>
        <v>10</v>
      </c>
      <c r="AQ351" s="65">
        <f t="shared" ca="1" si="169"/>
        <v>0</v>
      </c>
      <c r="AR351" s="66">
        <f t="shared" ca="1" si="154"/>
        <v>0</v>
      </c>
      <c r="AS351" s="66">
        <f t="shared" ca="1" si="155"/>
        <v>0</v>
      </c>
      <c r="AT351" s="66">
        <f t="shared" ca="1" si="156"/>
        <v>0</v>
      </c>
      <c r="AU351" s="66">
        <f t="shared" ca="1" si="157"/>
        <v>0</v>
      </c>
      <c r="AV351" s="68">
        <f t="shared" ca="1" si="175"/>
        <v>0</v>
      </c>
      <c r="AW351" s="65">
        <f t="shared" ca="1" si="158"/>
        <v>0</v>
      </c>
      <c r="AX351" s="69">
        <f t="shared" ca="1" si="159"/>
        <v>0</v>
      </c>
      <c r="AY351" s="70">
        <f t="shared" ca="1" si="160"/>
        <v>0</v>
      </c>
      <c r="AZ351" s="66">
        <f t="shared" ca="1" si="161"/>
        <v>0</v>
      </c>
      <c r="BA351" s="66">
        <f t="shared" ca="1" si="162"/>
        <v>0</v>
      </c>
      <c r="BB351" s="66">
        <f t="shared" ca="1" si="163"/>
        <v>0</v>
      </c>
      <c r="BC351" s="66">
        <f t="shared" ca="1" si="164"/>
        <v>0</v>
      </c>
      <c r="BD351" s="66">
        <f t="shared" ca="1" si="165"/>
        <v>0</v>
      </c>
      <c r="BE351" s="71">
        <f t="shared" ca="1" si="171"/>
        <v>0</v>
      </c>
      <c r="BF351" s="65">
        <f t="shared" ca="1" si="166"/>
        <v>0</v>
      </c>
      <c r="BG351" s="69">
        <f t="shared" ca="1" si="167"/>
        <v>0</v>
      </c>
      <c r="BH351" s="301">
        <f t="shared" ca="1" si="170"/>
        <v>0</v>
      </c>
      <c r="BI351" s="300">
        <f ca="1">IF(AO351&gt;TartamVálasztott,0,   (BI350+BH351)*(1+yields!$D$2)*(1-(0.0099/12)))</f>
        <v>0</v>
      </c>
      <c r="BJ351" s="300">
        <f ca="1">SUM(BH$6:BH351)*-1.2</f>
        <v>-862056.26733480149</v>
      </c>
      <c r="BK351" s="300">
        <f t="shared" ca="1" si="176"/>
        <v>-862056.26733480149</v>
      </c>
      <c r="BL351" s="28">
        <f t="shared" ca="1" si="174"/>
        <v>2045</v>
      </c>
      <c r="BM351" s="28">
        <f t="shared" ca="1" si="172"/>
        <v>11</v>
      </c>
      <c r="BN351" s="236">
        <f t="shared" ca="1" si="173"/>
        <v>0</v>
      </c>
      <c r="BO351" s="236">
        <f t="shared" ca="1" si="168"/>
        <v>0</v>
      </c>
    </row>
    <row r="352" spans="41:67" x14ac:dyDescent="0.25">
      <c r="AO352" s="28">
        <f t="shared" si="152"/>
        <v>29</v>
      </c>
      <c r="AP352" s="28">
        <f t="shared" si="153"/>
        <v>11</v>
      </c>
      <c r="AQ352" s="65">
        <f t="shared" ca="1" si="169"/>
        <v>0</v>
      </c>
      <c r="AR352" s="66">
        <f t="shared" ca="1" si="154"/>
        <v>0</v>
      </c>
      <c r="AS352" s="66">
        <f t="shared" ca="1" si="155"/>
        <v>0</v>
      </c>
      <c r="AT352" s="66">
        <f t="shared" ca="1" si="156"/>
        <v>0</v>
      </c>
      <c r="AU352" s="66">
        <f t="shared" ca="1" si="157"/>
        <v>0</v>
      </c>
      <c r="AV352" s="68">
        <f t="shared" ca="1" si="175"/>
        <v>0</v>
      </c>
      <c r="AW352" s="65">
        <f t="shared" ca="1" si="158"/>
        <v>0</v>
      </c>
      <c r="AX352" s="69">
        <f t="shared" ca="1" si="159"/>
        <v>0</v>
      </c>
      <c r="AY352" s="70">
        <f t="shared" ca="1" si="160"/>
        <v>0</v>
      </c>
      <c r="AZ352" s="66">
        <f t="shared" ca="1" si="161"/>
        <v>0</v>
      </c>
      <c r="BA352" s="66">
        <f t="shared" ca="1" si="162"/>
        <v>0</v>
      </c>
      <c r="BB352" s="66">
        <f t="shared" ca="1" si="163"/>
        <v>0</v>
      </c>
      <c r="BC352" s="66">
        <f t="shared" ca="1" si="164"/>
        <v>0</v>
      </c>
      <c r="BD352" s="66">
        <f t="shared" ca="1" si="165"/>
        <v>0</v>
      </c>
      <c r="BE352" s="71">
        <f t="shared" ca="1" si="171"/>
        <v>0</v>
      </c>
      <c r="BF352" s="65">
        <f t="shared" ca="1" si="166"/>
        <v>0</v>
      </c>
      <c r="BG352" s="69">
        <f t="shared" ca="1" si="167"/>
        <v>0</v>
      </c>
      <c r="BH352" s="301">
        <f t="shared" ca="1" si="170"/>
        <v>0</v>
      </c>
      <c r="BI352" s="300">
        <f ca="1">IF(AO352&gt;TartamVálasztott,0,   (BI351+BH352)*(1+yields!$D$2)*(1-(0.0099/12)))</f>
        <v>0</v>
      </c>
      <c r="BJ352" s="300">
        <f ca="1">SUM(BH$6:BH352)*-1.2</f>
        <v>-862056.26733480149</v>
      </c>
      <c r="BK352" s="300">
        <f t="shared" ca="1" si="176"/>
        <v>-862056.26733480149</v>
      </c>
      <c r="BL352" s="28">
        <f t="shared" ca="1" si="174"/>
        <v>2045</v>
      </c>
      <c r="BM352" s="28">
        <f t="shared" ca="1" si="172"/>
        <v>12</v>
      </c>
      <c r="BN352" s="236">
        <f t="shared" ca="1" si="173"/>
        <v>0</v>
      </c>
      <c r="BO352" s="236">
        <f t="shared" ca="1" si="168"/>
        <v>0</v>
      </c>
    </row>
    <row r="353" spans="41:67" x14ac:dyDescent="0.25">
      <c r="AO353" s="28">
        <f t="shared" si="152"/>
        <v>29</v>
      </c>
      <c r="AP353" s="28">
        <f t="shared" si="153"/>
        <v>12</v>
      </c>
      <c r="AQ353" s="65">
        <f t="shared" ca="1" si="169"/>
        <v>0</v>
      </c>
      <c r="AR353" s="66">
        <f t="shared" ca="1" si="154"/>
        <v>0</v>
      </c>
      <c r="AS353" s="66">
        <f t="shared" ca="1" si="155"/>
        <v>0</v>
      </c>
      <c r="AT353" s="66">
        <f t="shared" ca="1" si="156"/>
        <v>0</v>
      </c>
      <c r="AU353" s="66">
        <f t="shared" ca="1" si="157"/>
        <v>0</v>
      </c>
      <c r="AV353" s="68">
        <f t="shared" ca="1" si="175"/>
        <v>0</v>
      </c>
      <c r="AW353" s="65">
        <f t="shared" ca="1" si="158"/>
        <v>0</v>
      </c>
      <c r="AX353" s="69">
        <f t="shared" ca="1" si="159"/>
        <v>0</v>
      </c>
      <c r="AY353" s="70">
        <f t="shared" ca="1" si="160"/>
        <v>0</v>
      </c>
      <c r="AZ353" s="66">
        <f t="shared" ca="1" si="161"/>
        <v>0</v>
      </c>
      <c r="BA353" s="66">
        <f t="shared" ca="1" si="162"/>
        <v>0</v>
      </c>
      <c r="BB353" s="66">
        <f t="shared" ca="1" si="163"/>
        <v>0</v>
      </c>
      <c r="BC353" s="66">
        <f t="shared" ca="1" si="164"/>
        <v>0</v>
      </c>
      <c r="BD353" s="66">
        <f t="shared" ca="1" si="165"/>
        <v>0</v>
      </c>
      <c r="BE353" s="71">
        <f t="shared" ca="1" si="171"/>
        <v>0</v>
      </c>
      <c r="BF353" s="65">
        <f t="shared" ca="1" si="166"/>
        <v>0</v>
      </c>
      <c r="BG353" s="69">
        <f t="shared" ca="1" si="167"/>
        <v>0</v>
      </c>
      <c r="BH353" s="301">
        <f t="shared" ca="1" si="170"/>
        <v>0</v>
      </c>
      <c r="BI353" s="300">
        <f ca="1">IF(AO353&gt;TartamVálasztott,0,   (BI352+BH353)*(1+yields!$D$2)*(1-(0.0099/12)))</f>
        <v>0</v>
      </c>
      <c r="BJ353" s="300">
        <f ca="1">SUM(BH$6:BH353)*-1.2</f>
        <v>-862056.26733480149</v>
      </c>
      <c r="BK353" s="300">
        <f t="shared" ca="1" si="176"/>
        <v>-862056.26733480149</v>
      </c>
      <c r="BL353" s="28">
        <f t="shared" ca="1" si="174"/>
        <v>2046</v>
      </c>
      <c r="BM353" s="28">
        <f t="shared" ca="1" si="172"/>
        <v>1</v>
      </c>
      <c r="BN353" s="236">
        <f t="shared" ca="1" si="173"/>
        <v>0</v>
      </c>
      <c r="BO353" s="236">
        <f t="shared" ca="1" si="168"/>
        <v>0</v>
      </c>
    </row>
    <row r="354" spans="41:67" x14ac:dyDescent="0.25">
      <c r="AO354" s="28">
        <f t="shared" si="152"/>
        <v>30</v>
      </c>
      <c r="AP354" s="28">
        <f t="shared" si="153"/>
        <v>1</v>
      </c>
      <c r="AQ354" s="65">
        <f t="shared" ca="1" si="169"/>
        <v>0</v>
      </c>
      <c r="AR354" s="66">
        <f t="shared" ca="1" si="154"/>
        <v>0</v>
      </c>
      <c r="AS354" s="66">
        <f t="shared" ca="1" si="155"/>
        <v>0</v>
      </c>
      <c r="AT354" s="66">
        <f t="shared" ca="1" si="156"/>
        <v>0</v>
      </c>
      <c r="AU354" s="66">
        <f t="shared" ca="1" si="157"/>
        <v>0</v>
      </c>
      <c r="AV354" s="68">
        <f t="shared" ca="1" si="175"/>
        <v>0</v>
      </c>
      <c r="AW354" s="65">
        <f t="shared" ca="1" si="158"/>
        <v>0</v>
      </c>
      <c r="AX354" s="69">
        <f t="shared" ca="1" si="159"/>
        <v>0</v>
      </c>
      <c r="AY354" s="70">
        <f t="shared" ca="1" si="160"/>
        <v>0</v>
      </c>
      <c r="AZ354" s="66">
        <f t="shared" ca="1" si="161"/>
        <v>0</v>
      </c>
      <c r="BA354" s="66">
        <f t="shared" ca="1" si="162"/>
        <v>0</v>
      </c>
      <c r="BB354" s="66">
        <f t="shared" ca="1" si="163"/>
        <v>0</v>
      </c>
      <c r="BC354" s="66">
        <f t="shared" ca="1" si="164"/>
        <v>0</v>
      </c>
      <c r="BD354" s="66">
        <f t="shared" ca="1" si="165"/>
        <v>0</v>
      </c>
      <c r="BE354" s="71">
        <f t="shared" ca="1" si="171"/>
        <v>0</v>
      </c>
      <c r="BF354" s="65">
        <f t="shared" ca="1" si="166"/>
        <v>0</v>
      </c>
      <c r="BG354" s="69">
        <f t="shared" ca="1" si="167"/>
        <v>0</v>
      </c>
      <c r="BH354" s="301">
        <f t="shared" ca="1" si="170"/>
        <v>0</v>
      </c>
      <c r="BI354" s="300">
        <f ca="1">IF(AO354&gt;TartamVálasztott,0,   (BI353+BH354)*(1+yields!$D$2)*(1-(0.0099/12)))</f>
        <v>0</v>
      </c>
      <c r="BJ354" s="300">
        <f ca="1">SUM(BH$6:BH354)*-1.2</f>
        <v>-862056.26733480149</v>
      </c>
      <c r="BK354" s="300">
        <f t="shared" ca="1" si="176"/>
        <v>-862056.26733480149</v>
      </c>
      <c r="BL354" s="28">
        <f t="shared" ca="1" si="174"/>
        <v>2046</v>
      </c>
      <c r="BM354" s="28">
        <f t="shared" ca="1" si="172"/>
        <v>2</v>
      </c>
      <c r="BN354" s="236">
        <f t="shared" ca="1" si="173"/>
        <v>0</v>
      </c>
      <c r="BO354" s="236">
        <f t="shared" ca="1" si="168"/>
        <v>0</v>
      </c>
    </row>
    <row r="355" spans="41:67" x14ac:dyDescent="0.25">
      <c r="AO355" s="28">
        <f t="shared" si="152"/>
        <v>30</v>
      </c>
      <c r="AP355" s="28">
        <f t="shared" si="153"/>
        <v>2</v>
      </c>
      <c r="AQ355" s="65">
        <f t="shared" ca="1" si="169"/>
        <v>0</v>
      </c>
      <c r="AR355" s="66">
        <f t="shared" ca="1" si="154"/>
        <v>0</v>
      </c>
      <c r="AS355" s="66">
        <f t="shared" ca="1" si="155"/>
        <v>0</v>
      </c>
      <c r="AT355" s="66">
        <f t="shared" ca="1" si="156"/>
        <v>0</v>
      </c>
      <c r="AU355" s="66">
        <f t="shared" ca="1" si="157"/>
        <v>0</v>
      </c>
      <c r="AV355" s="68">
        <f t="shared" ca="1" si="175"/>
        <v>0</v>
      </c>
      <c r="AW355" s="65">
        <f t="shared" ca="1" si="158"/>
        <v>0</v>
      </c>
      <c r="AX355" s="69">
        <f t="shared" ca="1" si="159"/>
        <v>0</v>
      </c>
      <c r="AY355" s="70">
        <f t="shared" ca="1" si="160"/>
        <v>0</v>
      </c>
      <c r="AZ355" s="66">
        <f t="shared" ca="1" si="161"/>
        <v>0</v>
      </c>
      <c r="BA355" s="66">
        <f t="shared" ca="1" si="162"/>
        <v>0</v>
      </c>
      <c r="BB355" s="66">
        <f t="shared" ca="1" si="163"/>
        <v>0</v>
      </c>
      <c r="BC355" s="66">
        <f t="shared" ca="1" si="164"/>
        <v>0</v>
      </c>
      <c r="BD355" s="66">
        <f t="shared" ca="1" si="165"/>
        <v>0</v>
      </c>
      <c r="BE355" s="71">
        <f t="shared" ca="1" si="171"/>
        <v>0</v>
      </c>
      <c r="BF355" s="65">
        <f t="shared" ca="1" si="166"/>
        <v>0</v>
      </c>
      <c r="BG355" s="69">
        <f t="shared" ca="1" si="167"/>
        <v>0</v>
      </c>
      <c r="BH355" s="301">
        <f t="shared" ca="1" si="170"/>
        <v>0</v>
      </c>
      <c r="BI355" s="300">
        <f ca="1">IF(AO355&gt;TartamVálasztott,0,   (BI354+BH355)*(1+yields!$D$2)*(1-(0.0099/12)))</f>
        <v>0</v>
      </c>
      <c r="BJ355" s="300">
        <f ca="1">SUM(BH$6:BH355)*-1.2</f>
        <v>-862056.26733480149</v>
      </c>
      <c r="BK355" s="300">
        <f t="shared" ca="1" si="176"/>
        <v>-862056.26733480149</v>
      </c>
      <c r="BL355" s="28">
        <f t="shared" ca="1" si="174"/>
        <v>2046</v>
      </c>
      <c r="BM355" s="28">
        <f t="shared" ca="1" si="172"/>
        <v>3</v>
      </c>
      <c r="BN355" s="236">
        <f t="shared" ca="1" si="173"/>
        <v>0</v>
      </c>
      <c r="BO355" s="236">
        <f t="shared" ca="1" si="168"/>
        <v>0</v>
      </c>
    </row>
    <row r="356" spans="41:67" x14ac:dyDescent="0.25">
      <c r="AO356" s="28">
        <f t="shared" si="152"/>
        <v>30</v>
      </c>
      <c r="AP356" s="28">
        <f t="shared" si="153"/>
        <v>3</v>
      </c>
      <c r="AQ356" s="65">
        <f t="shared" ca="1" si="169"/>
        <v>0</v>
      </c>
      <c r="AR356" s="66">
        <f t="shared" ca="1" si="154"/>
        <v>0</v>
      </c>
      <c r="AS356" s="66">
        <f t="shared" ca="1" si="155"/>
        <v>0</v>
      </c>
      <c r="AT356" s="66">
        <f t="shared" ca="1" si="156"/>
        <v>0</v>
      </c>
      <c r="AU356" s="66">
        <f t="shared" ca="1" si="157"/>
        <v>0</v>
      </c>
      <c r="AV356" s="68">
        <f t="shared" ca="1" si="175"/>
        <v>0</v>
      </c>
      <c r="AW356" s="65">
        <f t="shared" ca="1" si="158"/>
        <v>0</v>
      </c>
      <c r="AX356" s="69">
        <f t="shared" ca="1" si="159"/>
        <v>0</v>
      </c>
      <c r="AY356" s="70">
        <f t="shared" ca="1" si="160"/>
        <v>0</v>
      </c>
      <c r="AZ356" s="66">
        <f t="shared" ca="1" si="161"/>
        <v>0</v>
      </c>
      <c r="BA356" s="66">
        <f t="shared" ca="1" si="162"/>
        <v>0</v>
      </c>
      <c r="BB356" s="66">
        <f t="shared" ca="1" si="163"/>
        <v>0</v>
      </c>
      <c r="BC356" s="66">
        <f t="shared" ca="1" si="164"/>
        <v>0</v>
      </c>
      <c r="BD356" s="66">
        <f t="shared" ca="1" si="165"/>
        <v>0</v>
      </c>
      <c r="BE356" s="71">
        <f t="shared" ca="1" si="171"/>
        <v>0</v>
      </c>
      <c r="BF356" s="65">
        <f t="shared" ca="1" si="166"/>
        <v>0</v>
      </c>
      <c r="BG356" s="69">
        <f t="shared" ca="1" si="167"/>
        <v>0</v>
      </c>
      <c r="BH356" s="301">
        <f t="shared" ca="1" si="170"/>
        <v>0</v>
      </c>
      <c r="BI356" s="300">
        <f ca="1">IF(AO356&gt;TartamVálasztott,0,   (BI355+BH356)*(1+yields!$D$2)*(1-(0.0099/12)))</f>
        <v>0</v>
      </c>
      <c r="BJ356" s="300">
        <f ca="1">SUM(BH$6:BH356)*-1.2</f>
        <v>-862056.26733480149</v>
      </c>
      <c r="BK356" s="300">
        <f t="shared" ca="1" si="176"/>
        <v>-862056.26733480149</v>
      </c>
      <c r="BL356" s="28">
        <f t="shared" ca="1" si="174"/>
        <v>2046</v>
      </c>
      <c r="BM356" s="28">
        <f t="shared" ca="1" si="172"/>
        <v>4</v>
      </c>
      <c r="BN356" s="236">
        <f t="shared" ca="1" si="173"/>
        <v>0</v>
      </c>
      <c r="BO356" s="236">
        <f t="shared" ca="1" si="168"/>
        <v>0</v>
      </c>
    </row>
    <row r="357" spans="41:67" x14ac:dyDescent="0.25">
      <c r="AO357" s="28">
        <f t="shared" si="152"/>
        <v>30</v>
      </c>
      <c r="AP357" s="28">
        <f t="shared" si="153"/>
        <v>4</v>
      </c>
      <c r="AQ357" s="65">
        <f t="shared" ca="1" si="169"/>
        <v>0</v>
      </c>
      <c r="AR357" s="66">
        <f t="shared" ca="1" si="154"/>
        <v>0</v>
      </c>
      <c r="AS357" s="66">
        <f t="shared" ca="1" si="155"/>
        <v>0</v>
      </c>
      <c r="AT357" s="66">
        <f t="shared" ca="1" si="156"/>
        <v>0</v>
      </c>
      <c r="AU357" s="66">
        <f t="shared" ca="1" si="157"/>
        <v>0</v>
      </c>
      <c r="AV357" s="68">
        <f t="shared" ca="1" si="175"/>
        <v>0</v>
      </c>
      <c r="AW357" s="65">
        <f t="shared" ca="1" si="158"/>
        <v>0</v>
      </c>
      <c r="AX357" s="69">
        <f t="shared" ca="1" si="159"/>
        <v>0</v>
      </c>
      <c r="AY357" s="70">
        <f t="shared" ca="1" si="160"/>
        <v>0</v>
      </c>
      <c r="AZ357" s="66">
        <f t="shared" ca="1" si="161"/>
        <v>0</v>
      </c>
      <c r="BA357" s="66">
        <f t="shared" ca="1" si="162"/>
        <v>0</v>
      </c>
      <c r="BB357" s="66">
        <f t="shared" ca="1" si="163"/>
        <v>0</v>
      </c>
      <c r="BC357" s="66">
        <f t="shared" ca="1" si="164"/>
        <v>0</v>
      </c>
      <c r="BD357" s="66">
        <f t="shared" ca="1" si="165"/>
        <v>0</v>
      </c>
      <c r="BE357" s="71">
        <f t="shared" ca="1" si="171"/>
        <v>0</v>
      </c>
      <c r="BF357" s="65">
        <f t="shared" ca="1" si="166"/>
        <v>0</v>
      </c>
      <c r="BG357" s="69">
        <f t="shared" ca="1" si="167"/>
        <v>0</v>
      </c>
      <c r="BH357" s="301">
        <f t="shared" ca="1" si="170"/>
        <v>0</v>
      </c>
      <c r="BI357" s="300">
        <f ca="1">IF(AO357&gt;TartamVálasztott,0,   (BI356+BH357)*(1+yields!$D$2)*(1-(0.0099/12)))</f>
        <v>0</v>
      </c>
      <c r="BJ357" s="300">
        <f ca="1">SUM(BH$6:BH357)*-1.2</f>
        <v>-862056.26733480149</v>
      </c>
      <c r="BK357" s="300">
        <f t="shared" ca="1" si="176"/>
        <v>-862056.26733480149</v>
      </c>
      <c r="BL357" s="28">
        <f t="shared" ca="1" si="174"/>
        <v>2046</v>
      </c>
      <c r="BM357" s="28">
        <f t="shared" ca="1" si="172"/>
        <v>5</v>
      </c>
      <c r="BN357" s="236">
        <f t="shared" ca="1" si="173"/>
        <v>0</v>
      </c>
      <c r="BO357" s="236">
        <f t="shared" ca="1" si="168"/>
        <v>0</v>
      </c>
    </row>
    <row r="358" spans="41:67" x14ac:dyDescent="0.25">
      <c r="AO358" s="28">
        <f t="shared" si="152"/>
        <v>30</v>
      </c>
      <c r="AP358" s="28">
        <f t="shared" si="153"/>
        <v>5</v>
      </c>
      <c r="AQ358" s="65">
        <f t="shared" ca="1" si="169"/>
        <v>0</v>
      </c>
      <c r="AR358" s="66">
        <f t="shared" ca="1" si="154"/>
        <v>0</v>
      </c>
      <c r="AS358" s="66">
        <f t="shared" ca="1" si="155"/>
        <v>0</v>
      </c>
      <c r="AT358" s="66">
        <f t="shared" ca="1" si="156"/>
        <v>0</v>
      </c>
      <c r="AU358" s="66">
        <f t="shared" ca="1" si="157"/>
        <v>0</v>
      </c>
      <c r="AV358" s="68">
        <f t="shared" ca="1" si="175"/>
        <v>0</v>
      </c>
      <c r="AW358" s="65">
        <f t="shared" ca="1" si="158"/>
        <v>0</v>
      </c>
      <c r="AX358" s="69">
        <f t="shared" ca="1" si="159"/>
        <v>0</v>
      </c>
      <c r="AY358" s="70">
        <f t="shared" ca="1" si="160"/>
        <v>0</v>
      </c>
      <c r="AZ358" s="66">
        <f t="shared" ca="1" si="161"/>
        <v>0</v>
      </c>
      <c r="BA358" s="66">
        <f t="shared" ca="1" si="162"/>
        <v>0</v>
      </c>
      <c r="BB358" s="66">
        <f t="shared" ca="1" si="163"/>
        <v>0</v>
      </c>
      <c r="BC358" s="66">
        <f t="shared" ca="1" si="164"/>
        <v>0</v>
      </c>
      <c r="BD358" s="66">
        <f t="shared" ca="1" si="165"/>
        <v>0</v>
      </c>
      <c r="BE358" s="71">
        <f t="shared" ca="1" si="171"/>
        <v>0</v>
      </c>
      <c r="BF358" s="65">
        <f t="shared" ca="1" si="166"/>
        <v>0</v>
      </c>
      <c r="BG358" s="69">
        <f t="shared" ca="1" si="167"/>
        <v>0</v>
      </c>
      <c r="BH358" s="301">
        <f t="shared" ca="1" si="170"/>
        <v>0</v>
      </c>
      <c r="BI358" s="300">
        <f ca="1">IF(AO358&gt;TartamVálasztott,0,   (BI357+BH358)*(1+yields!$D$2)*(1-(0.0099/12)))</f>
        <v>0</v>
      </c>
      <c r="BJ358" s="300">
        <f ca="1">SUM(BH$6:BH358)*-1.2</f>
        <v>-862056.26733480149</v>
      </c>
      <c r="BK358" s="300">
        <f t="shared" ca="1" si="176"/>
        <v>-862056.26733480149</v>
      </c>
      <c r="BL358" s="28">
        <f t="shared" ca="1" si="174"/>
        <v>2046</v>
      </c>
      <c r="BM358" s="28">
        <f t="shared" ca="1" si="172"/>
        <v>6</v>
      </c>
      <c r="BN358" s="236">
        <f t="shared" ca="1" si="173"/>
        <v>0</v>
      </c>
      <c r="BO358" s="236">
        <f t="shared" ca="1" si="168"/>
        <v>0</v>
      </c>
    </row>
    <row r="359" spans="41:67" x14ac:dyDescent="0.25">
      <c r="AO359" s="28">
        <f t="shared" si="152"/>
        <v>30</v>
      </c>
      <c r="AP359" s="28">
        <f t="shared" si="153"/>
        <v>6</v>
      </c>
      <c r="AQ359" s="65">
        <f t="shared" ca="1" si="169"/>
        <v>0</v>
      </c>
      <c r="AR359" s="66">
        <f t="shared" ca="1" si="154"/>
        <v>0</v>
      </c>
      <c r="AS359" s="66">
        <f t="shared" ca="1" si="155"/>
        <v>0</v>
      </c>
      <c r="AT359" s="66">
        <f t="shared" ca="1" si="156"/>
        <v>0</v>
      </c>
      <c r="AU359" s="66">
        <f t="shared" ca="1" si="157"/>
        <v>0</v>
      </c>
      <c r="AV359" s="68">
        <f t="shared" ca="1" si="175"/>
        <v>0</v>
      </c>
      <c r="AW359" s="65">
        <f t="shared" ca="1" si="158"/>
        <v>0</v>
      </c>
      <c r="AX359" s="69">
        <f t="shared" ca="1" si="159"/>
        <v>0</v>
      </c>
      <c r="AY359" s="70">
        <f t="shared" ca="1" si="160"/>
        <v>0</v>
      </c>
      <c r="AZ359" s="66">
        <f t="shared" ca="1" si="161"/>
        <v>0</v>
      </c>
      <c r="BA359" s="66">
        <f t="shared" ca="1" si="162"/>
        <v>0</v>
      </c>
      <c r="BB359" s="66">
        <f t="shared" ca="1" si="163"/>
        <v>0</v>
      </c>
      <c r="BC359" s="66">
        <f t="shared" ca="1" si="164"/>
        <v>0</v>
      </c>
      <c r="BD359" s="66">
        <f t="shared" ca="1" si="165"/>
        <v>0</v>
      </c>
      <c r="BE359" s="71">
        <f t="shared" ca="1" si="171"/>
        <v>0</v>
      </c>
      <c r="BF359" s="65">
        <f t="shared" ca="1" si="166"/>
        <v>0</v>
      </c>
      <c r="BG359" s="69">
        <f t="shared" ca="1" si="167"/>
        <v>0</v>
      </c>
      <c r="BH359" s="301">
        <f t="shared" ca="1" si="170"/>
        <v>0</v>
      </c>
      <c r="BI359" s="300">
        <f ca="1">IF(AO359&gt;TartamVálasztott,0,   (BI358+BH359)*(1+yields!$D$2)*(1-(0.0099/12)))</f>
        <v>0</v>
      </c>
      <c r="BJ359" s="300">
        <f ca="1">SUM(BH$6:BH359)*-1.2</f>
        <v>-862056.26733480149</v>
      </c>
      <c r="BK359" s="300">
        <f t="shared" ca="1" si="176"/>
        <v>-862056.26733480149</v>
      </c>
      <c r="BL359" s="28">
        <f t="shared" ca="1" si="174"/>
        <v>2046</v>
      </c>
      <c r="BM359" s="28">
        <f t="shared" ca="1" si="172"/>
        <v>7</v>
      </c>
      <c r="BN359" s="236">
        <f t="shared" ca="1" si="173"/>
        <v>0</v>
      </c>
      <c r="BO359" s="236">
        <f t="shared" ca="1" si="168"/>
        <v>0</v>
      </c>
    </row>
    <row r="360" spans="41:67" x14ac:dyDescent="0.25">
      <c r="AO360" s="28">
        <f t="shared" si="152"/>
        <v>30</v>
      </c>
      <c r="AP360" s="28">
        <f t="shared" si="153"/>
        <v>7</v>
      </c>
      <c r="AQ360" s="65">
        <f t="shared" ca="1" si="169"/>
        <v>0</v>
      </c>
      <c r="AR360" s="66">
        <f t="shared" ca="1" si="154"/>
        <v>0</v>
      </c>
      <c r="AS360" s="66">
        <f t="shared" ca="1" si="155"/>
        <v>0</v>
      </c>
      <c r="AT360" s="66">
        <f t="shared" ca="1" si="156"/>
        <v>0</v>
      </c>
      <c r="AU360" s="66">
        <f t="shared" ca="1" si="157"/>
        <v>0</v>
      </c>
      <c r="AV360" s="68">
        <f t="shared" ca="1" si="175"/>
        <v>0</v>
      </c>
      <c r="AW360" s="65">
        <f t="shared" ca="1" si="158"/>
        <v>0</v>
      </c>
      <c r="AX360" s="69">
        <f t="shared" ca="1" si="159"/>
        <v>0</v>
      </c>
      <c r="AY360" s="70">
        <f t="shared" ca="1" si="160"/>
        <v>0</v>
      </c>
      <c r="AZ360" s="66">
        <f t="shared" ca="1" si="161"/>
        <v>0</v>
      </c>
      <c r="BA360" s="66">
        <f t="shared" ca="1" si="162"/>
        <v>0</v>
      </c>
      <c r="BB360" s="66">
        <f t="shared" ca="1" si="163"/>
        <v>0</v>
      </c>
      <c r="BC360" s="66">
        <f t="shared" ca="1" si="164"/>
        <v>0</v>
      </c>
      <c r="BD360" s="66">
        <f t="shared" ca="1" si="165"/>
        <v>0</v>
      </c>
      <c r="BE360" s="71">
        <f t="shared" ca="1" si="171"/>
        <v>0</v>
      </c>
      <c r="BF360" s="65">
        <f t="shared" ca="1" si="166"/>
        <v>0</v>
      </c>
      <c r="BG360" s="69">
        <f t="shared" ca="1" si="167"/>
        <v>0</v>
      </c>
      <c r="BH360" s="301">
        <f t="shared" ca="1" si="170"/>
        <v>0</v>
      </c>
      <c r="BI360" s="300">
        <f ca="1">IF(AO360&gt;TartamVálasztott,0,   (BI359+BH360)*(1+yields!$D$2)*(1-(0.0099/12)))</f>
        <v>0</v>
      </c>
      <c r="BJ360" s="300">
        <f ca="1">SUM(BH$6:BH360)*-1.2</f>
        <v>-862056.26733480149</v>
      </c>
      <c r="BK360" s="300">
        <f t="shared" ca="1" si="176"/>
        <v>-862056.26733480149</v>
      </c>
      <c r="BL360" s="28">
        <f t="shared" ca="1" si="174"/>
        <v>2046</v>
      </c>
      <c r="BM360" s="28">
        <f t="shared" ca="1" si="172"/>
        <v>8</v>
      </c>
      <c r="BN360" s="236">
        <f t="shared" ca="1" si="173"/>
        <v>0</v>
      </c>
      <c r="BO360" s="236">
        <f t="shared" ca="1" si="168"/>
        <v>0</v>
      </c>
    </row>
    <row r="361" spans="41:67" x14ac:dyDescent="0.25">
      <c r="AO361" s="28">
        <f t="shared" si="152"/>
        <v>30</v>
      </c>
      <c r="AP361" s="28">
        <f t="shared" si="153"/>
        <v>8</v>
      </c>
      <c r="AQ361" s="65">
        <f t="shared" ca="1" si="169"/>
        <v>0</v>
      </c>
      <c r="AR361" s="66">
        <f t="shared" ca="1" si="154"/>
        <v>0</v>
      </c>
      <c r="AS361" s="66">
        <f t="shared" ca="1" si="155"/>
        <v>0</v>
      </c>
      <c r="AT361" s="66">
        <f t="shared" ca="1" si="156"/>
        <v>0</v>
      </c>
      <c r="AU361" s="66">
        <f t="shared" ca="1" si="157"/>
        <v>0</v>
      </c>
      <c r="AV361" s="68">
        <f t="shared" ca="1" si="175"/>
        <v>0</v>
      </c>
      <c r="AW361" s="65">
        <f t="shared" ca="1" si="158"/>
        <v>0</v>
      </c>
      <c r="AX361" s="69">
        <f t="shared" ca="1" si="159"/>
        <v>0</v>
      </c>
      <c r="AY361" s="70">
        <f t="shared" ca="1" si="160"/>
        <v>0</v>
      </c>
      <c r="AZ361" s="66">
        <f t="shared" ca="1" si="161"/>
        <v>0</v>
      </c>
      <c r="BA361" s="66">
        <f t="shared" ca="1" si="162"/>
        <v>0</v>
      </c>
      <c r="BB361" s="66">
        <f t="shared" ca="1" si="163"/>
        <v>0</v>
      </c>
      <c r="BC361" s="66">
        <f t="shared" ca="1" si="164"/>
        <v>0</v>
      </c>
      <c r="BD361" s="66">
        <f t="shared" ca="1" si="165"/>
        <v>0</v>
      </c>
      <c r="BE361" s="71">
        <f t="shared" ca="1" si="171"/>
        <v>0</v>
      </c>
      <c r="BF361" s="65">
        <f t="shared" ca="1" si="166"/>
        <v>0</v>
      </c>
      <c r="BG361" s="69">
        <f t="shared" ca="1" si="167"/>
        <v>0</v>
      </c>
      <c r="BH361" s="301">
        <f t="shared" ca="1" si="170"/>
        <v>0</v>
      </c>
      <c r="BI361" s="300">
        <f ca="1">IF(AO361&gt;TartamVálasztott,0,   (BI360+BH361)*(1+yields!$D$2)*(1-(0.0099/12)))</f>
        <v>0</v>
      </c>
      <c r="BJ361" s="300">
        <f ca="1">SUM(BH$6:BH361)*-1.2</f>
        <v>-862056.26733480149</v>
      </c>
      <c r="BK361" s="300">
        <f t="shared" ca="1" si="176"/>
        <v>-862056.26733480149</v>
      </c>
      <c r="BL361" s="28">
        <f t="shared" ca="1" si="174"/>
        <v>2046</v>
      </c>
      <c r="BM361" s="28">
        <f t="shared" ca="1" si="172"/>
        <v>9</v>
      </c>
      <c r="BN361" s="236">
        <f t="shared" ca="1" si="173"/>
        <v>0</v>
      </c>
      <c r="BO361" s="236">
        <f t="shared" ca="1" si="168"/>
        <v>0</v>
      </c>
    </row>
    <row r="362" spans="41:67" x14ac:dyDescent="0.25">
      <c r="AO362" s="28">
        <f t="shared" si="152"/>
        <v>30</v>
      </c>
      <c r="AP362" s="28">
        <f t="shared" si="153"/>
        <v>9</v>
      </c>
      <c r="AQ362" s="65">
        <f t="shared" ca="1" si="169"/>
        <v>0</v>
      </c>
      <c r="AR362" s="66">
        <f t="shared" ca="1" si="154"/>
        <v>0</v>
      </c>
      <c r="AS362" s="66">
        <f t="shared" ca="1" si="155"/>
        <v>0</v>
      </c>
      <c r="AT362" s="66">
        <f t="shared" ca="1" si="156"/>
        <v>0</v>
      </c>
      <c r="AU362" s="66">
        <f t="shared" ca="1" si="157"/>
        <v>0</v>
      </c>
      <c r="AV362" s="68">
        <f t="shared" ca="1" si="175"/>
        <v>0</v>
      </c>
      <c r="AW362" s="65">
        <f t="shared" ca="1" si="158"/>
        <v>0</v>
      </c>
      <c r="AX362" s="69">
        <f t="shared" ca="1" si="159"/>
        <v>0</v>
      </c>
      <c r="AY362" s="70">
        <f t="shared" ca="1" si="160"/>
        <v>0</v>
      </c>
      <c r="AZ362" s="66">
        <f t="shared" ca="1" si="161"/>
        <v>0</v>
      </c>
      <c r="BA362" s="66">
        <f t="shared" ca="1" si="162"/>
        <v>0</v>
      </c>
      <c r="BB362" s="66">
        <f t="shared" ca="1" si="163"/>
        <v>0</v>
      </c>
      <c r="BC362" s="66">
        <f t="shared" ca="1" si="164"/>
        <v>0</v>
      </c>
      <c r="BD362" s="66">
        <f t="shared" ca="1" si="165"/>
        <v>0</v>
      </c>
      <c r="BE362" s="71">
        <f t="shared" ca="1" si="171"/>
        <v>0</v>
      </c>
      <c r="BF362" s="65">
        <f t="shared" ca="1" si="166"/>
        <v>0</v>
      </c>
      <c r="BG362" s="69">
        <f t="shared" ca="1" si="167"/>
        <v>0</v>
      </c>
      <c r="BH362" s="301">
        <f t="shared" ca="1" si="170"/>
        <v>0</v>
      </c>
      <c r="BI362" s="300">
        <f ca="1">IF(AO362&gt;TartamVálasztott,0,   (BI361+BH362)*(1+yields!$D$2)*(1-(0.0099/12)))</f>
        <v>0</v>
      </c>
      <c r="BJ362" s="300">
        <f ca="1">SUM(BH$6:BH362)*-1.2</f>
        <v>-862056.26733480149</v>
      </c>
      <c r="BK362" s="300">
        <f t="shared" ca="1" si="176"/>
        <v>-862056.26733480149</v>
      </c>
      <c r="BL362" s="28">
        <f t="shared" ca="1" si="174"/>
        <v>2046</v>
      </c>
      <c r="BM362" s="28">
        <f t="shared" ca="1" si="172"/>
        <v>10</v>
      </c>
      <c r="BN362" s="236">
        <f t="shared" ca="1" si="173"/>
        <v>0</v>
      </c>
      <c r="BO362" s="236">
        <f t="shared" ca="1" si="168"/>
        <v>0</v>
      </c>
    </row>
    <row r="363" spans="41:67" x14ac:dyDescent="0.25">
      <c r="AO363" s="28">
        <f t="shared" si="152"/>
        <v>30</v>
      </c>
      <c r="AP363" s="28">
        <f t="shared" si="153"/>
        <v>10</v>
      </c>
      <c r="AQ363" s="65">
        <f t="shared" ca="1" si="169"/>
        <v>0</v>
      </c>
      <c r="AR363" s="66">
        <f t="shared" ca="1" si="154"/>
        <v>0</v>
      </c>
      <c r="AS363" s="66">
        <f t="shared" ca="1" si="155"/>
        <v>0</v>
      </c>
      <c r="AT363" s="66">
        <f t="shared" ca="1" si="156"/>
        <v>0</v>
      </c>
      <c r="AU363" s="66">
        <f t="shared" ca="1" si="157"/>
        <v>0</v>
      </c>
      <c r="AV363" s="68">
        <f t="shared" ca="1" si="175"/>
        <v>0</v>
      </c>
      <c r="AW363" s="65">
        <f t="shared" ca="1" si="158"/>
        <v>0</v>
      </c>
      <c r="AX363" s="69">
        <f t="shared" ca="1" si="159"/>
        <v>0</v>
      </c>
      <c r="AY363" s="70">
        <f t="shared" ca="1" si="160"/>
        <v>0</v>
      </c>
      <c r="AZ363" s="66">
        <f t="shared" ca="1" si="161"/>
        <v>0</v>
      </c>
      <c r="BA363" s="66">
        <f t="shared" ca="1" si="162"/>
        <v>0</v>
      </c>
      <c r="BB363" s="66">
        <f t="shared" ca="1" si="163"/>
        <v>0</v>
      </c>
      <c r="BC363" s="66">
        <f t="shared" ca="1" si="164"/>
        <v>0</v>
      </c>
      <c r="BD363" s="66">
        <f t="shared" ca="1" si="165"/>
        <v>0</v>
      </c>
      <c r="BE363" s="71">
        <f t="shared" ca="1" si="171"/>
        <v>0</v>
      </c>
      <c r="BF363" s="65">
        <f t="shared" ca="1" si="166"/>
        <v>0</v>
      </c>
      <c r="BG363" s="69">
        <f t="shared" ca="1" si="167"/>
        <v>0</v>
      </c>
      <c r="BH363" s="301">
        <f t="shared" ca="1" si="170"/>
        <v>0</v>
      </c>
      <c r="BI363" s="300">
        <f ca="1">IF(AO363&gt;TartamVálasztott,0,   (BI362+BH363)*(1+yields!$D$2)*(1-(0.0099/12)))</f>
        <v>0</v>
      </c>
      <c r="BJ363" s="300">
        <f ca="1">SUM(BH$6:BH363)*-1.2</f>
        <v>-862056.26733480149</v>
      </c>
      <c r="BK363" s="300">
        <f t="shared" ca="1" si="176"/>
        <v>-862056.26733480149</v>
      </c>
      <c r="BL363" s="28">
        <f t="shared" ca="1" si="174"/>
        <v>2046</v>
      </c>
      <c r="BM363" s="28">
        <f t="shared" ca="1" si="172"/>
        <v>11</v>
      </c>
      <c r="BN363" s="236">
        <f t="shared" ca="1" si="173"/>
        <v>0</v>
      </c>
      <c r="BO363" s="236">
        <f t="shared" ca="1" si="168"/>
        <v>0</v>
      </c>
    </row>
    <row r="364" spans="41:67" x14ac:dyDescent="0.25">
      <c r="AO364" s="28">
        <f t="shared" si="152"/>
        <v>30</v>
      </c>
      <c r="AP364" s="28">
        <f t="shared" si="153"/>
        <v>11</v>
      </c>
      <c r="AQ364" s="65">
        <f t="shared" ca="1" si="169"/>
        <v>0</v>
      </c>
      <c r="AR364" s="66">
        <f t="shared" ca="1" si="154"/>
        <v>0</v>
      </c>
      <c r="AS364" s="66">
        <f t="shared" ca="1" si="155"/>
        <v>0</v>
      </c>
      <c r="AT364" s="66">
        <f t="shared" ca="1" si="156"/>
        <v>0</v>
      </c>
      <c r="AU364" s="66">
        <f t="shared" ca="1" si="157"/>
        <v>0</v>
      </c>
      <c r="AV364" s="68">
        <f t="shared" ca="1" si="175"/>
        <v>0</v>
      </c>
      <c r="AW364" s="65">
        <f t="shared" ca="1" si="158"/>
        <v>0</v>
      </c>
      <c r="AX364" s="69">
        <f t="shared" ca="1" si="159"/>
        <v>0</v>
      </c>
      <c r="AY364" s="70">
        <f t="shared" ca="1" si="160"/>
        <v>0</v>
      </c>
      <c r="AZ364" s="66">
        <f t="shared" ca="1" si="161"/>
        <v>0</v>
      </c>
      <c r="BA364" s="66">
        <f t="shared" ca="1" si="162"/>
        <v>0</v>
      </c>
      <c r="BB364" s="66">
        <f t="shared" ca="1" si="163"/>
        <v>0</v>
      </c>
      <c r="BC364" s="66">
        <f t="shared" ca="1" si="164"/>
        <v>0</v>
      </c>
      <c r="BD364" s="66">
        <f t="shared" ca="1" si="165"/>
        <v>0</v>
      </c>
      <c r="BE364" s="71">
        <f t="shared" ca="1" si="171"/>
        <v>0</v>
      </c>
      <c r="BF364" s="65">
        <f t="shared" ca="1" si="166"/>
        <v>0</v>
      </c>
      <c r="BG364" s="69">
        <f t="shared" ca="1" si="167"/>
        <v>0</v>
      </c>
      <c r="BH364" s="301">
        <f t="shared" ca="1" si="170"/>
        <v>0</v>
      </c>
      <c r="BI364" s="300">
        <f ca="1">IF(AO364&gt;TartamVálasztott,0,   (BI363+BH364)*(1+yields!$D$2)*(1-(0.0099/12)))</f>
        <v>0</v>
      </c>
      <c r="BJ364" s="300">
        <f ca="1">SUM(BH$6:BH364)*-1.2</f>
        <v>-862056.26733480149</v>
      </c>
      <c r="BK364" s="300">
        <f t="shared" ca="1" si="176"/>
        <v>-862056.26733480149</v>
      </c>
      <c r="BL364" s="28">
        <f t="shared" ca="1" si="174"/>
        <v>2046</v>
      </c>
      <c r="BM364" s="28">
        <f t="shared" ca="1" si="172"/>
        <v>12</v>
      </c>
      <c r="BN364" s="236">
        <f t="shared" ca="1" si="173"/>
        <v>0</v>
      </c>
      <c r="BO364" s="236">
        <f t="shared" ca="1" si="168"/>
        <v>0</v>
      </c>
    </row>
    <row r="365" spans="41:67" x14ac:dyDescent="0.25">
      <c r="AO365" s="28">
        <f t="shared" si="152"/>
        <v>30</v>
      </c>
      <c r="AP365" s="28">
        <f t="shared" si="153"/>
        <v>12</v>
      </c>
      <c r="AQ365" s="65">
        <f t="shared" ca="1" si="169"/>
        <v>0</v>
      </c>
      <c r="AR365" s="66">
        <f t="shared" ca="1" si="154"/>
        <v>0</v>
      </c>
      <c r="AS365" s="66">
        <f t="shared" ca="1" si="155"/>
        <v>0</v>
      </c>
      <c r="AT365" s="66">
        <f t="shared" ca="1" si="156"/>
        <v>0</v>
      </c>
      <c r="AU365" s="66">
        <f t="shared" ca="1" si="157"/>
        <v>0</v>
      </c>
      <c r="AV365" s="68">
        <f t="shared" ca="1" si="175"/>
        <v>0</v>
      </c>
      <c r="AW365" s="65">
        <f t="shared" ca="1" si="158"/>
        <v>0</v>
      </c>
      <c r="AX365" s="69">
        <f t="shared" ca="1" si="159"/>
        <v>0</v>
      </c>
      <c r="AY365" s="70">
        <f t="shared" ca="1" si="160"/>
        <v>0</v>
      </c>
      <c r="AZ365" s="66">
        <f t="shared" ca="1" si="161"/>
        <v>0</v>
      </c>
      <c r="BA365" s="66">
        <f t="shared" ca="1" si="162"/>
        <v>0</v>
      </c>
      <c r="BB365" s="66">
        <f t="shared" ca="1" si="163"/>
        <v>0</v>
      </c>
      <c r="BC365" s="66">
        <f t="shared" ca="1" si="164"/>
        <v>0</v>
      </c>
      <c r="BD365" s="66">
        <f t="shared" ca="1" si="165"/>
        <v>0</v>
      </c>
      <c r="BE365" s="71">
        <f t="shared" ca="1" si="171"/>
        <v>0</v>
      </c>
      <c r="BF365" s="65">
        <f t="shared" ca="1" si="166"/>
        <v>0</v>
      </c>
      <c r="BG365" s="69">
        <f t="shared" ca="1" si="167"/>
        <v>0</v>
      </c>
      <c r="BH365" s="301">
        <f t="shared" ca="1" si="170"/>
        <v>0</v>
      </c>
      <c r="BI365" s="300">
        <f ca="1">IF(AO365&gt;TartamVálasztott,0,   (BI364+BH365)*(1+yields!$D$2)*(1-(0.0099/12)))</f>
        <v>0</v>
      </c>
      <c r="BJ365" s="300">
        <f ca="1">SUM(BH$6:BH365)*-1.2</f>
        <v>-862056.26733480149</v>
      </c>
      <c r="BK365" s="300">
        <f t="shared" ca="1" si="176"/>
        <v>-862056.26733480149</v>
      </c>
      <c r="BL365" s="28">
        <f t="shared" ca="1" si="174"/>
        <v>2047</v>
      </c>
      <c r="BM365" s="28">
        <f t="shared" ca="1" si="172"/>
        <v>1</v>
      </c>
      <c r="BN365" s="236">
        <f t="shared" ca="1" si="173"/>
        <v>0</v>
      </c>
      <c r="BO365" s="236">
        <f t="shared" ca="1" si="168"/>
        <v>0</v>
      </c>
    </row>
    <row r="366" spans="41:67" x14ac:dyDescent="0.25">
      <c r="AO366" s="28">
        <f t="shared" si="152"/>
        <v>31</v>
      </c>
      <c r="AP366" s="28">
        <f t="shared" si="153"/>
        <v>1</v>
      </c>
      <c r="AQ366" s="65">
        <f t="shared" ca="1" si="169"/>
        <v>0</v>
      </c>
      <c r="AR366" s="66">
        <f t="shared" ca="1" si="154"/>
        <v>0</v>
      </c>
      <c r="AS366" s="66">
        <f t="shared" ca="1" si="155"/>
        <v>0</v>
      </c>
      <c r="AT366" s="66">
        <f t="shared" ca="1" si="156"/>
        <v>0</v>
      </c>
      <c r="AU366" s="66">
        <f t="shared" ca="1" si="157"/>
        <v>0</v>
      </c>
      <c r="AV366" s="68">
        <f t="shared" ca="1" si="175"/>
        <v>0</v>
      </c>
      <c r="AW366" s="65">
        <f t="shared" ca="1" si="158"/>
        <v>0</v>
      </c>
      <c r="AX366" s="69">
        <f t="shared" ca="1" si="159"/>
        <v>0</v>
      </c>
      <c r="AY366" s="70">
        <f t="shared" ca="1" si="160"/>
        <v>0</v>
      </c>
      <c r="AZ366" s="66">
        <f t="shared" ca="1" si="161"/>
        <v>0</v>
      </c>
      <c r="BA366" s="66">
        <f t="shared" ca="1" si="162"/>
        <v>0</v>
      </c>
      <c r="BB366" s="66">
        <f t="shared" ca="1" si="163"/>
        <v>0</v>
      </c>
      <c r="BC366" s="66">
        <f t="shared" ca="1" si="164"/>
        <v>0</v>
      </c>
      <c r="BD366" s="66">
        <f t="shared" ca="1" si="165"/>
        <v>0</v>
      </c>
      <c r="BE366" s="71">
        <f t="shared" ca="1" si="171"/>
        <v>0</v>
      </c>
      <c r="BF366" s="65">
        <f t="shared" ca="1" si="166"/>
        <v>0</v>
      </c>
      <c r="BG366" s="69">
        <f t="shared" ca="1" si="167"/>
        <v>0</v>
      </c>
      <c r="BH366" s="301">
        <f t="shared" ca="1" si="170"/>
        <v>0</v>
      </c>
      <c r="BI366" s="300">
        <f ca="1">IF(AO366&gt;TartamVálasztott,0,   (BI365+BH366)*(1+yields!$D$2)*(1-(0.0099/12)))</f>
        <v>0</v>
      </c>
      <c r="BJ366" s="300">
        <f ca="1">SUM(BH$6:BH366)*-1.2</f>
        <v>-862056.26733480149</v>
      </c>
      <c r="BK366" s="300">
        <f t="shared" ca="1" si="176"/>
        <v>-862056.26733480149</v>
      </c>
      <c r="BL366" s="28">
        <f t="shared" ca="1" si="174"/>
        <v>2047</v>
      </c>
      <c r="BM366" s="28">
        <f t="shared" ca="1" si="172"/>
        <v>2</v>
      </c>
      <c r="BN366" s="236">
        <f t="shared" ca="1" si="173"/>
        <v>0</v>
      </c>
      <c r="BO366" s="236">
        <f t="shared" ca="1" si="168"/>
        <v>0</v>
      </c>
    </row>
    <row r="367" spans="41:67" x14ac:dyDescent="0.25">
      <c r="AO367" s="28">
        <f t="shared" si="152"/>
        <v>31</v>
      </c>
      <c r="AP367" s="28">
        <f t="shared" si="153"/>
        <v>2</v>
      </c>
      <c r="AQ367" s="65">
        <f t="shared" ca="1" si="169"/>
        <v>0</v>
      </c>
      <c r="AR367" s="66">
        <f t="shared" ca="1" si="154"/>
        <v>0</v>
      </c>
      <c r="AS367" s="66">
        <f t="shared" ca="1" si="155"/>
        <v>0</v>
      </c>
      <c r="AT367" s="66">
        <f t="shared" ca="1" si="156"/>
        <v>0</v>
      </c>
      <c r="AU367" s="66">
        <f t="shared" ca="1" si="157"/>
        <v>0</v>
      </c>
      <c r="AV367" s="68">
        <f t="shared" ca="1" si="175"/>
        <v>0</v>
      </c>
      <c r="AW367" s="65">
        <f t="shared" ca="1" si="158"/>
        <v>0</v>
      </c>
      <c r="AX367" s="69">
        <f t="shared" ca="1" si="159"/>
        <v>0</v>
      </c>
      <c r="AY367" s="70">
        <f t="shared" ca="1" si="160"/>
        <v>0</v>
      </c>
      <c r="AZ367" s="66">
        <f t="shared" ca="1" si="161"/>
        <v>0</v>
      </c>
      <c r="BA367" s="66">
        <f t="shared" ca="1" si="162"/>
        <v>0</v>
      </c>
      <c r="BB367" s="66">
        <f t="shared" ca="1" si="163"/>
        <v>0</v>
      </c>
      <c r="BC367" s="66">
        <f t="shared" ca="1" si="164"/>
        <v>0</v>
      </c>
      <c r="BD367" s="66">
        <f t="shared" ca="1" si="165"/>
        <v>0</v>
      </c>
      <c r="BE367" s="71">
        <f t="shared" ca="1" si="171"/>
        <v>0</v>
      </c>
      <c r="BF367" s="65">
        <f t="shared" ca="1" si="166"/>
        <v>0</v>
      </c>
      <c r="BG367" s="69">
        <f t="shared" ca="1" si="167"/>
        <v>0</v>
      </c>
      <c r="BH367" s="301">
        <f t="shared" ca="1" si="170"/>
        <v>0</v>
      </c>
      <c r="BI367" s="300">
        <f ca="1">IF(AO367&gt;TartamVálasztott,0,   (BI366+BH367)*(1+yields!$D$2)*(1-(0.0099/12)))</f>
        <v>0</v>
      </c>
      <c r="BJ367" s="300">
        <f ca="1">SUM(BH$6:BH367)*-1.2</f>
        <v>-862056.26733480149</v>
      </c>
      <c r="BK367" s="300">
        <f t="shared" ca="1" si="176"/>
        <v>-862056.26733480149</v>
      </c>
      <c r="BL367" s="28">
        <f t="shared" ca="1" si="174"/>
        <v>2047</v>
      </c>
      <c r="BM367" s="28">
        <f t="shared" ca="1" si="172"/>
        <v>3</v>
      </c>
      <c r="BN367" s="236">
        <f t="shared" ca="1" si="173"/>
        <v>0</v>
      </c>
      <c r="BO367" s="236">
        <f t="shared" ca="1" si="168"/>
        <v>0</v>
      </c>
    </row>
    <row r="368" spans="41:67" x14ac:dyDescent="0.25">
      <c r="AO368" s="28">
        <f t="shared" si="152"/>
        <v>31</v>
      </c>
      <c r="AP368" s="28">
        <f t="shared" si="153"/>
        <v>3</v>
      </c>
      <c r="AQ368" s="65">
        <f t="shared" ca="1" si="169"/>
        <v>0</v>
      </c>
      <c r="AR368" s="66">
        <f t="shared" ca="1" si="154"/>
        <v>0</v>
      </c>
      <c r="AS368" s="66">
        <f t="shared" ca="1" si="155"/>
        <v>0</v>
      </c>
      <c r="AT368" s="66">
        <f t="shared" ca="1" si="156"/>
        <v>0</v>
      </c>
      <c r="AU368" s="66">
        <f t="shared" ca="1" si="157"/>
        <v>0</v>
      </c>
      <c r="AV368" s="68">
        <f t="shared" ca="1" si="175"/>
        <v>0</v>
      </c>
      <c r="AW368" s="65">
        <f t="shared" ca="1" si="158"/>
        <v>0</v>
      </c>
      <c r="AX368" s="69">
        <f t="shared" ca="1" si="159"/>
        <v>0</v>
      </c>
      <c r="AY368" s="70">
        <f t="shared" ca="1" si="160"/>
        <v>0</v>
      </c>
      <c r="AZ368" s="66">
        <f t="shared" ca="1" si="161"/>
        <v>0</v>
      </c>
      <c r="BA368" s="66">
        <f t="shared" ca="1" si="162"/>
        <v>0</v>
      </c>
      <c r="BB368" s="66">
        <f t="shared" ca="1" si="163"/>
        <v>0</v>
      </c>
      <c r="BC368" s="66">
        <f t="shared" ca="1" si="164"/>
        <v>0</v>
      </c>
      <c r="BD368" s="66">
        <f t="shared" ca="1" si="165"/>
        <v>0</v>
      </c>
      <c r="BE368" s="71">
        <f t="shared" ca="1" si="171"/>
        <v>0</v>
      </c>
      <c r="BF368" s="65">
        <f t="shared" ca="1" si="166"/>
        <v>0</v>
      </c>
      <c r="BG368" s="69">
        <f t="shared" ca="1" si="167"/>
        <v>0</v>
      </c>
      <c r="BH368" s="301">
        <f t="shared" ca="1" si="170"/>
        <v>0</v>
      </c>
      <c r="BI368" s="300">
        <f ca="1">IF(AO368&gt;TartamVálasztott,0,   (BI367+BH368)*(1+yields!$D$2)*(1-(0.0099/12)))</f>
        <v>0</v>
      </c>
      <c r="BJ368" s="300">
        <f ca="1">SUM(BH$6:BH368)*-1.2</f>
        <v>-862056.26733480149</v>
      </c>
      <c r="BK368" s="300">
        <f t="shared" ca="1" si="176"/>
        <v>-862056.26733480149</v>
      </c>
      <c r="BL368" s="28">
        <f t="shared" ca="1" si="174"/>
        <v>2047</v>
      </c>
      <c r="BM368" s="28">
        <f t="shared" ca="1" si="172"/>
        <v>4</v>
      </c>
      <c r="BN368" s="236">
        <f t="shared" ca="1" si="173"/>
        <v>0</v>
      </c>
      <c r="BO368" s="236">
        <f t="shared" ca="1" si="168"/>
        <v>0</v>
      </c>
    </row>
    <row r="369" spans="41:67" x14ac:dyDescent="0.25">
      <c r="AO369" s="28">
        <f t="shared" si="152"/>
        <v>31</v>
      </c>
      <c r="AP369" s="28">
        <f t="shared" si="153"/>
        <v>4</v>
      </c>
      <c r="AQ369" s="65">
        <f t="shared" ca="1" si="169"/>
        <v>0</v>
      </c>
      <c r="AR369" s="66">
        <f t="shared" ca="1" si="154"/>
        <v>0</v>
      </c>
      <c r="AS369" s="66">
        <f t="shared" ca="1" si="155"/>
        <v>0</v>
      </c>
      <c r="AT369" s="66">
        <f t="shared" ca="1" si="156"/>
        <v>0</v>
      </c>
      <c r="AU369" s="66">
        <f t="shared" ca="1" si="157"/>
        <v>0</v>
      </c>
      <c r="AV369" s="68">
        <f t="shared" ca="1" si="175"/>
        <v>0</v>
      </c>
      <c r="AW369" s="65">
        <f t="shared" ca="1" si="158"/>
        <v>0</v>
      </c>
      <c r="AX369" s="69">
        <f t="shared" ca="1" si="159"/>
        <v>0</v>
      </c>
      <c r="AY369" s="70">
        <f t="shared" ca="1" si="160"/>
        <v>0</v>
      </c>
      <c r="AZ369" s="66">
        <f t="shared" ca="1" si="161"/>
        <v>0</v>
      </c>
      <c r="BA369" s="66">
        <f t="shared" ca="1" si="162"/>
        <v>0</v>
      </c>
      <c r="BB369" s="66">
        <f t="shared" ca="1" si="163"/>
        <v>0</v>
      </c>
      <c r="BC369" s="66">
        <f t="shared" ca="1" si="164"/>
        <v>0</v>
      </c>
      <c r="BD369" s="66">
        <f t="shared" ca="1" si="165"/>
        <v>0</v>
      </c>
      <c r="BE369" s="71">
        <f t="shared" ca="1" si="171"/>
        <v>0</v>
      </c>
      <c r="BF369" s="65">
        <f t="shared" ca="1" si="166"/>
        <v>0</v>
      </c>
      <c r="BG369" s="69">
        <f t="shared" ca="1" si="167"/>
        <v>0</v>
      </c>
      <c r="BH369" s="301">
        <f t="shared" ca="1" si="170"/>
        <v>0</v>
      </c>
      <c r="BI369" s="300">
        <f ca="1">IF(AO369&gt;TartamVálasztott,0,   (BI368+BH369)*(1+yields!$D$2)*(1-(0.0099/12)))</f>
        <v>0</v>
      </c>
      <c r="BJ369" s="300">
        <f ca="1">SUM(BH$6:BH369)*-1.2</f>
        <v>-862056.26733480149</v>
      </c>
      <c r="BK369" s="300">
        <f t="shared" ca="1" si="176"/>
        <v>-862056.26733480149</v>
      </c>
      <c r="BL369" s="28">
        <f t="shared" ca="1" si="174"/>
        <v>2047</v>
      </c>
      <c r="BM369" s="28">
        <f t="shared" ca="1" si="172"/>
        <v>5</v>
      </c>
      <c r="BN369" s="236">
        <f t="shared" ca="1" si="173"/>
        <v>0</v>
      </c>
      <c r="BO369" s="236">
        <f t="shared" ca="1" si="168"/>
        <v>0</v>
      </c>
    </row>
    <row r="370" spans="41:67" x14ac:dyDescent="0.25">
      <c r="AO370" s="28">
        <f t="shared" si="152"/>
        <v>31</v>
      </c>
      <c r="AP370" s="28">
        <f t="shared" si="153"/>
        <v>5</v>
      </c>
      <c r="AQ370" s="65">
        <f t="shared" ca="1" si="169"/>
        <v>0</v>
      </c>
      <c r="AR370" s="66">
        <f t="shared" ca="1" si="154"/>
        <v>0</v>
      </c>
      <c r="AS370" s="66">
        <f t="shared" ca="1" si="155"/>
        <v>0</v>
      </c>
      <c r="AT370" s="66">
        <f t="shared" ca="1" si="156"/>
        <v>0</v>
      </c>
      <c r="AU370" s="66">
        <f t="shared" ca="1" si="157"/>
        <v>0</v>
      </c>
      <c r="AV370" s="68">
        <f t="shared" ca="1" si="175"/>
        <v>0</v>
      </c>
      <c r="AW370" s="65">
        <f t="shared" ca="1" si="158"/>
        <v>0</v>
      </c>
      <c r="AX370" s="69">
        <f t="shared" ca="1" si="159"/>
        <v>0</v>
      </c>
      <c r="AY370" s="70">
        <f t="shared" ca="1" si="160"/>
        <v>0</v>
      </c>
      <c r="AZ370" s="66">
        <f t="shared" ca="1" si="161"/>
        <v>0</v>
      </c>
      <c r="BA370" s="66">
        <f t="shared" ca="1" si="162"/>
        <v>0</v>
      </c>
      <c r="BB370" s="66">
        <f t="shared" ca="1" si="163"/>
        <v>0</v>
      </c>
      <c r="BC370" s="66">
        <f t="shared" ca="1" si="164"/>
        <v>0</v>
      </c>
      <c r="BD370" s="66">
        <f t="shared" ca="1" si="165"/>
        <v>0</v>
      </c>
      <c r="BE370" s="71">
        <f t="shared" ca="1" si="171"/>
        <v>0</v>
      </c>
      <c r="BF370" s="65">
        <f t="shared" ca="1" si="166"/>
        <v>0</v>
      </c>
      <c r="BG370" s="69">
        <f t="shared" ca="1" si="167"/>
        <v>0</v>
      </c>
      <c r="BH370" s="301">
        <f t="shared" ca="1" si="170"/>
        <v>0</v>
      </c>
      <c r="BI370" s="300">
        <f ca="1">IF(AO370&gt;TartamVálasztott,0,   (BI369+BH370)*(1+yields!$D$2)*(1-(0.0099/12)))</f>
        <v>0</v>
      </c>
      <c r="BJ370" s="300">
        <f ca="1">SUM(BH$6:BH370)*-1.2</f>
        <v>-862056.26733480149</v>
      </c>
      <c r="BK370" s="300">
        <f t="shared" ca="1" si="176"/>
        <v>-862056.26733480149</v>
      </c>
      <c r="BL370" s="28">
        <f t="shared" ca="1" si="174"/>
        <v>2047</v>
      </c>
      <c r="BM370" s="28">
        <f t="shared" ca="1" si="172"/>
        <v>6</v>
      </c>
      <c r="BN370" s="236">
        <f t="shared" ca="1" si="173"/>
        <v>0</v>
      </c>
      <c r="BO370" s="236">
        <f t="shared" ca="1" si="168"/>
        <v>0</v>
      </c>
    </row>
    <row r="371" spans="41:67" x14ac:dyDescent="0.25">
      <c r="AO371" s="28">
        <f t="shared" si="152"/>
        <v>31</v>
      </c>
      <c r="AP371" s="28">
        <f t="shared" si="153"/>
        <v>6</v>
      </c>
      <c r="AQ371" s="65">
        <f t="shared" ca="1" si="169"/>
        <v>0</v>
      </c>
      <c r="AR371" s="66">
        <f t="shared" ca="1" si="154"/>
        <v>0</v>
      </c>
      <c r="AS371" s="66">
        <f t="shared" ca="1" si="155"/>
        <v>0</v>
      </c>
      <c r="AT371" s="66">
        <f t="shared" ca="1" si="156"/>
        <v>0</v>
      </c>
      <c r="AU371" s="66">
        <f t="shared" ca="1" si="157"/>
        <v>0</v>
      </c>
      <c r="AV371" s="68">
        <f t="shared" ca="1" si="175"/>
        <v>0</v>
      </c>
      <c r="AW371" s="65">
        <f t="shared" ca="1" si="158"/>
        <v>0</v>
      </c>
      <c r="AX371" s="69">
        <f t="shared" ca="1" si="159"/>
        <v>0</v>
      </c>
      <c r="AY371" s="70">
        <f t="shared" ca="1" si="160"/>
        <v>0</v>
      </c>
      <c r="AZ371" s="66">
        <f t="shared" ca="1" si="161"/>
        <v>0</v>
      </c>
      <c r="BA371" s="66">
        <f t="shared" ca="1" si="162"/>
        <v>0</v>
      </c>
      <c r="BB371" s="66">
        <f t="shared" ca="1" si="163"/>
        <v>0</v>
      </c>
      <c r="BC371" s="66">
        <f t="shared" ca="1" si="164"/>
        <v>0</v>
      </c>
      <c r="BD371" s="66">
        <f t="shared" ca="1" si="165"/>
        <v>0</v>
      </c>
      <c r="BE371" s="71">
        <f t="shared" ca="1" si="171"/>
        <v>0</v>
      </c>
      <c r="BF371" s="65">
        <f t="shared" ca="1" si="166"/>
        <v>0</v>
      </c>
      <c r="BG371" s="69">
        <f t="shared" ca="1" si="167"/>
        <v>0</v>
      </c>
      <c r="BH371" s="301">
        <f t="shared" ca="1" si="170"/>
        <v>0</v>
      </c>
      <c r="BI371" s="300">
        <f ca="1">IF(AO371&gt;TartamVálasztott,0,   (BI370+BH371)*(1+yields!$D$2)*(1-(0.0099/12)))</f>
        <v>0</v>
      </c>
      <c r="BJ371" s="300">
        <f ca="1">SUM(BH$6:BH371)*-1.2</f>
        <v>-862056.26733480149</v>
      </c>
      <c r="BK371" s="300">
        <f t="shared" ca="1" si="176"/>
        <v>-862056.26733480149</v>
      </c>
      <c r="BL371" s="28">
        <f t="shared" ca="1" si="174"/>
        <v>2047</v>
      </c>
      <c r="BM371" s="28">
        <f t="shared" ca="1" si="172"/>
        <v>7</v>
      </c>
      <c r="BN371" s="236">
        <f t="shared" ca="1" si="173"/>
        <v>0</v>
      </c>
      <c r="BO371" s="236">
        <f t="shared" ca="1" si="168"/>
        <v>0</v>
      </c>
    </row>
    <row r="372" spans="41:67" x14ac:dyDescent="0.25">
      <c r="AO372" s="28">
        <f t="shared" si="152"/>
        <v>31</v>
      </c>
      <c r="AP372" s="28">
        <f t="shared" si="153"/>
        <v>7</v>
      </c>
      <c r="AQ372" s="65">
        <f t="shared" ca="1" si="169"/>
        <v>0</v>
      </c>
      <c r="AR372" s="66">
        <f t="shared" ca="1" si="154"/>
        <v>0</v>
      </c>
      <c r="AS372" s="66">
        <f t="shared" ca="1" si="155"/>
        <v>0</v>
      </c>
      <c r="AT372" s="66">
        <f t="shared" ca="1" si="156"/>
        <v>0</v>
      </c>
      <c r="AU372" s="66">
        <f t="shared" ca="1" si="157"/>
        <v>0</v>
      </c>
      <c r="AV372" s="68">
        <f t="shared" ca="1" si="175"/>
        <v>0</v>
      </c>
      <c r="AW372" s="65">
        <f t="shared" ca="1" si="158"/>
        <v>0</v>
      </c>
      <c r="AX372" s="69">
        <f t="shared" ca="1" si="159"/>
        <v>0</v>
      </c>
      <c r="AY372" s="70">
        <f t="shared" ca="1" si="160"/>
        <v>0</v>
      </c>
      <c r="AZ372" s="66">
        <f t="shared" ca="1" si="161"/>
        <v>0</v>
      </c>
      <c r="BA372" s="66">
        <f t="shared" ca="1" si="162"/>
        <v>0</v>
      </c>
      <c r="BB372" s="66">
        <f t="shared" ca="1" si="163"/>
        <v>0</v>
      </c>
      <c r="BC372" s="66">
        <f t="shared" ca="1" si="164"/>
        <v>0</v>
      </c>
      <c r="BD372" s="66">
        <f t="shared" ca="1" si="165"/>
        <v>0</v>
      </c>
      <c r="BE372" s="71">
        <f t="shared" ca="1" si="171"/>
        <v>0</v>
      </c>
      <c r="BF372" s="65">
        <f t="shared" ca="1" si="166"/>
        <v>0</v>
      </c>
      <c r="BG372" s="69">
        <f t="shared" ca="1" si="167"/>
        <v>0</v>
      </c>
      <c r="BH372" s="301">
        <f t="shared" ca="1" si="170"/>
        <v>0</v>
      </c>
      <c r="BI372" s="300">
        <f ca="1">IF(AO372&gt;TartamVálasztott,0,   (BI371+BH372)*(1+yields!$D$2)*(1-(0.0099/12)))</f>
        <v>0</v>
      </c>
      <c r="BJ372" s="300">
        <f ca="1">SUM(BH$6:BH372)*-1.2</f>
        <v>-862056.26733480149</v>
      </c>
      <c r="BK372" s="300">
        <f t="shared" ca="1" si="176"/>
        <v>-862056.26733480149</v>
      </c>
      <c r="BL372" s="28">
        <f t="shared" ca="1" si="174"/>
        <v>2047</v>
      </c>
      <c r="BM372" s="28">
        <f t="shared" ca="1" si="172"/>
        <v>8</v>
      </c>
      <c r="BN372" s="236">
        <f t="shared" ca="1" si="173"/>
        <v>0</v>
      </c>
      <c r="BO372" s="236">
        <f t="shared" ca="1" si="168"/>
        <v>0</v>
      </c>
    </row>
    <row r="373" spans="41:67" x14ac:dyDescent="0.25">
      <c r="AO373" s="28">
        <f t="shared" si="152"/>
        <v>31</v>
      </c>
      <c r="AP373" s="28">
        <f t="shared" si="153"/>
        <v>8</v>
      </c>
      <c r="AQ373" s="65">
        <f t="shared" ca="1" si="169"/>
        <v>0</v>
      </c>
      <c r="AR373" s="66">
        <f t="shared" ca="1" si="154"/>
        <v>0</v>
      </c>
      <c r="AS373" s="66">
        <f t="shared" ca="1" si="155"/>
        <v>0</v>
      </c>
      <c r="AT373" s="66">
        <f t="shared" ca="1" si="156"/>
        <v>0</v>
      </c>
      <c r="AU373" s="66">
        <f t="shared" ca="1" si="157"/>
        <v>0</v>
      </c>
      <c r="AV373" s="68">
        <f t="shared" ca="1" si="175"/>
        <v>0</v>
      </c>
      <c r="AW373" s="65">
        <f t="shared" ca="1" si="158"/>
        <v>0</v>
      </c>
      <c r="AX373" s="69">
        <f t="shared" ca="1" si="159"/>
        <v>0</v>
      </c>
      <c r="AY373" s="70">
        <f t="shared" ca="1" si="160"/>
        <v>0</v>
      </c>
      <c r="AZ373" s="66">
        <f t="shared" ca="1" si="161"/>
        <v>0</v>
      </c>
      <c r="BA373" s="66">
        <f t="shared" ca="1" si="162"/>
        <v>0</v>
      </c>
      <c r="BB373" s="66">
        <f t="shared" ca="1" si="163"/>
        <v>0</v>
      </c>
      <c r="BC373" s="66">
        <f t="shared" ca="1" si="164"/>
        <v>0</v>
      </c>
      <c r="BD373" s="66">
        <f t="shared" ca="1" si="165"/>
        <v>0</v>
      </c>
      <c r="BE373" s="71">
        <f t="shared" ca="1" si="171"/>
        <v>0</v>
      </c>
      <c r="BF373" s="65">
        <f t="shared" ca="1" si="166"/>
        <v>0</v>
      </c>
      <c r="BG373" s="69">
        <f t="shared" ca="1" si="167"/>
        <v>0</v>
      </c>
      <c r="BH373" s="301">
        <f t="shared" ca="1" si="170"/>
        <v>0</v>
      </c>
      <c r="BI373" s="300">
        <f ca="1">IF(AO373&gt;TartamVálasztott,0,   (BI372+BH373)*(1+yields!$D$2)*(1-(0.0099/12)))</f>
        <v>0</v>
      </c>
      <c r="BJ373" s="300">
        <f ca="1">SUM(BH$6:BH373)*-1.2</f>
        <v>-862056.26733480149</v>
      </c>
      <c r="BK373" s="300">
        <f t="shared" ca="1" si="176"/>
        <v>-862056.26733480149</v>
      </c>
      <c r="BL373" s="28">
        <f t="shared" ca="1" si="174"/>
        <v>2047</v>
      </c>
      <c r="BM373" s="28">
        <f t="shared" ca="1" si="172"/>
        <v>9</v>
      </c>
      <c r="BN373" s="236">
        <f t="shared" ca="1" si="173"/>
        <v>0</v>
      </c>
      <c r="BO373" s="236">
        <f t="shared" ca="1" si="168"/>
        <v>0</v>
      </c>
    </row>
    <row r="374" spans="41:67" x14ac:dyDescent="0.25">
      <c r="AO374" s="28">
        <f t="shared" si="152"/>
        <v>31</v>
      </c>
      <c r="AP374" s="28">
        <f t="shared" si="153"/>
        <v>9</v>
      </c>
      <c r="AQ374" s="65">
        <f t="shared" ca="1" si="169"/>
        <v>0</v>
      </c>
      <c r="AR374" s="66">
        <f t="shared" ca="1" si="154"/>
        <v>0</v>
      </c>
      <c r="AS374" s="66">
        <f t="shared" ca="1" si="155"/>
        <v>0</v>
      </c>
      <c r="AT374" s="66">
        <f t="shared" ca="1" si="156"/>
        <v>0</v>
      </c>
      <c r="AU374" s="66">
        <f t="shared" ca="1" si="157"/>
        <v>0</v>
      </c>
      <c r="AV374" s="68">
        <f t="shared" ca="1" si="175"/>
        <v>0</v>
      </c>
      <c r="AW374" s="65">
        <f t="shared" ca="1" si="158"/>
        <v>0</v>
      </c>
      <c r="AX374" s="69">
        <f t="shared" ca="1" si="159"/>
        <v>0</v>
      </c>
      <c r="AY374" s="70">
        <f t="shared" ca="1" si="160"/>
        <v>0</v>
      </c>
      <c r="AZ374" s="66">
        <f t="shared" ca="1" si="161"/>
        <v>0</v>
      </c>
      <c r="BA374" s="66">
        <f t="shared" ca="1" si="162"/>
        <v>0</v>
      </c>
      <c r="BB374" s="66">
        <f t="shared" ca="1" si="163"/>
        <v>0</v>
      </c>
      <c r="BC374" s="66">
        <f t="shared" ca="1" si="164"/>
        <v>0</v>
      </c>
      <c r="BD374" s="66">
        <f t="shared" ca="1" si="165"/>
        <v>0</v>
      </c>
      <c r="BE374" s="71">
        <f t="shared" ca="1" si="171"/>
        <v>0</v>
      </c>
      <c r="BF374" s="65">
        <f t="shared" ca="1" si="166"/>
        <v>0</v>
      </c>
      <c r="BG374" s="69">
        <f t="shared" ca="1" si="167"/>
        <v>0</v>
      </c>
      <c r="BH374" s="301">
        <f t="shared" ca="1" si="170"/>
        <v>0</v>
      </c>
      <c r="BI374" s="300">
        <f ca="1">IF(AO374&gt;TartamVálasztott,0,   (BI373+BH374)*(1+yields!$D$2)*(1-(0.0099/12)))</f>
        <v>0</v>
      </c>
      <c r="BJ374" s="300">
        <f ca="1">SUM(BH$6:BH374)*-1.2</f>
        <v>-862056.26733480149</v>
      </c>
      <c r="BK374" s="300">
        <f t="shared" ca="1" si="176"/>
        <v>-862056.26733480149</v>
      </c>
      <c r="BL374" s="28">
        <f t="shared" ca="1" si="174"/>
        <v>2047</v>
      </c>
      <c r="BM374" s="28">
        <f t="shared" ca="1" si="172"/>
        <v>10</v>
      </c>
      <c r="BN374" s="236">
        <f t="shared" ca="1" si="173"/>
        <v>0</v>
      </c>
      <c r="BO374" s="236">
        <f t="shared" ca="1" si="168"/>
        <v>0</v>
      </c>
    </row>
    <row r="375" spans="41:67" x14ac:dyDescent="0.25">
      <c r="AO375" s="28">
        <f t="shared" si="152"/>
        <v>31</v>
      </c>
      <c r="AP375" s="28">
        <f t="shared" si="153"/>
        <v>10</v>
      </c>
      <c r="AQ375" s="65">
        <f t="shared" ca="1" si="169"/>
        <v>0</v>
      </c>
      <c r="AR375" s="66">
        <f t="shared" ca="1" si="154"/>
        <v>0</v>
      </c>
      <c r="AS375" s="66">
        <f t="shared" ca="1" si="155"/>
        <v>0</v>
      </c>
      <c r="AT375" s="66">
        <f t="shared" ca="1" si="156"/>
        <v>0</v>
      </c>
      <c r="AU375" s="66">
        <f t="shared" ca="1" si="157"/>
        <v>0</v>
      </c>
      <c r="AV375" s="68">
        <f t="shared" ca="1" si="175"/>
        <v>0</v>
      </c>
      <c r="AW375" s="65">
        <f t="shared" ca="1" si="158"/>
        <v>0</v>
      </c>
      <c r="AX375" s="69">
        <f t="shared" ca="1" si="159"/>
        <v>0</v>
      </c>
      <c r="AY375" s="70">
        <f t="shared" ca="1" si="160"/>
        <v>0</v>
      </c>
      <c r="AZ375" s="66">
        <f t="shared" ca="1" si="161"/>
        <v>0</v>
      </c>
      <c r="BA375" s="66">
        <f t="shared" ca="1" si="162"/>
        <v>0</v>
      </c>
      <c r="BB375" s="66">
        <f t="shared" ca="1" si="163"/>
        <v>0</v>
      </c>
      <c r="BC375" s="66">
        <f t="shared" ca="1" si="164"/>
        <v>0</v>
      </c>
      <c r="BD375" s="66">
        <f t="shared" ca="1" si="165"/>
        <v>0</v>
      </c>
      <c r="BE375" s="71">
        <f t="shared" ca="1" si="171"/>
        <v>0</v>
      </c>
      <c r="BF375" s="65">
        <f t="shared" ca="1" si="166"/>
        <v>0</v>
      </c>
      <c r="BG375" s="69">
        <f t="shared" ca="1" si="167"/>
        <v>0</v>
      </c>
      <c r="BH375" s="301">
        <f t="shared" ca="1" si="170"/>
        <v>0</v>
      </c>
      <c r="BI375" s="300">
        <f ca="1">IF(AO375&gt;TartamVálasztott,0,   (BI374+BH375)*(1+yields!$D$2)*(1-(0.0099/12)))</f>
        <v>0</v>
      </c>
      <c r="BJ375" s="300">
        <f ca="1">SUM(BH$6:BH375)*-1.2</f>
        <v>-862056.26733480149</v>
      </c>
      <c r="BK375" s="300">
        <f t="shared" ca="1" si="176"/>
        <v>-862056.26733480149</v>
      </c>
      <c r="BL375" s="28">
        <f t="shared" ca="1" si="174"/>
        <v>2047</v>
      </c>
      <c r="BM375" s="28">
        <f t="shared" ca="1" si="172"/>
        <v>11</v>
      </c>
      <c r="BN375" s="236">
        <f t="shared" ca="1" si="173"/>
        <v>0</v>
      </c>
      <c r="BO375" s="236">
        <f t="shared" ca="1" si="168"/>
        <v>0</v>
      </c>
    </row>
    <row r="376" spans="41:67" x14ac:dyDescent="0.25">
      <c r="AO376" s="28">
        <f t="shared" si="152"/>
        <v>31</v>
      </c>
      <c r="AP376" s="28">
        <f t="shared" si="153"/>
        <v>11</v>
      </c>
      <c r="AQ376" s="65">
        <f t="shared" ca="1" si="169"/>
        <v>0</v>
      </c>
      <c r="AR376" s="66">
        <f t="shared" ca="1" si="154"/>
        <v>0</v>
      </c>
      <c r="AS376" s="66">
        <f t="shared" ca="1" si="155"/>
        <v>0</v>
      </c>
      <c r="AT376" s="66">
        <f t="shared" ca="1" si="156"/>
        <v>0</v>
      </c>
      <c r="AU376" s="66">
        <f t="shared" ca="1" si="157"/>
        <v>0</v>
      </c>
      <c r="AV376" s="68">
        <f t="shared" ca="1" si="175"/>
        <v>0</v>
      </c>
      <c r="AW376" s="65">
        <f t="shared" ca="1" si="158"/>
        <v>0</v>
      </c>
      <c r="AX376" s="69">
        <f t="shared" ca="1" si="159"/>
        <v>0</v>
      </c>
      <c r="AY376" s="70">
        <f t="shared" ca="1" si="160"/>
        <v>0</v>
      </c>
      <c r="AZ376" s="66">
        <f t="shared" ca="1" si="161"/>
        <v>0</v>
      </c>
      <c r="BA376" s="66">
        <f t="shared" ca="1" si="162"/>
        <v>0</v>
      </c>
      <c r="BB376" s="66">
        <f t="shared" ca="1" si="163"/>
        <v>0</v>
      </c>
      <c r="BC376" s="66">
        <f t="shared" ca="1" si="164"/>
        <v>0</v>
      </c>
      <c r="BD376" s="66">
        <f t="shared" ca="1" si="165"/>
        <v>0</v>
      </c>
      <c r="BE376" s="71">
        <f t="shared" ca="1" si="171"/>
        <v>0</v>
      </c>
      <c r="BF376" s="65">
        <f t="shared" ca="1" si="166"/>
        <v>0</v>
      </c>
      <c r="BG376" s="69">
        <f t="shared" ca="1" si="167"/>
        <v>0</v>
      </c>
      <c r="BH376" s="301">
        <f t="shared" ca="1" si="170"/>
        <v>0</v>
      </c>
      <c r="BI376" s="300">
        <f ca="1">IF(AO376&gt;TartamVálasztott,0,   (BI375+BH376)*(1+yields!$D$2)*(1-(0.0099/12)))</f>
        <v>0</v>
      </c>
      <c r="BJ376" s="300">
        <f ca="1">SUM(BH$6:BH376)*-1.2</f>
        <v>-862056.26733480149</v>
      </c>
      <c r="BK376" s="300">
        <f t="shared" ca="1" si="176"/>
        <v>-862056.26733480149</v>
      </c>
      <c r="BL376" s="28">
        <f t="shared" ca="1" si="174"/>
        <v>2047</v>
      </c>
      <c r="BM376" s="28">
        <f t="shared" ca="1" si="172"/>
        <v>12</v>
      </c>
      <c r="BN376" s="236">
        <f t="shared" ca="1" si="173"/>
        <v>0</v>
      </c>
      <c r="BO376" s="236">
        <f t="shared" ca="1" si="168"/>
        <v>0</v>
      </c>
    </row>
    <row r="377" spans="41:67" x14ac:dyDescent="0.25">
      <c r="AO377" s="28">
        <f t="shared" si="152"/>
        <v>31</v>
      </c>
      <c r="AP377" s="28">
        <f t="shared" si="153"/>
        <v>12</v>
      </c>
      <c r="AQ377" s="65">
        <f t="shared" ca="1" si="169"/>
        <v>0</v>
      </c>
      <c r="AR377" s="66">
        <f t="shared" ca="1" si="154"/>
        <v>0</v>
      </c>
      <c r="AS377" s="66">
        <f t="shared" ca="1" si="155"/>
        <v>0</v>
      </c>
      <c r="AT377" s="66">
        <f t="shared" ca="1" si="156"/>
        <v>0</v>
      </c>
      <c r="AU377" s="66">
        <f t="shared" ca="1" si="157"/>
        <v>0</v>
      </c>
      <c r="AV377" s="68">
        <f t="shared" ca="1" si="175"/>
        <v>0</v>
      </c>
      <c r="AW377" s="65">
        <f t="shared" ca="1" si="158"/>
        <v>0</v>
      </c>
      <c r="AX377" s="69">
        <f t="shared" ca="1" si="159"/>
        <v>0</v>
      </c>
      <c r="AY377" s="70">
        <f t="shared" ca="1" si="160"/>
        <v>0</v>
      </c>
      <c r="AZ377" s="66">
        <f t="shared" ca="1" si="161"/>
        <v>0</v>
      </c>
      <c r="BA377" s="66">
        <f t="shared" ca="1" si="162"/>
        <v>0</v>
      </c>
      <c r="BB377" s="66">
        <f t="shared" ca="1" si="163"/>
        <v>0</v>
      </c>
      <c r="BC377" s="66">
        <f t="shared" ca="1" si="164"/>
        <v>0</v>
      </c>
      <c r="BD377" s="66">
        <f t="shared" ca="1" si="165"/>
        <v>0</v>
      </c>
      <c r="BE377" s="71">
        <f t="shared" ca="1" si="171"/>
        <v>0</v>
      </c>
      <c r="BF377" s="65">
        <f t="shared" ca="1" si="166"/>
        <v>0</v>
      </c>
      <c r="BG377" s="69">
        <f t="shared" ca="1" si="167"/>
        <v>0</v>
      </c>
      <c r="BH377" s="301">
        <f t="shared" ca="1" si="170"/>
        <v>0</v>
      </c>
      <c r="BI377" s="300">
        <f ca="1">IF(AO377&gt;TartamVálasztott,0,   (BI376+BH377)*(1+yields!$D$2)*(1-(0.0099/12)))</f>
        <v>0</v>
      </c>
      <c r="BJ377" s="300">
        <f ca="1">SUM(BH$6:BH377)*-1.2</f>
        <v>-862056.26733480149</v>
      </c>
      <c r="BK377" s="300">
        <f t="shared" ca="1" si="176"/>
        <v>-862056.26733480149</v>
      </c>
      <c r="BL377" s="28">
        <f t="shared" ca="1" si="174"/>
        <v>2048</v>
      </c>
      <c r="BM377" s="28">
        <f t="shared" ca="1" si="172"/>
        <v>1</v>
      </c>
      <c r="BN377" s="236">
        <f t="shared" ca="1" si="173"/>
        <v>0</v>
      </c>
      <c r="BO377" s="236">
        <f t="shared" ca="1" si="168"/>
        <v>0</v>
      </c>
    </row>
    <row r="378" spans="41:67" x14ac:dyDescent="0.25">
      <c r="AO378" s="28">
        <f t="shared" si="152"/>
        <v>32</v>
      </c>
      <c r="AP378" s="28">
        <f t="shared" si="153"/>
        <v>1</v>
      </c>
      <c r="AQ378" s="65">
        <f t="shared" ca="1" si="169"/>
        <v>0</v>
      </c>
      <c r="AR378" s="66">
        <f t="shared" ca="1" si="154"/>
        <v>0</v>
      </c>
      <c r="AS378" s="66">
        <f t="shared" ca="1" si="155"/>
        <v>0</v>
      </c>
      <c r="AT378" s="66">
        <f t="shared" ca="1" si="156"/>
        <v>0</v>
      </c>
      <c r="AU378" s="66">
        <f t="shared" ca="1" si="157"/>
        <v>0</v>
      </c>
      <c r="AV378" s="68">
        <f t="shared" ca="1" si="175"/>
        <v>0</v>
      </c>
      <c r="AW378" s="65">
        <f t="shared" ca="1" si="158"/>
        <v>0</v>
      </c>
      <c r="AX378" s="69">
        <f t="shared" ca="1" si="159"/>
        <v>0</v>
      </c>
      <c r="AY378" s="70">
        <f t="shared" ca="1" si="160"/>
        <v>0</v>
      </c>
      <c r="AZ378" s="66">
        <f t="shared" ca="1" si="161"/>
        <v>0</v>
      </c>
      <c r="BA378" s="66">
        <f t="shared" ca="1" si="162"/>
        <v>0</v>
      </c>
      <c r="BB378" s="66">
        <f t="shared" ca="1" si="163"/>
        <v>0</v>
      </c>
      <c r="BC378" s="66">
        <f t="shared" ca="1" si="164"/>
        <v>0</v>
      </c>
      <c r="BD378" s="66">
        <f t="shared" ca="1" si="165"/>
        <v>0</v>
      </c>
      <c r="BE378" s="71">
        <f t="shared" ca="1" si="171"/>
        <v>0</v>
      </c>
      <c r="BF378" s="65">
        <f t="shared" ca="1" si="166"/>
        <v>0</v>
      </c>
      <c r="BG378" s="69">
        <f t="shared" ca="1" si="167"/>
        <v>0</v>
      </c>
      <c r="BH378" s="301">
        <f t="shared" ca="1" si="170"/>
        <v>0</v>
      </c>
      <c r="BI378" s="300">
        <f ca="1">IF(AO378&gt;TartamVálasztott,0,   (BI377+BH378)*(1+yields!$D$2)*(1-(0.0099/12)))</f>
        <v>0</v>
      </c>
      <c r="BJ378" s="300">
        <f ca="1">SUM(BH$6:BH378)*-1.2</f>
        <v>-862056.26733480149</v>
      </c>
      <c r="BK378" s="300">
        <f t="shared" ca="1" si="176"/>
        <v>-862056.26733480149</v>
      </c>
      <c r="BL378" s="28">
        <f t="shared" ca="1" si="174"/>
        <v>2048</v>
      </c>
      <c r="BM378" s="28">
        <f t="shared" ca="1" si="172"/>
        <v>2</v>
      </c>
      <c r="BN378" s="236">
        <f t="shared" ca="1" si="173"/>
        <v>0</v>
      </c>
      <c r="BO378" s="236">
        <f t="shared" ca="1" si="168"/>
        <v>0</v>
      </c>
    </row>
    <row r="379" spans="41:67" x14ac:dyDescent="0.25">
      <c r="AO379" s="28">
        <f t="shared" si="152"/>
        <v>32</v>
      </c>
      <c r="AP379" s="28">
        <f t="shared" si="153"/>
        <v>2</v>
      </c>
      <c r="AQ379" s="65">
        <f t="shared" ca="1" si="169"/>
        <v>0</v>
      </c>
      <c r="AR379" s="66">
        <f t="shared" ca="1" si="154"/>
        <v>0</v>
      </c>
      <c r="AS379" s="66">
        <f t="shared" ca="1" si="155"/>
        <v>0</v>
      </c>
      <c r="AT379" s="66">
        <f t="shared" ca="1" si="156"/>
        <v>0</v>
      </c>
      <c r="AU379" s="66">
        <f t="shared" ca="1" si="157"/>
        <v>0</v>
      </c>
      <c r="AV379" s="68">
        <f t="shared" ca="1" si="175"/>
        <v>0</v>
      </c>
      <c r="AW379" s="65">
        <f t="shared" ca="1" si="158"/>
        <v>0</v>
      </c>
      <c r="AX379" s="69">
        <f t="shared" ca="1" si="159"/>
        <v>0</v>
      </c>
      <c r="AY379" s="70">
        <f t="shared" ca="1" si="160"/>
        <v>0</v>
      </c>
      <c r="AZ379" s="66">
        <f t="shared" ca="1" si="161"/>
        <v>0</v>
      </c>
      <c r="BA379" s="66">
        <f t="shared" ca="1" si="162"/>
        <v>0</v>
      </c>
      <c r="BB379" s="66">
        <f t="shared" ca="1" si="163"/>
        <v>0</v>
      </c>
      <c r="BC379" s="66">
        <f t="shared" ca="1" si="164"/>
        <v>0</v>
      </c>
      <c r="BD379" s="66">
        <f t="shared" ca="1" si="165"/>
        <v>0</v>
      </c>
      <c r="BE379" s="71">
        <f t="shared" ca="1" si="171"/>
        <v>0</v>
      </c>
      <c r="BF379" s="65">
        <f t="shared" ca="1" si="166"/>
        <v>0</v>
      </c>
      <c r="BG379" s="69">
        <f t="shared" ca="1" si="167"/>
        <v>0</v>
      </c>
      <c r="BH379" s="301">
        <f t="shared" ca="1" si="170"/>
        <v>0</v>
      </c>
      <c r="BI379" s="300">
        <f ca="1">IF(AO379&gt;TartamVálasztott,0,   (BI378+BH379)*(1+yields!$D$2)*(1-(0.0099/12)))</f>
        <v>0</v>
      </c>
      <c r="BJ379" s="300">
        <f ca="1">SUM(BH$6:BH379)*-1.2</f>
        <v>-862056.26733480149</v>
      </c>
      <c r="BK379" s="300">
        <f t="shared" ca="1" si="176"/>
        <v>-862056.26733480149</v>
      </c>
      <c r="BL379" s="28">
        <f t="shared" ca="1" si="174"/>
        <v>2048</v>
      </c>
      <c r="BM379" s="28">
        <f t="shared" ca="1" si="172"/>
        <v>3</v>
      </c>
      <c r="BN379" s="236">
        <f t="shared" ca="1" si="173"/>
        <v>0</v>
      </c>
      <c r="BO379" s="236">
        <f t="shared" ca="1" si="168"/>
        <v>0</v>
      </c>
    </row>
    <row r="380" spans="41:67" x14ac:dyDescent="0.25">
      <c r="AO380" s="28">
        <f t="shared" si="152"/>
        <v>32</v>
      </c>
      <c r="AP380" s="28">
        <f t="shared" si="153"/>
        <v>3</v>
      </c>
      <c r="AQ380" s="65">
        <f t="shared" ca="1" si="169"/>
        <v>0</v>
      </c>
      <c r="AR380" s="66">
        <f t="shared" ca="1" si="154"/>
        <v>0</v>
      </c>
      <c r="AS380" s="66">
        <f t="shared" ca="1" si="155"/>
        <v>0</v>
      </c>
      <c r="AT380" s="66">
        <f t="shared" ca="1" si="156"/>
        <v>0</v>
      </c>
      <c r="AU380" s="66">
        <f t="shared" ca="1" si="157"/>
        <v>0</v>
      </c>
      <c r="AV380" s="68">
        <f t="shared" ca="1" si="175"/>
        <v>0</v>
      </c>
      <c r="AW380" s="65">
        <f t="shared" ca="1" si="158"/>
        <v>0</v>
      </c>
      <c r="AX380" s="69">
        <f t="shared" ca="1" si="159"/>
        <v>0</v>
      </c>
      <c r="AY380" s="70">
        <f t="shared" ca="1" si="160"/>
        <v>0</v>
      </c>
      <c r="AZ380" s="66">
        <f t="shared" ca="1" si="161"/>
        <v>0</v>
      </c>
      <c r="BA380" s="66">
        <f t="shared" ca="1" si="162"/>
        <v>0</v>
      </c>
      <c r="BB380" s="66">
        <f t="shared" ca="1" si="163"/>
        <v>0</v>
      </c>
      <c r="BC380" s="66">
        <f t="shared" ca="1" si="164"/>
        <v>0</v>
      </c>
      <c r="BD380" s="66">
        <f t="shared" ca="1" si="165"/>
        <v>0</v>
      </c>
      <c r="BE380" s="71">
        <f t="shared" ca="1" si="171"/>
        <v>0</v>
      </c>
      <c r="BF380" s="65">
        <f t="shared" ca="1" si="166"/>
        <v>0</v>
      </c>
      <c r="BG380" s="69">
        <f t="shared" ca="1" si="167"/>
        <v>0</v>
      </c>
      <c r="BH380" s="301">
        <f t="shared" ca="1" si="170"/>
        <v>0</v>
      </c>
      <c r="BI380" s="300">
        <f ca="1">IF(AO380&gt;TartamVálasztott,0,   (BI379+BH380)*(1+yields!$D$2)*(1-(0.0099/12)))</f>
        <v>0</v>
      </c>
      <c r="BJ380" s="300">
        <f ca="1">SUM(BH$6:BH380)*-1.2</f>
        <v>-862056.26733480149</v>
      </c>
      <c r="BK380" s="300">
        <f t="shared" ca="1" si="176"/>
        <v>-862056.26733480149</v>
      </c>
      <c r="BL380" s="28">
        <f t="shared" ca="1" si="174"/>
        <v>2048</v>
      </c>
      <c r="BM380" s="28">
        <f t="shared" ca="1" si="172"/>
        <v>4</v>
      </c>
      <c r="BN380" s="236">
        <f t="shared" ca="1" si="173"/>
        <v>0</v>
      </c>
      <c r="BO380" s="236">
        <f t="shared" ca="1" si="168"/>
        <v>0</v>
      </c>
    </row>
    <row r="381" spans="41:67" x14ac:dyDescent="0.25">
      <c r="AO381" s="28">
        <f t="shared" si="152"/>
        <v>32</v>
      </c>
      <c r="AP381" s="28">
        <f t="shared" si="153"/>
        <v>4</v>
      </c>
      <c r="AQ381" s="65">
        <f t="shared" ca="1" si="169"/>
        <v>0</v>
      </c>
      <c r="AR381" s="66">
        <f t="shared" ca="1" si="154"/>
        <v>0</v>
      </c>
      <c r="AS381" s="66">
        <f t="shared" ca="1" si="155"/>
        <v>0</v>
      </c>
      <c r="AT381" s="66">
        <f t="shared" ca="1" si="156"/>
        <v>0</v>
      </c>
      <c r="AU381" s="66">
        <f t="shared" ca="1" si="157"/>
        <v>0</v>
      </c>
      <c r="AV381" s="68">
        <f t="shared" ca="1" si="175"/>
        <v>0</v>
      </c>
      <c r="AW381" s="65">
        <f t="shared" ca="1" si="158"/>
        <v>0</v>
      </c>
      <c r="AX381" s="69">
        <f t="shared" ca="1" si="159"/>
        <v>0</v>
      </c>
      <c r="AY381" s="70">
        <f t="shared" ca="1" si="160"/>
        <v>0</v>
      </c>
      <c r="AZ381" s="66">
        <f t="shared" ca="1" si="161"/>
        <v>0</v>
      </c>
      <c r="BA381" s="66">
        <f t="shared" ca="1" si="162"/>
        <v>0</v>
      </c>
      <c r="BB381" s="66">
        <f t="shared" ca="1" si="163"/>
        <v>0</v>
      </c>
      <c r="BC381" s="66">
        <f t="shared" ca="1" si="164"/>
        <v>0</v>
      </c>
      <c r="BD381" s="66">
        <f t="shared" ca="1" si="165"/>
        <v>0</v>
      </c>
      <c r="BE381" s="71">
        <f t="shared" ca="1" si="171"/>
        <v>0</v>
      </c>
      <c r="BF381" s="65">
        <f t="shared" ca="1" si="166"/>
        <v>0</v>
      </c>
      <c r="BG381" s="69">
        <f t="shared" ca="1" si="167"/>
        <v>0</v>
      </c>
      <c r="BH381" s="301">
        <f t="shared" ca="1" si="170"/>
        <v>0</v>
      </c>
      <c r="BI381" s="300">
        <f ca="1">IF(AO381&gt;TartamVálasztott,0,   (BI380+BH381)*(1+yields!$D$2)*(1-(0.0099/12)))</f>
        <v>0</v>
      </c>
      <c r="BJ381" s="300">
        <f ca="1">SUM(BH$6:BH381)*-1.2</f>
        <v>-862056.26733480149</v>
      </c>
      <c r="BK381" s="300">
        <f t="shared" ca="1" si="176"/>
        <v>-862056.26733480149</v>
      </c>
      <c r="BL381" s="28">
        <f t="shared" ca="1" si="174"/>
        <v>2048</v>
      </c>
      <c r="BM381" s="28">
        <f t="shared" ca="1" si="172"/>
        <v>5</v>
      </c>
      <c r="BN381" s="236">
        <f t="shared" ca="1" si="173"/>
        <v>0</v>
      </c>
      <c r="BO381" s="236">
        <f t="shared" ca="1" si="168"/>
        <v>0</v>
      </c>
    </row>
    <row r="382" spans="41:67" x14ac:dyDescent="0.25">
      <c r="AO382" s="28">
        <f t="shared" si="152"/>
        <v>32</v>
      </c>
      <c r="AP382" s="28">
        <f t="shared" si="153"/>
        <v>5</v>
      </c>
      <c r="AQ382" s="65">
        <f t="shared" ca="1" si="169"/>
        <v>0</v>
      </c>
      <c r="AR382" s="66">
        <f t="shared" ca="1" si="154"/>
        <v>0</v>
      </c>
      <c r="AS382" s="66">
        <f t="shared" ca="1" si="155"/>
        <v>0</v>
      </c>
      <c r="AT382" s="66">
        <f t="shared" ca="1" si="156"/>
        <v>0</v>
      </c>
      <c r="AU382" s="66">
        <f t="shared" ca="1" si="157"/>
        <v>0</v>
      </c>
      <c r="AV382" s="68">
        <f t="shared" ca="1" si="175"/>
        <v>0</v>
      </c>
      <c r="AW382" s="65">
        <f t="shared" ca="1" si="158"/>
        <v>0</v>
      </c>
      <c r="AX382" s="69">
        <f t="shared" ca="1" si="159"/>
        <v>0</v>
      </c>
      <c r="AY382" s="70">
        <f t="shared" ca="1" si="160"/>
        <v>0</v>
      </c>
      <c r="AZ382" s="66">
        <f t="shared" ca="1" si="161"/>
        <v>0</v>
      </c>
      <c r="BA382" s="66">
        <f t="shared" ca="1" si="162"/>
        <v>0</v>
      </c>
      <c r="BB382" s="66">
        <f t="shared" ca="1" si="163"/>
        <v>0</v>
      </c>
      <c r="BC382" s="66">
        <f t="shared" ca="1" si="164"/>
        <v>0</v>
      </c>
      <c r="BD382" s="66">
        <f t="shared" ca="1" si="165"/>
        <v>0</v>
      </c>
      <c r="BE382" s="71">
        <f t="shared" ca="1" si="171"/>
        <v>0</v>
      </c>
      <c r="BF382" s="65">
        <f t="shared" ca="1" si="166"/>
        <v>0</v>
      </c>
      <c r="BG382" s="69">
        <f t="shared" ca="1" si="167"/>
        <v>0</v>
      </c>
      <c r="BH382" s="301">
        <f t="shared" ca="1" si="170"/>
        <v>0</v>
      </c>
      <c r="BI382" s="300">
        <f ca="1">IF(AO382&gt;TartamVálasztott,0,   (BI381+BH382)*(1+yields!$D$2)*(1-(0.0099/12)))</f>
        <v>0</v>
      </c>
      <c r="BJ382" s="300">
        <f ca="1">SUM(BH$6:BH382)*-1.2</f>
        <v>-862056.26733480149</v>
      </c>
      <c r="BK382" s="300">
        <f t="shared" ca="1" si="176"/>
        <v>-862056.26733480149</v>
      </c>
      <c r="BL382" s="28">
        <f t="shared" ca="1" si="174"/>
        <v>2048</v>
      </c>
      <c r="BM382" s="28">
        <f t="shared" ca="1" si="172"/>
        <v>6</v>
      </c>
      <c r="BN382" s="236">
        <f t="shared" ca="1" si="173"/>
        <v>0</v>
      </c>
      <c r="BO382" s="236">
        <f t="shared" ca="1" si="168"/>
        <v>0</v>
      </c>
    </row>
    <row r="383" spans="41:67" x14ac:dyDescent="0.25">
      <c r="AO383" s="28">
        <f t="shared" si="152"/>
        <v>32</v>
      </c>
      <c r="AP383" s="28">
        <f t="shared" si="153"/>
        <v>6</v>
      </c>
      <c r="AQ383" s="65">
        <f t="shared" ca="1" si="169"/>
        <v>0</v>
      </c>
      <c r="AR383" s="66">
        <f t="shared" ca="1" si="154"/>
        <v>0</v>
      </c>
      <c r="AS383" s="66">
        <f t="shared" ca="1" si="155"/>
        <v>0</v>
      </c>
      <c r="AT383" s="66">
        <f t="shared" ca="1" si="156"/>
        <v>0</v>
      </c>
      <c r="AU383" s="66">
        <f t="shared" ca="1" si="157"/>
        <v>0</v>
      </c>
      <c r="AV383" s="68">
        <f t="shared" ca="1" si="175"/>
        <v>0</v>
      </c>
      <c r="AW383" s="65">
        <f t="shared" ca="1" si="158"/>
        <v>0</v>
      </c>
      <c r="AX383" s="69">
        <f t="shared" ca="1" si="159"/>
        <v>0</v>
      </c>
      <c r="AY383" s="70">
        <f t="shared" ca="1" si="160"/>
        <v>0</v>
      </c>
      <c r="AZ383" s="66">
        <f t="shared" ca="1" si="161"/>
        <v>0</v>
      </c>
      <c r="BA383" s="66">
        <f t="shared" ca="1" si="162"/>
        <v>0</v>
      </c>
      <c r="BB383" s="66">
        <f t="shared" ca="1" si="163"/>
        <v>0</v>
      </c>
      <c r="BC383" s="66">
        <f t="shared" ca="1" si="164"/>
        <v>0</v>
      </c>
      <c r="BD383" s="66">
        <f t="shared" ca="1" si="165"/>
        <v>0</v>
      </c>
      <c r="BE383" s="71">
        <f t="shared" ca="1" si="171"/>
        <v>0</v>
      </c>
      <c r="BF383" s="65">
        <f t="shared" ca="1" si="166"/>
        <v>0</v>
      </c>
      <c r="BG383" s="69">
        <f t="shared" ca="1" si="167"/>
        <v>0</v>
      </c>
      <c r="BH383" s="301">
        <f t="shared" ca="1" si="170"/>
        <v>0</v>
      </c>
      <c r="BI383" s="300">
        <f ca="1">IF(AO383&gt;TartamVálasztott,0,   (BI382+BH383)*(1+yields!$D$2)*(1-(0.0099/12)))</f>
        <v>0</v>
      </c>
      <c r="BJ383" s="300">
        <f ca="1">SUM(BH$6:BH383)*-1.2</f>
        <v>-862056.26733480149</v>
      </c>
      <c r="BK383" s="300">
        <f t="shared" ca="1" si="176"/>
        <v>-862056.26733480149</v>
      </c>
      <c r="BL383" s="28">
        <f t="shared" ca="1" si="174"/>
        <v>2048</v>
      </c>
      <c r="BM383" s="28">
        <f t="shared" ca="1" si="172"/>
        <v>7</v>
      </c>
      <c r="BN383" s="236">
        <f t="shared" ca="1" si="173"/>
        <v>0</v>
      </c>
      <c r="BO383" s="236">
        <f t="shared" ca="1" si="168"/>
        <v>0</v>
      </c>
    </row>
    <row r="384" spans="41:67" x14ac:dyDescent="0.25">
      <c r="AO384" s="28">
        <f t="shared" si="152"/>
        <v>32</v>
      </c>
      <c r="AP384" s="28">
        <f t="shared" si="153"/>
        <v>7</v>
      </c>
      <c r="AQ384" s="65">
        <f t="shared" ca="1" si="169"/>
        <v>0</v>
      </c>
      <c r="AR384" s="66">
        <f t="shared" ca="1" si="154"/>
        <v>0</v>
      </c>
      <c r="AS384" s="66">
        <f t="shared" ca="1" si="155"/>
        <v>0</v>
      </c>
      <c r="AT384" s="66">
        <f t="shared" ca="1" si="156"/>
        <v>0</v>
      </c>
      <c r="AU384" s="66">
        <f t="shared" ca="1" si="157"/>
        <v>0</v>
      </c>
      <c r="AV384" s="68">
        <f t="shared" ca="1" si="175"/>
        <v>0</v>
      </c>
      <c r="AW384" s="65">
        <f t="shared" ca="1" si="158"/>
        <v>0</v>
      </c>
      <c r="AX384" s="69">
        <f t="shared" ca="1" si="159"/>
        <v>0</v>
      </c>
      <c r="AY384" s="70">
        <f t="shared" ca="1" si="160"/>
        <v>0</v>
      </c>
      <c r="AZ384" s="66">
        <f t="shared" ca="1" si="161"/>
        <v>0</v>
      </c>
      <c r="BA384" s="66">
        <f t="shared" ca="1" si="162"/>
        <v>0</v>
      </c>
      <c r="BB384" s="66">
        <f t="shared" ca="1" si="163"/>
        <v>0</v>
      </c>
      <c r="BC384" s="66">
        <f t="shared" ca="1" si="164"/>
        <v>0</v>
      </c>
      <c r="BD384" s="66">
        <f t="shared" ca="1" si="165"/>
        <v>0</v>
      </c>
      <c r="BE384" s="71">
        <f t="shared" ca="1" si="171"/>
        <v>0</v>
      </c>
      <c r="BF384" s="65">
        <f t="shared" ca="1" si="166"/>
        <v>0</v>
      </c>
      <c r="BG384" s="69">
        <f t="shared" ca="1" si="167"/>
        <v>0</v>
      </c>
      <c r="BH384" s="301">
        <f t="shared" ca="1" si="170"/>
        <v>0</v>
      </c>
      <c r="BI384" s="300">
        <f ca="1">IF(AO384&gt;TartamVálasztott,0,   (BI383+BH384)*(1+yields!$D$2)*(1-(0.0099/12)))</f>
        <v>0</v>
      </c>
      <c r="BJ384" s="300">
        <f ca="1">SUM(BH$6:BH384)*-1.2</f>
        <v>-862056.26733480149</v>
      </c>
      <c r="BK384" s="300">
        <f t="shared" ca="1" si="176"/>
        <v>-862056.26733480149</v>
      </c>
      <c r="BL384" s="28">
        <f t="shared" ca="1" si="174"/>
        <v>2048</v>
      </c>
      <c r="BM384" s="28">
        <f t="shared" ca="1" si="172"/>
        <v>8</v>
      </c>
      <c r="BN384" s="236">
        <f t="shared" ca="1" si="173"/>
        <v>0</v>
      </c>
      <c r="BO384" s="236">
        <f t="shared" ca="1" si="168"/>
        <v>0</v>
      </c>
    </row>
    <row r="385" spans="41:67" x14ac:dyDescent="0.25">
      <c r="AO385" s="28">
        <f t="shared" si="152"/>
        <v>32</v>
      </c>
      <c r="AP385" s="28">
        <f t="shared" si="153"/>
        <v>8</v>
      </c>
      <c r="AQ385" s="65">
        <f t="shared" ca="1" si="169"/>
        <v>0</v>
      </c>
      <c r="AR385" s="66">
        <f t="shared" ca="1" si="154"/>
        <v>0</v>
      </c>
      <c r="AS385" s="66">
        <f t="shared" ca="1" si="155"/>
        <v>0</v>
      </c>
      <c r="AT385" s="66">
        <f t="shared" ca="1" si="156"/>
        <v>0</v>
      </c>
      <c r="AU385" s="66">
        <f t="shared" ca="1" si="157"/>
        <v>0</v>
      </c>
      <c r="AV385" s="68">
        <f t="shared" ca="1" si="175"/>
        <v>0</v>
      </c>
      <c r="AW385" s="65">
        <f t="shared" ca="1" si="158"/>
        <v>0</v>
      </c>
      <c r="AX385" s="69">
        <f t="shared" ca="1" si="159"/>
        <v>0</v>
      </c>
      <c r="AY385" s="70">
        <f t="shared" ca="1" si="160"/>
        <v>0</v>
      </c>
      <c r="AZ385" s="66">
        <f t="shared" ca="1" si="161"/>
        <v>0</v>
      </c>
      <c r="BA385" s="66">
        <f t="shared" ca="1" si="162"/>
        <v>0</v>
      </c>
      <c r="BB385" s="66">
        <f t="shared" ca="1" si="163"/>
        <v>0</v>
      </c>
      <c r="BC385" s="66">
        <f t="shared" ca="1" si="164"/>
        <v>0</v>
      </c>
      <c r="BD385" s="66">
        <f t="shared" ca="1" si="165"/>
        <v>0</v>
      </c>
      <c r="BE385" s="71">
        <f t="shared" ca="1" si="171"/>
        <v>0</v>
      </c>
      <c r="BF385" s="65">
        <f t="shared" ca="1" si="166"/>
        <v>0</v>
      </c>
      <c r="BG385" s="69">
        <f t="shared" ca="1" si="167"/>
        <v>0</v>
      </c>
      <c r="BH385" s="301">
        <f t="shared" ca="1" si="170"/>
        <v>0</v>
      </c>
      <c r="BI385" s="300">
        <f ca="1">IF(AO385&gt;TartamVálasztott,0,   (BI384+BH385)*(1+yields!$D$2)*(1-(0.0099/12)))</f>
        <v>0</v>
      </c>
      <c r="BJ385" s="300">
        <f ca="1">SUM(BH$6:BH385)*-1.2</f>
        <v>-862056.26733480149</v>
      </c>
      <c r="BK385" s="300">
        <f t="shared" ca="1" si="176"/>
        <v>-862056.26733480149</v>
      </c>
      <c r="BL385" s="28">
        <f t="shared" ca="1" si="174"/>
        <v>2048</v>
      </c>
      <c r="BM385" s="28">
        <f t="shared" ca="1" si="172"/>
        <v>9</v>
      </c>
      <c r="BN385" s="236">
        <f t="shared" ca="1" si="173"/>
        <v>0</v>
      </c>
      <c r="BO385" s="236">
        <f t="shared" ca="1" si="168"/>
        <v>0</v>
      </c>
    </row>
    <row r="386" spans="41:67" x14ac:dyDescent="0.25">
      <c r="AO386" s="28">
        <f t="shared" si="152"/>
        <v>32</v>
      </c>
      <c r="AP386" s="28">
        <f t="shared" si="153"/>
        <v>9</v>
      </c>
      <c r="AQ386" s="65">
        <f t="shared" ca="1" si="169"/>
        <v>0</v>
      </c>
      <c r="AR386" s="66">
        <f t="shared" ca="1" si="154"/>
        <v>0</v>
      </c>
      <c r="AS386" s="66">
        <f t="shared" ca="1" si="155"/>
        <v>0</v>
      </c>
      <c r="AT386" s="66">
        <f t="shared" ca="1" si="156"/>
        <v>0</v>
      </c>
      <c r="AU386" s="66">
        <f t="shared" ca="1" si="157"/>
        <v>0</v>
      </c>
      <c r="AV386" s="68">
        <f t="shared" ca="1" si="175"/>
        <v>0</v>
      </c>
      <c r="AW386" s="65">
        <f t="shared" ca="1" si="158"/>
        <v>0</v>
      </c>
      <c r="AX386" s="69">
        <f t="shared" ca="1" si="159"/>
        <v>0</v>
      </c>
      <c r="AY386" s="70">
        <f t="shared" ca="1" si="160"/>
        <v>0</v>
      </c>
      <c r="AZ386" s="66">
        <f t="shared" ca="1" si="161"/>
        <v>0</v>
      </c>
      <c r="BA386" s="66">
        <f t="shared" ca="1" si="162"/>
        <v>0</v>
      </c>
      <c r="BB386" s="66">
        <f t="shared" ca="1" si="163"/>
        <v>0</v>
      </c>
      <c r="BC386" s="66">
        <f t="shared" ca="1" si="164"/>
        <v>0</v>
      </c>
      <c r="BD386" s="66">
        <f t="shared" ca="1" si="165"/>
        <v>0</v>
      </c>
      <c r="BE386" s="71">
        <f t="shared" ca="1" si="171"/>
        <v>0</v>
      </c>
      <c r="BF386" s="65">
        <f t="shared" ca="1" si="166"/>
        <v>0</v>
      </c>
      <c r="BG386" s="69">
        <f t="shared" ca="1" si="167"/>
        <v>0</v>
      </c>
      <c r="BH386" s="301">
        <f t="shared" ca="1" si="170"/>
        <v>0</v>
      </c>
      <c r="BI386" s="300">
        <f ca="1">IF(AO386&gt;TartamVálasztott,0,   (BI385+BH386)*(1+yields!$D$2)*(1-(0.0099/12)))</f>
        <v>0</v>
      </c>
      <c r="BJ386" s="300">
        <f ca="1">SUM(BH$6:BH386)*-1.2</f>
        <v>-862056.26733480149</v>
      </c>
      <c r="BK386" s="300">
        <f t="shared" ca="1" si="176"/>
        <v>-862056.26733480149</v>
      </c>
      <c r="BL386" s="28">
        <f t="shared" ca="1" si="174"/>
        <v>2048</v>
      </c>
      <c r="BM386" s="28">
        <f t="shared" ca="1" si="172"/>
        <v>10</v>
      </c>
      <c r="BN386" s="236">
        <f t="shared" ca="1" si="173"/>
        <v>0</v>
      </c>
      <c r="BO386" s="236">
        <f t="shared" ca="1" si="168"/>
        <v>0</v>
      </c>
    </row>
    <row r="387" spans="41:67" x14ac:dyDescent="0.25">
      <c r="AO387" s="28">
        <f t="shared" si="152"/>
        <v>32</v>
      </c>
      <c r="AP387" s="28">
        <f t="shared" si="153"/>
        <v>10</v>
      </c>
      <c r="AQ387" s="65">
        <f t="shared" ca="1" si="169"/>
        <v>0</v>
      </c>
      <c r="AR387" s="66">
        <f t="shared" ca="1" si="154"/>
        <v>0</v>
      </c>
      <c r="AS387" s="66">
        <f t="shared" ca="1" si="155"/>
        <v>0</v>
      </c>
      <c r="AT387" s="66">
        <f t="shared" ca="1" si="156"/>
        <v>0</v>
      </c>
      <c r="AU387" s="66">
        <f t="shared" ca="1" si="157"/>
        <v>0</v>
      </c>
      <c r="AV387" s="68">
        <f t="shared" ca="1" si="175"/>
        <v>0</v>
      </c>
      <c r="AW387" s="65">
        <f t="shared" ca="1" si="158"/>
        <v>0</v>
      </c>
      <c r="AX387" s="69">
        <f t="shared" ca="1" si="159"/>
        <v>0</v>
      </c>
      <c r="AY387" s="70">
        <f t="shared" ca="1" si="160"/>
        <v>0</v>
      </c>
      <c r="AZ387" s="66">
        <f t="shared" ca="1" si="161"/>
        <v>0</v>
      </c>
      <c r="BA387" s="66">
        <f t="shared" ca="1" si="162"/>
        <v>0</v>
      </c>
      <c r="BB387" s="66">
        <f t="shared" ca="1" si="163"/>
        <v>0</v>
      </c>
      <c r="BC387" s="66">
        <f t="shared" ca="1" si="164"/>
        <v>0</v>
      </c>
      <c r="BD387" s="66">
        <f t="shared" ca="1" si="165"/>
        <v>0</v>
      </c>
      <c r="BE387" s="71">
        <f t="shared" ca="1" si="171"/>
        <v>0</v>
      </c>
      <c r="BF387" s="65">
        <f t="shared" ca="1" si="166"/>
        <v>0</v>
      </c>
      <c r="BG387" s="69">
        <f t="shared" ca="1" si="167"/>
        <v>0</v>
      </c>
      <c r="BH387" s="301">
        <f t="shared" ca="1" si="170"/>
        <v>0</v>
      </c>
      <c r="BI387" s="300">
        <f ca="1">IF(AO387&gt;TartamVálasztott,0,   (BI386+BH387)*(1+yields!$D$2)*(1-(0.0099/12)))</f>
        <v>0</v>
      </c>
      <c r="BJ387" s="300">
        <f ca="1">SUM(BH$6:BH387)*-1.2</f>
        <v>-862056.26733480149</v>
      </c>
      <c r="BK387" s="300">
        <f t="shared" ca="1" si="176"/>
        <v>-862056.26733480149</v>
      </c>
      <c r="BL387" s="28">
        <f t="shared" ca="1" si="174"/>
        <v>2048</v>
      </c>
      <c r="BM387" s="28">
        <f t="shared" ca="1" si="172"/>
        <v>11</v>
      </c>
      <c r="BN387" s="236">
        <f t="shared" ca="1" si="173"/>
        <v>0</v>
      </c>
      <c r="BO387" s="236">
        <f t="shared" ca="1" si="168"/>
        <v>0</v>
      </c>
    </row>
    <row r="388" spans="41:67" x14ac:dyDescent="0.25">
      <c r="AO388" s="28">
        <f t="shared" si="152"/>
        <v>32</v>
      </c>
      <c r="AP388" s="28">
        <f t="shared" si="153"/>
        <v>11</v>
      </c>
      <c r="AQ388" s="65">
        <f t="shared" ca="1" si="169"/>
        <v>0</v>
      </c>
      <c r="AR388" s="66">
        <f t="shared" ca="1" si="154"/>
        <v>0</v>
      </c>
      <c r="AS388" s="66">
        <f t="shared" ca="1" si="155"/>
        <v>0</v>
      </c>
      <c r="AT388" s="66">
        <f t="shared" ca="1" si="156"/>
        <v>0</v>
      </c>
      <c r="AU388" s="66">
        <f t="shared" ca="1" si="157"/>
        <v>0</v>
      </c>
      <c r="AV388" s="68">
        <f t="shared" ca="1" si="175"/>
        <v>0</v>
      </c>
      <c r="AW388" s="65">
        <f t="shared" ca="1" si="158"/>
        <v>0</v>
      </c>
      <c r="AX388" s="69">
        <f t="shared" ca="1" si="159"/>
        <v>0</v>
      </c>
      <c r="AY388" s="70">
        <f t="shared" ca="1" si="160"/>
        <v>0</v>
      </c>
      <c r="AZ388" s="66">
        <f t="shared" ca="1" si="161"/>
        <v>0</v>
      </c>
      <c r="BA388" s="66">
        <f t="shared" ca="1" si="162"/>
        <v>0</v>
      </c>
      <c r="BB388" s="66">
        <f t="shared" ca="1" si="163"/>
        <v>0</v>
      </c>
      <c r="BC388" s="66">
        <f t="shared" ca="1" si="164"/>
        <v>0</v>
      </c>
      <c r="BD388" s="66">
        <f t="shared" ca="1" si="165"/>
        <v>0</v>
      </c>
      <c r="BE388" s="71">
        <f t="shared" ca="1" si="171"/>
        <v>0</v>
      </c>
      <c r="BF388" s="65">
        <f t="shared" ca="1" si="166"/>
        <v>0</v>
      </c>
      <c r="BG388" s="69">
        <f t="shared" ca="1" si="167"/>
        <v>0</v>
      </c>
      <c r="BH388" s="301">
        <f t="shared" ca="1" si="170"/>
        <v>0</v>
      </c>
      <c r="BI388" s="300">
        <f ca="1">IF(AO388&gt;TartamVálasztott,0,   (BI387+BH388)*(1+yields!$D$2)*(1-(0.0099/12)))</f>
        <v>0</v>
      </c>
      <c r="BJ388" s="300">
        <f ca="1">SUM(BH$6:BH388)*-1.2</f>
        <v>-862056.26733480149</v>
      </c>
      <c r="BK388" s="300">
        <f t="shared" ca="1" si="176"/>
        <v>-862056.26733480149</v>
      </c>
      <c r="BL388" s="28">
        <f t="shared" ca="1" si="174"/>
        <v>2048</v>
      </c>
      <c r="BM388" s="28">
        <f t="shared" ca="1" si="172"/>
        <v>12</v>
      </c>
      <c r="BN388" s="236">
        <f t="shared" ca="1" si="173"/>
        <v>0</v>
      </c>
      <c r="BO388" s="236">
        <f t="shared" ca="1" si="168"/>
        <v>0</v>
      </c>
    </row>
    <row r="389" spans="41:67" x14ac:dyDescent="0.25">
      <c r="AO389" s="28">
        <f t="shared" si="152"/>
        <v>32</v>
      </c>
      <c r="AP389" s="28">
        <f t="shared" si="153"/>
        <v>12</v>
      </c>
      <c r="AQ389" s="65">
        <f t="shared" ca="1" si="169"/>
        <v>0</v>
      </c>
      <c r="AR389" s="66">
        <f t="shared" ca="1" si="154"/>
        <v>0</v>
      </c>
      <c r="AS389" s="66">
        <f t="shared" ca="1" si="155"/>
        <v>0</v>
      </c>
      <c r="AT389" s="66">
        <f t="shared" ca="1" si="156"/>
        <v>0</v>
      </c>
      <c r="AU389" s="66">
        <f t="shared" ca="1" si="157"/>
        <v>0</v>
      </c>
      <c r="AV389" s="68">
        <f t="shared" ca="1" si="175"/>
        <v>0</v>
      </c>
      <c r="AW389" s="65">
        <f t="shared" ca="1" si="158"/>
        <v>0</v>
      </c>
      <c r="AX389" s="69">
        <f t="shared" ca="1" si="159"/>
        <v>0</v>
      </c>
      <c r="AY389" s="70">
        <f t="shared" ca="1" si="160"/>
        <v>0</v>
      </c>
      <c r="AZ389" s="66">
        <f t="shared" ca="1" si="161"/>
        <v>0</v>
      </c>
      <c r="BA389" s="66">
        <f t="shared" ca="1" si="162"/>
        <v>0</v>
      </c>
      <c r="BB389" s="66">
        <f t="shared" ca="1" si="163"/>
        <v>0</v>
      </c>
      <c r="BC389" s="66">
        <f t="shared" ca="1" si="164"/>
        <v>0</v>
      </c>
      <c r="BD389" s="66">
        <f t="shared" ca="1" si="165"/>
        <v>0</v>
      </c>
      <c r="BE389" s="71">
        <f t="shared" ca="1" si="171"/>
        <v>0</v>
      </c>
      <c r="BF389" s="65">
        <f t="shared" ca="1" si="166"/>
        <v>0</v>
      </c>
      <c r="BG389" s="69">
        <f t="shared" ca="1" si="167"/>
        <v>0</v>
      </c>
      <c r="BH389" s="301">
        <f t="shared" ca="1" si="170"/>
        <v>0</v>
      </c>
      <c r="BI389" s="300">
        <f ca="1">IF(AO389&gt;TartamVálasztott,0,   (BI388+BH389)*(1+yields!$D$2)*(1-(0.0099/12)))</f>
        <v>0</v>
      </c>
      <c r="BJ389" s="300">
        <f ca="1">SUM(BH$6:BH389)*-1.2</f>
        <v>-862056.26733480149</v>
      </c>
      <c r="BK389" s="300">
        <f t="shared" ca="1" si="176"/>
        <v>-862056.26733480149</v>
      </c>
      <c r="BL389" s="28">
        <f t="shared" ca="1" si="174"/>
        <v>2049</v>
      </c>
      <c r="BM389" s="28">
        <f t="shared" ca="1" si="172"/>
        <v>1</v>
      </c>
      <c r="BN389" s="236">
        <f t="shared" ca="1" si="173"/>
        <v>0</v>
      </c>
      <c r="BO389" s="236">
        <f t="shared" ca="1" si="168"/>
        <v>0</v>
      </c>
    </row>
    <row r="390" spans="41:67" x14ac:dyDescent="0.25">
      <c r="AO390" s="28">
        <f t="shared" ref="AO390:AO453" si="177">IF(AP389=12,AO389+1,AO389)</f>
        <v>33</v>
      </c>
      <c r="AP390" s="28">
        <f t="shared" ref="AP390:AP453" si="178">IF(AP389&lt;12,AP389+1,1)</f>
        <v>1</v>
      </c>
      <c r="AQ390" s="65">
        <f t="shared" ca="1" si="169"/>
        <v>0</v>
      </c>
      <c r="AR390" s="66">
        <f t="shared" ref="AR390:AR453" ca="1" si="179">IF( ($AO390*12+$AP390) &gt; (12*(Term+1) ), 0,
$AQ390*(1-VLOOKUP($AO390,Pars,7))
)</f>
        <v>0</v>
      </c>
      <c r="AS390" s="66">
        <f t="shared" ref="AS390:AS453" ca="1" si="180">IF( ($AO390*12+$AP390) &gt; (12*(Term+1) ), 0,
($AV389+$AR390)*IF(OR(TKM=0,TKM=2),VLOOKUP($AO390,Pars,15),TKMm)
)</f>
        <v>0</v>
      </c>
      <c r="AT390" s="66">
        <f t="shared" ref="AT390:AT453" ca="1" si="181">IF( ($AO390*12+$AP390) &gt; (12*(Term+1) ), 0,
$AV389+$AR390+$AS390
)</f>
        <v>0</v>
      </c>
      <c r="AU390" s="66">
        <f t="shared" ref="AU390:AU453" ca="1" si="182">$BD390*(1-LBe)</f>
        <v>0</v>
      </c>
      <c r="AV390" s="68">
        <f t="shared" ca="1" si="175"/>
        <v>0</v>
      </c>
      <c r="AW390" s="65">
        <f t="shared" ref="AW390:AW453" ca="1" si="183">$AT390* ( VLOOKUP($AO390,Pars,9) /12 )</f>
        <v>0</v>
      </c>
      <c r="AX390" s="69">
        <f t="shared" ref="AX390:AX453" ca="1" si="184">$AQ390*VLOOKUP($AO390,Pars,7)</f>
        <v>0</v>
      </c>
      <c r="AY390" s="70">
        <f t="shared" ref="AY390:AY453" ca="1" si="185">$AQ390*VLOOKUP($AO390,Pars,8)</f>
        <v>0</v>
      </c>
      <c r="AZ390" s="66">
        <f t="shared" ref="AZ390:AZ453" ca="1" si="186">($BE389+$AY390)*IF(OR(TKM=0,TKM=2),VLOOKUP($AO390,Pars,15),TKMm)</f>
        <v>0</v>
      </c>
      <c r="BA390" s="66">
        <f t="shared" ref="BA390:BA453" ca="1" si="187">$AT390* ( VLOOKUP($AO390,Pars,11) /12 )</f>
        <v>0</v>
      </c>
      <c r="BB390" s="66">
        <f t="shared" ref="BB390:BB453" ca="1" si="188">$BC390* ( VLOOKUP($AO390,Pars,12) /12 )</f>
        <v>0</v>
      </c>
      <c r="BC390" s="66">
        <f t="shared" ref="BC390:BC453" ca="1" si="189">$BE389+$AY390+$AZ390</f>
        <v>0</v>
      </c>
      <c r="BD390" s="66">
        <f t="shared" ref="BD390:BD453" ca="1" si="190">($BC390 -$BF390 +($BA390+$BB390) ) * IF($AP390=12,VLOOKUP($AO390,Pars,13),0)</f>
        <v>0</v>
      </c>
      <c r="BE390" s="71">
        <f t="shared" ca="1" si="171"/>
        <v>0</v>
      </c>
      <c r="BF390" s="65">
        <f t="shared" ref="BF390:BF453" ca="1" si="191">$BC390* ( VLOOKUP($AO390,Pars,10) /12 )</f>
        <v>0</v>
      </c>
      <c r="BG390" s="69">
        <f t="shared" ref="BG390:BG453" ca="1" si="192">BD390*LBe</f>
        <v>0</v>
      </c>
      <c r="BH390" s="301">
        <f t="shared" ca="1" si="170"/>
        <v>0</v>
      </c>
      <c r="BI390" s="300">
        <f ca="1">IF(AO390&gt;TartamVálasztott,0,   (BI389+BH390)*(1+yields!$D$2)*(1-(0.0099/12)))</f>
        <v>0</v>
      </c>
      <c r="BJ390" s="300">
        <f ca="1">SUM(BH$6:BH390)*-1.2</f>
        <v>-862056.26733480149</v>
      </c>
      <c r="BK390" s="300">
        <f t="shared" ca="1" si="176"/>
        <v>-862056.26733480149</v>
      </c>
      <c r="BL390" s="28">
        <f t="shared" ca="1" si="174"/>
        <v>2049</v>
      </c>
      <c r="BM390" s="28">
        <f t="shared" ca="1" si="172"/>
        <v>2</v>
      </c>
      <c r="BN390" s="236">
        <f t="shared" ca="1" si="173"/>
        <v>0</v>
      </c>
      <c r="BO390" s="236">
        <f t="shared" ref="BO390:BO453" ca="1" si="193">MIN(BN390*0.2,130000)</f>
        <v>0</v>
      </c>
    </row>
    <row r="391" spans="41:67" x14ac:dyDescent="0.25">
      <c r="AO391" s="28">
        <f t="shared" si="177"/>
        <v>33</v>
      </c>
      <c r="AP391" s="28">
        <f t="shared" si="178"/>
        <v>2</v>
      </c>
      <c r="AQ391" s="65">
        <f t="shared" ref="AQ391:AQ454" ca="1" si="194">IF( ($AO391*12+$AP391) &gt; (12*(Term+1) ), 0,
IF( OR(Freq=12, MOD($AP391,12/Freq)=1), Pr*(1+Ind)^($AO391-1)/Freq, 0) *VLOOKUP($AO391,Pars,23)
)</f>
        <v>0</v>
      </c>
      <c r="AR391" s="66">
        <f t="shared" ca="1" si="179"/>
        <v>0</v>
      </c>
      <c r="AS391" s="66">
        <f t="shared" ca="1" si="180"/>
        <v>0</v>
      </c>
      <c r="AT391" s="66">
        <f t="shared" ca="1" si="181"/>
        <v>0</v>
      </c>
      <c r="AU391" s="66">
        <f t="shared" ca="1" si="182"/>
        <v>0</v>
      </c>
      <c r="AV391" s="68">
        <f t="shared" ca="1" si="175"/>
        <v>0</v>
      </c>
      <c r="AW391" s="65">
        <f t="shared" ca="1" si="183"/>
        <v>0</v>
      </c>
      <c r="AX391" s="69">
        <f t="shared" ca="1" si="184"/>
        <v>0</v>
      </c>
      <c r="AY391" s="70">
        <f t="shared" ca="1" si="185"/>
        <v>0</v>
      </c>
      <c r="AZ391" s="66">
        <f t="shared" ca="1" si="186"/>
        <v>0</v>
      </c>
      <c r="BA391" s="66">
        <f t="shared" ca="1" si="187"/>
        <v>0</v>
      </c>
      <c r="BB391" s="66">
        <f t="shared" ca="1" si="188"/>
        <v>0</v>
      </c>
      <c r="BC391" s="66">
        <f t="shared" ca="1" si="189"/>
        <v>0</v>
      </c>
      <c r="BD391" s="66">
        <f t="shared" ca="1" si="190"/>
        <v>0</v>
      </c>
      <c r="BE391" s="71">
        <f t="shared" ca="1" si="171"/>
        <v>0</v>
      </c>
      <c r="BF391" s="65">
        <f t="shared" ca="1" si="191"/>
        <v>0</v>
      </c>
      <c r="BG391" s="69">
        <f t="shared" ca="1" si="192"/>
        <v>0</v>
      </c>
      <c r="BH391" s="301">
        <f t="shared" ref="BH391:BH454" ca="1" si="195">IF(AND(BM391=AdóHó,AO391&lt;=TartamVálasztott),MIN(SUMIF(BL:BL,BL391-1,AQ:AQ)*0.2,130000),0)+IF(AND(AO391=TartamVálasztott,AP391=12),MIN(SUMIF(BL:BL,BL391,AQ:AQ)*0.2,130000),0)</f>
        <v>0</v>
      </c>
      <c r="BI391" s="300">
        <f ca="1">IF(AO391&gt;TartamVálasztott,0,   (BI390+BH391)*(1+yields!$D$2)*(1-(0.0099/12)))</f>
        <v>0</v>
      </c>
      <c r="BJ391" s="300">
        <f ca="1">SUM(BH$6:BH391)*-1.2</f>
        <v>-862056.26733480149</v>
      </c>
      <c r="BK391" s="300">
        <f t="shared" ca="1" si="176"/>
        <v>-862056.26733480149</v>
      </c>
      <c r="BL391" s="28">
        <f t="shared" ca="1" si="174"/>
        <v>2049</v>
      </c>
      <c r="BM391" s="28">
        <f t="shared" ca="1" si="172"/>
        <v>3</v>
      </c>
      <c r="BN391" s="236">
        <f t="shared" ca="1" si="173"/>
        <v>0</v>
      </c>
      <c r="BO391" s="236">
        <f t="shared" ca="1" si="193"/>
        <v>0</v>
      </c>
    </row>
    <row r="392" spans="41:67" x14ac:dyDescent="0.25">
      <c r="AO392" s="28">
        <f t="shared" si="177"/>
        <v>33</v>
      </c>
      <c r="AP392" s="28">
        <f t="shared" si="178"/>
        <v>3</v>
      </c>
      <c r="AQ392" s="65">
        <f t="shared" ca="1" si="194"/>
        <v>0</v>
      </c>
      <c r="AR392" s="66">
        <f t="shared" ca="1" si="179"/>
        <v>0</v>
      </c>
      <c r="AS392" s="66">
        <f t="shared" ca="1" si="180"/>
        <v>0</v>
      </c>
      <c r="AT392" s="66">
        <f t="shared" ca="1" si="181"/>
        <v>0</v>
      </c>
      <c r="AU392" s="66">
        <f t="shared" ca="1" si="182"/>
        <v>0</v>
      </c>
      <c r="AV392" s="68">
        <f t="shared" ca="1" si="175"/>
        <v>0</v>
      </c>
      <c r="AW392" s="65">
        <f t="shared" ca="1" si="183"/>
        <v>0</v>
      </c>
      <c r="AX392" s="69">
        <f t="shared" ca="1" si="184"/>
        <v>0</v>
      </c>
      <c r="AY392" s="70">
        <f t="shared" ca="1" si="185"/>
        <v>0</v>
      </c>
      <c r="AZ392" s="66">
        <f t="shared" ca="1" si="186"/>
        <v>0</v>
      </c>
      <c r="BA392" s="66">
        <f t="shared" ca="1" si="187"/>
        <v>0</v>
      </c>
      <c r="BB392" s="66">
        <f t="shared" ca="1" si="188"/>
        <v>0</v>
      </c>
      <c r="BC392" s="66">
        <f t="shared" ca="1" si="189"/>
        <v>0</v>
      </c>
      <c r="BD392" s="66">
        <f t="shared" ca="1" si="190"/>
        <v>0</v>
      </c>
      <c r="BE392" s="71">
        <f t="shared" ref="BE392:BE455" ca="1" si="196">$BC392 -$BF392 +($BA392+$BB392) -$BD392</f>
        <v>0</v>
      </c>
      <c r="BF392" s="65">
        <f t="shared" ca="1" si="191"/>
        <v>0</v>
      </c>
      <c r="BG392" s="69">
        <f t="shared" ca="1" si="192"/>
        <v>0</v>
      </c>
      <c r="BH392" s="301">
        <f t="shared" ca="1" si="195"/>
        <v>0</v>
      </c>
      <c r="BI392" s="300">
        <f ca="1">IF(AO392&gt;TartamVálasztott,0,   (BI391+BH392)*(1+yields!$D$2)*(1-(0.0099/12)))</f>
        <v>0</v>
      </c>
      <c r="BJ392" s="300">
        <f ca="1">SUM(BH$6:BH392)*-1.2</f>
        <v>-862056.26733480149</v>
      </c>
      <c r="BK392" s="300">
        <f t="shared" ca="1" si="176"/>
        <v>-862056.26733480149</v>
      </c>
      <c r="BL392" s="28">
        <f t="shared" ca="1" si="174"/>
        <v>2049</v>
      </c>
      <c r="BM392" s="28">
        <f t="shared" ref="BM392:BM455" ca="1" si="197">IF(BM391=12,1,BM391+1)</f>
        <v>4</v>
      </c>
      <c r="BN392" s="236">
        <f t="shared" ref="BN392:BN455" ca="1" si="198">IF(BM392=12,SUMIF(BL:BL,BL392,AQ:AQ),0)</f>
        <v>0</v>
      </c>
      <c r="BO392" s="236">
        <f t="shared" ca="1" si="193"/>
        <v>0</v>
      </c>
    </row>
    <row r="393" spans="41:67" x14ac:dyDescent="0.25">
      <c r="AO393" s="28">
        <f t="shared" si="177"/>
        <v>33</v>
      </c>
      <c r="AP393" s="28">
        <f t="shared" si="178"/>
        <v>4</v>
      </c>
      <c r="AQ393" s="65">
        <f t="shared" ca="1" si="194"/>
        <v>0</v>
      </c>
      <c r="AR393" s="66">
        <f t="shared" ca="1" si="179"/>
        <v>0</v>
      </c>
      <c r="AS393" s="66">
        <f t="shared" ca="1" si="180"/>
        <v>0</v>
      </c>
      <c r="AT393" s="66">
        <f t="shared" ca="1" si="181"/>
        <v>0</v>
      </c>
      <c r="AU393" s="66">
        <f t="shared" ca="1" si="182"/>
        <v>0</v>
      </c>
      <c r="AV393" s="68">
        <f t="shared" ca="1" si="175"/>
        <v>0</v>
      </c>
      <c r="AW393" s="65">
        <f t="shared" ca="1" si="183"/>
        <v>0</v>
      </c>
      <c r="AX393" s="69">
        <f t="shared" ca="1" si="184"/>
        <v>0</v>
      </c>
      <c r="AY393" s="70">
        <f t="shared" ca="1" si="185"/>
        <v>0</v>
      </c>
      <c r="AZ393" s="66">
        <f t="shared" ca="1" si="186"/>
        <v>0</v>
      </c>
      <c r="BA393" s="66">
        <f t="shared" ca="1" si="187"/>
        <v>0</v>
      </c>
      <c r="BB393" s="66">
        <f t="shared" ca="1" si="188"/>
        <v>0</v>
      </c>
      <c r="BC393" s="66">
        <f t="shared" ca="1" si="189"/>
        <v>0</v>
      </c>
      <c r="BD393" s="66">
        <f t="shared" ca="1" si="190"/>
        <v>0</v>
      </c>
      <c r="BE393" s="71">
        <f t="shared" ca="1" si="196"/>
        <v>0</v>
      </c>
      <c r="BF393" s="65">
        <f t="shared" ca="1" si="191"/>
        <v>0</v>
      </c>
      <c r="BG393" s="69">
        <f t="shared" ca="1" si="192"/>
        <v>0</v>
      </c>
      <c r="BH393" s="301">
        <f t="shared" ca="1" si="195"/>
        <v>0</v>
      </c>
      <c r="BI393" s="300">
        <f ca="1">IF(AO393&gt;TartamVálasztott,0,   (BI392+BH393)*(1+yields!$D$2)*(1-(0.0099/12)))</f>
        <v>0</v>
      </c>
      <c r="BJ393" s="300">
        <f ca="1">SUM(BH$6:BH393)*-1.2</f>
        <v>-862056.26733480149</v>
      </c>
      <c r="BK393" s="300">
        <f t="shared" ca="1" si="176"/>
        <v>-862056.26733480149</v>
      </c>
      <c r="BL393" s="28">
        <f t="shared" ca="1" si="174"/>
        <v>2049</v>
      </c>
      <c r="BM393" s="28">
        <f t="shared" ca="1" si="197"/>
        <v>5</v>
      </c>
      <c r="BN393" s="236">
        <f t="shared" ca="1" si="198"/>
        <v>0</v>
      </c>
      <c r="BO393" s="236">
        <f t="shared" ca="1" si="193"/>
        <v>0</v>
      </c>
    </row>
    <row r="394" spans="41:67" x14ac:dyDescent="0.25">
      <c r="AO394" s="28">
        <f t="shared" si="177"/>
        <v>33</v>
      </c>
      <c r="AP394" s="28">
        <f t="shared" si="178"/>
        <v>5</v>
      </c>
      <c r="AQ394" s="65">
        <f t="shared" ca="1" si="194"/>
        <v>0</v>
      </c>
      <c r="AR394" s="66">
        <f t="shared" ca="1" si="179"/>
        <v>0</v>
      </c>
      <c r="AS394" s="66">
        <f t="shared" ca="1" si="180"/>
        <v>0</v>
      </c>
      <c r="AT394" s="66">
        <f t="shared" ca="1" si="181"/>
        <v>0</v>
      </c>
      <c r="AU394" s="66">
        <f t="shared" ca="1" si="182"/>
        <v>0</v>
      </c>
      <c r="AV394" s="68">
        <f t="shared" ca="1" si="175"/>
        <v>0</v>
      </c>
      <c r="AW394" s="65">
        <f t="shared" ca="1" si="183"/>
        <v>0</v>
      </c>
      <c r="AX394" s="69">
        <f t="shared" ca="1" si="184"/>
        <v>0</v>
      </c>
      <c r="AY394" s="70">
        <f t="shared" ca="1" si="185"/>
        <v>0</v>
      </c>
      <c r="AZ394" s="66">
        <f t="shared" ca="1" si="186"/>
        <v>0</v>
      </c>
      <c r="BA394" s="66">
        <f t="shared" ca="1" si="187"/>
        <v>0</v>
      </c>
      <c r="BB394" s="66">
        <f t="shared" ca="1" si="188"/>
        <v>0</v>
      </c>
      <c r="BC394" s="66">
        <f t="shared" ca="1" si="189"/>
        <v>0</v>
      </c>
      <c r="BD394" s="66">
        <f t="shared" ca="1" si="190"/>
        <v>0</v>
      </c>
      <c r="BE394" s="71">
        <f t="shared" ca="1" si="196"/>
        <v>0</v>
      </c>
      <c r="BF394" s="65">
        <f t="shared" ca="1" si="191"/>
        <v>0</v>
      </c>
      <c r="BG394" s="69">
        <f t="shared" ca="1" si="192"/>
        <v>0</v>
      </c>
      <c r="BH394" s="301">
        <f t="shared" ca="1" si="195"/>
        <v>0</v>
      </c>
      <c r="BI394" s="300">
        <f ca="1">IF(AO394&gt;TartamVálasztott,0,   (BI393+BH394)*(1+yields!$D$2)*(1-(0.0099/12)))</f>
        <v>0</v>
      </c>
      <c r="BJ394" s="300">
        <f ca="1">SUM(BH$6:BH394)*-1.2</f>
        <v>-862056.26733480149</v>
      </c>
      <c r="BK394" s="300">
        <f t="shared" ca="1" si="176"/>
        <v>-862056.26733480149</v>
      </c>
      <c r="BL394" s="28">
        <f t="shared" ca="1" si="174"/>
        <v>2049</v>
      </c>
      <c r="BM394" s="28">
        <f t="shared" ca="1" si="197"/>
        <v>6</v>
      </c>
      <c r="BN394" s="236">
        <f t="shared" ca="1" si="198"/>
        <v>0</v>
      </c>
      <c r="BO394" s="236">
        <f t="shared" ca="1" si="193"/>
        <v>0</v>
      </c>
    </row>
    <row r="395" spans="41:67" x14ac:dyDescent="0.25">
      <c r="AO395" s="28">
        <f t="shared" si="177"/>
        <v>33</v>
      </c>
      <c r="AP395" s="28">
        <f t="shared" si="178"/>
        <v>6</v>
      </c>
      <c r="AQ395" s="65">
        <f t="shared" ca="1" si="194"/>
        <v>0</v>
      </c>
      <c r="AR395" s="66">
        <f t="shared" ca="1" si="179"/>
        <v>0</v>
      </c>
      <c r="AS395" s="66">
        <f t="shared" ca="1" si="180"/>
        <v>0</v>
      </c>
      <c r="AT395" s="66">
        <f t="shared" ca="1" si="181"/>
        <v>0</v>
      </c>
      <c r="AU395" s="66">
        <f t="shared" ca="1" si="182"/>
        <v>0</v>
      </c>
      <c r="AV395" s="68">
        <f t="shared" ca="1" si="175"/>
        <v>0</v>
      </c>
      <c r="AW395" s="65">
        <f t="shared" ca="1" si="183"/>
        <v>0</v>
      </c>
      <c r="AX395" s="69">
        <f t="shared" ca="1" si="184"/>
        <v>0</v>
      </c>
      <c r="AY395" s="70">
        <f t="shared" ca="1" si="185"/>
        <v>0</v>
      </c>
      <c r="AZ395" s="66">
        <f t="shared" ca="1" si="186"/>
        <v>0</v>
      </c>
      <c r="BA395" s="66">
        <f t="shared" ca="1" si="187"/>
        <v>0</v>
      </c>
      <c r="BB395" s="66">
        <f t="shared" ca="1" si="188"/>
        <v>0</v>
      </c>
      <c r="BC395" s="66">
        <f t="shared" ca="1" si="189"/>
        <v>0</v>
      </c>
      <c r="BD395" s="66">
        <f t="shared" ca="1" si="190"/>
        <v>0</v>
      </c>
      <c r="BE395" s="71">
        <f t="shared" ca="1" si="196"/>
        <v>0</v>
      </c>
      <c r="BF395" s="65">
        <f t="shared" ca="1" si="191"/>
        <v>0</v>
      </c>
      <c r="BG395" s="69">
        <f t="shared" ca="1" si="192"/>
        <v>0</v>
      </c>
      <c r="BH395" s="301">
        <f t="shared" ca="1" si="195"/>
        <v>0</v>
      </c>
      <c r="BI395" s="300">
        <f ca="1">IF(AO395&gt;TartamVálasztott,0,   (BI394+BH395)*(1+yields!$D$2)*(1-(0.0099/12)))</f>
        <v>0</v>
      </c>
      <c r="BJ395" s="300">
        <f ca="1">SUM(BH$6:BH395)*-1.2</f>
        <v>-862056.26733480149</v>
      </c>
      <c r="BK395" s="300">
        <f t="shared" ca="1" si="176"/>
        <v>-862056.26733480149</v>
      </c>
      <c r="BL395" s="28">
        <f t="shared" ca="1" si="174"/>
        <v>2049</v>
      </c>
      <c r="BM395" s="28">
        <f t="shared" ca="1" si="197"/>
        <v>7</v>
      </c>
      <c r="BN395" s="236">
        <f t="shared" ca="1" si="198"/>
        <v>0</v>
      </c>
      <c r="BO395" s="236">
        <f t="shared" ca="1" si="193"/>
        <v>0</v>
      </c>
    </row>
    <row r="396" spans="41:67" x14ac:dyDescent="0.25">
      <c r="AO396" s="28">
        <f t="shared" si="177"/>
        <v>33</v>
      </c>
      <c r="AP396" s="28">
        <f t="shared" si="178"/>
        <v>7</v>
      </c>
      <c r="AQ396" s="65">
        <f t="shared" ca="1" si="194"/>
        <v>0</v>
      </c>
      <c r="AR396" s="66">
        <f t="shared" ca="1" si="179"/>
        <v>0</v>
      </c>
      <c r="AS396" s="66">
        <f t="shared" ca="1" si="180"/>
        <v>0</v>
      </c>
      <c r="AT396" s="66">
        <f t="shared" ca="1" si="181"/>
        <v>0</v>
      </c>
      <c r="AU396" s="66">
        <f t="shared" ca="1" si="182"/>
        <v>0</v>
      </c>
      <c r="AV396" s="68">
        <f t="shared" ca="1" si="175"/>
        <v>0</v>
      </c>
      <c r="AW396" s="65">
        <f t="shared" ca="1" si="183"/>
        <v>0</v>
      </c>
      <c r="AX396" s="69">
        <f t="shared" ca="1" si="184"/>
        <v>0</v>
      </c>
      <c r="AY396" s="70">
        <f t="shared" ca="1" si="185"/>
        <v>0</v>
      </c>
      <c r="AZ396" s="66">
        <f t="shared" ca="1" si="186"/>
        <v>0</v>
      </c>
      <c r="BA396" s="66">
        <f t="shared" ca="1" si="187"/>
        <v>0</v>
      </c>
      <c r="BB396" s="66">
        <f t="shared" ca="1" si="188"/>
        <v>0</v>
      </c>
      <c r="BC396" s="66">
        <f t="shared" ca="1" si="189"/>
        <v>0</v>
      </c>
      <c r="BD396" s="66">
        <f t="shared" ca="1" si="190"/>
        <v>0</v>
      </c>
      <c r="BE396" s="71">
        <f t="shared" ca="1" si="196"/>
        <v>0</v>
      </c>
      <c r="BF396" s="65">
        <f t="shared" ca="1" si="191"/>
        <v>0</v>
      </c>
      <c r="BG396" s="69">
        <f t="shared" ca="1" si="192"/>
        <v>0</v>
      </c>
      <c r="BH396" s="301">
        <f t="shared" ca="1" si="195"/>
        <v>0</v>
      </c>
      <c r="BI396" s="300">
        <f ca="1">IF(AO396&gt;TartamVálasztott,0,   (BI395+BH396)*(1+yields!$D$2)*(1-(0.0099/12)))</f>
        <v>0</v>
      </c>
      <c r="BJ396" s="300">
        <f ca="1">SUM(BH$6:BH396)*-1.2</f>
        <v>-862056.26733480149</v>
      </c>
      <c r="BK396" s="300">
        <f t="shared" ca="1" si="176"/>
        <v>-862056.26733480149</v>
      </c>
      <c r="BL396" s="28">
        <f t="shared" ca="1" si="174"/>
        <v>2049</v>
      </c>
      <c r="BM396" s="28">
        <f t="shared" ca="1" si="197"/>
        <v>8</v>
      </c>
      <c r="BN396" s="236">
        <f t="shared" ca="1" si="198"/>
        <v>0</v>
      </c>
      <c r="BO396" s="236">
        <f t="shared" ca="1" si="193"/>
        <v>0</v>
      </c>
    </row>
    <row r="397" spans="41:67" x14ac:dyDescent="0.25">
      <c r="AO397" s="28">
        <f t="shared" si="177"/>
        <v>33</v>
      </c>
      <c r="AP397" s="28">
        <f t="shared" si="178"/>
        <v>8</v>
      </c>
      <c r="AQ397" s="65">
        <f t="shared" ca="1" si="194"/>
        <v>0</v>
      </c>
      <c r="AR397" s="66">
        <f t="shared" ca="1" si="179"/>
        <v>0</v>
      </c>
      <c r="AS397" s="66">
        <f t="shared" ca="1" si="180"/>
        <v>0</v>
      </c>
      <c r="AT397" s="66">
        <f t="shared" ca="1" si="181"/>
        <v>0</v>
      </c>
      <c r="AU397" s="66">
        <f t="shared" ca="1" si="182"/>
        <v>0</v>
      </c>
      <c r="AV397" s="68">
        <f t="shared" ca="1" si="175"/>
        <v>0</v>
      </c>
      <c r="AW397" s="65">
        <f t="shared" ca="1" si="183"/>
        <v>0</v>
      </c>
      <c r="AX397" s="69">
        <f t="shared" ca="1" si="184"/>
        <v>0</v>
      </c>
      <c r="AY397" s="70">
        <f t="shared" ca="1" si="185"/>
        <v>0</v>
      </c>
      <c r="AZ397" s="66">
        <f t="shared" ca="1" si="186"/>
        <v>0</v>
      </c>
      <c r="BA397" s="66">
        <f t="shared" ca="1" si="187"/>
        <v>0</v>
      </c>
      <c r="BB397" s="66">
        <f t="shared" ca="1" si="188"/>
        <v>0</v>
      </c>
      <c r="BC397" s="66">
        <f t="shared" ca="1" si="189"/>
        <v>0</v>
      </c>
      <c r="BD397" s="66">
        <f t="shared" ca="1" si="190"/>
        <v>0</v>
      </c>
      <c r="BE397" s="71">
        <f t="shared" ca="1" si="196"/>
        <v>0</v>
      </c>
      <c r="BF397" s="65">
        <f t="shared" ca="1" si="191"/>
        <v>0</v>
      </c>
      <c r="BG397" s="69">
        <f t="shared" ca="1" si="192"/>
        <v>0</v>
      </c>
      <c r="BH397" s="301">
        <f t="shared" ca="1" si="195"/>
        <v>0</v>
      </c>
      <c r="BI397" s="300">
        <f ca="1">IF(AO397&gt;TartamVálasztott,0,   (BI396+BH397)*(1+yields!$D$2)*(1-(0.0099/12)))</f>
        <v>0</v>
      </c>
      <c r="BJ397" s="300">
        <f ca="1">SUM(BH$6:BH397)*-1.2</f>
        <v>-862056.26733480149</v>
      </c>
      <c r="BK397" s="300">
        <f t="shared" ca="1" si="176"/>
        <v>-862056.26733480149</v>
      </c>
      <c r="BL397" s="28">
        <f t="shared" ca="1" si="174"/>
        <v>2049</v>
      </c>
      <c r="BM397" s="28">
        <f t="shared" ca="1" si="197"/>
        <v>9</v>
      </c>
      <c r="BN397" s="236">
        <f t="shared" ca="1" si="198"/>
        <v>0</v>
      </c>
      <c r="BO397" s="236">
        <f t="shared" ca="1" si="193"/>
        <v>0</v>
      </c>
    </row>
    <row r="398" spans="41:67" x14ac:dyDescent="0.25">
      <c r="AO398" s="28">
        <f t="shared" si="177"/>
        <v>33</v>
      </c>
      <c r="AP398" s="28">
        <f t="shared" si="178"/>
        <v>9</v>
      </c>
      <c r="AQ398" s="65">
        <f t="shared" ca="1" si="194"/>
        <v>0</v>
      </c>
      <c r="AR398" s="66">
        <f t="shared" ca="1" si="179"/>
        <v>0</v>
      </c>
      <c r="AS398" s="66">
        <f t="shared" ca="1" si="180"/>
        <v>0</v>
      </c>
      <c r="AT398" s="66">
        <f t="shared" ca="1" si="181"/>
        <v>0</v>
      </c>
      <c r="AU398" s="66">
        <f t="shared" ca="1" si="182"/>
        <v>0</v>
      </c>
      <c r="AV398" s="68">
        <f t="shared" ca="1" si="175"/>
        <v>0</v>
      </c>
      <c r="AW398" s="65">
        <f t="shared" ca="1" si="183"/>
        <v>0</v>
      </c>
      <c r="AX398" s="69">
        <f t="shared" ca="1" si="184"/>
        <v>0</v>
      </c>
      <c r="AY398" s="70">
        <f t="shared" ca="1" si="185"/>
        <v>0</v>
      </c>
      <c r="AZ398" s="66">
        <f t="shared" ca="1" si="186"/>
        <v>0</v>
      </c>
      <c r="BA398" s="66">
        <f t="shared" ca="1" si="187"/>
        <v>0</v>
      </c>
      <c r="BB398" s="66">
        <f t="shared" ca="1" si="188"/>
        <v>0</v>
      </c>
      <c r="BC398" s="66">
        <f t="shared" ca="1" si="189"/>
        <v>0</v>
      </c>
      <c r="BD398" s="66">
        <f t="shared" ca="1" si="190"/>
        <v>0</v>
      </c>
      <c r="BE398" s="71">
        <f t="shared" ca="1" si="196"/>
        <v>0</v>
      </c>
      <c r="BF398" s="65">
        <f t="shared" ca="1" si="191"/>
        <v>0</v>
      </c>
      <c r="BG398" s="69">
        <f t="shared" ca="1" si="192"/>
        <v>0</v>
      </c>
      <c r="BH398" s="301">
        <f t="shared" ca="1" si="195"/>
        <v>0</v>
      </c>
      <c r="BI398" s="300">
        <f ca="1">IF(AO398&gt;TartamVálasztott,0,   (BI397+BH398)*(1+yields!$D$2)*(1-(0.0099/12)))</f>
        <v>0</v>
      </c>
      <c r="BJ398" s="300">
        <f ca="1">SUM(BH$6:BH398)*-1.2</f>
        <v>-862056.26733480149</v>
      </c>
      <c r="BK398" s="300">
        <f t="shared" ca="1" si="176"/>
        <v>-862056.26733480149</v>
      </c>
      <c r="BL398" s="28">
        <f t="shared" ca="1" si="174"/>
        <v>2049</v>
      </c>
      <c r="BM398" s="28">
        <f t="shared" ca="1" si="197"/>
        <v>10</v>
      </c>
      <c r="BN398" s="236">
        <f t="shared" ca="1" si="198"/>
        <v>0</v>
      </c>
      <c r="BO398" s="236">
        <f t="shared" ca="1" si="193"/>
        <v>0</v>
      </c>
    </row>
    <row r="399" spans="41:67" x14ac:dyDescent="0.25">
      <c r="AO399" s="28">
        <f t="shared" si="177"/>
        <v>33</v>
      </c>
      <c r="AP399" s="28">
        <f t="shared" si="178"/>
        <v>10</v>
      </c>
      <c r="AQ399" s="65">
        <f t="shared" ca="1" si="194"/>
        <v>0</v>
      </c>
      <c r="AR399" s="66">
        <f t="shared" ca="1" si="179"/>
        <v>0</v>
      </c>
      <c r="AS399" s="66">
        <f t="shared" ca="1" si="180"/>
        <v>0</v>
      </c>
      <c r="AT399" s="66">
        <f t="shared" ca="1" si="181"/>
        <v>0</v>
      </c>
      <c r="AU399" s="66">
        <f t="shared" ca="1" si="182"/>
        <v>0</v>
      </c>
      <c r="AV399" s="68">
        <f t="shared" ca="1" si="175"/>
        <v>0</v>
      </c>
      <c r="AW399" s="65">
        <f t="shared" ca="1" si="183"/>
        <v>0</v>
      </c>
      <c r="AX399" s="69">
        <f t="shared" ca="1" si="184"/>
        <v>0</v>
      </c>
      <c r="AY399" s="70">
        <f t="shared" ca="1" si="185"/>
        <v>0</v>
      </c>
      <c r="AZ399" s="66">
        <f t="shared" ca="1" si="186"/>
        <v>0</v>
      </c>
      <c r="BA399" s="66">
        <f t="shared" ca="1" si="187"/>
        <v>0</v>
      </c>
      <c r="BB399" s="66">
        <f t="shared" ca="1" si="188"/>
        <v>0</v>
      </c>
      <c r="BC399" s="66">
        <f t="shared" ca="1" si="189"/>
        <v>0</v>
      </c>
      <c r="BD399" s="66">
        <f t="shared" ca="1" si="190"/>
        <v>0</v>
      </c>
      <c r="BE399" s="71">
        <f t="shared" ca="1" si="196"/>
        <v>0</v>
      </c>
      <c r="BF399" s="65">
        <f t="shared" ca="1" si="191"/>
        <v>0</v>
      </c>
      <c r="BG399" s="69">
        <f t="shared" ca="1" si="192"/>
        <v>0</v>
      </c>
      <c r="BH399" s="301">
        <f t="shared" ca="1" si="195"/>
        <v>0</v>
      </c>
      <c r="BI399" s="300">
        <f ca="1">IF(AO399&gt;TartamVálasztott,0,   (BI398+BH399)*(1+yields!$D$2)*(1-(0.0099/12)))</f>
        <v>0</v>
      </c>
      <c r="BJ399" s="300">
        <f ca="1">SUM(BH$6:BH399)*-1.2</f>
        <v>-862056.26733480149</v>
      </c>
      <c r="BK399" s="300">
        <f t="shared" ca="1" si="176"/>
        <v>-862056.26733480149</v>
      </c>
      <c r="BL399" s="28">
        <f t="shared" ca="1" si="174"/>
        <v>2049</v>
      </c>
      <c r="BM399" s="28">
        <f t="shared" ca="1" si="197"/>
        <v>11</v>
      </c>
      <c r="BN399" s="236">
        <f t="shared" ca="1" si="198"/>
        <v>0</v>
      </c>
      <c r="BO399" s="236">
        <f t="shared" ca="1" si="193"/>
        <v>0</v>
      </c>
    </row>
    <row r="400" spans="41:67" x14ac:dyDescent="0.25">
      <c r="AO400" s="28">
        <f t="shared" si="177"/>
        <v>33</v>
      </c>
      <c r="AP400" s="28">
        <f t="shared" si="178"/>
        <v>11</v>
      </c>
      <c r="AQ400" s="65">
        <f t="shared" ca="1" si="194"/>
        <v>0</v>
      </c>
      <c r="AR400" s="66">
        <f t="shared" ca="1" si="179"/>
        <v>0</v>
      </c>
      <c r="AS400" s="66">
        <f t="shared" ca="1" si="180"/>
        <v>0</v>
      </c>
      <c r="AT400" s="66">
        <f t="shared" ca="1" si="181"/>
        <v>0</v>
      </c>
      <c r="AU400" s="66">
        <f t="shared" ca="1" si="182"/>
        <v>0</v>
      </c>
      <c r="AV400" s="68">
        <f t="shared" ca="1" si="175"/>
        <v>0</v>
      </c>
      <c r="AW400" s="65">
        <f t="shared" ca="1" si="183"/>
        <v>0</v>
      </c>
      <c r="AX400" s="69">
        <f t="shared" ca="1" si="184"/>
        <v>0</v>
      </c>
      <c r="AY400" s="70">
        <f t="shared" ca="1" si="185"/>
        <v>0</v>
      </c>
      <c r="AZ400" s="66">
        <f t="shared" ca="1" si="186"/>
        <v>0</v>
      </c>
      <c r="BA400" s="66">
        <f t="shared" ca="1" si="187"/>
        <v>0</v>
      </c>
      <c r="BB400" s="66">
        <f t="shared" ca="1" si="188"/>
        <v>0</v>
      </c>
      <c r="BC400" s="66">
        <f t="shared" ca="1" si="189"/>
        <v>0</v>
      </c>
      <c r="BD400" s="66">
        <f t="shared" ca="1" si="190"/>
        <v>0</v>
      </c>
      <c r="BE400" s="71">
        <f t="shared" ca="1" si="196"/>
        <v>0</v>
      </c>
      <c r="BF400" s="65">
        <f t="shared" ca="1" si="191"/>
        <v>0</v>
      </c>
      <c r="BG400" s="69">
        <f t="shared" ca="1" si="192"/>
        <v>0</v>
      </c>
      <c r="BH400" s="301">
        <f t="shared" ca="1" si="195"/>
        <v>0</v>
      </c>
      <c r="BI400" s="300">
        <f ca="1">IF(AO400&gt;TartamVálasztott,0,   (BI399+BH400)*(1+yields!$D$2)*(1-(0.0099/12)))</f>
        <v>0</v>
      </c>
      <c r="BJ400" s="300">
        <f ca="1">SUM(BH$6:BH400)*-1.2</f>
        <v>-862056.26733480149</v>
      </c>
      <c r="BK400" s="300">
        <f t="shared" ca="1" si="176"/>
        <v>-862056.26733480149</v>
      </c>
      <c r="BL400" s="28">
        <f t="shared" ca="1" si="174"/>
        <v>2049</v>
      </c>
      <c r="BM400" s="28">
        <f t="shared" ca="1" si="197"/>
        <v>12</v>
      </c>
      <c r="BN400" s="236">
        <f t="shared" ca="1" si="198"/>
        <v>0</v>
      </c>
      <c r="BO400" s="236">
        <f t="shared" ca="1" si="193"/>
        <v>0</v>
      </c>
    </row>
    <row r="401" spans="41:67" x14ac:dyDescent="0.25">
      <c r="AO401" s="28">
        <f t="shared" si="177"/>
        <v>33</v>
      </c>
      <c r="AP401" s="28">
        <f t="shared" si="178"/>
        <v>12</v>
      </c>
      <c r="AQ401" s="65">
        <f t="shared" ca="1" si="194"/>
        <v>0</v>
      </c>
      <c r="AR401" s="66">
        <f t="shared" ca="1" si="179"/>
        <v>0</v>
      </c>
      <c r="AS401" s="66">
        <f t="shared" ca="1" si="180"/>
        <v>0</v>
      </c>
      <c r="AT401" s="66">
        <f t="shared" ca="1" si="181"/>
        <v>0</v>
      </c>
      <c r="AU401" s="66">
        <f t="shared" ca="1" si="182"/>
        <v>0</v>
      </c>
      <c r="AV401" s="68">
        <f t="shared" ca="1" si="175"/>
        <v>0</v>
      </c>
      <c r="AW401" s="65">
        <f t="shared" ca="1" si="183"/>
        <v>0</v>
      </c>
      <c r="AX401" s="69">
        <f t="shared" ca="1" si="184"/>
        <v>0</v>
      </c>
      <c r="AY401" s="70">
        <f t="shared" ca="1" si="185"/>
        <v>0</v>
      </c>
      <c r="AZ401" s="66">
        <f t="shared" ca="1" si="186"/>
        <v>0</v>
      </c>
      <c r="BA401" s="66">
        <f t="shared" ca="1" si="187"/>
        <v>0</v>
      </c>
      <c r="BB401" s="66">
        <f t="shared" ca="1" si="188"/>
        <v>0</v>
      </c>
      <c r="BC401" s="66">
        <f t="shared" ca="1" si="189"/>
        <v>0</v>
      </c>
      <c r="BD401" s="66">
        <f t="shared" ca="1" si="190"/>
        <v>0</v>
      </c>
      <c r="BE401" s="71">
        <f t="shared" ca="1" si="196"/>
        <v>0</v>
      </c>
      <c r="BF401" s="65">
        <f t="shared" ca="1" si="191"/>
        <v>0</v>
      </c>
      <c r="BG401" s="69">
        <f t="shared" ca="1" si="192"/>
        <v>0</v>
      </c>
      <c r="BH401" s="301">
        <f t="shared" ca="1" si="195"/>
        <v>0</v>
      </c>
      <c r="BI401" s="300">
        <f ca="1">IF(AO401&gt;TartamVálasztott,0,   (BI400+BH401)*(1+yields!$D$2)*(1-(0.0099/12)))</f>
        <v>0</v>
      </c>
      <c r="BJ401" s="300">
        <f ca="1">SUM(BH$6:BH401)*-1.2</f>
        <v>-862056.26733480149</v>
      </c>
      <c r="BK401" s="300">
        <f t="shared" ca="1" si="176"/>
        <v>-862056.26733480149</v>
      </c>
      <c r="BL401" s="28">
        <f t="shared" ca="1" si="174"/>
        <v>2050</v>
      </c>
      <c r="BM401" s="28">
        <f t="shared" ca="1" si="197"/>
        <v>1</v>
      </c>
      <c r="BN401" s="236">
        <f t="shared" ca="1" si="198"/>
        <v>0</v>
      </c>
      <c r="BO401" s="236">
        <f t="shared" ca="1" si="193"/>
        <v>0</v>
      </c>
    </row>
    <row r="402" spans="41:67" x14ac:dyDescent="0.25">
      <c r="AO402" s="28">
        <f t="shared" si="177"/>
        <v>34</v>
      </c>
      <c r="AP402" s="28">
        <f t="shared" si="178"/>
        <v>1</v>
      </c>
      <c r="AQ402" s="65">
        <f t="shared" ca="1" si="194"/>
        <v>0</v>
      </c>
      <c r="AR402" s="66">
        <f t="shared" ca="1" si="179"/>
        <v>0</v>
      </c>
      <c r="AS402" s="66">
        <f t="shared" ca="1" si="180"/>
        <v>0</v>
      </c>
      <c r="AT402" s="66">
        <f t="shared" ca="1" si="181"/>
        <v>0</v>
      </c>
      <c r="AU402" s="66">
        <f t="shared" ca="1" si="182"/>
        <v>0</v>
      </c>
      <c r="AV402" s="68">
        <f t="shared" ca="1" si="175"/>
        <v>0</v>
      </c>
      <c r="AW402" s="65">
        <f t="shared" ca="1" si="183"/>
        <v>0</v>
      </c>
      <c r="AX402" s="69">
        <f t="shared" ca="1" si="184"/>
        <v>0</v>
      </c>
      <c r="AY402" s="70">
        <f t="shared" ca="1" si="185"/>
        <v>0</v>
      </c>
      <c r="AZ402" s="66">
        <f t="shared" ca="1" si="186"/>
        <v>0</v>
      </c>
      <c r="BA402" s="66">
        <f t="shared" ca="1" si="187"/>
        <v>0</v>
      </c>
      <c r="BB402" s="66">
        <f t="shared" ca="1" si="188"/>
        <v>0</v>
      </c>
      <c r="BC402" s="66">
        <f t="shared" ca="1" si="189"/>
        <v>0</v>
      </c>
      <c r="BD402" s="66">
        <f t="shared" ca="1" si="190"/>
        <v>0</v>
      </c>
      <c r="BE402" s="71">
        <f t="shared" ca="1" si="196"/>
        <v>0</v>
      </c>
      <c r="BF402" s="65">
        <f t="shared" ca="1" si="191"/>
        <v>0</v>
      </c>
      <c r="BG402" s="69">
        <f t="shared" ca="1" si="192"/>
        <v>0</v>
      </c>
      <c r="BH402" s="301">
        <f t="shared" ca="1" si="195"/>
        <v>0</v>
      </c>
      <c r="BI402" s="300">
        <f ca="1">IF(AO402&gt;TartamVálasztott,0,   (BI401+BH402)*(1+yields!$D$2)*(1-(0.0099/12)))</f>
        <v>0</v>
      </c>
      <c r="BJ402" s="300">
        <f ca="1">SUM(BH$6:BH402)*-1.2</f>
        <v>-862056.26733480149</v>
      </c>
      <c r="BK402" s="300">
        <f t="shared" ca="1" si="176"/>
        <v>-862056.26733480149</v>
      </c>
      <c r="BL402" s="28">
        <f t="shared" ref="BL402:BL465" ca="1" si="199">IF(BM401=12,BL401+1,BL401)</f>
        <v>2050</v>
      </c>
      <c r="BM402" s="28">
        <f t="shared" ca="1" si="197"/>
        <v>2</v>
      </c>
      <c r="BN402" s="236">
        <f t="shared" ca="1" si="198"/>
        <v>0</v>
      </c>
      <c r="BO402" s="236">
        <f t="shared" ca="1" si="193"/>
        <v>0</v>
      </c>
    </row>
    <row r="403" spans="41:67" x14ac:dyDescent="0.25">
      <c r="AO403" s="28">
        <f t="shared" si="177"/>
        <v>34</v>
      </c>
      <c r="AP403" s="28">
        <f t="shared" si="178"/>
        <v>2</v>
      </c>
      <c r="AQ403" s="65">
        <f t="shared" ca="1" si="194"/>
        <v>0</v>
      </c>
      <c r="AR403" s="66">
        <f t="shared" ca="1" si="179"/>
        <v>0</v>
      </c>
      <c r="AS403" s="66">
        <f t="shared" ca="1" si="180"/>
        <v>0</v>
      </c>
      <c r="AT403" s="66">
        <f t="shared" ca="1" si="181"/>
        <v>0</v>
      </c>
      <c r="AU403" s="66">
        <f t="shared" ca="1" si="182"/>
        <v>0</v>
      </c>
      <c r="AV403" s="68">
        <f t="shared" ref="AV403:AV466" ca="1" si="200">IF( ($AO403*12+$AP403) &gt; (12*(Term+1) ), 0,
($AT403-$AW403) +$AU403
)</f>
        <v>0</v>
      </c>
      <c r="AW403" s="65">
        <f t="shared" ca="1" si="183"/>
        <v>0</v>
      </c>
      <c r="AX403" s="69">
        <f t="shared" ca="1" si="184"/>
        <v>0</v>
      </c>
      <c r="AY403" s="70">
        <f t="shared" ca="1" si="185"/>
        <v>0</v>
      </c>
      <c r="AZ403" s="66">
        <f t="shared" ca="1" si="186"/>
        <v>0</v>
      </c>
      <c r="BA403" s="66">
        <f t="shared" ca="1" si="187"/>
        <v>0</v>
      </c>
      <c r="BB403" s="66">
        <f t="shared" ca="1" si="188"/>
        <v>0</v>
      </c>
      <c r="BC403" s="66">
        <f t="shared" ca="1" si="189"/>
        <v>0</v>
      </c>
      <c r="BD403" s="66">
        <f t="shared" ca="1" si="190"/>
        <v>0</v>
      </c>
      <c r="BE403" s="71">
        <f t="shared" ca="1" si="196"/>
        <v>0</v>
      </c>
      <c r="BF403" s="65">
        <f t="shared" ca="1" si="191"/>
        <v>0</v>
      </c>
      <c r="BG403" s="69">
        <f t="shared" ca="1" si="192"/>
        <v>0</v>
      </c>
      <c r="BH403" s="301">
        <f t="shared" ca="1" si="195"/>
        <v>0</v>
      </c>
      <c r="BI403" s="300">
        <f ca="1">IF(AO403&gt;TartamVálasztott,0,   (BI402+BH403)*(1+yields!$D$2)*(1-(0.0099/12)))</f>
        <v>0</v>
      </c>
      <c r="BJ403" s="300">
        <f ca="1">SUM(BH$6:BH403)*-1.2</f>
        <v>-862056.26733480149</v>
      </c>
      <c r="BK403" s="300">
        <f t="shared" ca="1" si="176"/>
        <v>-862056.26733480149</v>
      </c>
      <c r="BL403" s="28">
        <f t="shared" ca="1" si="199"/>
        <v>2050</v>
      </c>
      <c r="BM403" s="28">
        <f t="shared" ca="1" si="197"/>
        <v>3</v>
      </c>
      <c r="BN403" s="236">
        <f t="shared" ca="1" si="198"/>
        <v>0</v>
      </c>
      <c r="BO403" s="236">
        <f t="shared" ca="1" si="193"/>
        <v>0</v>
      </c>
    </row>
    <row r="404" spans="41:67" x14ac:dyDescent="0.25">
      <c r="AO404" s="28">
        <f t="shared" si="177"/>
        <v>34</v>
      </c>
      <c r="AP404" s="28">
        <f t="shared" si="178"/>
        <v>3</v>
      </c>
      <c r="AQ404" s="65">
        <f t="shared" ca="1" si="194"/>
        <v>0</v>
      </c>
      <c r="AR404" s="66">
        <f t="shared" ca="1" si="179"/>
        <v>0</v>
      </c>
      <c r="AS404" s="66">
        <f t="shared" ca="1" si="180"/>
        <v>0</v>
      </c>
      <c r="AT404" s="66">
        <f t="shared" ca="1" si="181"/>
        <v>0</v>
      </c>
      <c r="AU404" s="66">
        <f t="shared" ca="1" si="182"/>
        <v>0</v>
      </c>
      <c r="AV404" s="68">
        <f t="shared" ca="1" si="200"/>
        <v>0</v>
      </c>
      <c r="AW404" s="65">
        <f t="shared" ca="1" si="183"/>
        <v>0</v>
      </c>
      <c r="AX404" s="69">
        <f t="shared" ca="1" si="184"/>
        <v>0</v>
      </c>
      <c r="AY404" s="70">
        <f t="shared" ca="1" si="185"/>
        <v>0</v>
      </c>
      <c r="AZ404" s="66">
        <f t="shared" ca="1" si="186"/>
        <v>0</v>
      </c>
      <c r="BA404" s="66">
        <f t="shared" ca="1" si="187"/>
        <v>0</v>
      </c>
      <c r="BB404" s="66">
        <f t="shared" ca="1" si="188"/>
        <v>0</v>
      </c>
      <c r="BC404" s="66">
        <f t="shared" ca="1" si="189"/>
        <v>0</v>
      </c>
      <c r="BD404" s="66">
        <f t="shared" ca="1" si="190"/>
        <v>0</v>
      </c>
      <c r="BE404" s="71">
        <f t="shared" ca="1" si="196"/>
        <v>0</v>
      </c>
      <c r="BF404" s="65">
        <f t="shared" ca="1" si="191"/>
        <v>0</v>
      </c>
      <c r="BG404" s="69">
        <f t="shared" ca="1" si="192"/>
        <v>0</v>
      </c>
      <c r="BH404" s="301">
        <f t="shared" ca="1" si="195"/>
        <v>0</v>
      </c>
      <c r="BI404" s="300">
        <f ca="1">IF(AO404&gt;TartamVálasztott,0,   (BI403+BH404)*(1+yields!$D$2)*(1-(0.0099/12)))</f>
        <v>0</v>
      </c>
      <c r="BJ404" s="300">
        <f ca="1">SUM(BH$6:BH404)*-1.2</f>
        <v>-862056.26733480149</v>
      </c>
      <c r="BK404" s="300">
        <f t="shared" ca="1" si="176"/>
        <v>-862056.26733480149</v>
      </c>
      <c r="BL404" s="28">
        <f t="shared" ca="1" si="199"/>
        <v>2050</v>
      </c>
      <c r="BM404" s="28">
        <f t="shared" ca="1" si="197"/>
        <v>4</v>
      </c>
      <c r="BN404" s="236">
        <f t="shared" ca="1" si="198"/>
        <v>0</v>
      </c>
      <c r="BO404" s="236">
        <f t="shared" ca="1" si="193"/>
        <v>0</v>
      </c>
    </row>
    <row r="405" spans="41:67" x14ac:dyDescent="0.25">
      <c r="AO405" s="28">
        <f t="shared" si="177"/>
        <v>34</v>
      </c>
      <c r="AP405" s="28">
        <f t="shared" si="178"/>
        <v>4</v>
      </c>
      <c r="AQ405" s="65">
        <f t="shared" ca="1" si="194"/>
        <v>0</v>
      </c>
      <c r="AR405" s="66">
        <f t="shared" ca="1" si="179"/>
        <v>0</v>
      </c>
      <c r="AS405" s="66">
        <f t="shared" ca="1" si="180"/>
        <v>0</v>
      </c>
      <c r="AT405" s="66">
        <f t="shared" ca="1" si="181"/>
        <v>0</v>
      </c>
      <c r="AU405" s="66">
        <f t="shared" ca="1" si="182"/>
        <v>0</v>
      </c>
      <c r="AV405" s="68">
        <f t="shared" ca="1" si="200"/>
        <v>0</v>
      </c>
      <c r="AW405" s="65">
        <f t="shared" ca="1" si="183"/>
        <v>0</v>
      </c>
      <c r="AX405" s="69">
        <f t="shared" ca="1" si="184"/>
        <v>0</v>
      </c>
      <c r="AY405" s="70">
        <f t="shared" ca="1" si="185"/>
        <v>0</v>
      </c>
      <c r="AZ405" s="66">
        <f t="shared" ca="1" si="186"/>
        <v>0</v>
      </c>
      <c r="BA405" s="66">
        <f t="shared" ca="1" si="187"/>
        <v>0</v>
      </c>
      <c r="BB405" s="66">
        <f t="shared" ca="1" si="188"/>
        <v>0</v>
      </c>
      <c r="BC405" s="66">
        <f t="shared" ca="1" si="189"/>
        <v>0</v>
      </c>
      <c r="BD405" s="66">
        <f t="shared" ca="1" si="190"/>
        <v>0</v>
      </c>
      <c r="BE405" s="71">
        <f t="shared" ca="1" si="196"/>
        <v>0</v>
      </c>
      <c r="BF405" s="65">
        <f t="shared" ca="1" si="191"/>
        <v>0</v>
      </c>
      <c r="BG405" s="69">
        <f t="shared" ca="1" si="192"/>
        <v>0</v>
      </c>
      <c r="BH405" s="301">
        <f t="shared" ca="1" si="195"/>
        <v>0</v>
      </c>
      <c r="BI405" s="300">
        <f ca="1">IF(AO405&gt;TartamVálasztott,0,   (BI404+BH405)*(1+yields!$D$2)*(1-(0.0099/12)))</f>
        <v>0</v>
      </c>
      <c r="BJ405" s="300">
        <f ca="1">SUM(BH$6:BH405)*-1.2</f>
        <v>-862056.26733480149</v>
      </c>
      <c r="BK405" s="300">
        <f t="shared" ca="1" si="176"/>
        <v>-862056.26733480149</v>
      </c>
      <c r="BL405" s="28">
        <f t="shared" ca="1" si="199"/>
        <v>2050</v>
      </c>
      <c r="BM405" s="28">
        <f t="shared" ca="1" si="197"/>
        <v>5</v>
      </c>
      <c r="BN405" s="236">
        <f t="shared" ca="1" si="198"/>
        <v>0</v>
      </c>
      <c r="BO405" s="236">
        <f t="shared" ca="1" si="193"/>
        <v>0</v>
      </c>
    </row>
    <row r="406" spans="41:67" x14ac:dyDescent="0.25">
      <c r="AO406" s="28">
        <f t="shared" si="177"/>
        <v>34</v>
      </c>
      <c r="AP406" s="28">
        <f t="shared" si="178"/>
        <v>5</v>
      </c>
      <c r="AQ406" s="65">
        <f t="shared" ca="1" si="194"/>
        <v>0</v>
      </c>
      <c r="AR406" s="66">
        <f t="shared" ca="1" si="179"/>
        <v>0</v>
      </c>
      <c r="AS406" s="66">
        <f t="shared" ca="1" si="180"/>
        <v>0</v>
      </c>
      <c r="AT406" s="66">
        <f t="shared" ca="1" si="181"/>
        <v>0</v>
      </c>
      <c r="AU406" s="66">
        <f t="shared" ca="1" si="182"/>
        <v>0</v>
      </c>
      <c r="AV406" s="68">
        <f t="shared" ca="1" si="200"/>
        <v>0</v>
      </c>
      <c r="AW406" s="65">
        <f t="shared" ca="1" si="183"/>
        <v>0</v>
      </c>
      <c r="AX406" s="69">
        <f t="shared" ca="1" si="184"/>
        <v>0</v>
      </c>
      <c r="AY406" s="70">
        <f t="shared" ca="1" si="185"/>
        <v>0</v>
      </c>
      <c r="AZ406" s="66">
        <f t="shared" ca="1" si="186"/>
        <v>0</v>
      </c>
      <c r="BA406" s="66">
        <f t="shared" ca="1" si="187"/>
        <v>0</v>
      </c>
      <c r="BB406" s="66">
        <f t="shared" ca="1" si="188"/>
        <v>0</v>
      </c>
      <c r="BC406" s="66">
        <f t="shared" ca="1" si="189"/>
        <v>0</v>
      </c>
      <c r="BD406" s="66">
        <f t="shared" ca="1" si="190"/>
        <v>0</v>
      </c>
      <c r="BE406" s="71">
        <f t="shared" ca="1" si="196"/>
        <v>0</v>
      </c>
      <c r="BF406" s="65">
        <f t="shared" ca="1" si="191"/>
        <v>0</v>
      </c>
      <c r="BG406" s="69">
        <f t="shared" ca="1" si="192"/>
        <v>0</v>
      </c>
      <c r="BH406" s="301">
        <f t="shared" ca="1" si="195"/>
        <v>0</v>
      </c>
      <c r="BI406" s="300">
        <f ca="1">IF(AO406&gt;TartamVálasztott,0,   (BI405+BH406)*(1+yields!$D$2)*(1-(0.0099/12)))</f>
        <v>0</v>
      </c>
      <c r="BJ406" s="300">
        <f ca="1">SUM(BH$6:BH406)*-1.2</f>
        <v>-862056.26733480149</v>
      </c>
      <c r="BK406" s="300">
        <f t="shared" ca="1" si="176"/>
        <v>-862056.26733480149</v>
      </c>
      <c r="BL406" s="28">
        <f t="shared" ca="1" si="199"/>
        <v>2050</v>
      </c>
      <c r="BM406" s="28">
        <f t="shared" ca="1" si="197"/>
        <v>6</v>
      </c>
      <c r="BN406" s="236">
        <f t="shared" ca="1" si="198"/>
        <v>0</v>
      </c>
      <c r="BO406" s="236">
        <f t="shared" ca="1" si="193"/>
        <v>0</v>
      </c>
    </row>
    <row r="407" spans="41:67" x14ac:dyDescent="0.25">
      <c r="AO407" s="28">
        <f t="shared" si="177"/>
        <v>34</v>
      </c>
      <c r="AP407" s="28">
        <f t="shared" si="178"/>
        <v>6</v>
      </c>
      <c r="AQ407" s="65">
        <f t="shared" ca="1" si="194"/>
        <v>0</v>
      </c>
      <c r="AR407" s="66">
        <f t="shared" ca="1" si="179"/>
        <v>0</v>
      </c>
      <c r="AS407" s="66">
        <f t="shared" ca="1" si="180"/>
        <v>0</v>
      </c>
      <c r="AT407" s="66">
        <f t="shared" ca="1" si="181"/>
        <v>0</v>
      </c>
      <c r="AU407" s="66">
        <f t="shared" ca="1" si="182"/>
        <v>0</v>
      </c>
      <c r="AV407" s="68">
        <f t="shared" ca="1" si="200"/>
        <v>0</v>
      </c>
      <c r="AW407" s="65">
        <f t="shared" ca="1" si="183"/>
        <v>0</v>
      </c>
      <c r="AX407" s="69">
        <f t="shared" ca="1" si="184"/>
        <v>0</v>
      </c>
      <c r="AY407" s="70">
        <f t="shared" ca="1" si="185"/>
        <v>0</v>
      </c>
      <c r="AZ407" s="66">
        <f t="shared" ca="1" si="186"/>
        <v>0</v>
      </c>
      <c r="BA407" s="66">
        <f t="shared" ca="1" si="187"/>
        <v>0</v>
      </c>
      <c r="BB407" s="66">
        <f t="shared" ca="1" si="188"/>
        <v>0</v>
      </c>
      <c r="BC407" s="66">
        <f t="shared" ca="1" si="189"/>
        <v>0</v>
      </c>
      <c r="BD407" s="66">
        <f t="shared" ca="1" si="190"/>
        <v>0</v>
      </c>
      <c r="BE407" s="71">
        <f t="shared" ca="1" si="196"/>
        <v>0</v>
      </c>
      <c r="BF407" s="65">
        <f t="shared" ca="1" si="191"/>
        <v>0</v>
      </c>
      <c r="BG407" s="69">
        <f t="shared" ca="1" si="192"/>
        <v>0</v>
      </c>
      <c r="BH407" s="301">
        <f t="shared" ca="1" si="195"/>
        <v>0</v>
      </c>
      <c r="BI407" s="300">
        <f ca="1">IF(AO407&gt;TartamVálasztott,0,   (BI406+BH407)*(1+yields!$D$2)*(1-(0.0099/12)))</f>
        <v>0</v>
      </c>
      <c r="BJ407" s="300">
        <f ca="1">SUM(BH$6:BH407)*-1.2</f>
        <v>-862056.26733480149</v>
      </c>
      <c r="BK407" s="300">
        <f t="shared" ref="BK407:BK470" ca="1" si="201">BI407+BJ407</f>
        <v>-862056.26733480149</v>
      </c>
      <c r="BL407" s="28">
        <f t="shared" ca="1" si="199"/>
        <v>2050</v>
      </c>
      <c r="BM407" s="28">
        <f t="shared" ca="1" si="197"/>
        <v>7</v>
      </c>
      <c r="BN407" s="236">
        <f t="shared" ca="1" si="198"/>
        <v>0</v>
      </c>
      <c r="BO407" s="236">
        <f t="shared" ca="1" si="193"/>
        <v>0</v>
      </c>
    </row>
    <row r="408" spans="41:67" x14ac:dyDescent="0.25">
      <c r="AO408" s="28">
        <f t="shared" si="177"/>
        <v>34</v>
      </c>
      <c r="AP408" s="28">
        <f t="shared" si="178"/>
        <v>7</v>
      </c>
      <c r="AQ408" s="65">
        <f t="shared" ca="1" si="194"/>
        <v>0</v>
      </c>
      <c r="AR408" s="66">
        <f t="shared" ca="1" si="179"/>
        <v>0</v>
      </c>
      <c r="AS408" s="66">
        <f t="shared" ca="1" si="180"/>
        <v>0</v>
      </c>
      <c r="AT408" s="66">
        <f t="shared" ca="1" si="181"/>
        <v>0</v>
      </c>
      <c r="AU408" s="66">
        <f t="shared" ca="1" si="182"/>
        <v>0</v>
      </c>
      <c r="AV408" s="68">
        <f t="shared" ca="1" si="200"/>
        <v>0</v>
      </c>
      <c r="AW408" s="65">
        <f t="shared" ca="1" si="183"/>
        <v>0</v>
      </c>
      <c r="AX408" s="69">
        <f t="shared" ca="1" si="184"/>
        <v>0</v>
      </c>
      <c r="AY408" s="70">
        <f t="shared" ca="1" si="185"/>
        <v>0</v>
      </c>
      <c r="AZ408" s="66">
        <f t="shared" ca="1" si="186"/>
        <v>0</v>
      </c>
      <c r="BA408" s="66">
        <f t="shared" ca="1" si="187"/>
        <v>0</v>
      </c>
      <c r="BB408" s="66">
        <f t="shared" ca="1" si="188"/>
        <v>0</v>
      </c>
      <c r="BC408" s="66">
        <f t="shared" ca="1" si="189"/>
        <v>0</v>
      </c>
      <c r="BD408" s="66">
        <f t="shared" ca="1" si="190"/>
        <v>0</v>
      </c>
      <c r="BE408" s="71">
        <f t="shared" ca="1" si="196"/>
        <v>0</v>
      </c>
      <c r="BF408" s="65">
        <f t="shared" ca="1" si="191"/>
        <v>0</v>
      </c>
      <c r="BG408" s="69">
        <f t="shared" ca="1" si="192"/>
        <v>0</v>
      </c>
      <c r="BH408" s="301">
        <f t="shared" ca="1" si="195"/>
        <v>0</v>
      </c>
      <c r="BI408" s="300">
        <f ca="1">IF(AO408&gt;TartamVálasztott,0,   (BI407+BH408)*(1+yields!$D$2)*(1-(0.0099/12)))</f>
        <v>0</v>
      </c>
      <c r="BJ408" s="300">
        <f ca="1">SUM(BH$6:BH408)*-1.2</f>
        <v>-862056.26733480149</v>
      </c>
      <c r="BK408" s="300">
        <f t="shared" ca="1" si="201"/>
        <v>-862056.26733480149</v>
      </c>
      <c r="BL408" s="28">
        <f t="shared" ca="1" si="199"/>
        <v>2050</v>
      </c>
      <c r="BM408" s="28">
        <f t="shared" ca="1" si="197"/>
        <v>8</v>
      </c>
      <c r="BN408" s="236">
        <f t="shared" ca="1" si="198"/>
        <v>0</v>
      </c>
      <c r="BO408" s="236">
        <f t="shared" ca="1" si="193"/>
        <v>0</v>
      </c>
    </row>
    <row r="409" spans="41:67" x14ac:dyDescent="0.25">
      <c r="AO409" s="28">
        <f t="shared" si="177"/>
        <v>34</v>
      </c>
      <c r="AP409" s="28">
        <f t="shared" si="178"/>
        <v>8</v>
      </c>
      <c r="AQ409" s="65">
        <f t="shared" ca="1" si="194"/>
        <v>0</v>
      </c>
      <c r="AR409" s="66">
        <f t="shared" ca="1" si="179"/>
        <v>0</v>
      </c>
      <c r="AS409" s="66">
        <f t="shared" ca="1" si="180"/>
        <v>0</v>
      </c>
      <c r="AT409" s="66">
        <f t="shared" ca="1" si="181"/>
        <v>0</v>
      </c>
      <c r="AU409" s="66">
        <f t="shared" ca="1" si="182"/>
        <v>0</v>
      </c>
      <c r="AV409" s="68">
        <f t="shared" ca="1" si="200"/>
        <v>0</v>
      </c>
      <c r="AW409" s="65">
        <f t="shared" ca="1" si="183"/>
        <v>0</v>
      </c>
      <c r="AX409" s="69">
        <f t="shared" ca="1" si="184"/>
        <v>0</v>
      </c>
      <c r="AY409" s="70">
        <f t="shared" ca="1" si="185"/>
        <v>0</v>
      </c>
      <c r="AZ409" s="66">
        <f t="shared" ca="1" si="186"/>
        <v>0</v>
      </c>
      <c r="BA409" s="66">
        <f t="shared" ca="1" si="187"/>
        <v>0</v>
      </c>
      <c r="BB409" s="66">
        <f t="shared" ca="1" si="188"/>
        <v>0</v>
      </c>
      <c r="BC409" s="66">
        <f t="shared" ca="1" si="189"/>
        <v>0</v>
      </c>
      <c r="BD409" s="66">
        <f t="shared" ca="1" si="190"/>
        <v>0</v>
      </c>
      <c r="BE409" s="71">
        <f t="shared" ca="1" si="196"/>
        <v>0</v>
      </c>
      <c r="BF409" s="65">
        <f t="shared" ca="1" si="191"/>
        <v>0</v>
      </c>
      <c r="BG409" s="69">
        <f t="shared" ca="1" si="192"/>
        <v>0</v>
      </c>
      <c r="BH409" s="301">
        <f t="shared" ca="1" si="195"/>
        <v>0</v>
      </c>
      <c r="BI409" s="300">
        <f ca="1">IF(AO409&gt;TartamVálasztott,0,   (BI408+BH409)*(1+yields!$D$2)*(1-(0.0099/12)))</f>
        <v>0</v>
      </c>
      <c r="BJ409" s="300">
        <f ca="1">SUM(BH$6:BH409)*-1.2</f>
        <v>-862056.26733480149</v>
      </c>
      <c r="BK409" s="300">
        <f t="shared" ca="1" si="201"/>
        <v>-862056.26733480149</v>
      </c>
      <c r="BL409" s="28">
        <f t="shared" ca="1" si="199"/>
        <v>2050</v>
      </c>
      <c r="BM409" s="28">
        <f t="shared" ca="1" si="197"/>
        <v>9</v>
      </c>
      <c r="BN409" s="236">
        <f t="shared" ca="1" si="198"/>
        <v>0</v>
      </c>
      <c r="BO409" s="236">
        <f t="shared" ca="1" si="193"/>
        <v>0</v>
      </c>
    </row>
    <row r="410" spans="41:67" x14ac:dyDescent="0.25">
      <c r="AO410" s="28">
        <f t="shared" si="177"/>
        <v>34</v>
      </c>
      <c r="AP410" s="28">
        <f t="shared" si="178"/>
        <v>9</v>
      </c>
      <c r="AQ410" s="65">
        <f t="shared" ca="1" si="194"/>
        <v>0</v>
      </c>
      <c r="AR410" s="66">
        <f t="shared" ca="1" si="179"/>
        <v>0</v>
      </c>
      <c r="AS410" s="66">
        <f t="shared" ca="1" si="180"/>
        <v>0</v>
      </c>
      <c r="AT410" s="66">
        <f t="shared" ca="1" si="181"/>
        <v>0</v>
      </c>
      <c r="AU410" s="66">
        <f t="shared" ca="1" si="182"/>
        <v>0</v>
      </c>
      <c r="AV410" s="68">
        <f t="shared" ca="1" si="200"/>
        <v>0</v>
      </c>
      <c r="AW410" s="65">
        <f t="shared" ca="1" si="183"/>
        <v>0</v>
      </c>
      <c r="AX410" s="69">
        <f t="shared" ca="1" si="184"/>
        <v>0</v>
      </c>
      <c r="AY410" s="70">
        <f t="shared" ca="1" si="185"/>
        <v>0</v>
      </c>
      <c r="AZ410" s="66">
        <f t="shared" ca="1" si="186"/>
        <v>0</v>
      </c>
      <c r="BA410" s="66">
        <f t="shared" ca="1" si="187"/>
        <v>0</v>
      </c>
      <c r="BB410" s="66">
        <f t="shared" ca="1" si="188"/>
        <v>0</v>
      </c>
      <c r="BC410" s="66">
        <f t="shared" ca="1" si="189"/>
        <v>0</v>
      </c>
      <c r="BD410" s="66">
        <f t="shared" ca="1" si="190"/>
        <v>0</v>
      </c>
      <c r="BE410" s="71">
        <f t="shared" ca="1" si="196"/>
        <v>0</v>
      </c>
      <c r="BF410" s="65">
        <f t="shared" ca="1" si="191"/>
        <v>0</v>
      </c>
      <c r="BG410" s="69">
        <f t="shared" ca="1" si="192"/>
        <v>0</v>
      </c>
      <c r="BH410" s="301">
        <f t="shared" ca="1" si="195"/>
        <v>0</v>
      </c>
      <c r="BI410" s="300">
        <f ca="1">IF(AO410&gt;TartamVálasztott,0,   (BI409+BH410)*(1+yields!$D$2)*(1-(0.0099/12)))</f>
        <v>0</v>
      </c>
      <c r="BJ410" s="300">
        <f ca="1">SUM(BH$6:BH410)*-1.2</f>
        <v>-862056.26733480149</v>
      </c>
      <c r="BK410" s="300">
        <f t="shared" ca="1" si="201"/>
        <v>-862056.26733480149</v>
      </c>
      <c r="BL410" s="28">
        <f t="shared" ca="1" si="199"/>
        <v>2050</v>
      </c>
      <c r="BM410" s="28">
        <f t="shared" ca="1" si="197"/>
        <v>10</v>
      </c>
      <c r="BN410" s="236">
        <f t="shared" ca="1" si="198"/>
        <v>0</v>
      </c>
      <c r="BO410" s="236">
        <f t="shared" ca="1" si="193"/>
        <v>0</v>
      </c>
    </row>
    <row r="411" spans="41:67" x14ac:dyDescent="0.25">
      <c r="AO411" s="28">
        <f t="shared" si="177"/>
        <v>34</v>
      </c>
      <c r="AP411" s="28">
        <f t="shared" si="178"/>
        <v>10</v>
      </c>
      <c r="AQ411" s="65">
        <f t="shared" ca="1" si="194"/>
        <v>0</v>
      </c>
      <c r="AR411" s="66">
        <f t="shared" ca="1" si="179"/>
        <v>0</v>
      </c>
      <c r="AS411" s="66">
        <f t="shared" ca="1" si="180"/>
        <v>0</v>
      </c>
      <c r="AT411" s="66">
        <f t="shared" ca="1" si="181"/>
        <v>0</v>
      </c>
      <c r="AU411" s="66">
        <f t="shared" ca="1" si="182"/>
        <v>0</v>
      </c>
      <c r="AV411" s="68">
        <f t="shared" ca="1" si="200"/>
        <v>0</v>
      </c>
      <c r="AW411" s="65">
        <f t="shared" ca="1" si="183"/>
        <v>0</v>
      </c>
      <c r="AX411" s="69">
        <f t="shared" ca="1" si="184"/>
        <v>0</v>
      </c>
      <c r="AY411" s="70">
        <f t="shared" ca="1" si="185"/>
        <v>0</v>
      </c>
      <c r="AZ411" s="66">
        <f t="shared" ca="1" si="186"/>
        <v>0</v>
      </c>
      <c r="BA411" s="66">
        <f t="shared" ca="1" si="187"/>
        <v>0</v>
      </c>
      <c r="BB411" s="66">
        <f t="shared" ca="1" si="188"/>
        <v>0</v>
      </c>
      <c r="BC411" s="66">
        <f t="shared" ca="1" si="189"/>
        <v>0</v>
      </c>
      <c r="BD411" s="66">
        <f t="shared" ca="1" si="190"/>
        <v>0</v>
      </c>
      <c r="BE411" s="71">
        <f t="shared" ca="1" si="196"/>
        <v>0</v>
      </c>
      <c r="BF411" s="65">
        <f t="shared" ca="1" si="191"/>
        <v>0</v>
      </c>
      <c r="BG411" s="69">
        <f t="shared" ca="1" si="192"/>
        <v>0</v>
      </c>
      <c r="BH411" s="301">
        <f t="shared" ca="1" si="195"/>
        <v>0</v>
      </c>
      <c r="BI411" s="300">
        <f ca="1">IF(AO411&gt;TartamVálasztott,0,   (BI410+BH411)*(1+yields!$D$2)*(1-(0.0099/12)))</f>
        <v>0</v>
      </c>
      <c r="BJ411" s="300">
        <f ca="1">SUM(BH$6:BH411)*-1.2</f>
        <v>-862056.26733480149</v>
      </c>
      <c r="BK411" s="300">
        <f t="shared" ca="1" si="201"/>
        <v>-862056.26733480149</v>
      </c>
      <c r="BL411" s="28">
        <f t="shared" ca="1" si="199"/>
        <v>2050</v>
      </c>
      <c r="BM411" s="28">
        <f t="shared" ca="1" si="197"/>
        <v>11</v>
      </c>
      <c r="BN411" s="236">
        <f t="shared" ca="1" si="198"/>
        <v>0</v>
      </c>
      <c r="BO411" s="236">
        <f t="shared" ca="1" si="193"/>
        <v>0</v>
      </c>
    </row>
    <row r="412" spans="41:67" x14ac:dyDescent="0.25">
      <c r="AO412" s="28">
        <f t="shared" si="177"/>
        <v>34</v>
      </c>
      <c r="AP412" s="28">
        <f t="shared" si="178"/>
        <v>11</v>
      </c>
      <c r="AQ412" s="65">
        <f t="shared" ca="1" si="194"/>
        <v>0</v>
      </c>
      <c r="AR412" s="66">
        <f t="shared" ca="1" si="179"/>
        <v>0</v>
      </c>
      <c r="AS412" s="66">
        <f t="shared" ca="1" si="180"/>
        <v>0</v>
      </c>
      <c r="AT412" s="66">
        <f t="shared" ca="1" si="181"/>
        <v>0</v>
      </c>
      <c r="AU412" s="66">
        <f t="shared" ca="1" si="182"/>
        <v>0</v>
      </c>
      <c r="AV412" s="68">
        <f t="shared" ca="1" si="200"/>
        <v>0</v>
      </c>
      <c r="AW412" s="65">
        <f t="shared" ca="1" si="183"/>
        <v>0</v>
      </c>
      <c r="AX412" s="69">
        <f t="shared" ca="1" si="184"/>
        <v>0</v>
      </c>
      <c r="AY412" s="70">
        <f t="shared" ca="1" si="185"/>
        <v>0</v>
      </c>
      <c r="AZ412" s="66">
        <f t="shared" ca="1" si="186"/>
        <v>0</v>
      </c>
      <c r="BA412" s="66">
        <f t="shared" ca="1" si="187"/>
        <v>0</v>
      </c>
      <c r="BB412" s="66">
        <f t="shared" ca="1" si="188"/>
        <v>0</v>
      </c>
      <c r="BC412" s="66">
        <f t="shared" ca="1" si="189"/>
        <v>0</v>
      </c>
      <c r="BD412" s="66">
        <f t="shared" ca="1" si="190"/>
        <v>0</v>
      </c>
      <c r="BE412" s="71">
        <f t="shared" ca="1" si="196"/>
        <v>0</v>
      </c>
      <c r="BF412" s="65">
        <f t="shared" ca="1" si="191"/>
        <v>0</v>
      </c>
      <c r="BG412" s="69">
        <f t="shared" ca="1" si="192"/>
        <v>0</v>
      </c>
      <c r="BH412" s="301">
        <f t="shared" ca="1" si="195"/>
        <v>0</v>
      </c>
      <c r="BI412" s="300">
        <f ca="1">IF(AO412&gt;TartamVálasztott,0,   (BI411+BH412)*(1+yields!$D$2)*(1-(0.0099/12)))</f>
        <v>0</v>
      </c>
      <c r="BJ412" s="300">
        <f ca="1">SUM(BH$6:BH412)*-1.2</f>
        <v>-862056.26733480149</v>
      </c>
      <c r="BK412" s="300">
        <f t="shared" ca="1" si="201"/>
        <v>-862056.26733480149</v>
      </c>
      <c r="BL412" s="28">
        <f t="shared" ca="1" si="199"/>
        <v>2050</v>
      </c>
      <c r="BM412" s="28">
        <f t="shared" ca="1" si="197"/>
        <v>12</v>
      </c>
      <c r="BN412" s="236">
        <f t="shared" ca="1" si="198"/>
        <v>0</v>
      </c>
      <c r="BO412" s="236">
        <f t="shared" ca="1" si="193"/>
        <v>0</v>
      </c>
    </row>
    <row r="413" spans="41:67" x14ac:dyDescent="0.25">
      <c r="AO413" s="28">
        <f t="shared" si="177"/>
        <v>34</v>
      </c>
      <c r="AP413" s="28">
        <f t="shared" si="178"/>
        <v>12</v>
      </c>
      <c r="AQ413" s="65">
        <f t="shared" ca="1" si="194"/>
        <v>0</v>
      </c>
      <c r="AR413" s="66">
        <f t="shared" ca="1" si="179"/>
        <v>0</v>
      </c>
      <c r="AS413" s="66">
        <f t="shared" ca="1" si="180"/>
        <v>0</v>
      </c>
      <c r="AT413" s="66">
        <f t="shared" ca="1" si="181"/>
        <v>0</v>
      </c>
      <c r="AU413" s="66">
        <f t="shared" ca="1" si="182"/>
        <v>0</v>
      </c>
      <c r="AV413" s="68">
        <f t="shared" ca="1" si="200"/>
        <v>0</v>
      </c>
      <c r="AW413" s="65">
        <f t="shared" ca="1" si="183"/>
        <v>0</v>
      </c>
      <c r="AX413" s="69">
        <f t="shared" ca="1" si="184"/>
        <v>0</v>
      </c>
      <c r="AY413" s="70">
        <f t="shared" ca="1" si="185"/>
        <v>0</v>
      </c>
      <c r="AZ413" s="66">
        <f t="shared" ca="1" si="186"/>
        <v>0</v>
      </c>
      <c r="BA413" s="66">
        <f t="shared" ca="1" si="187"/>
        <v>0</v>
      </c>
      <c r="BB413" s="66">
        <f t="shared" ca="1" si="188"/>
        <v>0</v>
      </c>
      <c r="BC413" s="66">
        <f t="shared" ca="1" si="189"/>
        <v>0</v>
      </c>
      <c r="BD413" s="66">
        <f t="shared" ca="1" si="190"/>
        <v>0</v>
      </c>
      <c r="BE413" s="71">
        <f t="shared" ca="1" si="196"/>
        <v>0</v>
      </c>
      <c r="BF413" s="65">
        <f t="shared" ca="1" si="191"/>
        <v>0</v>
      </c>
      <c r="BG413" s="69">
        <f t="shared" ca="1" si="192"/>
        <v>0</v>
      </c>
      <c r="BH413" s="301">
        <f t="shared" ca="1" si="195"/>
        <v>0</v>
      </c>
      <c r="BI413" s="300">
        <f ca="1">IF(AO413&gt;TartamVálasztott,0,   (BI412+BH413)*(1+yields!$D$2)*(1-(0.0099/12)))</f>
        <v>0</v>
      </c>
      <c r="BJ413" s="300">
        <f ca="1">SUM(BH$6:BH413)*-1.2</f>
        <v>-862056.26733480149</v>
      </c>
      <c r="BK413" s="300">
        <f t="shared" ca="1" si="201"/>
        <v>-862056.26733480149</v>
      </c>
      <c r="BL413" s="28">
        <f t="shared" ca="1" si="199"/>
        <v>2051</v>
      </c>
      <c r="BM413" s="28">
        <f t="shared" ca="1" si="197"/>
        <v>1</v>
      </c>
      <c r="BN413" s="236">
        <f t="shared" ca="1" si="198"/>
        <v>0</v>
      </c>
      <c r="BO413" s="236">
        <f t="shared" ca="1" si="193"/>
        <v>0</v>
      </c>
    </row>
    <row r="414" spans="41:67" x14ac:dyDescent="0.25">
      <c r="AO414" s="28">
        <f t="shared" si="177"/>
        <v>35</v>
      </c>
      <c r="AP414" s="28">
        <f t="shared" si="178"/>
        <v>1</v>
      </c>
      <c r="AQ414" s="65">
        <f t="shared" ca="1" si="194"/>
        <v>0</v>
      </c>
      <c r="AR414" s="66">
        <f t="shared" ca="1" si="179"/>
        <v>0</v>
      </c>
      <c r="AS414" s="66">
        <f t="shared" ca="1" si="180"/>
        <v>0</v>
      </c>
      <c r="AT414" s="66">
        <f t="shared" ca="1" si="181"/>
        <v>0</v>
      </c>
      <c r="AU414" s="66">
        <f t="shared" ca="1" si="182"/>
        <v>0</v>
      </c>
      <c r="AV414" s="68">
        <f t="shared" ca="1" si="200"/>
        <v>0</v>
      </c>
      <c r="AW414" s="65">
        <f t="shared" ca="1" si="183"/>
        <v>0</v>
      </c>
      <c r="AX414" s="69">
        <f t="shared" ca="1" si="184"/>
        <v>0</v>
      </c>
      <c r="AY414" s="70">
        <f t="shared" ca="1" si="185"/>
        <v>0</v>
      </c>
      <c r="AZ414" s="66">
        <f t="shared" ca="1" si="186"/>
        <v>0</v>
      </c>
      <c r="BA414" s="66">
        <f t="shared" ca="1" si="187"/>
        <v>0</v>
      </c>
      <c r="BB414" s="66">
        <f t="shared" ca="1" si="188"/>
        <v>0</v>
      </c>
      <c r="BC414" s="66">
        <f t="shared" ca="1" si="189"/>
        <v>0</v>
      </c>
      <c r="BD414" s="66">
        <f t="shared" ca="1" si="190"/>
        <v>0</v>
      </c>
      <c r="BE414" s="71">
        <f t="shared" ca="1" si="196"/>
        <v>0</v>
      </c>
      <c r="BF414" s="65">
        <f t="shared" ca="1" si="191"/>
        <v>0</v>
      </c>
      <c r="BG414" s="69">
        <f t="shared" ca="1" si="192"/>
        <v>0</v>
      </c>
      <c r="BH414" s="301">
        <f t="shared" ca="1" si="195"/>
        <v>0</v>
      </c>
      <c r="BI414" s="300">
        <f ca="1">IF(AO414&gt;TartamVálasztott,0,   (BI413+BH414)*(1+yields!$D$2)*(1-(0.0099/12)))</f>
        <v>0</v>
      </c>
      <c r="BJ414" s="300">
        <f ca="1">SUM(BH$6:BH414)*-1.2</f>
        <v>-862056.26733480149</v>
      </c>
      <c r="BK414" s="300">
        <f t="shared" ca="1" si="201"/>
        <v>-862056.26733480149</v>
      </c>
      <c r="BL414" s="28">
        <f t="shared" ca="1" si="199"/>
        <v>2051</v>
      </c>
      <c r="BM414" s="28">
        <f t="shared" ca="1" si="197"/>
        <v>2</v>
      </c>
      <c r="BN414" s="236">
        <f t="shared" ca="1" si="198"/>
        <v>0</v>
      </c>
      <c r="BO414" s="236">
        <f t="shared" ca="1" si="193"/>
        <v>0</v>
      </c>
    </row>
    <row r="415" spans="41:67" x14ac:dyDescent="0.25">
      <c r="AO415" s="28">
        <f t="shared" si="177"/>
        <v>35</v>
      </c>
      <c r="AP415" s="28">
        <f t="shared" si="178"/>
        <v>2</v>
      </c>
      <c r="AQ415" s="65">
        <f t="shared" ca="1" si="194"/>
        <v>0</v>
      </c>
      <c r="AR415" s="66">
        <f t="shared" ca="1" si="179"/>
        <v>0</v>
      </c>
      <c r="AS415" s="66">
        <f t="shared" ca="1" si="180"/>
        <v>0</v>
      </c>
      <c r="AT415" s="66">
        <f t="shared" ca="1" si="181"/>
        <v>0</v>
      </c>
      <c r="AU415" s="66">
        <f t="shared" ca="1" si="182"/>
        <v>0</v>
      </c>
      <c r="AV415" s="68">
        <f t="shared" ca="1" si="200"/>
        <v>0</v>
      </c>
      <c r="AW415" s="65">
        <f t="shared" ca="1" si="183"/>
        <v>0</v>
      </c>
      <c r="AX415" s="69">
        <f t="shared" ca="1" si="184"/>
        <v>0</v>
      </c>
      <c r="AY415" s="70">
        <f t="shared" ca="1" si="185"/>
        <v>0</v>
      </c>
      <c r="AZ415" s="66">
        <f t="shared" ca="1" si="186"/>
        <v>0</v>
      </c>
      <c r="BA415" s="66">
        <f t="shared" ca="1" si="187"/>
        <v>0</v>
      </c>
      <c r="BB415" s="66">
        <f t="shared" ca="1" si="188"/>
        <v>0</v>
      </c>
      <c r="BC415" s="66">
        <f t="shared" ca="1" si="189"/>
        <v>0</v>
      </c>
      <c r="BD415" s="66">
        <f t="shared" ca="1" si="190"/>
        <v>0</v>
      </c>
      <c r="BE415" s="71">
        <f t="shared" ca="1" si="196"/>
        <v>0</v>
      </c>
      <c r="BF415" s="65">
        <f t="shared" ca="1" si="191"/>
        <v>0</v>
      </c>
      <c r="BG415" s="69">
        <f t="shared" ca="1" si="192"/>
        <v>0</v>
      </c>
      <c r="BH415" s="301">
        <f t="shared" ca="1" si="195"/>
        <v>0</v>
      </c>
      <c r="BI415" s="300">
        <f ca="1">IF(AO415&gt;TartamVálasztott,0,   (BI414+BH415)*(1+yields!$D$2)*(1-(0.0099/12)))</f>
        <v>0</v>
      </c>
      <c r="BJ415" s="300">
        <f ca="1">SUM(BH$6:BH415)*-1.2</f>
        <v>-862056.26733480149</v>
      </c>
      <c r="BK415" s="300">
        <f t="shared" ca="1" si="201"/>
        <v>-862056.26733480149</v>
      </c>
      <c r="BL415" s="28">
        <f t="shared" ca="1" si="199"/>
        <v>2051</v>
      </c>
      <c r="BM415" s="28">
        <f t="shared" ca="1" si="197"/>
        <v>3</v>
      </c>
      <c r="BN415" s="236">
        <f t="shared" ca="1" si="198"/>
        <v>0</v>
      </c>
      <c r="BO415" s="236">
        <f t="shared" ca="1" si="193"/>
        <v>0</v>
      </c>
    </row>
    <row r="416" spans="41:67" x14ac:dyDescent="0.25">
      <c r="AO416" s="28">
        <f t="shared" si="177"/>
        <v>35</v>
      </c>
      <c r="AP416" s="28">
        <f t="shared" si="178"/>
        <v>3</v>
      </c>
      <c r="AQ416" s="65">
        <f t="shared" ca="1" si="194"/>
        <v>0</v>
      </c>
      <c r="AR416" s="66">
        <f t="shared" ca="1" si="179"/>
        <v>0</v>
      </c>
      <c r="AS416" s="66">
        <f t="shared" ca="1" si="180"/>
        <v>0</v>
      </c>
      <c r="AT416" s="66">
        <f t="shared" ca="1" si="181"/>
        <v>0</v>
      </c>
      <c r="AU416" s="66">
        <f t="shared" ca="1" si="182"/>
        <v>0</v>
      </c>
      <c r="AV416" s="68">
        <f t="shared" ca="1" si="200"/>
        <v>0</v>
      </c>
      <c r="AW416" s="65">
        <f t="shared" ca="1" si="183"/>
        <v>0</v>
      </c>
      <c r="AX416" s="69">
        <f t="shared" ca="1" si="184"/>
        <v>0</v>
      </c>
      <c r="AY416" s="70">
        <f t="shared" ca="1" si="185"/>
        <v>0</v>
      </c>
      <c r="AZ416" s="66">
        <f t="shared" ca="1" si="186"/>
        <v>0</v>
      </c>
      <c r="BA416" s="66">
        <f t="shared" ca="1" si="187"/>
        <v>0</v>
      </c>
      <c r="BB416" s="66">
        <f t="shared" ca="1" si="188"/>
        <v>0</v>
      </c>
      <c r="BC416" s="66">
        <f t="shared" ca="1" si="189"/>
        <v>0</v>
      </c>
      <c r="BD416" s="66">
        <f t="shared" ca="1" si="190"/>
        <v>0</v>
      </c>
      <c r="BE416" s="71">
        <f t="shared" ca="1" si="196"/>
        <v>0</v>
      </c>
      <c r="BF416" s="65">
        <f t="shared" ca="1" si="191"/>
        <v>0</v>
      </c>
      <c r="BG416" s="69">
        <f t="shared" ca="1" si="192"/>
        <v>0</v>
      </c>
      <c r="BH416" s="301">
        <f t="shared" ca="1" si="195"/>
        <v>0</v>
      </c>
      <c r="BI416" s="300">
        <f ca="1">IF(AO416&gt;TartamVálasztott,0,   (BI415+BH416)*(1+yields!$D$2)*(1-(0.0099/12)))</f>
        <v>0</v>
      </c>
      <c r="BJ416" s="300">
        <f ca="1">SUM(BH$6:BH416)*-1.2</f>
        <v>-862056.26733480149</v>
      </c>
      <c r="BK416" s="300">
        <f t="shared" ca="1" si="201"/>
        <v>-862056.26733480149</v>
      </c>
      <c r="BL416" s="28">
        <f t="shared" ca="1" si="199"/>
        <v>2051</v>
      </c>
      <c r="BM416" s="28">
        <f t="shared" ca="1" si="197"/>
        <v>4</v>
      </c>
      <c r="BN416" s="236">
        <f t="shared" ca="1" si="198"/>
        <v>0</v>
      </c>
      <c r="BO416" s="236">
        <f t="shared" ca="1" si="193"/>
        <v>0</v>
      </c>
    </row>
    <row r="417" spans="41:67" x14ac:dyDescent="0.25">
      <c r="AO417" s="28">
        <f t="shared" si="177"/>
        <v>35</v>
      </c>
      <c r="AP417" s="28">
        <f t="shared" si="178"/>
        <v>4</v>
      </c>
      <c r="AQ417" s="65">
        <f t="shared" ca="1" si="194"/>
        <v>0</v>
      </c>
      <c r="AR417" s="66">
        <f t="shared" ca="1" si="179"/>
        <v>0</v>
      </c>
      <c r="AS417" s="66">
        <f t="shared" ca="1" si="180"/>
        <v>0</v>
      </c>
      <c r="AT417" s="66">
        <f t="shared" ca="1" si="181"/>
        <v>0</v>
      </c>
      <c r="AU417" s="66">
        <f t="shared" ca="1" si="182"/>
        <v>0</v>
      </c>
      <c r="AV417" s="68">
        <f t="shared" ca="1" si="200"/>
        <v>0</v>
      </c>
      <c r="AW417" s="65">
        <f t="shared" ca="1" si="183"/>
        <v>0</v>
      </c>
      <c r="AX417" s="69">
        <f t="shared" ca="1" si="184"/>
        <v>0</v>
      </c>
      <c r="AY417" s="70">
        <f t="shared" ca="1" si="185"/>
        <v>0</v>
      </c>
      <c r="AZ417" s="66">
        <f t="shared" ca="1" si="186"/>
        <v>0</v>
      </c>
      <c r="BA417" s="66">
        <f t="shared" ca="1" si="187"/>
        <v>0</v>
      </c>
      <c r="BB417" s="66">
        <f t="shared" ca="1" si="188"/>
        <v>0</v>
      </c>
      <c r="BC417" s="66">
        <f t="shared" ca="1" si="189"/>
        <v>0</v>
      </c>
      <c r="BD417" s="66">
        <f t="shared" ca="1" si="190"/>
        <v>0</v>
      </c>
      <c r="BE417" s="71">
        <f t="shared" ca="1" si="196"/>
        <v>0</v>
      </c>
      <c r="BF417" s="65">
        <f t="shared" ca="1" si="191"/>
        <v>0</v>
      </c>
      <c r="BG417" s="69">
        <f t="shared" ca="1" si="192"/>
        <v>0</v>
      </c>
      <c r="BH417" s="301">
        <f t="shared" ca="1" si="195"/>
        <v>0</v>
      </c>
      <c r="BI417" s="300">
        <f ca="1">IF(AO417&gt;TartamVálasztott,0,   (BI416+BH417)*(1+yields!$D$2)*(1-(0.0099/12)))</f>
        <v>0</v>
      </c>
      <c r="BJ417" s="300">
        <f ca="1">SUM(BH$6:BH417)*-1.2</f>
        <v>-862056.26733480149</v>
      </c>
      <c r="BK417" s="300">
        <f t="shared" ca="1" si="201"/>
        <v>-862056.26733480149</v>
      </c>
      <c r="BL417" s="28">
        <f t="shared" ca="1" si="199"/>
        <v>2051</v>
      </c>
      <c r="BM417" s="28">
        <f t="shared" ca="1" si="197"/>
        <v>5</v>
      </c>
      <c r="BN417" s="236">
        <f t="shared" ca="1" si="198"/>
        <v>0</v>
      </c>
      <c r="BO417" s="236">
        <f t="shared" ca="1" si="193"/>
        <v>0</v>
      </c>
    </row>
    <row r="418" spans="41:67" x14ac:dyDescent="0.25">
      <c r="AO418" s="28">
        <f t="shared" si="177"/>
        <v>35</v>
      </c>
      <c r="AP418" s="28">
        <f t="shared" si="178"/>
        <v>5</v>
      </c>
      <c r="AQ418" s="65">
        <f t="shared" ca="1" si="194"/>
        <v>0</v>
      </c>
      <c r="AR418" s="66">
        <f t="shared" ca="1" si="179"/>
        <v>0</v>
      </c>
      <c r="AS418" s="66">
        <f t="shared" ca="1" si="180"/>
        <v>0</v>
      </c>
      <c r="AT418" s="66">
        <f t="shared" ca="1" si="181"/>
        <v>0</v>
      </c>
      <c r="AU418" s="66">
        <f t="shared" ca="1" si="182"/>
        <v>0</v>
      </c>
      <c r="AV418" s="68">
        <f t="shared" ca="1" si="200"/>
        <v>0</v>
      </c>
      <c r="AW418" s="65">
        <f t="shared" ca="1" si="183"/>
        <v>0</v>
      </c>
      <c r="AX418" s="69">
        <f t="shared" ca="1" si="184"/>
        <v>0</v>
      </c>
      <c r="AY418" s="70">
        <f t="shared" ca="1" si="185"/>
        <v>0</v>
      </c>
      <c r="AZ418" s="66">
        <f t="shared" ca="1" si="186"/>
        <v>0</v>
      </c>
      <c r="BA418" s="66">
        <f t="shared" ca="1" si="187"/>
        <v>0</v>
      </c>
      <c r="BB418" s="66">
        <f t="shared" ca="1" si="188"/>
        <v>0</v>
      </c>
      <c r="BC418" s="66">
        <f t="shared" ca="1" si="189"/>
        <v>0</v>
      </c>
      <c r="BD418" s="66">
        <f t="shared" ca="1" si="190"/>
        <v>0</v>
      </c>
      <c r="BE418" s="71">
        <f t="shared" ca="1" si="196"/>
        <v>0</v>
      </c>
      <c r="BF418" s="65">
        <f t="shared" ca="1" si="191"/>
        <v>0</v>
      </c>
      <c r="BG418" s="69">
        <f t="shared" ca="1" si="192"/>
        <v>0</v>
      </c>
      <c r="BH418" s="301">
        <f t="shared" ca="1" si="195"/>
        <v>0</v>
      </c>
      <c r="BI418" s="300">
        <f ca="1">IF(AO418&gt;TartamVálasztott,0,   (BI417+BH418)*(1+yields!$D$2)*(1-(0.0099/12)))</f>
        <v>0</v>
      </c>
      <c r="BJ418" s="300">
        <f ca="1">SUM(BH$6:BH418)*-1.2</f>
        <v>-862056.26733480149</v>
      </c>
      <c r="BK418" s="300">
        <f t="shared" ca="1" si="201"/>
        <v>-862056.26733480149</v>
      </c>
      <c r="BL418" s="28">
        <f t="shared" ca="1" si="199"/>
        <v>2051</v>
      </c>
      <c r="BM418" s="28">
        <f t="shared" ca="1" si="197"/>
        <v>6</v>
      </c>
      <c r="BN418" s="236">
        <f t="shared" ca="1" si="198"/>
        <v>0</v>
      </c>
      <c r="BO418" s="236">
        <f t="shared" ca="1" si="193"/>
        <v>0</v>
      </c>
    </row>
    <row r="419" spans="41:67" x14ac:dyDescent="0.25">
      <c r="AO419" s="28">
        <f t="shared" si="177"/>
        <v>35</v>
      </c>
      <c r="AP419" s="28">
        <f t="shared" si="178"/>
        <v>6</v>
      </c>
      <c r="AQ419" s="65">
        <f t="shared" ca="1" si="194"/>
        <v>0</v>
      </c>
      <c r="AR419" s="66">
        <f t="shared" ca="1" si="179"/>
        <v>0</v>
      </c>
      <c r="AS419" s="66">
        <f t="shared" ca="1" si="180"/>
        <v>0</v>
      </c>
      <c r="AT419" s="66">
        <f t="shared" ca="1" si="181"/>
        <v>0</v>
      </c>
      <c r="AU419" s="66">
        <f t="shared" ca="1" si="182"/>
        <v>0</v>
      </c>
      <c r="AV419" s="68">
        <f t="shared" ca="1" si="200"/>
        <v>0</v>
      </c>
      <c r="AW419" s="65">
        <f t="shared" ca="1" si="183"/>
        <v>0</v>
      </c>
      <c r="AX419" s="69">
        <f t="shared" ca="1" si="184"/>
        <v>0</v>
      </c>
      <c r="AY419" s="70">
        <f t="shared" ca="1" si="185"/>
        <v>0</v>
      </c>
      <c r="AZ419" s="66">
        <f t="shared" ca="1" si="186"/>
        <v>0</v>
      </c>
      <c r="BA419" s="66">
        <f t="shared" ca="1" si="187"/>
        <v>0</v>
      </c>
      <c r="BB419" s="66">
        <f t="shared" ca="1" si="188"/>
        <v>0</v>
      </c>
      <c r="BC419" s="66">
        <f t="shared" ca="1" si="189"/>
        <v>0</v>
      </c>
      <c r="BD419" s="66">
        <f t="shared" ca="1" si="190"/>
        <v>0</v>
      </c>
      <c r="BE419" s="71">
        <f t="shared" ca="1" si="196"/>
        <v>0</v>
      </c>
      <c r="BF419" s="65">
        <f t="shared" ca="1" si="191"/>
        <v>0</v>
      </c>
      <c r="BG419" s="69">
        <f t="shared" ca="1" si="192"/>
        <v>0</v>
      </c>
      <c r="BH419" s="301">
        <f t="shared" ca="1" si="195"/>
        <v>0</v>
      </c>
      <c r="BI419" s="300">
        <f ca="1">IF(AO419&gt;TartamVálasztott,0,   (BI418+BH419)*(1+yields!$D$2)*(1-(0.0099/12)))</f>
        <v>0</v>
      </c>
      <c r="BJ419" s="300">
        <f ca="1">SUM(BH$6:BH419)*-1.2</f>
        <v>-862056.26733480149</v>
      </c>
      <c r="BK419" s="300">
        <f t="shared" ca="1" si="201"/>
        <v>-862056.26733480149</v>
      </c>
      <c r="BL419" s="28">
        <f t="shared" ca="1" si="199"/>
        <v>2051</v>
      </c>
      <c r="BM419" s="28">
        <f t="shared" ca="1" si="197"/>
        <v>7</v>
      </c>
      <c r="BN419" s="236">
        <f t="shared" ca="1" si="198"/>
        <v>0</v>
      </c>
      <c r="BO419" s="236">
        <f t="shared" ca="1" si="193"/>
        <v>0</v>
      </c>
    </row>
    <row r="420" spans="41:67" x14ac:dyDescent="0.25">
      <c r="AO420" s="28">
        <f t="shared" si="177"/>
        <v>35</v>
      </c>
      <c r="AP420" s="28">
        <f t="shared" si="178"/>
        <v>7</v>
      </c>
      <c r="AQ420" s="65">
        <f t="shared" ca="1" si="194"/>
        <v>0</v>
      </c>
      <c r="AR420" s="66">
        <f t="shared" ca="1" si="179"/>
        <v>0</v>
      </c>
      <c r="AS420" s="66">
        <f t="shared" ca="1" si="180"/>
        <v>0</v>
      </c>
      <c r="AT420" s="66">
        <f t="shared" ca="1" si="181"/>
        <v>0</v>
      </c>
      <c r="AU420" s="66">
        <f t="shared" ca="1" si="182"/>
        <v>0</v>
      </c>
      <c r="AV420" s="68">
        <f t="shared" ca="1" si="200"/>
        <v>0</v>
      </c>
      <c r="AW420" s="65">
        <f t="shared" ca="1" si="183"/>
        <v>0</v>
      </c>
      <c r="AX420" s="69">
        <f t="shared" ca="1" si="184"/>
        <v>0</v>
      </c>
      <c r="AY420" s="70">
        <f t="shared" ca="1" si="185"/>
        <v>0</v>
      </c>
      <c r="AZ420" s="66">
        <f t="shared" ca="1" si="186"/>
        <v>0</v>
      </c>
      <c r="BA420" s="66">
        <f t="shared" ca="1" si="187"/>
        <v>0</v>
      </c>
      <c r="BB420" s="66">
        <f t="shared" ca="1" si="188"/>
        <v>0</v>
      </c>
      <c r="BC420" s="66">
        <f t="shared" ca="1" si="189"/>
        <v>0</v>
      </c>
      <c r="BD420" s="66">
        <f t="shared" ca="1" si="190"/>
        <v>0</v>
      </c>
      <c r="BE420" s="71">
        <f t="shared" ca="1" si="196"/>
        <v>0</v>
      </c>
      <c r="BF420" s="65">
        <f t="shared" ca="1" si="191"/>
        <v>0</v>
      </c>
      <c r="BG420" s="69">
        <f t="shared" ca="1" si="192"/>
        <v>0</v>
      </c>
      <c r="BH420" s="301">
        <f t="shared" ca="1" si="195"/>
        <v>0</v>
      </c>
      <c r="BI420" s="300">
        <f ca="1">IF(AO420&gt;TartamVálasztott,0,   (BI419+BH420)*(1+yields!$D$2)*(1-(0.0099/12)))</f>
        <v>0</v>
      </c>
      <c r="BJ420" s="300">
        <f ca="1">SUM(BH$6:BH420)*-1.2</f>
        <v>-862056.26733480149</v>
      </c>
      <c r="BK420" s="300">
        <f t="shared" ca="1" si="201"/>
        <v>-862056.26733480149</v>
      </c>
      <c r="BL420" s="28">
        <f t="shared" ca="1" si="199"/>
        <v>2051</v>
      </c>
      <c r="BM420" s="28">
        <f t="shared" ca="1" si="197"/>
        <v>8</v>
      </c>
      <c r="BN420" s="236">
        <f t="shared" ca="1" si="198"/>
        <v>0</v>
      </c>
      <c r="BO420" s="236">
        <f t="shared" ca="1" si="193"/>
        <v>0</v>
      </c>
    </row>
    <row r="421" spans="41:67" x14ac:dyDescent="0.25">
      <c r="AO421" s="28">
        <f t="shared" si="177"/>
        <v>35</v>
      </c>
      <c r="AP421" s="28">
        <f t="shared" si="178"/>
        <v>8</v>
      </c>
      <c r="AQ421" s="65">
        <f t="shared" ca="1" si="194"/>
        <v>0</v>
      </c>
      <c r="AR421" s="66">
        <f t="shared" ca="1" si="179"/>
        <v>0</v>
      </c>
      <c r="AS421" s="66">
        <f t="shared" ca="1" si="180"/>
        <v>0</v>
      </c>
      <c r="AT421" s="66">
        <f t="shared" ca="1" si="181"/>
        <v>0</v>
      </c>
      <c r="AU421" s="66">
        <f t="shared" ca="1" si="182"/>
        <v>0</v>
      </c>
      <c r="AV421" s="68">
        <f t="shared" ca="1" si="200"/>
        <v>0</v>
      </c>
      <c r="AW421" s="65">
        <f t="shared" ca="1" si="183"/>
        <v>0</v>
      </c>
      <c r="AX421" s="69">
        <f t="shared" ca="1" si="184"/>
        <v>0</v>
      </c>
      <c r="AY421" s="70">
        <f t="shared" ca="1" si="185"/>
        <v>0</v>
      </c>
      <c r="AZ421" s="66">
        <f t="shared" ca="1" si="186"/>
        <v>0</v>
      </c>
      <c r="BA421" s="66">
        <f t="shared" ca="1" si="187"/>
        <v>0</v>
      </c>
      <c r="BB421" s="66">
        <f t="shared" ca="1" si="188"/>
        <v>0</v>
      </c>
      <c r="BC421" s="66">
        <f t="shared" ca="1" si="189"/>
        <v>0</v>
      </c>
      <c r="BD421" s="66">
        <f t="shared" ca="1" si="190"/>
        <v>0</v>
      </c>
      <c r="BE421" s="71">
        <f t="shared" ca="1" si="196"/>
        <v>0</v>
      </c>
      <c r="BF421" s="65">
        <f t="shared" ca="1" si="191"/>
        <v>0</v>
      </c>
      <c r="BG421" s="69">
        <f t="shared" ca="1" si="192"/>
        <v>0</v>
      </c>
      <c r="BH421" s="301">
        <f t="shared" ca="1" si="195"/>
        <v>0</v>
      </c>
      <c r="BI421" s="300">
        <f ca="1">IF(AO421&gt;TartamVálasztott,0,   (BI420+BH421)*(1+yields!$D$2)*(1-(0.0099/12)))</f>
        <v>0</v>
      </c>
      <c r="BJ421" s="300">
        <f ca="1">SUM(BH$6:BH421)*-1.2</f>
        <v>-862056.26733480149</v>
      </c>
      <c r="BK421" s="300">
        <f t="shared" ca="1" si="201"/>
        <v>-862056.26733480149</v>
      </c>
      <c r="BL421" s="28">
        <f t="shared" ca="1" si="199"/>
        <v>2051</v>
      </c>
      <c r="BM421" s="28">
        <f t="shared" ca="1" si="197"/>
        <v>9</v>
      </c>
      <c r="BN421" s="236">
        <f t="shared" ca="1" si="198"/>
        <v>0</v>
      </c>
      <c r="BO421" s="236">
        <f t="shared" ca="1" si="193"/>
        <v>0</v>
      </c>
    </row>
    <row r="422" spans="41:67" x14ac:dyDescent="0.25">
      <c r="AO422" s="28">
        <f t="shared" si="177"/>
        <v>35</v>
      </c>
      <c r="AP422" s="28">
        <f t="shared" si="178"/>
        <v>9</v>
      </c>
      <c r="AQ422" s="65">
        <f t="shared" ca="1" si="194"/>
        <v>0</v>
      </c>
      <c r="AR422" s="66">
        <f t="shared" ca="1" si="179"/>
        <v>0</v>
      </c>
      <c r="AS422" s="66">
        <f t="shared" ca="1" si="180"/>
        <v>0</v>
      </c>
      <c r="AT422" s="66">
        <f t="shared" ca="1" si="181"/>
        <v>0</v>
      </c>
      <c r="AU422" s="66">
        <f t="shared" ca="1" si="182"/>
        <v>0</v>
      </c>
      <c r="AV422" s="68">
        <f t="shared" ca="1" si="200"/>
        <v>0</v>
      </c>
      <c r="AW422" s="65">
        <f t="shared" ca="1" si="183"/>
        <v>0</v>
      </c>
      <c r="AX422" s="69">
        <f t="shared" ca="1" si="184"/>
        <v>0</v>
      </c>
      <c r="AY422" s="70">
        <f t="shared" ca="1" si="185"/>
        <v>0</v>
      </c>
      <c r="AZ422" s="66">
        <f t="shared" ca="1" si="186"/>
        <v>0</v>
      </c>
      <c r="BA422" s="66">
        <f t="shared" ca="1" si="187"/>
        <v>0</v>
      </c>
      <c r="BB422" s="66">
        <f t="shared" ca="1" si="188"/>
        <v>0</v>
      </c>
      <c r="BC422" s="66">
        <f t="shared" ca="1" si="189"/>
        <v>0</v>
      </c>
      <c r="BD422" s="66">
        <f t="shared" ca="1" si="190"/>
        <v>0</v>
      </c>
      <c r="BE422" s="71">
        <f t="shared" ca="1" si="196"/>
        <v>0</v>
      </c>
      <c r="BF422" s="65">
        <f t="shared" ca="1" si="191"/>
        <v>0</v>
      </c>
      <c r="BG422" s="69">
        <f t="shared" ca="1" si="192"/>
        <v>0</v>
      </c>
      <c r="BH422" s="301">
        <f t="shared" ca="1" si="195"/>
        <v>0</v>
      </c>
      <c r="BI422" s="300">
        <f ca="1">IF(AO422&gt;TartamVálasztott,0,   (BI421+BH422)*(1+yields!$D$2)*(1-(0.0099/12)))</f>
        <v>0</v>
      </c>
      <c r="BJ422" s="300">
        <f ca="1">SUM(BH$6:BH422)*-1.2</f>
        <v>-862056.26733480149</v>
      </c>
      <c r="BK422" s="300">
        <f t="shared" ca="1" si="201"/>
        <v>-862056.26733480149</v>
      </c>
      <c r="BL422" s="28">
        <f t="shared" ca="1" si="199"/>
        <v>2051</v>
      </c>
      <c r="BM422" s="28">
        <f t="shared" ca="1" si="197"/>
        <v>10</v>
      </c>
      <c r="BN422" s="236">
        <f t="shared" ca="1" si="198"/>
        <v>0</v>
      </c>
      <c r="BO422" s="236">
        <f t="shared" ca="1" si="193"/>
        <v>0</v>
      </c>
    </row>
    <row r="423" spans="41:67" x14ac:dyDescent="0.25">
      <c r="AO423" s="28">
        <f t="shared" si="177"/>
        <v>35</v>
      </c>
      <c r="AP423" s="28">
        <f t="shared" si="178"/>
        <v>10</v>
      </c>
      <c r="AQ423" s="65">
        <f t="shared" ca="1" si="194"/>
        <v>0</v>
      </c>
      <c r="AR423" s="66">
        <f t="shared" ca="1" si="179"/>
        <v>0</v>
      </c>
      <c r="AS423" s="66">
        <f t="shared" ca="1" si="180"/>
        <v>0</v>
      </c>
      <c r="AT423" s="66">
        <f t="shared" ca="1" si="181"/>
        <v>0</v>
      </c>
      <c r="AU423" s="66">
        <f t="shared" ca="1" si="182"/>
        <v>0</v>
      </c>
      <c r="AV423" s="68">
        <f t="shared" ca="1" si="200"/>
        <v>0</v>
      </c>
      <c r="AW423" s="65">
        <f t="shared" ca="1" si="183"/>
        <v>0</v>
      </c>
      <c r="AX423" s="69">
        <f t="shared" ca="1" si="184"/>
        <v>0</v>
      </c>
      <c r="AY423" s="70">
        <f t="shared" ca="1" si="185"/>
        <v>0</v>
      </c>
      <c r="AZ423" s="66">
        <f t="shared" ca="1" si="186"/>
        <v>0</v>
      </c>
      <c r="BA423" s="66">
        <f t="shared" ca="1" si="187"/>
        <v>0</v>
      </c>
      <c r="BB423" s="66">
        <f t="shared" ca="1" si="188"/>
        <v>0</v>
      </c>
      <c r="BC423" s="66">
        <f t="shared" ca="1" si="189"/>
        <v>0</v>
      </c>
      <c r="BD423" s="66">
        <f t="shared" ca="1" si="190"/>
        <v>0</v>
      </c>
      <c r="BE423" s="71">
        <f t="shared" ca="1" si="196"/>
        <v>0</v>
      </c>
      <c r="BF423" s="65">
        <f t="shared" ca="1" si="191"/>
        <v>0</v>
      </c>
      <c r="BG423" s="69">
        <f t="shared" ca="1" si="192"/>
        <v>0</v>
      </c>
      <c r="BH423" s="301">
        <f t="shared" ca="1" si="195"/>
        <v>0</v>
      </c>
      <c r="BI423" s="300">
        <f ca="1">IF(AO423&gt;TartamVálasztott,0,   (BI422+BH423)*(1+yields!$D$2)*(1-(0.0099/12)))</f>
        <v>0</v>
      </c>
      <c r="BJ423" s="300">
        <f ca="1">SUM(BH$6:BH423)*-1.2</f>
        <v>-862056.26733480149</v>
      </c>
      <c r="BK423" s="300">
        <f t="shared" ca="1" si="201"/>
        <v>-862056.26733480149</v>
      </c>
      <c r="BL423" s="28">
        <f t="shared" ca="1" si="199"/>
        <v>2051</v>
      </c>
      <c r="BM423" s="28">
        <f t="shared" ca="1" si="197"/>
        <v>11</v>
      </c>
      <c r="BN423" s="236">
        <f t="shared" ca="1" si="198"/>
        <v>0</v>
      </c>
      <c r="BO423" s="236">
        <f t="shared" ca="1" si="193"/>
        <v>0</v>
      </c>
    </row>
    <row r="424" spans="41:67" x14ac:dyDescent="0.25">
      <c r="AO424" s="28">
        <f t="shared" si="177"/>
        <v>35</v>
      </c>
      <c r="AP424" s="28">
        <f t="shared" si="178"/>
        <v>11</v>
      </c>
      <c r="AQ424" s="65">
        <f t="shared" ca="1" si="194"/>
        <v>0</v>
      </c>
      <c r="AR424" s="66">
        <f t="shared" ca="1" si="179"/>
        <v>0</v>
      </c>
      <c r="AS424" s="66">
        <f t="shared" ca="1" si="180"/>
        <v>0</v>
      </c>
      <c r="AT424" s="66">
        <f t="shared" ca="1" si="181"/>
        <v>0</v>
      </c>
      <c r="AU424" s="66">
        <f t="shared" ca="1" si="182"/>
        <v>0</v>
      </c>
      <c r="AV424" s="68">
        <f t="shared" ca="1" si="200"/>
        <v>0</v>
      </c>
      <c r="AW424" s="65">
        <f t="shared" ca="1" si="183"/>
        <v>0</v>
      </c>
      <c r="AX424" s="69">
        <f t="shared" ca="1" si="184"/>
        <v>0</v>
      </c>
      <c r="AY424" s="70">
        <f t="shared" ca="1" si="185"/>
        <v>0</v>
      </c>
      <c r="AZ424" s="66">
        <f t="shared" ca="1" si="186"/>
        <v>0</v>
      </c>
      <c r="BA424" s="66">
        <f t="shared" ca="1" si="187"/>
        <v>0</v>
      </c>
      <c r="BB424" s="66">
        <f t="shared" ca="1" si="188"/>
        <v>0</v>
      </c>
      <c r="BC424" s="66">
        <f t="shared" ca="1" si="189"/>
        <v>0</v>
      </c>
      <c r="BD424" s="66">
        <f t="shared" ca="1" si="190"/>
        <v>0</v>
      </c>
      <c r="BE424" s="71">
        <f t="shared" ca="1" si="196"/>
        <v>0</v>
      </c>
      <c r="BF424" s="65">
        <f t="shared" ca="1" si="191"/>
        <v>0</v>
      </c>
      <c r="BG424" s="69">
        <f t="shared" ca="1" si="192"/>
        <v>0</v>
      </c>
      <c r="BH424" s="301">
        <f t="shared" ca="1" si="195"/>
        <v>0</v>
      </c>
      <c r="BI424" s="300">
        <f ca="1">IF(AO424&gt;TartamVálasztott,0,   (BI423+BH424)*(1+yields!$D$2)*(1-(0.0099/12)))</f>
        <v>0</v>
      </c>
      <c r="BJ424" s="300">
        <f ca="1">SUM(BH$6:BH424)*-1.2</f>
        <v>-862056.26733480149</v>
      </c>
      <c r="BK424" s="300">
        <f t="shared" ca="1" si="201"/>
        <v>-862056.26733480149</v>
      </c>
      <c r="BL424" s="28">
        <f t="shared" ca="1" si="199"/>
        <v>2051</v>
      </c>
      <c r="BM424" s="28">
        <f t="shared" ca="1" si="197"/>
        <v>12</v>
      </c>
      <c r="BN424" s="236">
        <f t="shared" ca="1" si="198"/>
        <v>0</v>
      </c>
      <c r="BO424" s="236">
        <f t="shared" ca="1" si="193"/>
        <v>0</v>
      </c>
    </row>
    <row r="425" spans="41:67" x14ac:dyDescent="0.25">
      <c r="AO425" s="28">
        <f t="shared" si="177"/>
        <v>35</v>
      </c>
      <c r="AP425" s="28">
        <f t="shared" si="178"/>
        <v>12</v>
      </c>
      <c r="AQ425" s="65">
        <f t="shared" ca="1" si="194"/>
        <v>0</v>
      </c>
      <c r="AR425" s="66">
        <f t="shared" ca="1" si="179"/>
        <v>0</v>
      </c>
      <c r="AS425" s="66">
        <f t="shared" ca="1" si="180"/>
        <v>0</v>
      </c>
      <c r="AT425" s="66">
        <f t="shared" ca="1" si="181"/>
        <v>0</v>
      </c>
      <c r="AU425" s="66">
        <f t="shared" ca="1" si="182"/>
        <v>0</v>
      </c>
      <c r="AV425" s="68">
        <f t="shared" ca="1" si="200"/>
        <v>0</v>
      </c>
      <c r="AW425" s="65">
        <f t="shared" ca="1" si="183"/>
        <v>0</v>
      </c>
      <c r="AX425" s="69">
        <f t="shared" ca="1" si="184"/>
        <v>0</v>
      </c>
      <c r="AY425" s="70">
        <f t="shared" ca="1" si="185"/>
        <v>0</v>
      </c>
      <c r="AZ425" s="66">
        <f t="shared" ca="1" si="186"/>
        <v>0</v>
      </c>
      <c r="BA425" s="66">
        <f t="shared" ca="1" si="187"/>
        <v>0</v>
      </c>
      <c r="BB425" s="66">
        <f t="shared" ca="1" si="188"/>
        <v>0</v>
      </c>
      <c r="BC425" s="66">
        <f t="shared" ca="1" si="189"/>
        <v>0</v>
      </c>
      <c r="BD425" s="66">
        <f t="shared" ca="1" si="190"/>
        <v>0</v>
      </c>
      <c r="BE425" s="71">
        <f t="shared" ca="1" si="196"/>
        <v>0</v>
      </c>
      <c r="BF425" s="65">
        <f t="shared" ca="1" si="191"/>
        <v>0</v>
      </c>
      <c r="BG425" s="69">
        <f t="shared" ca="1" si="192"/>
        <v>0</v>
      </c>
      <c r="BH425" s="301">
        <f t="shared" ca="1" si="195"/>
        <v>0</v>
      </c>
      <c r="BI425" s="300">
        <f ca="1">IF(AO425&gt;TartamVálasztott,0,   (BI424+BH425)*(1+yields!$D$2)*(1-(0.0099/12)))</f>
        <v>0</v>
      </c>
      <c r="BJ425" s="300">
        <f ca="1">SUM(BH$6:BH425)*-1.2</f>
        <v>-862056.26733480149</v>
      </c>
      <c r="BK425" s="300">
        <f t="shared" ca="1" si="201"/>
        <v>-862056.26733480149</v>
      </c>
      <c r="BL425" s="28">
        <f t="shared" ca="1" si="199"/>
        <v>2052</v>
      </c>
      <c r="BM425" s="28">
        <f t="shared" ca="1" si="197"/>
        <v>1</v>
      </c>
      <c r="BN425" s="236">
        <f t="shared" ca="1" si="198"/>
        <v>0</v>
      </c>
      <c r="BO425" s="236">
        <f t="shared" ca="1" si="193"/>
        <v>0</v>
      </c>
    </row>
    <row r="426" spans="41:67" x14ac:dyDescent="0.25">
      <c r="AO426" s="28">
        <f t="shared" si="177"/>
        <v>36</v>
      </c>
      <c r="AP426" s="28">
        <f t="shared" si="178"/>
        <v>1</v>
      </c>
      <c r="AQ426" s="65">
        <f t="shared" ca="1" si="194"/>
        <v>0</v>
      </c>
      <c r="AR426" s="66">
        <f t="shared" ca="1" si="179"/>
        <v>0</v>
      </c>
      <c r="AS426" s="66">
        <f t="shared" ca="1" si="180"/>
        <v>0</v>
      </c>
      <c r="AT426" s="66">
        <f t="shared" ca="1" si="181"/>
        <v>0</v>
      </c>
      <c r="AU426" s="66">
        <f t="shared" ca="1" si="182"/>
        <v>0</v>
      </c>
      <c r="AV426" s="68">
        <f t="shared" ca="1" si="200"/>
        <v>0</v>
      </c>
      <c r="AW426" s="65">
        <f t="shared" ca="1" si="183"/>
        <v>0</v>
      </c>
      <c r="AX426" s="69">
        <f t="shared" ca="1" si="184"/>
        <v>0</v>
      </c>
      <c r="AY426" s="70">
        <f t="shared" ca="1" si="185"/>
        <v>0</v>
      </c>
      <c r="AZ426" s="66">
        <f t="shared" ca="1" si="186"/>
        <v>0</v>
      </c>
      <c r="BA426" s="66">
        <f t="shared" ca="1" si="187"/>
        <v>0</v>
      </c>
      <c r="BB426" s="66">
        <f t="shared" ca="1" si="188"/>
        <v>0</v>
      </c>
      <c r="BC426" s="66">
        <f t="shared" ca="1" si="189"/>
        <v>0</v>
      </c>
      <c r="BD426" s="66">
        <f t="shared" ca="1" si="190"/>
        <v>0</v>
      </c>
      <c r="BE426" s="71">
        <f t="shared" ca="1" si="196"/>
        <v>0</v>
      </c>
      <c r="BF426" s="65">
        <f t="shared" ca="1" si="191"/>
        <v>0</v>
      </c>
      <c r="BG426" s="69">
        <f t="shared" ca="1" si="192"/>
        <v>0</v>
      </c>
      <c r="BH426" s="301">
        <f t="shared" ca="1" si="195"/>
        <v>0</v>
      </c>
      <c r="BI426" s="300">
        <f ca="1">IF(AO426&gt;TartamVálasztott,0,   (BI425+BH426)*(1+yields!$D$2)*(1-(0.0099/12)))</f>
        <v>0</v>
      </c>
      <c r="BJ426" s="300">
        <f ca="1">SUM(BH$6:BH426)*-1.2</f>
        <v>-862056.26733480149</v>
      </c>
      <c r="BK426" s="300">
        <f t="shared" ca="1" si="201"/>
        <v>-862056.26733480149</v>
      </c>
      <c r="BL426" s="28">
        <f t="shared" ca="1" si="199"/>
        <v>2052</v>
      </c>
      <c r="BM426" s="28">
        <f t="shared" ca="1" si="197"/>
        <v>2</v>
      </c>
      <c r="BN426" s="236">
        <f t="shared" ca="1" si="198"/>
        <v>0</v>
      </c>
      <c r="BO426" s="236">
        <f t="shared" ca="1" si="193"/>
        <v>0</v>
      </c>
    </row>
    <row r="427" spans="41:67" x14ac:dyDescent="0.25">
      <c r="AO427" s="28">
        <f t="shared" si="177"/>
        <v>36</v>
      </c>
      <c r="AP427" s="28">
        <f t="shared" si="178"/>
        <v>2</v>
      </c>
      <c r="AQ427" s="65">
        <f t="shared" ca="1" si="194"/>
        <v>0</v>
      </c>
      <c r="AR427" s="66">
        <f t="shared" ca="1" si="179"/>
        <v>0</v>
      </c>
      <c r="AS427" s="66">
        <f t="shared" ca="1" si="180"/>
        <v>0</v>
      </c>
      <c r="AT427" s="66">
        <f t="shared" ca="1" si="181"/>
        <v>0</v>
      </c>
      <c r="AU427" s="66">
        <f t="shared" ca="1" si="182"/>
        <v>0</v>
      </c>
      <c r="AV427" s="68">
        <f t="shared" ca="1" si="200"/>
        <v>0</v>
      </c>
      <c r="AW427" s="65">
        <f t="shared" ca="1" si="183"/>
        <v>0</v>
      </c>
      <c r="AX427" s="69">
        <f t="shared" ca="1" si="184"/>
        <v>0</v>
      </c>
      <c r="AY427" s="70">
        <f t="shared" ca="1" si="185"/>
        <v>0</v>
      </c>
      <c r="AZ427" s="66">
        <f t="shared" ca="1" si="186"/>
        <v>0</v>
      </c>
      <c r="BA427" s="66">
        <f t="shared" ca="1" si="187"/>
        <v>0</v>
      </c>
      <c r="BB427" s="66">
        <f t="shared" ca="1" si="188"/>
        <v>0</v>
      </c>
      <c r="BC427" s="66">
        <f t="shared" ca="1" si="189"/>
        <v>0</v>
      </c>
      <c r="BD427" s="66">
        <f t="shared" ca="1" si="190"/>
        <v>0</v>
      </c>
      <c r="BE427" s="71">
        <f t="shared" ca="1" si="196"/>
        <v>0</v>
      </c>
      <c r="BF427" s="65">
        <f t="shared" ca="1" si="191"/>
        <v>0</v>
      </c>
      <c r="BG427" s="69">
        <f t="shared" ca="1" si="192"/>
        <v>0</v>
      </c>
      <c r="BH427" s="301">
        <f t="shared" ca="1" si="195"/>
        <v>0</v>
      </c>
      <c r="BI427" s="300">
        <f ca="1">IF(AO427&gt;TartamVálasztott,0,   (BI426+BH427)*(1+yields!$D$2)*(1-(0.0099/12)))</f>
        <v>0</v>
      </c>
      <c r="BJ427" s="300">
        <f ca="1">SUM(BH$6:BH427)*-1.2</f>
        <v>-862056.26733480149</v>
      </c>
      <c r="BK427" s="300">
        <f t="shared" ca="1" si="201"/>
        <v>-862056.26733480149</v>
      </c>
      <c r="BL427" s="28">
        <f t="shared" ca="1" si="199"/>
        <v>2052</v>
      </c>
      <c r="BM427" s="28">
        <f t="shared" ca="1" si="197"/>
        <v>3</v>
      </c>
      <c r="BN427" s="236">
        <f t="shared" ca="1" si="198"/>
        <v>0</v>
      </c>
      <c r="BO427" s="236">
        <f t="shared" ca="1" si="193"/>
        <v>0</v>
      </c>
    </row>
    <row r="428" spans="41:67" x14ac:dyDescent="0.25">
      <c r="AO428" s="28">
        <f t="shared" si="177"/>
        <v>36</v>
      </c>
      <c r="AP428" s="28">
        <f t="shared" si="178"/>
        <v>3</v>
      </c>
      <c r="AQ428" s="65">
        <f t="shared" ca="1" si="194"/>
        <v>0</v>
      </c>
      <c r="AR428" s="66">
        <f t="shared" ca="1" si="179"/>
        <v>0</v>
      </c>
      <c r="AS428" s="66">
        <f t="shared" ca="1" si="180"/>
        <v>0</v>
      </c>
      <c r="AT428" s="66">
        <f t="shared" ca="1" si="181"/>
        <v>0</v>
      </c>
      <c r="AU428" s="66">
        <f t="shared" ca="1" si="182"/>
        <v>0</v>
      </c>
      <c r="AV428" s="68">
        <f t="shared" ca="1" si="200"/>
        <v>0</v>
      </c>
      <c r="AW428" s="65">
        <f t="shared" ca="1" si="183"/>
        <v>0</v>
      </c>
      <c r="AX428" s="69">
        <f t="shared" ca="1" si="184"/>
        <v>0</v>
      </c>
      <c r="AY428" s="70">
        <f t="shared" ca="1" si="185"/>
        <v>0</v>
      </c>
      <c r="AZ428" s="66">
        <f t="shared" ca="1" si="186"/>
        <v>0</v>
      </c>
      <c r="BA428" s="66">
        <f t="shared" ca="1" si="187"/>
        <v>0</v>
      </c>
      <c r="BB428" s="66">
        <f t="shared" ca="1" si="188"/>
        <v>0</v>
      </c>
      <c r="BC428" s="66">
        <f t="shared" ca="1" si="189"/>
        <v>0</v>
      </c>
      <c r="BD428" s="66">
        <f t="shared" ca="1" si="190"/>
        <v>0</v>
      </c>
      <c r="BE428" s="71">
        <f t="shared" ca="1" si="196"/>
        <v>0</v>
      </c>
      <c r="BF428" s="65">
        <f t="shared" ca="1" si="191"/>
        <v>0</v>
      </c>
      <c r="BG428" s="69">
        <f t="shared" ca="1" si="192"/>
        <v>0</v>
      </c>
      <c r="BH428" s="301">
        <f t="shared" ca="1" si="195"/>
        <v>0</v>
      </c>
      <c r="BI428" s="300">
        <f ca="1">IF(AO428&gt;TartamVálasztott,0,   (BI427+BH428)*(1+yields!$D$2)*(1-(0.0099/12)))</f>
        <v>0</v>
      </c>
      <c r="BJ428" s="300">
        <f ca="1">SUM(BH$6:BH428)*-1.2</f>
        <v>-862056.26733480149</v>
      </c>
      <c r="BK428" s="300">
        <f t="shared" ca="1" si="201"/>
        <v>-862056.26733480149</v>
      </c>
      <c r="BL428" s="28">
        <f t="shared" ca="1" si="199"/>
        <v>2052</v>
      </c>
      <c r="BM428" s="28">
        <f t="shared" ca="1" si="197"/>
        <v>4</v>
      </c>
      <c r="BN428" s="236">
        <f t="shared" ca="1" si="198"/>
        <v>0</v>
      </c>
      <c r="BO428" s="236">
        <f t="shared" ca="1" si="193"/>
        <v>0</v>
      </c>
    </row>
    <row r="429" spans="41:67" x14ac:dyDescent="0.25">
      <c r="AO429" s="28">
        <f t="shared" si="177"/>
        <v>36</v>
      </c>
      <c r="AP429" s="28">
        <f t="shared" si="178"/>
        <v>4</v>
      </c>
      <c r="AQ429" s="65">
        <f t="shared" ca="1" si="194"/>
        <v>0</v>
      </c>
      <c r="AR429" s="66">
        <f t="shared" ca="1" si="179"/>
        <v>0</v>
      </c>
      <c r="AS429" s="66">
        <f t="shared" ca="1" si="180"/>
        <v>0</v>
      </c>
      <c r="AT429" s="66">
        <f t="shared" ca="1" si="181"/>
        <v>0</v>
      </c>
      <c r="AU429" s="66">
        <f t="shared" ca="1" si="182"/>
        <v>0</v>
      </c>
      <c r="AV429" s="68">
        <f t="shared" ca="1" si="200"/>
        <v>0</v>
      </c>
      <c r="AW429" s="65">
        <f t="shared" ca="1" si="183"/>
        <v>0</v>
      </c>
      <c r="AX429" s="69">
        <f t="shared" ca="1" si="184"/>
        <v>0</v>
      </c>
      <c r="AY429" s="70">
        <f t="shared" ca="1" si="185"/>
        <v>0</v>
      </c>
      <c r="AZ429" s="66">
        <f t="shared" ca="1" si="186"/>
        <v>0</v>
      </c>
      <c r="BA429" s="66">
        <f t="shared" ca="1" si="187"/>
        <v>0</v>
      </c>
      <c r="BB429" s="66">
        <f t="shared" ca="1" si="188"/>
        <v>0</v>
      </c>
      <c r="BC429" s="66">
        <f t="shared" ca="1" si="189"/>
        <v>0</v>
      </c>
      <c r="BD429" s="66">
        <f t="shared" ca="1" si="190"/>
        <v>0</v>
      </c>
      <c r="BE429" s="71">
        <f t="shared" ca="1" si="196"/>
        <v>0</v>
      </c>
      <c r="BF429" s="65">
        <f t="shared" ca="1" si="191"/>
        <v>0</v>
      </c>
      <c r="BG429" s="69">
        <f t="shared" ca="1" si="192"/>
        <v>0</v>
      </c>
      <c r="BH429" s="301">
        <f t="shared" ca="1" si="195"/>
        <v>0</v>
      </c>
      <c r="BI429" s="300">
        <f ca="1">IF(AO429&gt;TartamVálasztott,0,   (BI428+BH429)*(1+yields!$D$2)*(1-(0.0099/12)))</f>
        <v>0</v>
      </c>
      <c r="BJ429" s="300">
        <f ca="1">SUM(BH$6:BH429)*-1.2</f>
        <v>-862056.26733480149</v>
      </c>
      <c r="BK429" s="300">
        <f t="shared" ca="1" si="201"/>
        <v>-862056.26733480149</v>
      </c>
      <c r="BL429" s="28">
        <f t="shared" ca="1" si="199"/>
        <v>2052</v>
      </c>
      <c r="BM429" s="28">
        <f t="shared" ca="1" si="197"/>
        <v>5</v>
      </c>
      <c r="BN429" s="236">
        <f t="shared" ca="1" si="198"/>
        <v>0</v>
      </c>
      <c r="BO429" s="236">
        <f t="shared" ca="1" si="193"/>
        <v>0</v>
      </c>
    </row>
    <row r="430" spans="41:67" x14ac:dyDescent="0.25">
      <c r="AO430" s="28">
        <f t="shared" si="177"/>
        <v>36</v>
      </c>
      <c r="AP430" s="28">
        <f t="shared" si="178"/>
        <v>5</v>
      </c>
      <c r="AQ430" s="65">
        <f t="shared" ca="1" si="194"/>
        <v>0</v>
      </c>
      <c r="AR430" s="66">
        <f t="shared" ca="1" si="179"/>
        <v>0</v>
      </c>
      <c r="AS430" s="66">
        <f t="shared" ca="1" si="180"/>
        <v>0</v>
      </c>
      <c r="AT430" s="66">
        <f t="shared" ca="1" si="181"/>
        <v>0</v>
      </c>
      <c r="AU430" s="66">
        <f t="shared" ca="1" si="182"/>
        <v>0</v>
      </c>
      <c r="AV430" s="68">
        <f t="shared" ca="1" si="200"/>
        <v>0</v>
      </c>
      <c r="AW430" s="65">
        <f t="shared" ca="1" si="183"/>
        <v>0</v>
      </c>
      <c r="AX430" s="69">
        <f t="shared" ca="1" si="184"/>
        <v>0</v>
      </c>
      <c r="AY430" s="70">
        <f t="shared" ca="1" si="185"/>
        <v>0</v>
      </c>
      <c r="AZ430" s="66">
        <f t="shared" ca="1" si="186"/>
        <v>0</v>
      </c>
      <c r="BA430" s="66">
        <f t="shared" ca="1" si="187"/>
        <v>0</v>
      </c>
      <c r="BB430" s="66">
        <f t="shared" ca="1" si="188"/>
        <v>0</v>
      </c>
      <c r="BC430" s="66">
        <f t="shared" ca="1" si="189"/>
        <v>0</v>
      </c>
      <c r="BD430" s="66">
        <f t="shared" ca="1" si="190"/>
        <v>0</v>
      </c>
      <c r="BE430" s="71">
        <f t="shared" ca="1" si="196"/>
        <v>0</v>
      </c>
      <c r="BF430" s="65">
        <f t="shared" ca="1" si="191"/>
        <v>0</v>
      </c>
      <c r="BG430" s="69">
        <f t="shared" ca="1" si="192"/>
        <v>0</v>
      </c>
      <c r="BH430" s="301">
        <f t="shared" ca="1" si="195"/>
        <v>0</v>
      </c>
      <c r="BI430" s="300">
        <f ca="1">IF(AO430&gt;TartamVálasztott,0,   (BI429+BH430)*(1+yields!$D$2)*(1-(0.0099/12)))</f>
        <v>0</v>
      </c>
      <c r="BJ430" s="300">
        <f ca="1">SUM(BH$6:BH430)*-1.2</f>
        <v>-862056.26733480149</v>
      </c>
      <c r="BK430" s="300">
        <f t="shared" ca="1" si="201"/>
        <v>-862056.26733480149</v>
      </c>
      <c r="BL430" s="28">
        <f t="shared" ca="1" si="199"/>
        <v>2052</v>
      </c>
      <c r="BM430" s="28">
        <f t="shared" ca="1" si="197"/>
        <v>6</v>
      </c>
      <c r="BN430" s="236">
        <f t="shared" ca="1" si="198"/>
        <v>0</v>
      </c>
      <c r="BO430" s="236">
        <f t="shared" ca="1" si="193"/>
        <v>0</v>
      </c>
    </row>
    <row r="431" spans="41:67" x14ac:dyDescent="0.25">
      <c r="AO431" s="28">
        <f t="shared" si="177"/>
        <v>36</v>
      </c>
      <c r="AP431" s="28">
        <f t="shared" si="178"/>
        <v>6</v>
      </c>
      <c r="AQ431" s="65">
        <f t="shared" ca="1" si="194"/>
        <v>0</v>
      </c>
      <c r="AR431" s="66">
        <f t="shared" ca="1" si="179"/>
        <v>0</v>
      </c>
      <c r="AS431" s="66">
        <f t="shared" ca="1" si="180"/>
        <v>0</v>
      </c>
      <c r="AT431" s="66">
        <f t="shared" ca="1" si="181"/>
        <v>0</v>
      </c>
      <c r="AU431" s="66">
        <f t="shared" ca="1" si="182"/>
        <v>0</v>
      </c>
      <c r="AV431" s="68">
        <f t="shared" ca="1" si="200"/>
        <v>0</v>
      </c>
      <c r="AW431" s="65">
        <f t="shared" ca="1" si="183"/>
        <v>0</v>
      </c>
      <c r="AX431" s="69">
        <f t="shared" ca="1" si="184"/>
        <v>0</v>
      </c>
      <c r="AY431" s="70">
        <f t="shared" ca="1" si="185"/>
        <v>0</v>
      </c>
      <c r="AZ431" s="66">
        <f t="shared" ca="1" si="186"/>
        <v>0</v>
      </c>
      <c r="BA431" s="66">
        <f t="shared" ca="1" si="187"/>
        <v>0</v>
      </c>
      <c r="BB431" s="66">
        <f t="shared" ca="1" si="188"/>
        <v>0</v>
      </c>
      <c r="BC431" s="66">
        <f t="shared" ca="1" si="189"/>
        <v>0</v>
      </c>
      <c r="BD431" s="66">
        <f t="shared" ca="1" si="190"/>
        <v>0</v>
      </c>
      <c r="BE431" s="71">
        <f t="shared" ca="1" si="196"/>
        <v>0</v>
      </c>
      <c r="BF431" s="65">
        <f t="shared" ca="1" si="191"/>
        <v>0</v>
      </c>
      <c r="BG431" s="69">
        <f t="shared" ca="1" si="192"/>
        <v>0</v>
      </c>
      <c r="BH431" s="301">
        <f t="shared" ca="1" si="195"/>
        <v>0</v>
      </c>
      <c r="BI431" s="300">
        <f ca="1">IF(AO431&gt;TartamVálasztott,0,   (BI430+BH431)*(1+yields!$D$2)*(1-(0.0099/12)))</f>
        <v>0</v>
      </c>
      <c r="BJ431" s="300">
        <f ca="1">SUM(BH$6:BH431)*-1.2</f>
        <v>-862056.26733480149</v>
      </c>
      <c r="BK431" s="300">
        <f t="shared" ca="1" si="201"/>
        <v>-862056.26733480149</v>
      </c>
      <c r="BL431" s="28">
        <f t="shared" ca="1" si="199"/>
        <v>2052</v>
      </c>
      <c r="BM431" s="28">
        <f t="shared" ca="1" si="197"/>
        <v>7</v>
      </c>
      <c r="BN431" s="236">
        <f t="shared" ca="1" si="198"/>
        <v>0</v>
      </c>
      <c r="BO431" s="236">
        <f t="shared" ca="1" si="193"/>
        <v>0</v>
      </c>
    </row>
    <row r="432" spans="41:67" x14ac:dyDescent="0.25">
      <c r="AO432" s="28">
        <f t="shared" si="177"/>
        <v>36</v>
      </c>
      <c r="AP432" s="28">
        <f t="shared" si="178"/>
        <v>7</v>
      </c>
      <c r="AQ432" s="65">
        <f t="shared" ca="1" si="194"/>
        <v>0</v>
      </c>
      <c r="AR432" s="66">
        <f t="shared" ca="1" si="179"/>
        <v>0</v>
      </c>
      <c r="AS432" s="66">
        <f t="shared" ca="1" si="180"/>
        <v>0</v>
      </c>
      <c r="AT432" s="66">
        <f t="shared" ca="1" si="181"/>
        <v>0</v>
      </c>
      <c r="AU432" s="66">
        <f t="shared" ca="1" si="182"/>
        <v>0</v>
      </c>
      <c r="AV432" s="68">
        <f t="shared" ca="1" si="200"/>
        <v>0</v>
      </c>
      <c r="AW432" s="65">
        <f t="shared" ca="1" si="183"/>
        <v>0</v>
      </c>
      <c r="AX432" s="69">
        <f t="shared" ca="1" si="184"/>
        <v>0</v>
      </c>
      <c r="AY432" s="70">
        <f t="shared" ca="1" si="185"/>
        <v>0</v>
      </c>
      <c r="AZ432" s="66">
        <f t="shared" ca="1" si="186"/>
        <v>0</v>
      </c>
      <c r="BA432" s="66">
        <f t="shared" ca="1" si="187"/>
        <v>0</v>
      </c>
      <c r="BB432" s="66">
        <f t="shared" ca="1" si="188"/>
        <v>0</v>
      </c>
      <c r="BC432" s="66">
        <f t="shared" ca="1" si="189"/>
        <v>0</v>
      </c>
      <c r="BD432" s="66">
        <f t="shared" ca="1" si="190"/>
        <v>0</v>
      </c>
      <c r="BE432" s="71">
        <f t="shared" ca="1" si="196"/>
        <v>0</v>
      </c>
      <c r="BF432" s="65">
        <f t="shared" ca="1" si="191"/>
        <v>0</v>
      </c>
      <c r="BG432" s="69">
        <f t="shared" ca="1" si="192"/>
        <v>0</v>
      </c>
      <c r="BH432" s="301">
        <f t="shared" ca="1" si="195"/>
        <v>0</v>
      </c>
      <c r="BI432" s="300">
        <f ca="1">IF(AO432&gt;TartamVálasztott,0,   (BI431+BH432)*(1+yields!$D$2)*(1-(0.0099/12)))</f>
        <v>0</v>
      </c>
      <c r="BJ432" s="300">
        <f ca="1">SUM(BH$6:BH432)*-1.2</f>
        <v>-862056.26733480149</v>
      </c>
      <c r="BK432" s="300">
        <f t="shared" ca="1" si="201"/>
        <v>-862056.26733480149</v>
      </c>
      <c r="BL432" s="28">
        <f t="shared" ca="1" si="199"/>
        <v>2052</v>
      </c>
      <c r="BM432" s="28">
        <f t="shared" ca="1" si="197"/>
        <v>8</v>
      </c>
      <c r="BN432" s="236">
        <f t="shared" ca="1" si="198"/>
        <v>0</v>
      </c>
      <c r="BO432" s="236">
        <f t="shared" ca="1" si="193"/>
        <v>0</v>
      </c>
    </row>
    <row r="433" spans="41:67" x14ac:dyDescent="0.25">
      <c r="AO433" s="28">
        <f t="shared" si="177"/>
        <v>36</v>
      </c>
      <c r="AP433" s="28">
        <f t="shared" si="178"/>
        <v>8</v>
      </c>
      <c r="AQ433" s="65">
        <f t="shared" ca="1" si="194"/>
        <v>0</v>
      </c>
      <c r="AR433" s="66">
        <f t="shared" ca="1" si="179"/>
        <v>0</v>
      </c>
      <c r="AS433" s="66">
        <f t="shared" ca="1" si="180"/>
        <v>0</v>
      </c>
      <c r="AT433" s="66">
        <f t="shared" ca="1" si="181"/>
        <v>0</v>
      </c>
      <c r="AU433" s="66">
        <f t="shared" ca="1" si="182"/>
        <v>0</v>
      </c>
      <c r="AV433" s="68">
        <f t="shared" ca="1" si="200"/>
        <v>0</v>
      </c>
      <c r="AW433" s="65">
        <f t="shared" ca="1" si="183"/>
        <v>0</v>
      </c>
      <c r="AX433" s="69">
        <f t="shared" ca="1" si="184"/>
        <v>0</v>
      </c>
      <c r="AY433" s="70">
        <f t="shared" ca="1" si="185"/>
        <v>0</v>
      </c>
      <c r="AZ433" s="66">
        <f t="shared" ca="1" si="186"/>
        <v>0</v>
      </c>
      <c r="BA433" s="66">
        <f t="shared" ca="1" si="187"/>
        <v>0</v>
      </c>
      <c r="BB433" s="66">
        <f t="shared" ca="1" si="188"/>
        <v>0</v>
      </c>
      <c r="BC433" s="66">
        <f t="shared" ca="1" si="189"/>
        <v>0</v>
      </c>
      <c r="BD433" s="66">
        <f t="shared" ca="1" si="190"/>
        <v>0</v>
      </c>
      <c r="BE433" s="71">
        <f t="shared" ca="1" si="196"/>
        <v>0</v>
      </c>
      <c r="BF433" s="65">
        <f t="shared" ca="1" si="191"/>
        <v>0</v>
      </c>
      <c r="BG433" s="69">
        <f t="shared" ca="1" si="192"/>
        <v>0</v>
      </c>
      <c r="BH433" s="301">
        <f t="shared" ca="1" si="195"/>
        <v>0</v>
      </c>
      <c r="BI433" s="300">
        <f ca="1">IF(AO433&gt;TartamVálasztott,0,   (BI432+BH433)*(1+yields!$D$2)*(1-(0.0099/12)))</f>
        <v>0</v>
      </c>
      <c r="BJ433" s="300">
        <f ca="1">SUM(BH$6:BH433)*-1.2</f>
        <v>-862056.26733480149</v>
      </c>
      <c r="BK433" s="300">
        <f t="shared" ca="1" si="201"/>
        <v>-862056.26733480149</v>
      </c>
      <c r="BL433" s="28">
        <f t="shared" ca="1" si="199"/>
        <v>2052</v>
      </c>
      <c r="BM433" s="28">
        <f t="shared" ca="1" si="197"/>
        <v>9</v>
      </c>
      <c r="BN433" s="236">
        <f t="shared" ca="1" si="198"/>
        <v>0</v>
      </c>
      <c r="BO433" s="236">
        <f t="shared" ca="1" si="193"/>
        <v>0</v>
      </c>
    </row>
    <row r="434" spans="41:67" x14ac:dyDescent="0.25">
      <c r="AO434" s="28">
        <f t="shared" si="177"/>
        <v>36</v>
      </c>
      <c r="AP434" s="28">
        <f t="shared" si="178"/>
        <v>9</v>
      </c>
      <c r="AQ434" s="65">
        <f t="shared" ca="1" si="194"/>
        <v>0</v>
      </c>
      <c r="AR434" s="66">
        <f t="shared" ca="1" si="179"/>
        <v>0</v>
      </c>
      <c r="AS434" s="66">
        <f t="shared" ca="1" si="180"/>
        <v>0</v>
      </c>
      <c r="AT434" s="66">
        <f t="shared" ca="1" si="181"/>
        <v>0</v>
      </c>
      <c r="AU434" s="66">
        <f t="shared" ca="1" si="182"/>
        <v>0</v>
      </c>
      <c r="AV434" s="68">
        <f t="shared" ca="1" si="200"/>
        <v>0</v>
      </c>
      <c r="AW434" s="65">
        <f t="shared" ca="1" si="183"/>
        <v>0</v>
      </c>
      <c r="AX434" s="69">
        <f t="shared" ca="1" si="184"/>
        <v>0</v>
      </c>
      <c r="AY434" s="70">
        <f t="shared" ca="1" si="185"/>
        <v>0</v>
      </c>
      <c r="AZ434" s="66">
        <f t="shared" ca="1" si="186"/>
        <v>0</v>
      </c>
      <c r="BA434" s="66">
        <f t="shared" ca="1" si="187"/>
        <v>0</v>
      </c>
      <c r="BB434" s="66">
        <f t="shared" ca="1" si="188"/>
        <v>0</v>
      </c>
      <c r="BC434" s="66">
        <f t="shared" ca="1" si="189"/>
        <v>0</v>
      </c>
      <c r="BD434" s="66">
        <f t="shared" ca="1" si="190"/>
        <v>0</v>
      </c>
      <c r="BE434" s="71">
        <f t="shared" ca="1" si="196"/>
        <v>0</v>
      </c>
      <c r="BF434" s="65">
        <f t="shared" ca="1" si="191"/>
        <v>0</v>
      </c>
      <c r="BG434" s="69">
        <f t="shared" ca="1" si="192"/>
        <v>0</v>
      </c>
      <c r="BH434" s="301">
        <f t="shared" ca="1" si="195"/>
        <v>0</v>
      </c>
      <c r="BI434" s="300">
        <f ca="1">IF(AO434&gt;TartamVálasztott,0,   (BI433+BH434)*(1+yields!$D$2)*(1-(0.0099/12)))</f>
        <v>0</v>
      </c>
      <c r="BJ434" s="300">
        <f ca="1">SUM(BH$6:BH434)*-1.2</f>
        <v>-862056.26733480149</v>
      </c>
      <c r="BK434" s="300">
        <f t="shared" ca="1" si="201"/>
        <v>-862056.26733480149</v>
      </c>
      <c r="BL434" s="28">
        <f t="shared" ca="1" si="199"/>
        <v>2052</v>
      </c>
      <c r="BM434" s="28">
        <f t="shared" ca="1" si="197"/>
        <v>10</v>
      </c>
      <c r="BN434" s="236">
        <f t="shared" ca="1" si="198"/>
        <v>0</v>
      </c>
      <c r="BO434" s="236">
        <f t="shared" ca="1" si="193"/>
        <v>0</v>
      </c>
    </row>
    <row r="435" spans="41:67" x14ac:dyDescent="0.25">
      <c r="AO435" s="28">
        <f t="shared" si="177"/>
        <v>36</v>
      </c>
      <c r="AP435" s="28">
        <f t="shared" si="178"/>
        <v>10</v>
      </c>
      <c r="AQ435" s="65">
        <f t="shared" ca="1" si="194"/>
        <v>0</v>
      </c>
      <c r="AR435" s="66">
        <f t="shared" ca="1" si="179"/>
        <v>0</v>
      </c>
      <c r="AS435" s="66">
        <f t="shared" ca="1" si="180"/>
        <v>0</v>
      </c>
      <c r="AT435" s="66">
        <f t="shared" ca="1" si="181"/>
        <v>0</v>
      </c>
      <c r="AU435" s="66">
        <f t="shared" ca="1" si="182"/>
        <v>0</v>
      </c>
      <c r="AV435" s="68">
        <f t="shared" ca="1" si="200"/>
        <v>0</v>
      </c>
      <c r="AW435" s="65">
        <f t="shared" ca="1" si="183"/>
        <v>0</v>
      </c>
      <c r="AX435" s="69">
        <f t="shared" ca="1" si="184"/>
        <v>0</v>
      </c>
      <c r="AY435" s="70">
        <f t="shared" ca="1" si="185"/>
        <v>0</v>
      </c>
      <c r="AZ435" s="66">
        <f t="shared" ca="1" si="186"/>
        <v>0</v>
      </c>
      <c r="BA435" s="66">
        <f t="shared" ca="1" si="187"/>
        <v>0</v>
      </c>
      <c r="BB435" s="66">
        <f t="shared" ca="1" si="188"/>
        <v>0</v>
      </c>
      <c r="BC435" s="66">
        <f t="shared" ca="1" si="189"/>
        <v>0</v>
      </c>
      <c r="BD435" s="66">
        <f t="shared" ca="1" si="190"/>
        <v>0</v>
      </c>
      <c r="BE435" s="71">
        <f t="shared" ca="1" si="196"/>
        <v>0</v>
      </c>
      <c r="BF435" s="65">
        <f t="shared" ca="1" si="191"/>
        <v>0</v>
      </c>
      <c r="BG435" s="69">
        <f t="shared" ca="1" si="192"/>
        <v>0</v>
      </c>
      <c r="BH435" s="301">
        <f t="shared" ca="1" si="195"/>
        <v>0</v>
      </c>
      <c r="BI435" s="300">
        <f ca="1">IF(AO435&gt;TartamVálasztott,0,   (BI434+BH435)*(1+yields!$D$2)*(1-(0.0099/12)))</f>
        <v>0</v>
      </c>
      <c r="BJ435" s="300">
        <f ca="1">SUM(BH$6:BH435)*-1.2</f>
        <v>-862056.26733480149</v>
      </c>
      <c r="BK435" s="300">
        <f t="shared" ca="1" si="201"/>
        <v>-862056.26733480149</v>
      </c>
      <c r="BL435" s="28">
        <f t="shared" ca="1" si="199"/>
        <v>2052</v>
      </c>
      <c r="BM435" s="28">
        <f t="shared" ca="1" si="197"/>
        <v>11</v>
      </c>
      <c r="BN435" s="236">
        <f t="shared" ca="1" si="198"/>
        <v>0</v>
      </c>
      <c r="BO435" s="236">
        <f t="shared" ca="1" si="193"/>
        <v>0</v>
      </c>
    </row>
    <row r="436" spans="41:67" x14ac:dyDescent="0.25">
      <c r="AO436" s="28">
        <f t="shared" si="177"/>
        <v>36</v>
      </c>
      <c r="AP436" s="28">
        <f t="shared" si="178"/>
        <v>11</v>
      </c>
      <c r="AQ436" s="65">
        <f t="shared" ca="1" si="194"/>
        <v>0</v>
      </c>
      <c r="AR436" s="66">
        <f t="shared" ca="1" si="179"/>
        <v>0</v>
      </c>
      <c r="AS436" s="66">
        <f t="shared" ca="1" si="180"/>
        <v>0</v>
      </c>
      <c r="AT436" s="66">
        <f t="shared" ca="1" si="181"/>
        <v>0</v>
      </c>
      <c r="AU436" s="66">
        <f t="shared" ca="1" si="182"/>
        <v>0</v>
      </c>
      <c r="AV436" s="68">
        <f t="shared" ca="1" si="200"/>
        <v>0</v>
      </c>
      <c r="AW436" s="65">
        <f t="shared" ca="1" si="183"/>
        <v>0</v>
      </c>
      <c r="AX436" s="69">
        <f t="shared" ca="1" si="184"/>
        <v>0</v>
      </c>
      <c r="AY436" s="70">
        <f t="shared" ca="1" si="185"/>
        <v>0</v>
      </c>
      <c r="AZ436" s="66">
        <f t="shared" ca="1" si="186"/>
        <v>0</v>
      </c>
      <c r="BA436" s="66">
        <f t="shared" ca="1" si="187"/>
        <v>0</v>
      </c>
      <c r="BB436" s="66">
        <f t="shared" ca="1" si="188"/>
        <v>0</v>
      </c>
      <c r="BC436" s="66">
        <f t="shared" ca="1" si="189"/>
        <v>0</v>
      </c>
      <c r="BD436" s="66">
        <f t="shared" ca="1" si="190"/>
        <v>0</v>
      </c>
      <c r="BE436" s="71">
        <f t="shared" ca="1" si="196"/>
        <v>0</v>
      </c>
      <c r="BF436" s="65">
        <f t="shared" ca="1" si="191"/>
        <v>0</v>
      </c>
      <c r="BG436" s="69">
        <f t="shared" ca="1" si="192"/>
        <v>0</v>
      </c>
      <c r="BH436" s="301">
        <f t="shared" ca="1" si="195"/>
        <v>0</v>
      </c>
      <c r="BI436" s="300">
        <f ca="1">IF(AO436&gt;TartamVálasztott,0,   (BI435+BH436)*(1+yields!$D$2)*(1-(0.0099/12)))</f>
        <v>0</v>
      </c>
      <c r="BJ436" s="300">
        <f ca="1">SUM(BH$6:BH436)*-1.2</f>
        <v>-862056.26733480149</v>
      </c>
      <c r="BK436" s="300">
        <f t="shared" ca="1" si="201"/>
        <v>-862056.26733480149</v>
      </c>
      <c r="BL436" s="28">
        <f t="shared" ca="1" si="199"/>
        <v>2052</v>
      </c>
      <c r="BM436" s="28">
        <f t="shared" ca="1" si="197"/>
        <v>12</v>
      </c>
      <c r="BN436" s="236">
        <f t="shared" ca="1" si="198"/>
        <v>0</v>
      </c>
      <c r="BO436" s="236">
        <f t="shared" ca="1" si="193"/>
        <v>0</v>
      </c>
    </row>
    <row r="437" spans="41:67" x14ac:dyDescent="0.25">
      <c r="AO437" s="28">
        <f t="shared" si="177"/>
        <v>36</v>
      </c>
      <c r="AP437" s="28">
        <f t="shared" si="178"/>
        <v>12</v>
      </c>
      <c r="AQ437" s="65">
        <f t="shared" ca="1" si="194"/>
        <v>0</v>
      </c>
      <c r="AR437" s="66">
        <f t="shared" ca="1" si="179"/>
        <v>0</v>
      </c>
      <c r="AS437" s="66">
        <f t="shared" ca="1" si="180"/>
        <v>0</v>
      </c>
      <c r="AT437" s="66">
        <f t="shared" ca="1" si="181"/>
        <v>0</v>
      </c>
      <c r="AU437" s="66">
        <f t="shared" ca="1" si="182"/>
        <v>0</v>
      </c>
      <c r="AV437" s="68">
        <f t="shared" ca="1" si="200"/>
        <v>0</v>
      </c>
      <c r="AW437" s="65">
        <f t="shared" ca="1" si="183"/>
        <v>0</v>
      </c>
      <c r="AX437" s="69">
        <f t="shared" ca="1" si="184"/>
        <v>0</v>
      </c>
      <c r="AY437" s="70">
        <f t="shared" ca="1" si="185"/>
        <v>0</v>
      </c>
      <c r="AZ437" s="66">
        <f t="shared" ca="1" si="186"/>
        <v>0</v>
      </c>
      <c r="BA437" s="66">
        <f t="shared" ca="1" si="187"/>
        <v>0</v>
      </c>
      <c r="BB437" s="66">
        <f t="shared" ca="1" si="188"/>
        <v>0</v>
      </c>
      <c r="BC437" s="66">
        <f t="shared" ca="1" si="189"/>
        <v>0</v>
      </c>
      <c r="BD437" s="66">
        <f t="shared" ca="1" si="190"/>
        <v>0</v>
      </c>
      <c r="BE437" s="71">
        <f t="shared" ca="1" si="196"/>
        <v>0</v>
      </c>
      <c r="BF437" s="65">
        <f t="shared" ca="1" si="191"/>
        <v>0</v>
      </c>
      <c r="BG437" s="69">
        <f t="shared" ca="1" si="192"/>
        <v>0</v>
      </c>
      <c r="BH437" s="301">
        <f t="shared" ca="1" si="195"/>
        <v>0</v>
      </c>
      <c r="BI437" s="300">
        <f ca="1">IF(AO437&gt;TartamVálasztott,0,   (BI436+BH437)*(1+yields!$D$2)*(1-(0.0099/12)))</f>
        <v>0</v>
      </c>
      <c r="BJ437" s="300">
        <f ca="1">SUM(BH$6:BH437)*-1.2</f>
        <v>-862056.26733480149</v>
      </c>
      <c r="BK437" s="300">
        <f t="shared" ca="1" si="201"/>
        <v>-862056.26733480149</v>
      </c>
      <c r="BL437" s="28">
        <f t="shared" ca="1" si="199"/>
        <v>2053</v>
      </c>
      <c r="BM437" s="28">
        <f t="shared" ca="1" si="197"/>
        <v>1</v>
      </c>
      <c r="BN437" s="236">
        <f t="shared" ca="1" si="198"/>
        <v>0</v>
      </c>
      <c r="BO437" s="236">
        <f t="shared" ca="1" si="193"/>
        <v>0</v>
      </c>
    </row>
    <row r="438" spans="41:67" x14ac:dyDescent="0.25">
      <c r="AO438" s="28">
        <f t="shared" si="177"/>
        <v>37</v>
      </c>
      <c r="AP438" s="28">
        <f t="shared" si="178"/>
        <v>1</v>
      </c>
      <c r="AQ438" s="65">
        <f t="shared" ca="1" si="194"/>
        <v>0</v>
      </c>
      <c r="AR438" s="66">
        <f t="shared" ca="1" si="179"/>
        <v>0</v>
      </c>
      <c r="AS438" s="66">
        <f t="shared" ca="1" si="180"/>
        <v>0</v>
      </c>
      <c r="AT438" s="66">
        <f t="shared" ca="1" si="181"/>
        <v>0</v>
      </c>
      <c r="AU438" s="66">
        <f t="shared" ca="1" si="182"/>
        <v>0</v>
      </c>
      <c r="AV438" s="68">
        <f t="shared" ca="1" si="200"/>
        <v>0</v>
      </c>
      <c r="AW438" s="65">
        <f t="shared" ca="1" si="183"/>
        <v>0</v>
      </c>
      <c r="AX438" s="69">
        <f t="shared" ca="1" si="184"/>
        <v>0</v>
      </c>
      <c r="AY438" s="70">
        <f t="shared" ca="1" si="185"/>
        <v>0</v>
      </c>
      <c r="AZ438" s="66">
        <f t="shared" ca="1" si="186"/>
        <v>0</v>
      </c>
      <c r="BA438" s="66">
        <f t="shared" ca="1" si="187"/>
        <v>0</v>
      </c>
      <c r="BB438" s="66">
        <f t="shared" ca="1" si="188"/>
        <v>0</v>
      </c>
      <c r="BC438" s="66">
        <f t="shared" ca="1" si="189"/>
        <v>0</v>
      </c>
      <c r="BD438" s="66">
        <f t="shared" ca="1" si="190"/>
        <v>0</v>
      </c>
      <c r="BE438" s="71">
        <f t="shared" ca="1" si="196"/>
        <v>0</v>
      </c>
      <c r="BF438" s="65">
        <f t="shared" ca="1" si="191"/>
        <v>0</v>
      </c>
      <c r="BG438" s="69">
        <f t="shared" ca="1" si="192"/>
        <v>0</v>
      </c>
      <c r="BH438" s="301">
        <f t="shared" ca="1" si="195"/>
        <v>0</v>
      </c>
      <c r="BI438" s="300">
        <f ca="1">IF(AO438&gt;TartamVálasztott,0,   (BI437+BH438)*(1+yields!$D$2)*(1-(0.0099/12)))</f>
        <v>0</v>
      </c>
      <c r="BJ438" s="300">
        <f ca="1">SUM(BH$6:BH438)*-1.2</f>
        <v>-862056.26733480149</v>
      </c>
      <c r="BK438" s="300">
        <f t="shared" ca="1" si="201"/>
        <v>-862056.26733480149</v>
      </c>
      <c r="BL438" s="28">
        <f t="shared" ca="1" si="199"/>
        <v>2053</v>
      </c>
      <c r="BM438" s="28">
        <f t="shared" ca="1" si="197"/>
        <v>2</v>
      </c>
      <c r="BN438" s="236">
        <f t="shared" ca="1" si="198"/>
        <v>0</v>
      </c>
      <c r="BO438" s="236">
        <f t="shared" ca="1" si="193"/>
        <v>0</v>
      </c>
    </row>
    <row r="439" spans="41:67" x14ac:dyDescent="0.25">
      <c r="AO439" s="28">
        <f t="shared" si="177"/>
        <v>37</v>
      </c>
      <c r="AP439" s="28">
        <f t="shared" si="178"/>
        <v>2</v>
      </c>
      <c r="AQ439" s="65">
        <f t="shared" ca="1" si="194"/>
        <v>0</v>
      </c>
      <c r="AR439" s="66">
        <f t="shared" ca="1" si="179"/>
        <v>0</v>
      </c>
      <c r="AS439" s="66">
        <f t="shared" ca="1" si="180"/>
        <v>0</v>
      </c>
      <c r="AT439" s="66">
        <f t="shared" ca="1" si="181"/>
        <v>0</v>
      </c>
      <c r="AU439" s="66">
        <f t="shared" ca="1" si="182"/>
        <v>0</v>
      </c>
      <c r="AV439" s="68">
        <f t="shared" ca="1" si="200"/>
        <v>0</v>
      </c>
      <c r="AW439" s="65">
        <f t="shared" ca="1" si="183"/>
        <v>0</v>
      </c>
      <c r="AX439" s="69">
        <f t="shared" ca="1" si="184"/>
        <v>0</v>
      </c>
      <c r="AY439" s="70">
        <f t="shared" ca="1" si="185"/>
        <v>0</v>
      </c>
      <c r="AZ439" s="66">
        <f t="shared" ca="1" si="186"/>
        <v>0</v>
      </c>
      <c r="BA439" s="66">
        <f t="shared" ca="1" si="187"/>
        <v>0</v>
      </c>
      <c r="BB439" s="66">
        <f t="shared" ca="1" si="188"/>
        <v>0</v>
      </c>
      <c r="BC439" s="66">
        <f t="shared" ca="1" si="189"/>
        <v>0</v>
      </c>
      <c r="BD439" s="66">
        <f t="shared" ca="1" si="190"/>
        <v>0</v>
      </c>
      <c r="BE439" s="71">
        <f t="shared" ca="1" si="196"/>
        <v>0</v>
      </c>
      <c r="BF439" s="65">
        <f t="shared" ca="1" si="191"/>
        <v>0</v>
      </c>
      <c r="BG439" s="69">
        <f t="shared" ca="1" si="192"/>
        <v>0</v>
      </c>
      <c r="BH439" s="301">
        <f t="shared" ca="1" si="195"/>
        <v>0</v>
      </c>
      <c r="BI439" s="300">
        <f ca="1">IF(AO439&gt;TartamVálasztott,0,   (BI438+BH439)*(1+yields!$D$2)*(1-(0.0099/12)))</f>
        <v>0</v>
      </c>
      <c r="BJ439" s="300">
        <f ca="1">SUM(BH$6:BH439)*-1.2</f>
        <v>-862056.26733480149</v>
      </c>
      <c r="BK439" s="300">
        <f t="shared" ca="1" si="201"/>
        <v>-862056.26733480149</v>
      </c>
      <c r="BL439" s="28">
        <f t="shared" ca="1" si="199"/>
        <v>2053</v>
      </c>
      <c r="BM439" s="28">
        <f t="shared" ca="1" si="197"/>
        <v>3</v>
      </c>
      <c r="BN439" s="236">
        <f t="shared" ca="1" si="198"/>
        <v>0</v>
      </c>
      <c r="BO439" s="236">
        <f t="shared" ca="1" si="193"/>
        <v>0</v>
      </c>
    </row>
    <row r="440" spans="41:67" x14ac:dyDescent="0.25">
      <c r="AO440" s="28">
        <f t="shared" si="177"/>
        <v>37</v>
      </c>
      <c r="AP440" s="28">
        <f t="shared" si="178"/>
        <v>3</v>
      </c>
      <c r="AQ440" s="65">
        <f t="shared" ca="1" si="194"/>
        <v>0</v>
      </c>
      <c r="AR440" s="66">
        <f t="shared" ca="1" si="179"/>
        <v>0</v>
      </c>
      <c r="AS440" s="66">
        <f t="shared" ca="1" si="180"/>
        <v>0</v>
      </c>
      <c r="AT440" s="66">
        <f t="shared" ca="1" si="181"/>
        <v>0</v>
      </c>
      <c r="AU440" s="66">
        <f t="shared" ca="1" si="182"/>
        <v>0</v>
      </c>
      <c r="AV440" s="68">
        <f t="shared" ca="1" si="200"/>
        <v>0</v>
      </c>
      <c r="AW440" s="65">
        <f t="shared" ca="1" si="183"/>
        <v>0</v>
      </c>
      <c r="AX440" s="69">
        <f t="shared" ca="1" si="184"/>
        <v>0</v>
      </c>
      <c r="AY440" s="70">
        <f t="shared" ca="1" si="185"/>
        <v>0</v>
      </c>
      <c r="AZ440" s="66">
        <f t="shared" ca="1" si="186"/>
        <v>0</v>
      </c>
      <c r="BA440" s="66">
        <f t="shared" ca="1" si="187"/>
        <v>0</v>
      </c>
      <c r="BB440" s="66">
        <f t="shared" ca="1" si="188"/>
        <v>0</v>
      </c>
      <c r="BC440" s="66">
        <f t="shared" ca="1" si="189"/>
        <v>0</v>
      </c>
      <c r="BD440" s="66">
        <f t="shared" ca="1" si="190"/>
        <v>0</v>
      </c>
      <c r="BE440" s="71">
        <f t="shared" ca="1" si="196"/>
        <v>0</v>
      </c>
      <c r="BF440" s="65">
        <f t="shared" ca="1" si="191"/>
        <v>0</v>
      </c>
      <c r="BG440" s="69">
        <f t="shared" ca="1" si="192"/>
        <v>0</v>
      </c>
      <c r="BH440" s="301">
        <f t="shared" ca="1" si="195"/>
        <v>0</v>
      </c>
      <c r="BI440" s="300">
        <f ca="1">IF(AO440&gt;TartamVálasztott,0,   (BI439+BH440)*(1+yields!$D$2)*(1-(0.0099/12)))</f>
        <v>0</v>
      </c>
      <c r="BJ440" s="300">
        <f ca="1">SUM(BH$6:BH440)*-1.2</f>
        <v>-862056.26733480149</v>
      </c>
      <c r="BK440" s="300">
        <f t="shared" ca="1" si="201"/>
        <v>-862056.26733480149</v>
      </c>
      <c r="BL440" s="28">
        <f t="shared" ca="1" si="199"/>
        <v>2053</v>
      </c>
      <c r="BM440" s="28">
        <f t="shared" ca="1" si="197"/>
        <v>4</v>
      </c>
      <c r="BN440" s="236">
        <f t="shared" ca="1" si="198"/>
        <v>0</v>
      </c>
      <c r="BO440" s="236">
        <f t="shared" ca="1" si="193"/>
        <v>0</v>
      </c>
    </row>
    <row r="441" spans="41:67" x14ac:dyDescent="0.25">
      <c r="AO441" s="28">
        <f t="shared" si="177"/>
        <v>37</v>
      </c>
      <c r="AP441" s="28">
        <f t="shared" si="178"/>
        <v>4</v>
      </c>
      <c r="AQ441" s="65">
        <f t="shared" ca="1" si="194"/>
        <v>0</v>
      </c>
      <c r="AR441" s="66">
        <f t="shared" ca="1" si="179"/>
        <v>0</v>
      </c>
      <c r="AS441" s="66">
        <f t="shared" ca="1" si="180"/>
        <v>0</v>
      </c>
      <c r="AT441" s="66">
        <f t="shared" ca="1" si="181"/>
        <v>0</v>
      </c>
      <c r="AU441" s="66">
        <f t="shared" ca="1" si="182"/>
        <v>0</v>
      </c>
      <c r="AV441" s="68">
        <f t="shared" ca="1" si="200"/>
        <v>0</v>
      </c>
      <c r="AW441" s="65">
        <f t="shared" ca="1" si="183"/>
        <v>0</v>
      </c>
      <c r="AX441" s="69">
        <f t="shared" ca="1" si="184"/>
        <v>0</v>
      </c>
      <c r="AY441" s="70">
        <f t="shared" ca="1" si="185"/>
        <v>0</v>
      </c>
      <c r="AZ441" s="66">
        <f t="shared" ca="1" si="186"/>
        <v>0</v>
      </c>
      <c r="BA441" s="66">
        <f t="shared" ca="1" si="187"/>
        <v>0</v>
      </c>
      <c r="BB441" s="66">
        <f t="shared" ca="1" si="188"/>
        <v>0</v>
      </c>
      <c r="BC441" s="66">
        <f t="shared" ca="1" si="189"/>
        <v>0</v>
      </c>
      <c r="BD441" s="66">
        <f t="shared" ca="1" si="190"/>
        <v>0</v>
      </c>
      <c r="BE441" s="71">
        <f t="shared" ca="1" si="196"/>
        <v>0</v>
      </c>
      <c r="BF441" s="65">
        <f t="shared" ca="1" si="191"/>
        <v>0</v>
      </c>
      <c r="BG441" s="69">
        <f t="shared" ca="1" si="192"/>
        <v>0</v>
      </c>
      <c r="BH441" s="301">
        <f t="shared" ca="1" si="195"/>
        <v>0</v>
      </c>
      <c r="BI441" s="300">
        <f ca="1">IF(AO441&gt;TartamVálasztott,0,   (BI440+BH441)*(1+yields!$D$2)*(1-(0.0099/12)))</f>
        <v>0</v>
      </c>
      <c r="BJ441" s="300">
        <f ca="1">SUM(BH$6:BH441)*-1.2</f>
        <v>-862056.26733480149</v>
      </c>
      <c r="BK441" s="300">
        <f t="shared" ca="1" si="201"/>
        <v>-862056.26733480149</v>
      </c>
      <c r="BL441" s="28">
        <f t="shared" ca="1" si="199"/>
        <v>2053</v>
      </c>
      <c r="BM441" s="28">
        <f t="shared" ca="1" si="197"/>
        <v>5</v>
      </c>
      <c r="BN441" s="236">
        <f t="shared" ca="1" si="198"/>
        <v>0</v>
      </c>
      <c r="BO441" s="236">
        <f t="shared" ca="1" si="193"/>
        <v>0</v>
      </c>
    </row>
    <row r="442" spans="41:67" x14ac:dyDescent="0.25">
      <c r="AO442" s="28">
        <f t="shared" si="177"/>
        <v>37</v>
      </c>
      <c r="AP442" s="28">
        <f t="shared" si="178"/>
        <v>5</v>
      </c>
      <c r="AQ442" s="65">
        <f t="shared" ca="1" si="194"/>
        <v>0</v>
      </c>
      <c r="AR442" s="66">
        <f t="shared" ca="1" si="179"/>
        <v>0</v>
      </c>
      <c r="AS442" s="66">
        <f t="shared" ca="1" si="180"/>
        <v>0</v>
      </c>
      <c r="AT442" s="66">
        <f t="shared" ca="1" si="181"/>
        <v>0</v>
      </c>
      <c r="AU442" s="66">
        <f t="shared" ca="1" si="182"/>
        <v>0</v>
      </c>
      <c r="AV442" s="68">
        <f t="shared" ca="1" si="200"/>
        <v>0</v>
      </c>
      <c r="AW442" s="65">
        <f t="shared" ca="1" si="183"/>
        <v>0</v>
      </c>
      <c r="AX442" s="69">
        <f t="shared" ca="1" si="184"/>
        <v>0</v>
      </c>
      <c r="AY442" s="70">
        <f t="shared" ca="1" si="185"/>
        <v>0</v>
      </c>
      <c r="AZ442" s="66">
        <f t="shared" ca="1" si="186"/>
        <v>0</v>
      </c>
      <c r="BA442" s="66">
        <f t="shared" ca="1" si="187"/>
        <v>0</v>
      </c>
      <c r="BB442" s="66">
        <f t="shared" ca="1" si="188"/>
        <v>0</v>
      </c>
      <c r="BC442" s="66">
        <f t="shared" ca="1" si="189"/>
        <v>0</v>
      </c>
      <c r="BD442" s="66">
        <f t="shared" ca="1" si="190"/>
        <v>0</v>
      </c>
      <c r="BE442" s="71">
        <f t="shared" ca="1" si="196"/>
        <v>0</v>
      </c>
      <c r="BF442" s="65">
        <f t="shared" ca="1" si="191"/>
        <v>0</v>
      </c>
      <c r="BG442" s="69">
        <f t="shared" ca="1" si="192"/>
        <v>0</v>
      </c>
      <c r="BH442" s="301">
        <f t="shared" ca="1" si="195"/>
        <v>0</v>
      </c>
      <c r="BI442" s="300">
        <f ca="1">IF(AO442&gt;TartamVálasztott,0,   (BI441+BH442)*(1+yields!$D$2)*(1-(0.0099/12)))</f>
        <v>0</v>
      </c>
      <c r="BJ442" s="300">
        <f ca="1">SUM(BH$6:BH442)*-1.2</f>
        <v>-862056.26733480149</v>
      </c>
      <c r="BK442" s="300">
        <f t="shared" ca="1" si="201"/>
        <v>-862056.26733480149</v>
      </c>
      <c r="BL442" s="28">
        <f t="shared" ca="1" si="199"/>
        <v>2053</v>
      </c>
      <c r="BM442" s="28">
        <f t="shared" ca="1" si="197"/>
        <v>6</v>
      </c>
      <c r="BN442" s="236">
        <f t="shared" ca="1" si="198"/>
        <v>0</v>
      </c>
      <c r="BO442" s="236">
        <f t="shared" ca="1" si="193"/>
        <v>0</v>
      </c>
    </row>
    <row r="443" spans="41:67" x14ac:dyDescent="0.25">
      <c r="AO443" s="28">
        <f t="shared" si="177"/>
        <v>37</v>
      </c>
      <c r="AP443" s="28">
        <f t="shared" si="178"/>
        <v>6</v>
      </c>
      <c r="AQ443" s="65">
        <f t="shared" ca="1" si="194"/>
        <v>0</v>
      </c>
      <c r="AR443" s="66">
        <f t="shared" ca="1" si="179"/>
        <v>0</v>
      </c>
      <c r="AS443" s="66">
        <f t="shared" ca="1" si="180"/>
        <v>0</v>
      </c>
      <c r="AT443" s="66">
        <f t="shared" ca="1" si="181"/>
        <v>0</v>
      </c>
      <c r="AU443" s="66">
        <f t="shared" ca="1" si="182"/>
        <v>0</v>
      </c>
      <c r="AV443" s="68">
        <f t="shared" ca="1" si="200"/>
        <v>0</v>
      </c>
      <c r="AW443" s="65">
        <f t="shared" ca="1" si="183"/>
        <v>0</v>
      </c>
      <c r="AX443" s="69">
        <f t="shared" ca="1" si="184"/>
        <v>0</v>
      </c>
      <c r="AY443" s="70">
        <f t="shared" ca="1" si="185"/>
        <v>0</v>
      </c>
      <c r="AZ443" s="66">
        <f t="shared" ca="1" si="186"/>
        <v>0</v>
      </c>
      <c r="BA443" s="66">
        <f t="shared" ca="1" si="187"/>
        <v>0</v>
      </c>
      <c r="BB443" s="66">
        <f t="shared" ca="1" si="188"/>
        <v>0</v>
      </c>
      <c r="BC443" s="66">
        <f t="shared" ca="1" si="189"/>
        <v>0</v>
      </c>
      <c r="BD443" s="66">
        <f t="shared" ca="1" si="190"/>
        <v>0</v>
      </c>
      <c r="BE443" s="71">
        <f t="shared" ca="1" si="196"/>
        <v>0</v>
      </c>
      <c r="BF443" s="65">
        <f t="shared" ca="1" si="191"/>
        <v>0</v>
      </c>
      <c r="BG443" s="69">
        <f t="shared" ca="1" si="192"/>
        <v>0</v>
      </c>
      <c r="BH443" s="301">
        <f t="shared" ca="1" si="195"/>
        <v>0</v>
      </c>
      <c r="BI443" s="300">
        <f ca="1">IF(AO443&gt;TartamVálasztott,0,   (BI442+BH443)*(1+yields!$D$2)*(1-(0.0099/12)))</f>
        <v>0</v>
      </c>
      <c r="BJ443" s="300">
        <f ca="1">SUM(BH$6:BH443)*-1.2</f>
        <v>-862056.26733480149</v>
      </c>
      <c r="BK443" s="300">
        <f t="shared" ca="1" si="201"/>
        <v>-862056.26733480149</v>
      </c>
      <c r="BL443" s="28">
        <f t="shared" ca="1" si="199"/>
        <v>2053</v>
      </c>
      <c r="BM443" s="28">
        <f t="shared" ca="1" si="197"/>
        <v>7</v>
      </c>
      <c r="BN443" s="236">
        <f t="shared" ca="1" si="198"/>
        <v>0</v>
      </c>
      <c r="BO443" s="236">
        <f t="shared" ca="1" si="193"/>
        <v>0</v>
      </c>
    </row>
    <row r="444" spans="41:67" x14ac:dyDescent="0.25">
      <c r="AO444" s="28">
        <f t="shared" si="177"/>
        <v>37</v>
      </c>
      <c r="AP444" s="28">
        <f t="shared" si="178"/>
        <v>7</v>
      </c>
      <c r="AQ444" s="65">
        <f t="shared" ca="1" si="194"/>
        <v>0</v>
      </c>
      <c r="AR444" s="66">
        <f t="shared" ca="1" si="179"/>
        <v>0</v>
      </c>
      <c r="AS444" s="66">
        <f t="shared" ca="1" si="180"/>
        <v>0</v>
      </c>
      <c r="AT444" s="66">
        <f t="shared" ca="1" si="181"/>
        <v>0</v>
      </c>
      <c r="AU444" s="66">
        <f t="shared" ca="1" si="182"/>
        <v>0</v>
      </c>
      <c r="AV444" s="68">
        <f t="shared" ca="1" si="200"/>
        <v>0</v>
      </c>
      <c r="AW444" s="65">
        <f t="shared" ca="1" si="183"/>
        <v>0</v>
      </c>
      <c r="AX444" s="69">
        <f t="shared" ca="1" si="184"/>
        <v>0</v>
      </c>
      <c r="AY444" s="70">
        <f t="shared" ca="1" si="185"/>
        <v>0</v>
      </c>
      <c r="AZ444" s="66">
        <f t="shared" ca="1" si="186"/>
        <v>0</v>
      </c>
      <c r="BA444" s="66">
        <f t="shared" ca="1" si="187"/>
        <v>0</v>
      </c>
      <c r="BB444" s="66">
        <f t="shared" ca="1" si="188"/>
        <v>0</v>
      </c>
      <c r="BC444" s="66">
        <f t="shared" ca="1" si="189"/>
        <v>0</v>
      </c>
      <c r="BD444" s="66">
        <f t="shared" ca="1" si="190"/>
        <v>0</v>
      </c>
      <c r="BE444" s="71">
        <f t="shared" ca="1" si="196"/>
        <v>0</v>
      </c>
      <c r="BF444" s="65">
        <f t="shared" ca="1" si="191"/>
        <v>0</v>
      </c>
      <c r="BG444" s="69">
        <f t="shared" ca="1" si="192"/>
        <v>0</v>
      </c>
      <c r="BH444" s="301">
        <f t="shared" ca="1" si="195"/>
        <v>0</v>
      </c>
      <c r="BI444" s="300">
        <f ca="1">IF(AO444&gt;TartamVálasztott,0,   (BI443+BH444)*(1+yields!$D$2)*(1-(0.0099/12)))</f>
        <v>0</v>
      </c>
      <c r="BJ444" s="300">
        <f ca="1">SUM(BH$6:BH444)*-1.2</f>
        <v>-862056.26733480149</v>
      </c>
      <c r="BK444" s="300">
        <f t="shared" ca="1" si="201"/>
        <v>-862056.26733480149</v>
      </c>
      <c r="BL444" s="28">
        <f t="shared" ca="1" si="199"/>
        <v>2053</v>
      </c>
      <c r="BM444" s="28">
        <f t="shared" ca="1" si="197"/>
        <v>8</v>
      </c>
      <c r="BN444" s="236">
        <f t="shared" ca="1" si="198"/>
        <v>0</v>
      </c>
      <c r="BO444" s="236">
        <f t="shared" ca="1" si="193"/>
        <v>0</v>
      </c>
    </row>
    <row r="445" spans="41:67" x14ac:dyDescent="0.25">
      <c r="AO445" s="28">
        <f t="shared" si="177"/>
        <v>37</v>
      </c>
      <c r="AP445" s="28">
        <f t="shared" si="178"/>
        <v>8</v>
      </c>
      <c r="AQ445" s="65">
        <f t="shared" ca="1" si="194"/>
        <v>0</v>
      </c>
      <c r="AR445" s="66">
        <f t="shared" ca="1" si="179"/>
        <v>0</v>
      </c>
      <c r="AS445" s="66">
        <f t="shared" ca="1" si="180"/>
        <v>0</v>
      </c>
      <c r="AT445" s="66">
        <f t="shared" ca="1" si="181"/>
        <v>0</v>
      </c>
      <c r="AU445" s="66">
        <f t="shared" ca="1" si="182"/>
        <v>0</v>
      </c>
      <c r="AV445" s="68">
        <f t="shared" ca="1" si="200"/>
        <v>0</v>
      </c>
      <c r="AW445" s="65">
        <f t="shared" ca="1" si="183"/>
        <v>0</v>
      </c>
      <c r="AX445" s="69">
        <f t="shared" ca="1" si="184"/>
        <v>0</v>
      </c>
      <c r="AY445" s="70">
        <f t="shared" ca="1" si="185"/>
        <v>0</v>
      </c>
      <c r="AZ445" s="66">
        <f t="shared" ca="1" si="186"/>
        <v>0</v>
      </c>
      <c r="BA445" s="66">
        <f t="shared" ca="1" si="187"/>
        <v>0</v>
      </c>
      <c r="BB445" s="66">
        <f t="shared" ca="1" si="188"/>
        <v>0</v>
      </c>
      <c r="BC445" s="66">
        <f t="shared" ca="1" si="189"/>
        <v>0</v>
      </c>
      <c r="BD445" s="66">
        <f t="shared" ca="1" si="190"/>
        <v>0</v>
      </c>
      <c r="BE445" s="71">
        <f t="shared" ca="1" si="196"/>
        <v>0</v>
      </c>
      <c r="BF445" s="65">
        <f t="shared" ca="1" si="191"/>
        <v>0</v>
      </c>
      <c r="BG445" s="69">
        <f t="shared" ca="1" si="192"/>
        <v>0</v>
      </c>
      <c r="BH445" s="301">
        <f t="shared" ca="1" si="195"/>
        <v>0</v>
      </c>
      <c r="BI445" s="300">
        <f ca="1">IF(AO445&gt;TartamVálasztott,0,   (BI444+BH445)*(1+yields!$D$2)*(1-(0.0099/12)))</f>
        <v>0</v>
      </c>
      <c r="BJ445" s="300">
        <f ca="1">SUM(BH$6:BH445)*-1.2</f>
        <v>-862056.26733480149</v>
      </c>
      <c r="BK445" s="300">
        <f t="shared" ca="1" si="201"/>
        <v>-862056.26733480149</v>
      </c>
      <c r="BL445" s="28">
        <f t="shared" ca="1" si="199"/>
        <v>2053</v>
      </c>
      <c r="BM445" s="28">
        <f t="shared" ca="1" si="197"/>
        <v>9</v>
      </c>
      <c r="BN445" s="236">
        <f t="shared" ca="1" si="198"/>
        <v>0</v>
      </c>
      <c r="BO445" s="236">
        <f t="shared" ca="1" si="193"/>
        <v>0</v>
      </c>
    </row>
    <row r="446" spans="41:67" x14ac:dyDescent="0.25">
      <c r="AO446" s="28">
        <f t="shared" si="177"/>
        <v>37</v>
      </c>
      <c r="AP446" s="28">
        <f t="shared" si="178"/>
        <v>9</v>
      </c>
      <c r="AQ446" s="65">
        <f t="shared" ca="1" si="194"/>
        <v>0</v>
      </c>
      <c r="AR446" s="66">
        <f t="shared" ca="1" si="179"/>
        <v>0</v>
      </c>
      <c r="AS446" s="66">
        <f t="shared" ca="1" si="180"/>
        <v>0</v>
      </c>
      <c r="AT446" s="66">
        <f t="shared" ca="1" si="181"/>
        <v>0</v>
      </c>
      <c r="AU446" s="66">
        <f t="shared" ca="1" si="182"/>
        <v>0</v>
      </c>
      <c r="AV446" s="68">
        <f t="shared" ca="1" si="200"/>
        <v>0</v>
      </c>
      <c r="AW446" s="65">
        <f t="shared" ca="1" si="183"/>
        <v>0</v>
      </c>
      <c r="AX446" s="69">
        <f t="shared" ca="1" si="184"/>
        <v>0</v>
      </c>
      <c r="AY446" s="70">
        <f t="shared" ca="1" si="185"/>
        <v>0</v>
      </c>
      <c r="AZ446" s="66">
        <f t="shared" ca="1" si="186"/>
        <v>0</v>
      </c>
      <c r="BA446" s="66">
        <f t="shared" ca="1" si="187"/>
        <v>0</v>
      </c>
      <c r="BB446" s="66">
        <f t="shared" ca="1" si="188"/>
        <v>0</v>
      </c>
      <c r="BC446" s="66">
        <f t="shared" ca="1" si="189"/>
        <v>0</v>
      </c>
      <c r="BD446" s="66">
        <f t="shared" ca="1" si="190"/>
        <v>0</v>
      </c>
      <c r="BE446" s="71">
        <f t="shared" ca="1" si="196"/>
        <v>0</v>
      </c>
      <c r="BF446" s="65">
        <f t="shared" ca="1" si="191"/>
        <v>0</v>
      </c>
      <c r="BG446" s="69">
        <f t="shared" ca="1" si="192"/>
        <v>0</v>
      </c>
      <c r="BH446" s="301">
        <f t="shared" ca="1" si="195"/>
        <v>0</v>
      </c>
      <c r="BI446" s="300">
        <f ca="1">IF(AO446&gt;TartamVálasztott,0,   (BI445+BH446)*(1+yields!$D$2)*(1-(0.0099/12)))</f>
        <v>0</v>
      </c>
      <c r="BJ446" s="300">
        <f ca="1">SUM(BH$6:BH446)*-1.2</f>
        <v>-862056.26733480149</v>
      </c>
      <c r="BK446" s="300">
        <f t="shared" ca="1" si="201"/>
        <v>-862056.26733480149</v>
      </c>
      <c r="BL446" s="28">
        <f t="shared" ca="1" si="199"/>
        <v>2053</v>
      </c>
      <c r="BM446" s="28">
        <f t="shared" ca="1" si="197"/>
        <v>10</v>
      </c>
      <c r="BN446" s="236">
        <f t="shared" ca="1" si="198"/>
        <v>0</v>
      </c>
      <c r="BO446" s="236">
        <f t="shared" ca="1" si="193"/>
        <v>0</v>
      </c>
    </row>
    <row r="447" spans="41:67" x14ac:dyDescent="0.25">
      <c r="AO447" s="28">
        <f t="shared" si="177"/>
        <v>37</v>
      </c>
      <c r="AP447" s="28">
        <f t="shared" si="178"/>
        <v>10</v>
      </c>
      <c r="AQ447" s="65">
        <f t="shared" ca="1" si="194"/>
        <v>0</v>
      </c>
      <c r="AR447" s="66">
        <f t="shared" ca="1" si="179"/>
        <v>0</v>
      </c>
      <c r="AS447" s="66">
        <f t="shared" ca="1" si="180"/>
        <v>0</v>
      </c>
      <c r="AT447" s="66">
        <f t="shared" ca="1" si="181"/>
        <v>0</v>
      </c>
      <c r="AU447" s="66">
        <f t="shared" ca="1" si="182"/>
        <v>0</v>
      </c>
      <c r="AV447" s="68">
        <f t="shared" ca="1" si="200"/>
        <v>0</v>
      </c>
      <c r="AW447" s="65">
        <f t="shared" ca="1" si="183"/>
        <v>0</v>
      </c>
      <c r="AX447" s="69">
        <f t="shared" ca="1" si="184"/>
        <v>0</v>
      </c>
      <c r="AY447" s="70">
        <f t="shared" ca="1" si="185"/>
        <v>0</v>
      </c>
      <c r="AZ447" s="66">
        <f t="shared" ca="1" si="186"/>
        <v>0</v>
      </c>
      <c r="BA447" s="66">
        <f t="shared" ca="1" si="187"/>
        <v>0</v>
      </c>
      <c r="BB447" s="66">
        <f t="shared" ca="1" si="188"/>
        <v>0</v>
      </c>
      <c r="BC447" s="66">
        <f t="shared" ca="1" si="189"/>
        <v>0</v>
      </c>
      <c r="BD447" s="66">
        <f t="shared" ca="1" si="190"/>
        <v>0</v>
      </c>
      <c r="BE447" s="71">
        <f t="shared" ca="1" si="196"/>
        <v>0</v>
      </c>
      <c r="BF447" s="65">
        <f t="shared" ca="1" si="191"/>
        <v>0</v>
      </c>
      <c r="BG447" s="69">
        <f t="shared" ca="1" si="192"/>
        <v>0</v>
      </c>
      <c r="BH447" s="301">
        <f t="shared" ca="1" si="195"/>
        <v>0</v>
      </c>
      <c r="BI447" s="300">
        <f ca="1">IF(AO447&gt;TartamVálasztott,0,   (BI446+BH447)*(1+yields!$D$2)*(1-(0.0099/12)))</f>
        <v>0</v>
      </c>
      <c r="BJ447" s="300">
        <f ca="1">SUM(BH$6:BH447)*-1.2</f>
        <v>-862056.26733480149</v>
      </c>
      <c r="BK447" s="300">
        <f t="shared" ca="1" si="201"/>
        <v>-862056.26733480149</v>
      </c>
      <c r="BL447" s="28">
        <f t="shared" ca="1" si="199"/>
        <v>2053</v>
      </c>
      <c r="BM447" s="28">
        <f t="shared" ca="1" si="197"/>
        <v>11</v>
      </c>
      <c r="BN447" s="236">
        <f t="shared" ca="1" si="198"/>
        <v>0</v>
      </c>
      <c r="BO447" s="236">
        <f t="shared" ca="1" si="193"/>
        <v>0</v>
      </c>
    </row>
    <row r="448" spans="41:67" x14ac:dyDescent="0.25">
      <c r="AO448" s="28">
        <f t="shared" si="177"/>
        <v>37</v>
      </c>
      <c r="AP448" s="28">
        <f t="shared" si="178"/>
        <v>11</v>
      </c>
      <c r="AQ448" s="65">
        <f t="shared" ca="1" si="194"/>
        <v>0</v>
      </c>
      <c r="AR448" s="66">
        <f t="shared" ca="1" si="179"/>
        <v>0</v>
      </c>
      <c r="AS448" s="66">
        <f t="shared" ca="1" si="180"/>
        <v>0</v>
      </c>
      <c r="AT448" s="66">
        <f t="shared" ca="1" si="181"/>
        <v>0</v>
      </c>
      <c r="AU448" s="66">
        <f t="shared" ca="1" si="182"/>
        <v>0</v>
      </c>
      <c r="AV448" s="68">
        <f t="shared" ca="1" si="200"/>
        <v>0</v>
      </c>
      <c r="AW448" s="65">
        <f t="shared" ca="1" si="183"/>
        <v>0</v>
      </c>
      <c r="AX448" s="69">
        <f t="shared" ca="1" si="184"/>
        <v>0</v>
      </c>
      <c r="AY448" s="70">
        <f t="shared" ca="1" si="185"/>
        <v>0</v>
      </c>
      <c r="AZ448" s="66">
        <f t="shared" ca="1" si="186"/>
        <v>0</v>
      </c>
      <c r="BA448" s="66">
        <f t="shared" ca="1" si="187"/>
        <v>0</v>
      </c>
      <c r="BB448" s="66">
        <f t="shared" ca="1" si="188"/>
        <v>0</v>
      </c>
      <c r="BC448" s="66">
        <f t="shared" ca="1" si="189"/>
        <v>0</v>
      </c>
      <c r="BD448" s="66">
        <f t="shared" ca="1" si="190"/>
        <v>0</v>
      </c>
      <c r="BE448" s="71">
        <f t="shared" ca="1" si="196"/>
        <v>0</v>
      </c>
      <c r="BF448" s="65">
        <f t="shared" ca="1" si="191"/>
        <v>0</v>
      </c>
      <c r="BG448" s="69">
        <f t="shared" ca="1" si="192"/>
        <v>0</v>
      </c>
      <c r="BH448" s="301">
        <f t="shared" ca="1" si="195"/>
        <v>0</v>
      </c>
      <c r="BI448" s="300">
        <f ca="1">IF(AO448&gt;TartamVálasztott,0,   (BI447+BH448)*(1+yields!$D$2)*(1-(0.0099/12)))</f>
        <v>0</v>
      </c>
      <c r="BJ448" s="300">
        <f ca="1">SUM(BH$6:BH448)*-1.2</f>
        <v>-862056.26733480149</v>
      </c>
      <c r="BK448" s="300">
        <f t="shared" ca="1" si="201"/>
        <v>-862056.26733480149</v>
      </c>
      <c r="BL448" s="28">
        <f t="shared" ca="1" si="199"/>
        <v>2053</v>
      </c>
      <c r="BM448" s="28">
        <f t="shared" ca="1" si="197"/>
        <v>12</v>
      </c>
      <c r="BN448" s="236">
        <f t="shared" ca="1" si="198"/>
        <v>0</v>
      </c>
      <c r="BO448" s="236">
        <f t="shared" ca="1" si="193"/>
        <v>0</v>
      </c>
    </row>
    <row r="449" spans="41:67" x14ac:dyDescent="0.25">
      <c r="AO449" s="28">
        <f t="shared" si="177"/>
        <v>37</v>
      </c>
      <c r="AP449" s="28">
        <f t="shared" si="178"/>
        <v>12</v>
      </c>
      <c r="AQ449" s="65">
        <f t="shared" ca="1" si="194"/>
        <v>0</v>
      </c>
      <c r="AR449" s="66">
        <f t="shared" ca="1" si="179"/>
        <v>0</v>
      </c>
      <c r="AS449" s="66">
        <f t="shared" ca="1" si="180"/>
        <v>0</v>
      </c>
      <c r="AT449" s="66">
        <f t="shared" ca="1" si="181"/>
        <v>0</v>
      </c>
      <c r="AU449" s="66">
        <f t="shared" ca="1" si="182"/>
        <v>0</v>
      </c>
      <c r="AV449" s="68">
        <f t="shared" ca="1" si="200"/>
        <v>0</v>
      </c>
      <c r="AW449" s="65">
        <f t="shared" ca="1" si="183"/>
        <v>0</v>
      </c>
      <c r="AX449" s="69">
        <f t="shared" ca="1" si="184"/>
        <v>0</v>
      </c>
      <c r="AY449" s="70">
        <f t="shared" ca="1" si="185"/>
        <v>0</v>
      </c>
      <c r="AZ449" s="66">
        <f t="shared" ca="1" si="186"/>
        <v>0</v>
      </c>
      <c r="BA449" s="66">
        <f t="shared" ca="1" si="187"/>
        <v>0</v>
      </c>
      <c r="BB449" s="66">
        <f t="shared" ca="1" si="188"/>
        <v>0</v>
      </c>
      <c r="BC449" s="66">
        <f t="shared" ca="1" si="189"/>
        <v>0</v>
      </c>
      <c r="BD449" s="66">
        <f t="shared" ca="1" si="190"/>
        <v>0</v>
      </c>
      <c r="BE449" s="71">
        <f t="shared" ca="1" si="196"/>
        <v>0</v>
      </c>
      <c r="BF449" s="65">
        <f t="shared" ca="1" si="191"/>
        <v>0</v>
      </c>
      <c r="BG449" s="69">
        <f t="shared" ca="1" si="192"/>
        <v>0</v>
      </c>
      <c r="BH449" s="301">
        <f t="shared" ca="1" si="195"/>
        <v>0</v>
      </c>
      <c r="BI449" s="300">
        <f ca="1">IF(AO449&gt;TartamVálasztott,0,   (BI448+BH449)*(1+yields!$D$2)*(1-(0.0099/12)))</f>
        <v>0</v>
      </c>
      <c r="BJ449" s="300">
        <f ca="1">SUM(BH$6:BH449)*-1.2</f>
        <v>-862056.26733480149</v>
      </c>
      <c r="BK449" s="300">
        <f t="shared" ca="1" si="201"/>
        <v>-862056.26733480149</v>
      </c>
      <c r="BL449" s="28">
        <f t="shared" ca="1" si="199"/>
        <v>2054</v>
      </c>
      <c r="BM449" s="28">
        <f t="shared" ca="1" si="197"/>
        <v>1</v>
      </c>
      <c r="BN449" s="236">
        <f t="shared" ca="1" si="198"/>
        <v>0</v>
      </c>
      <c r="BO449" s="236">
        <f t="shared" ca="1" si="193"/>
        <v>0</v>
      </c>
    </row>
    <row r="450" spans="41:67" x14ac:dyDescent="0.25">
      <c r="AO450" s="28">
        <f t="shared" si="177"/>
        <v>38</v>
      </c>
      <c r="AP450" s="28">
        <f t="shared" si="178"/>
        <v>1</v>
      </c>
      <c r="AQ450" s="65">
        <f t="shared" ca="1" si="194"/>
        <v>0</v>
      </c>
      <c r="AR450" s="66">
        <f t="shared" ca="1" si="179"/>
        <v>0</v>
      </c>
      <c r="AS450" s="66">
        <f t="shared" ca="1" si="180"/>
        <v>0</v>
      </c>
      <c r="AT450" s="66">
        <f t="shared" ca="1" si="181"/>
        <v>0</v>
      </c>
      <c r="AU450" s="66">
        <f t="shared" ca="1" si="182"/>
        <v>0</v>
      </c>
      <c r="AV450" s="68">
        <f t="shared" ca="1" si="200"/>
        <v>0</v>
      </c>
      <c r="AW450" s="65">
        <f t="shared" ca="1" si="183"/>
        <v>0</v>
      </c>
      <c r="AX450" s="69">
        <f t="shared" ca="1" si="184"/>
        <v>0</v>
      </c>
      <c r="AY450" s="70">
        <f t="shared" ca="1" si="185"/>
        <v>0</v>
      </c>
      <c r="AZ450" s="66">
        <f t="shared" ca="1" si="186"/>
        <v>0</v>
      </c>
      <c r="BA450" s="66">
        <f t="shared" ca="1" si="187"/>
        <v>0</v>
      </c>
      <c r="BB450" s="66">
        <f t="shared" ca="1" si="188"/>
        <v>0</v>
      </c>
      <c r="BC450" s="66">
        <f t="shared" ca="1" si="189"/>
        <v>0</v>
      </c>
      <c r="BD450" s="66">
        <f t="shared" ca="1" si="190"/>
        <v>0</v>
      </c>
      <c r="BE450" s="71">
        <f t="shared" ca="1" si="196"/>
        <v>0</v>
      </c>
      <c r="BF450" s="65">
        <f t="shared" ca="1" si="191"/>
        <v>0</v>
      </c>
      <c r="BG450" s="69">
        <f t="shared" ca="1" si="192"/>
        <v>0</v>
      </c>
      <c r="BH450" s="301">
        <f t="shared" ca="1" si="195"/>
        <v>0</v>
      </c>
      <c r="BI450" s="300">
        <f ca="1">IF(AO450&gt;TartamVálasztott,0,   (BI449+BH450)*(1+yields!$D$2)*(1-(0.0099/12)))</f>
        <v>0</v>
      </c>
      <c r="BJ450" s="300">
        <f ca="1">SUM(BH$6:BH450)*-1.2</f>
        <v>-862056.26733480149</v>
      </c>
      <c r="BK450" s="300">
        <f t="shared" ca="1" si="201"/>
        <v>-862056.26733480149</v>
      </c>
      <c r="BL450" s="28">
        <f t="shared" ca="1" si="199"/>
        <v>2054</v>
      </c>
      <c r="BM450" s="28">
        <f t="shared" ca="1" si="197"/>
        <v>2</v>
      </c>
      <c r="BN450" s="236">
        <f t="shared" ca="1" si="198"/>
        <v>0</v>
      </c>
      <c r="BO450" s="236">
        <f t="shared" ca="1" si="193"/>
        <v>0</v>
      </c>
    </row>
    <row r="451" spans="41:67" x14ac:dyDescent="0.25">
      <c r="AO451" s="28">
        <f t="shared" si="177"/>
        <v>38</v>
      </c>
      <c r="AP451" s="28">
        <f t="shared" si="178"/>
        <v>2</v>
      </c>
      <c r="AQ451" s="65">
        <f t="shared" ca="1" si="194"/>
        <v>0</v>
      </c>
      <c r="AR451" s="66">
        <f t="shared" ca="1" si="179"/>
        <v>0</v>
      </c>
      <c r="AS451" s="66">
        <f t="shared" ca="1" si="180"/>
        <v>0</v>
      </c>
      <c r="AT451" s="66">
        <f t="shared" ca="1" si="181"/>
        <v>0</v>
      </c>
      <c r="AU451" s="66">
        <f t="shared" ca="1" si="182"/>
        <v>0</v>
      </c>
      <c r="AV451" s="68">
        <f t="shared" ca="1" si="200"/>
        <v>0</v>
      </c>
      <c r="AW451" s="65">
        <f t="shared" ca="1" si="183"/>
        <v>0</v>
      </c>
      <c r="AX451" s="69">
        <f t="shared" ca="1" si="184"/>
        <v>0</v>
      </c>
      <c r="AY451" s="70">
        <f t="shared" ca="1" si="185"/>
        <v>0</v>
      </c>
      <c r="AZ451" s="66">
        <f t="shared" ca="1" si="186"/>
        <v>0</v>
      </c>
      <c r="BA451" s="66">
        <f t="shared" ca="1" si="187"/>
        <v>0</v>
      </c>
      <c r="BB451" s="66">
        <f t="shared" ca="1" si="188"/>
        <v>0</v>
      </c>
      <c r="BC451" s="66">
        <f t="shared" ca="1" si="189"/>
        <v>0</v>
      </c>
      <c r="BD451" s="66">
        <f t="shared" ca="1" si="190"/>
        <v>0</v>
      </c>
      <c r="BE451" s="71">
        <f t="shared" ca="1" si="196"/>
        <v>0</v>
      </c>
      <c r="BF451" s="65">
        <f t="shared" ca="1" si="191"/>
        <v>0</v>
      </c>
      <c r="BG451" s="69">
        <f t="shared" ca="1" si="192"/>
        <v>0</v>
      </c>
      <c r="BH451" s="301">
        <f t="shared" ca="1" si="195"/>
        <v>0</v>
      </c>
      <c r="BI451" s="300">
        <f ca="1">IF(AO451&gt;TartamVálasztott,0,   (BI450+BH451)*(1+yields!$D$2)*(1-(0.0099/12)))</f>
        <v>0</v>
      </c>
      <c r="BJ451" s="300">
        <f ca="1">SUM(BH$6:BH451)*-1.2</f>
        <v>-862056.26733480149</v>
      </c>
      <c r="BK451" s="300">
        <f t="shared" ca="1" si="201"/>
        <v>-862056.26733480149</v>
      </c>
      <c r="BL451" s="28">
        <f t="shared" ca="1" si="199"/>
        <v>2054</v>
      </c>
      <c r="BM451" s="28">
        <f t="shared" ca="1" si="197"/>
        <v>3</v>
      </c>
      <c r="BN451" s="236">
        <f t="shared" ca="1" si="198"/>
        <v>0</v>
      </c>
      <c r="BO451" s="236">
        <f t="shared" ca="1" si="193"/>
        <v>0</v>
      </c>
    </row>
    <row r="452" spans="41:67" x14ac:dyDescent="0.25">
      <c r="AO452" s="28">
        <f t="shared" si="177"/>
        <v>38</v>
      </c>
      <c r="AP452" s="28">
        <f t="shared" si="178"/>
        <v>3</v>
      </c>
      <c r="AQ452" s="65">
        <f t="shared" ca="1" si="194"/>
        <v>0</v>
      </c>
      <c r="AR452" s="66">
        <f t="shared" ca="1" si="179"/>
        <v>0</v>
      </c>
      <c r="AS452" s="66">
        <f t="shared" ca="1" si="180"/>
        <v>0</v>
      </c>
      <c r="AT452" s="66">
        <f t="shared" ca="1" si="181"/>
        <v>0</v>
      </c>
      <c r="AU452" s="66">
        <f t="shared" ca="1" si="182"/>
        <v>0</v>
      </c>
      <c r="AV452" s="68">
        <f t="shared" ca="1" si="200"/>
        <v>0</v>
      </c>
      <c r="AW452" s="65">
        <f t="shared" ca="1" si="183"/>
        <v>0</v>
      </c>
      <c r="AX452" s="69">
        <f t="shared" ca="1" si="184"/>
        <v>0</v>
      </c>
      <c r="AY452" s="70">
        <f t="shared" ca="1" si="185"/>
        <v>0</v>
      </c>
      <c r="AZ452" s="66">
        <f t="shared" ca="1" si="186"/>
        <v>0</v>
      </c>
      <c r="BA452" s="66">
        <f t="shared" ca="1" si="187"/>
        <v>0</v>
      </c>
      <c r="BB452" s="66">
        <f t="shared" ca="1" si="188"/>
        <v>0</v>
      </c>
      <c r="BC452" s="66">
        <f t="shared" ca="1" si="189"/>
        <v>0</v>
      </c>
      <c r="BD452" s="66">
        <f t="shared" ca="1" si="190"/>
        <v>0</v>
      </c>
      <c r="BE452" s="71">
        <f t="shared" ca="1" si="196"/>
        <v>0</v>
      </c>
      <c r="BF452" s="65">
        <f t="shared" ca="1" si="191"/>
        <v>0</v>
      </c>
      <c r="BG452" s="69">
        <f t="shared" ca="1" si="192"/>
        <v>0</v>
      </c>
      <c r="BH452" s="301">
        <f t="shared" ca="1" si="195"/>
        <v>0</v>
      </c>
      <c r="BI452" s="300">
        <f ca="1">IF(AO452&gt;TartamVálasztott,0,   (BI451+BH452)*(1+yields!$D$2)*(1-(0.0099/12)))</f>
        <v>0</v>
      </c>
      <c r="BJ452" s="300">
        <f ca="1">SUM(BH$6:BH452)*-1.2</f>
        <v>-862056.26733480149</v>
      </c>
      <c r="BK452" s="300">
        <f t="shared" ca="1" si="201"/>
        <v>-862056.26733480149</v>
      </c>
      <c r="BL452" s="28">
        <f t="shared" ca="1" si="199"/>
        <v>2054</v>
      </c>
      <c r="BM452" s="28">
        <f t="shared" ca="1" si="197"/>
        <v>4</v>
      </c>
      <c r="BN452" s="236">
        <f t="shared" ca="1" si="198"/>
        <v>0</v>
      </c>
      <c r="BO452" s="236">
        <f t="shared" ca="1" si="193"/>
        <v>0</v>
      </c>
    </row>
    <row r="453" spans="41:67" x14ac:dyDescent="0.25">
      <c r="AO453" s="28">
        <f t="shared" si="177"/>
        <v>38</v>
      </c>
      <c r="AP453" s="28">
        <f t="shared" si="178"/>
        <v>4</v>
      </c>
      <c r="AQ453" s="65">
        <f t="shared" ca="1" si="194"/>
        <v>0</v>
      </c>
      <c r="AR453" s="66">
        <f t="shared" ca="1" si="179"/>
        <v>0</v>
      </c>
      <c r="AS453" s="66">
        <f t="shared" ca="1" si="180"/>
        <v>0</v>
      </c>
      <c r="AT453" s="66">
        <f t="shared" ca="1" si="181"/>
        <v>0</v>
      </c>
      <c r="AU453" s="66">
        <f t="shared" ca="1" si="182"/>
        <v>0</v>
      </c>
      <c r="AV453" s="68">
        <f t="shared" ca="1" si="200"/>
        <v>0</v>
      </c>
      <c r="AW453" s="65">
        <f t="shared" ca="1" si="183"/>
        <v>0</v>
      </c>
      <c r="AX453" s="69">
        <f t="shared" ca="1" si="184"/>
        <v>0</v>
      </c>
      <c r="AY453" s="70">
        <f t="shared" ca="1" si="185"/>
        <v>0</v>
      </c>
      <c r="AZ453" s="66">
        <f t="shared" ca="1" si="186"/>
        <v>0</v>
      </c>
      <c r="BA453" s="66">
        <f t="shared" ca="1" si="187"/>
        <v>0</v>
      </c>
      <c r="BB453" s="66">
        <f t="shared" ca="1" si="188"/>
        <v>0</v>
      </c>
      <c r="BC453" s="66">
        <f t="shared" ca="1" si="189"/>
        <v>0</v>
      </c>
      <c r="BD453" s="66">
        <f t="shared" ca="1" si="190"/>
        <v>0</v>
      </c>
      <c r="BE453" s="71">
        <f t="shared" ca="1" si="196"/>
        <v>0</v>
      </c>
      <c r="BF453" s="65">
        <f t="shared" ca="1" si="191"/>
        <v>0</v>
      </c>
      <c r="BG453" s="69">
        <f t="shared" ca="1" si="192"/>
        <v>0</v>
      </c>
      <c r="BH453" s="301">
        <f t="shared" ca="1" si="195"/>
        <v>0</v>
      </c>
      <c r="BI453" s="300">
        <f ca="1">IF(AO453&gt;TartamVálasztott,0,   (BI452+BH453)*(1+yields!$D$2)*(1-(0.0099/12)))</f>
        <v>0</v>
      </c>
      <c r="BJ453" s="300">
        <f ca="1">SUM(BH$6:BH453)*-1.2</f>
        <v>-862056.26733480149</v>
      </c>
      <c r="BK453" s="300">
        <f t="shared" ca="1" si="201"/>
        <v>-862056.26733480149</v>
      </c>
      <c r="BL453" s="28">
        <f t="shared" ca="1" si="199"/>
        <v>2054</v>
      </c>
      <c r="BM453" s="28">
        <f t="shared" ca="1" si="197"/>
        <v>5</v>
      </c>
      <c r="BN453" s="236">
        <f t="shared" ca="1" si="198"/>
        <v>0</v>
      </c>
      <c r="BO453" s="236">
        <f t="shared" ca="1" si="193"/>
        <v>0</v>
      </c>
    </row>
    <row r="454" spans="41:67" x14ac:dyDescent="0.25">
      <c r="AO454" s="28">
        <f t="shared" ref="AO454:AO517" si="202">IF(AP453=12,AO453+1,AO453)</f>
        <v>38</v>
      </c>
      <c r="AP454" s="28">
        <f t="shared" ref="AP454:AP517" si="203">IF(AP453&lt;12,AP453+1,1)</f>
        <v>5</v>
      </c>
      <c r="AQ454" s="65">
        <f t="shared" ca="1" si="194"/>
        <v>0</v>
      </c>
      <c r="AR454" s="66">
        <f t="shared" ref="AR454:AR517" ca="1" si="204">IF( ($AO454*12+$AP454) &gt; (12*(Term+1) ), 0,
$AQ454*(1-VLOOKUP($AO454,Pars,7))
)</f>
        <v>0</v>
      </c>
      <c r="AS454" s="66">
        <f t="shared" ref="AS454:AS517" ca="1" si="205">IF( ($AO454*12+$AP454) &gt; (12*(Term+1) ), 0,
($AV453+$AR454)*IF(OR(TKM=0,TKM=2),VLOOKUP($AO454,Pars,15),TKMm)
)</f>
        <v>0</v>
      </c>
      <c r="AT454" s="66">
        <f t="shared" ref="AT454:AT517" ca="1" si="206">IF( ($AO454*12+$AP454) &gt; (12*(Term+1) ), 0,
$AV453+$AR454+$AS454
)</f>
        <v>0</v>
      </c>
      <c r="AU454" s="66">
        <f t="shared" ref="AU454:AU517" ca="1" si="207">$BD454*(1-LBe)</f>
        <v>0</v>
      </c>
      <c r="AV454" s="68">
        <f t="shared" ca="1" si="200"/>
        <v>0</v>
      </c>
      <c r="AW454" s="65">
        <f t="shared" ref="AW454:AW517" ca="1" si="208">$AT454* ( VLOOKUP($AO454,Pars,9) /12 )</f>
        <v>0</v>
      </c>
      <c r="AX454" s="69">
        <f t="shared" ref="AX454:AX517" ca="1" si="209">$AQ454*VLOOKUP($AO454,Pars,7)</f>
        <v>0</v>
      </c>
      <c r="AY454" s="70">
        <f t="shared" ref="AY454:AY517" ca="1" si="210">$AQ454*VLOOKUP($AO454,Pars,8)</f>
        <v>0</v>
      </c>
      <c r="AZ454" s="66">
        <f t="shared" ref="AZ454:AZ517" ca="1" si="211">($BE453+$AY454)*IF(OR(TKM=0,TKM=2),VLOOKUP($AO454,Pars,15),TKMm)</f>
        <v>0</v>
      </c>
      <c r="BA454" s="66">
        <f t="shared" ref="BA454:BA517" ca="1" si="212">$AT454* ( VLOOKUP($AO454,Pars,11) /12 )</f>
        <v>0</v>
      </c>
      <c r="BB454" s="66">
        <f t="shared" ref="BB454:BB517" ca="1" si="213">$BC454* ( VLOOKUP($AO454,Pars,12) /12 )</f>
        <v>0</v>
      </c>
      <c r="BC454" s="66">
        <f t="shared" ref="BC454:BC517" ca="1" si="214">$BE453+$AY454+$AZ454</f>
        <v>0</v>
      </c>
      <c r="BD454" s="66">
        <f t="shared" ref="BD454:BD517" ca="1" si="215">($BC454 -$BF454 +($BA454+$BB454) ) * IF($AP454=12,VLOOKUP($AO454,Pars,13),0)</f>
        <v>0</v>
      </c>
      <c r="BE454" s="71">
        <f t="shared" ca="1" si="196"/>
        <v>0</v>
      </c>
      <c r="BF454" s="65">
        <f t="shared" ref="BF454:BF517" ca="1" si="216">$BC454* ( VLOOKUP($AO454,Pars,10) /12 )</f>
        <v>0</v>
      </c>
      <c r="BG454" s="69">
        <f t="shared" ref="BG454:BG517" ca="1" si="217">BD454*LBe</f>
        <v>0</v>
      </c>
      <c r="BH454" s="301">
        <f t="shared" ca="1" si="195"/>
        <v>0</v>
      </c>
      <c r="BI454" s="300">
        <f ca="1">IF(AO454&gt;TartamVálasztott,0,   (BI453+BH454)*(1+yields!$D$2)*(1-(0.0099/12)))</f>
        <v>0</v>
      </c>
      <c r="BJ454" s="300">
        <f ca="1">SUM(BH$6:BH454)*-1.2</f>
        <v>-862056.26733480149</v>
      </c>
      <c r="BK454" s="300">
        <f t="shared" ca="1" si="201"/>
        <v>-862056.26733480149</v>
      </c>
      <c r="BL454" s="28">
        <f t="shared" ca="1" si="199"/>
        <v>2054</v>
      </c>
      <c r="BM454" s="28">
        <f t="shared" ca="1" si="197"/>
        <v>6</v>
      </c>
      <c r="BN454" s="236">
        <f t="shared" ca="1" si="198"/>
        <v>0</v>
      </c>
      <c r="BO454" s="236">
        <f t="shared" ref="BO454:BO517" ca="1" si="218">MIN(BN454*0.2,130000)</f>
        <v>0</v>
      </c>
    </row>
    <row r="455" spans="41:67" x14ac:dyDescent="0.25">
      <c r="AO455" s="28">
        <f t="shared" si="202"/>
        <v>38</v>
      </c>
      <c r="AP455" s="28">
        <f t="shared" si="203"/>
        <v>6</v>
      </c>
      <c r="AQ455" s="65">
        <f t="shared" ref="AQ455:AQ518" ca="1" si="219">IF( ($AO455*12+$AP455) &gt; (12*(Term+1) ), 0,
IF( OR(Freq=12, MOD($AP455,12/Freq)=1), Pr*(1+Ind)^($AO455-1)/Freq, 0) *VLOOKUP($AO455,Pars,23)
)</f>
        <v>0</v>
      </c>
      <c r="AR455" s="66">
        <f t="shared" ca="1" si="204"/>
        <v>0</v>
      </c>
      <c r="AS455" s="66">
        <f t="shared" ca="1" si="205"/>
        <v>0</v>
      </c>
      <c r="AT455" s="66">
        <f t="shared" ca="1" si="206"/>
        <v>0</v>
      </c>
      <c r="AU455" s="66">
        <f t="shared" ca="1" si="207"/>
        <v>0</v>
      </c>
      <c r="AV455" s="68">
        <f t="shared" ca="1" si="200"/>
        <v>0</v>
      </c>
      <c r="AW455" s="65">
        <f t="shared" ca="1" si="208"/>
        <v>0</v>
      </c>
      <c r="AX455" s="69">
        <f t="shared" ca="1" si="209"/>
        <v>0</v>
      </c>
      <c r="AY455" s="70">
        <f t="shared" ca="1" si="210"/>
        <v>0</v>
      </c>
      <c r="AZ455" s="66">
        <f t="shared" ca="1" si="211"/>
        <v>0</v>
      </c>
      <c r="BA455" s="66">
        <f t="shared" ca="1" si="212"/>
        <v>0</v>
      </c>
      <c r="BB455" s="66">
        <f t="shared" ca="1" si="213"/>
        <v>0</v>
      </c>
      <c r="BC455" s="66">
        <f t="shared" ca="1" si="214"/>
        <v>0</v>
      </c>
      <c r="BD455" s="66">
        <f t="shared" ca="1" si="215"/>
        <v>0</v>
      </c>
      <c r="BE455" s="71">
        <f t="shared" ca="1" si="196"/>
        <v>0</v>
      </c>
      <c r="BF455" s="65">
        <f t="shared" ca="1" si="216"/>
        <v>0</v>
      </c>
      <c r="BG455" s="69">
        <f t="shared" ca="1" si="217"/>
        <v>0</v>
      </c>
      <c r="BH455" s="301">
        <f t="shared" ref="BH455:BH518" ca="1" si="220">IF(AND(BM455=AdóHó,AO455&lt;=TartamVálasztott),MIN(SUMIF(BL:BL,BL455-1,AQ:AQ)*0.2,130000),0)+IF(AND(AO455=TartamVálasztott,AP455=12),MIN(SUMIF(BL:BL,BL455,AQ:AQ)*0.2,130000),0)</f>
        <v>0</v>
      </c>
      <c r="BI455" s="300">
        <f ca="1">IF(AO455&gt;TartamVálasztott,0,   (BI454+BH455)*(1+yields!$D$2)*(1-(0.0099/12)))</f>
        <v>0</v>
      </c>
      <c r="BJ455" s="300">
        <f ca="1">SUM(BH$6:BH455)*-1.2</f>
        <v>-862056.26733480149</v>
      </c>
      <c r="BK455" s="300">
        <f t="shared" ca="1" si="201"/>
        <v>-862056.26733480149</v>
      </c>
      <c r="BL455" s="28">
        <f t="shared" ca="1" si="199"/>
        <v>2054</v>
      </c>
      <c r="BM455" s="28">
        <f t="shared" ca="1" si="197"/>
        <v>7</v>
      </c>
      <c r="BN455" s="236">
        <f t="shared" ca="1" si="198"/>
        <v>0</v>
      </c>
      <c r="BO455" s="236">
        <f t="shared" ca="1" si="218"/>
        <v>0</v>
      </c>
    </row>
    <row r="456" spans="41:67" x14ac:dyDescent="0.25">
      <c r="AO456" s="28">
        <f t="shared" si="202"/>
        <v>38</v>
      </c>
      <c r="AP456" s="28">
        <f t="shared" si="203"/>
        <v>7</v>
      </c>
      <c r="AQ456" s="65">
        <f t="shared" ca="1" si="219"/>
        <v>0</v>
      </c>
      <c r="AR456" s="66">
        <f t="shared" ca="1" si="204"/>
        <v>0</v>
      </c>
      <c r="AS456" s="66">
        <f t="shared" ca="1" si="205"/>
        <v>0</v>
      </c>
      <c r="AT456" s="66">
        <f t="shared" ca="1" si="206"/>
        <v>0</v>
      </c>
      <c r="AU456" s="66">
        <f t="shared" ca="1" si="207"/>
        <v>0</v>
      </c>
      <c r="AV456" s="68">
        <f t="shared" ca="1" si="200"/>
        <v>0</v>
      </c>
      <c r="AW456" s="65">
        <f t="shared" ca="1" si="208"/>
        <v>0</v>
      </c>
      <c r="AX456" s="69">
        <f t="shared" ca="1" si="209"/>
        <v>0</v>
      </c>
      <c r="AY456" s="70">
        <f t="shared" ca="1" si="210"/>
        <v>0</v>
      </c>
      <c r="AZ456" s="66">
        <f t="shared" ca="1" si="211"/>
        <v>0</v>
      </c>
      <c r="BA456" s="66">
        <f t="shared" ca="1" si="212"/>
        <v>0</v>
      </c>
      <c r="BB456" s="66">
        <f t="shared" ca="1" si="213"/>
        <v>0</v>
      </c>
      <c r="BC456" s="66">
        <f t="shared" ca="1" si="214"/>
        <v>0</v>
      </c>
      <c r="BD456" s="66">
        <f t="shared" ca="1" si="215"/>
        <v>0</v>
      </c>
      <c r="BE456" s="71">
        <f t="shared" ref="BE456:BE519" ca="1" si="221">$BC456 -$BF456 +($BA456+$BB456) -$BD456</f>
        <v>0</v>
      </c>
      <c r="BF456" s="65">
        <f t="shared" ca="1" si="216"/>
        <v>0</v>
      </c>
      <c r="BG456" s="69">
        <f t="shared" ca="1" si="217"/>
        <v>0</v>
      </c>
      <c r="BH456" s="301">
        <f t="shared" ca="1" si="220"/>
        <v>0</v>
      </c>
      <c r="BI456" s="300">
        <f ca="1">IF(AO456&gt;TartamVálasztott,0,   (BI455+BH456)*(1+yields!$D$2)*(1-(0.0099/12)))</f>
        <v>0</v>
      </c>
      <c r="BJ456" s="300">
        <f ca="1">SUM(BH$6:BH456)*-1.2</f>
        <v>-862056.26733480149</v>
      </c>
      <c r="BK456" s="300">
        <f t="shared" ca="1" si="201"/>
        <v>-862056.26733480149</v>
      </c>
      <c r="BL456" s="28">
        <f t="shared" ca="1" si="199"/>
        <v>2054</v>
      </c>
      <c r="BM456" s="28">
        <f t="shared" ref="BM456:BM519" ca="1" si="222">IF(BM455=12,1,BM455+1)</f>
        <v>8</v>
      </c>
      <c r="BN456" s="236">
        <f t="shared" ref="BN456:BN519" ca="1" si="223">IF(BM456=12,SUMIF(BL:BL,BL456,AQ:AQ),0)</f>
        <v>0</v>
      </c>
      <c r="BO456" s="236">
        <f t="shared" ca="1" si="218"/>
        <v>0</v>
      </c>
    </row>
    <row r="457" spans="41:67" x14ac:dyDescent="0.25">
      <c r="AO457" s="28">
        <f t="shared" si="202"/>
        <v>38</v>
      </c>
      <c r="AP457" s="28">
        <f t="shared" si="203"/>
        <v>8</v>
      </c>
      <c r="AQ457" s="65">
        <f t="shared" ca="1" si="219"/>
        <v>0</v>
      </c>
      <c r="AR457" s="66">
        <f t="shared" ca="1" si="204"/>
        <v>0</v>
      </c>
      <c r="AS457" s="66">
        <f t="shared" ca="1" si="205"/>
        <v>0</v>
      </c>
      <c r="AT457" s="66">
        <f t="shared" ca="1" si="206"/>
        <v>0</v>
      </c>
      <c r="AU457" s="66">
        <f t="shared" ca="1" si="207"/>
        <v>0</v>
      </c>
      <c r="AV457" s="68">
        <f t="shared" ca="1" si="200"/>
        <v>0</v>
      </c>
      <c r="AW457" s="65">
        <f t="shared" ca="1" si="208"/>
        <v>0</v>
      </c>
      <c r="AX457" s="69">
        <f t="shared" ca="1" si="209"/>
        <v>0</v>
      </c>
      <c r="AY457" s="70">
        <f t="shared" ca="1" si="210"/>
        <v>0</v>
      </c>
      <c r="AZ457" s="66">
        <f t="shared" ca="1" si="211"/>
        <v>0</v>
      </c>
      <c r="BA457" s="66">
        <f t="shared" ca="1" si="212"/>
        <v>0</v>
      </c>
      <c r="BB457" s="66">
        <f t="shared" ca="1" si="213"/>
        <v>0</v>
      </c>
      <c r="BC457" s="66">
        <f t="shared" ca="1" si="214"/>
        <v>0</v>
      </c>
      <c r="BD457" s="66">
        <f t="shared" ca="1" si="215"/>
        <v>0</v>
      </c>
      <c r="BE457" s="71">
        <f t="shared" ca="1" si="221"/>
        <v>0</v>
      </c>
      <c r="BF457" s="65">
        <f t="shared" ca="1" si="216"/>
        <v>0</v>
      </c>
      <c r="BG457" s="69">
        <f t="shared" ca="1" si="217"/>
        <v>0</v>
      </c>
      <c r="BH457" s="301">
        <f t="shared" ca="1" si="220"/>
        <v>0</v>
      </c>
      <c r="BI457" s="300">
        <f ca="1">IF(AO457&gt;TartamVálasztott,0,   (BI456+BH457)*(1+yields!$D$2)*(1-(0.0099/12)))</f>
        <v>0</v>
      </c>
      <c r="BJ457" s="300">
        <f ca="1">SUM(BH$6:BH457)*-1.2</f>
        <v>-862056.26733480149</v>
      </c>
      <c r="BK457" s="300">
        <f t="shared" ca="1" si="201"/>
        <v>-862056.26733480149</v>
      </c>
      <c r="BL457" s="28">
        <f t="shared" ca="1" si="199"/>
        <v>2054</v>
      </c>
      <c r="BM457" s="28">
        <f t="shared" ca="1" si="222"/>
        <v>9</v>
      </c>
      <c r="BN457" s="236">
        <f t="shared" ca="1" si="223"/>
        <v>0</v>
      </c>
      <c r="BO457" s="236">
        <f t="shared" ca="1" si="218"/>
        <v>0</v>
      </c>
    </row>
    <row r="458" spans="41:67" x14ac:dyDescent="0.25">
      <c r="AO458" s="28">
        <f t="shared" si="202"/>
        <v>38</v>
      </c>
      <c r="AP458" s="28">
        <f t="shared" si="203"/>
        <v>9</v>
      </c>
      <c r="AQ458" s="65">
        <f t="shared" ca="1" si="219"/>
        <v>0</v>
      </c>
      <c r="AR458" s="66">
        <f t="shared" ca="1" si="204"/>
        <v>0</v>
      </c>
      <c r="AS458" s="66">
        <f t="shared" ca="1" si="205"/>
        <v>0</v>
      </c>
      <c r="AT458" s="66">
        <f t="shared" ca="1" si="206"/>
        <v>0</v>
      </c>
      <c r="AU458" s="66">
        <f t="shared" ca="1" si="207"/>
        <v>0</v>
      </c>
      <c r="AV458" s="68">
        <f t="shared" ca="1" si="200"/>
        <v>0</v>
      </c>
      <c r="AW458" s="65">
        <f t="shared" ca="1" si="208"/>
        <v>0</v>
      </c>
      <c r="AX458" s="69">
        <f t="shared" ca="1" si="209"/>
        <v>0</v>
      </c>
      <c r="AY458" s="70">
        <f t="shared" ca="1" si="210"/>
        <v>0</v>
      </c>
      <c r="AZ458" s="66">
        <f t="shared" ca="1" si="211"/>
        <v>0</v>
      </c>
      <c r="BA458" s="66">
        <f t="shared" ca="1" si="212"/>
        <v>0</v>
      </c>
      <c r="BB458" s="66">
        <f t="shared" ca="1" si="213"/>
        <v>0</v>
      </c>
      <c r="BC458" s="66">
        <f t="shared" ca="1" si="214"/>
        <v>0</v>
      </c>
      <c r="BD458" s="66">
        <f t="shared" ca="1" si="215"/>
        <v>0</v>
      </c>
      <c r="BE458" s="71">
        <f t="shared" ca="1" si="221"/>
        <v>0</v>
      </c>
      <c r="BF458" s="65">
        <f t="shared" ca="1" si="216"/>
        <v>0</v>
      </c>
      <c r="BG458" s="69">
        <f t="shared" ca="1" si="217"/>
        <v>0</v>
      </c>
      <c r="BH458" s="301">
        <f t="shared" ca="1" si="220"/>
        <v>0</v>
      </c>
      <c r="BI458" s="300">
        <f ca="1">IF(AO458&gt;TartamVálasztott,0,   (BI457+BH458)*(1+yields!$D$2)*(1-(0.0099/12)))</f>
        <v>0</v>
      </c>
      <c r="BJ458" s="300">
        <f ca="1">SUM(BH$6:BH458)*-1.2</f>
        <v>-862056.26733480149</v>
      </c>
      <c r="BK458" s="300">
        <f t="shared" ca="1" si="201"/>
        <v>-862056.26733480149</v>
      </c>
      <c r="BL458" s="28">
        <f t="shared" ca="1" si="199"/>
        <v>2054</v>
      </c>
      <c r="BM458" s="28">
        <f t="shared" ca="1" si="222"/>
        <v>10</v>
      </c>
      <c r="BN458" s="236">
        <f t="shared" ca="1" si="223"/>
        <v>0</v>
      </c>
      <c r="BO458" s="236">
        <f t="shared" ca="1" si="218"/>
        <v>0</v>
      </c>
    </row>
    <row r="459" spans="41:67" x14ac:dyDescent="0.25">
      <c r="AO459" s="28">
        <f t="shared" si="202"/>
        <v>38</v>
      </c>
      <c r="AP459" s="28">
        <f t="shared" si="203"/>
        <v>10</v>
      </c>
      <c r="AQ459" s="65">
        <f t="shared" ca="1" si="219"/>
        <v>0</v>
      </c>
      <c r="AR459" s="66">
        <f t="shared" ca="1" si="204"/>
        <v>0</v>
      </c>
      <c r="AS459" s="66">
        <f t="shared" ca="1" si="205"/>
        <v>0</v>
      </c>
      <c r="AT459" s="66">
        <f t="shared" ca="1" si="206"/>
        <v>0</v>
      </c>
      <c r="AU459" s="66">
        <f t="shared" ca="1" si="207"/>
        <v>0</v>
      </c>
      <c r="AV459" s="68">
        <f t="shared" ca="1" si="200"/>
        <v>0</v>
      </c>
      <c r="AW459" s="65">
        <f t="shared" ca="1" si="208"/>
        <v>0</v>
      </c>
      <c r="AX459" s="69">
        <f t="shared" ca="1" si="209"/>
        <v>0</v>
      </c>
      <c r="AY459" s="70">
        <f t="shared" ca="1" si="210"/>
        <v>0</v>
      </c>
      <c r="AZ459" s="66">
        <f t="shared" ca="1" si="211"/>
        <v>0</v>
      </c>
      <c r="BA459" s="66">
        <f t="shared" ca="1" si="212"/>
        <v>0</v>
      </c>
      <c r="BB459" s="66">
        <f t="shared" ca="1" si="213"/>
        <v>0</v>
      </c>
      <c r="BC459" s="66">
        <f t="shared" ca="1" si="214"/>
        <v>0</v>
      </c>
      <c r="BD459" s="66">
        <f t="shared" ca="1" si="215"/>
        <v>0</v>
      </c>
      <c r="BE459" s="71">
        <f t="shared" ca="1" si="221"/>
        <v>0</v>
      </c>
      <c r="BF459" s="65">
        <f t="shared" ca="1" si="216"/>
        <v>0</v>
      </c>
      <c r="BG459" s="69">
        <f t="shared" ca="1" si="217"/>
        <v>0</v>
      </c>
      <c r="BH459" s="301">
        <f t="shared" ca="1" si="220"/>
        <v>0</v>
      </c>
      <c r="BI459" s="300">
        <f ca="1">IF(AO459&gt;TartamVálasztott,0,   (BI458+BH459)*(1+yields!$D$2)*(1-(0.0099/12)))</f>
        <v>0</v>
      </c>
      <c r="BJ459" s="300">
        <f ca="1">SUM(BH$6:BH459)*-1.2</f>
        <v>-862056.26733480149</v>
      </c>
      <c r="BK459" s="300">
        <f t="shared" ca="1" si="201"/>
        <v>-862056.26733480149</v>
      </c>
      <c r="BL459" s="28">
        <f t="shared" ca="1" si="199"/>
        <v>2054</v>
      </c>
      <c r="BM459" s="28">
        <f t="shared" ca="1" si="222"/>
        <v>11</v>
      </c>
      <c r="BN459" s="236">
        <f t="shared" ca="1" si="223"/>
        <v>0</v>
      </c>
      <c r="BO459" s="236">
        <f t="shared" ca="1" si="218"/>
        <v>0</v>
      </c>
    </row>
    <row r="460" spans="41:67" x14ac:dyDescent="0.25">
      <c r="AO460" s="28">
        <f t="shared" si="202"/>
        <v>38</v>
      </c>
      <c r="AP460" s="28">
        <f t="shared" si="203"/>
        <v>11</v>
      </c>
      <c r="AQ460" s="65">
        <f t="shared" ca="1" si="219"/>
        <v>0</v>
      </c>
      <c r="AR460" s="66">
        <f t="shared" ca="1" si="204"/>
        <v>0</v>
      </c>
      <c r="AS460" s="66">
        <f t="shared" ca="1" si="205"/>
        <v>0</v>
      </c>
      <c r="AT460" s="66">
        <f t="shared" ca="1" si="206"/>
        <v>0</v>
      </c>
      <c r="AU460" s="66">
        <f t="shared" ca="1" si="207"/>
        <v>0</v>
      </c>
      <c r="AV460" s="68">
        <f t="shared" ca="1" si="200"/>
        <v>0</v>
      </c>
      <c r="AW460" s="65">
        <f t="shared" ca="1" si="208"/>
        <v>0</v>
      </c>
      <c r="AX460" s="69">
        <f t="shared" ca="1" si="209"/>
        <v>0</v>
      </c>
      <c r="AY460" s="70">
        <f t="shared" ca="1" si="210"/>
        <v>0</v>
      </c>
      <c r="AZ460" s="66">
        <f t="shared" ca="1" si="211"/>
        <v>0</v>
      </c>
      <c r="BA460" s="66">
        <f t="shared" ca="1" si="212"/>
        <v>0</v>
      </c>
      <c r="BB460" s="66">
        <f t="shared" ca="1" si="213"/>
        <v>0</v>
      </c>
      <c r="BC460" s="66">
        <f t="shared" ca="1" si="214"/>
        <v>0</v>
      </c>
      <c r="BD460" s="66">
        <f t="shared" ca="1" si="215"/>
        <v>0</v>
      </c>
      <c r="BE460" s="71">
        <f t="shared" ca="1" si="221"/>
        <v>0</v>
      </c>
      <c r="BF460" s="65">
        <f t="shared" ca="1" si="216"/>
        <v>0</v>
      </c>
      <c r="BG460" s="69">
        <f t="shared" ca="1" si="217"/>
        <v>0</v>
      </c>
      <c r="BH460" s="301">
        <f t="shared" ca="1" si="220"/>
        <v>0</v>
      </c>
      <c r="BI460" s="300">
        <f ca="1">IF(AO460&gt;TartamVálasztott,0,   (BI459+BH460)*(1+yields!$D$2)*(1-(0.0099/12)))</f>
        <v>0</v>
      </c>
      <c r="BJ460" s="300">
        <f ca="1">SUM(BH$6:BH460)*-1.2</f>
        <v>-862056.26733480149</v>
      </c>
      <c r="BK460" s="300">
        <f t="shared" ca="1" si="201"/>
        <v>-862056.26733480149</v>
      </c>
      <c r="BL460" s="28">
        <f t="shared" ca="1" si="199"/>
        <v>2054</v>
      </c>
      <c r="BM460" s="28">
        <f t="shared" ca="1" si="222"/>
        <v>12</v>
      </c>
      <c r="BN460" s="236">
        <f t="shared" ca="1" si="223"/>
        <v>0</v>
      </c>
      <c r="BO460" s="236">
        <f t="shared" ca="1" si="218"/>
        <v>0</v>
      </c>
    </row>
    <row r="461" spans="41:67" x14ac:dyDescent="0.25">
      <c r="AO461" s="28">
        <f t="shared" si="202"/>
        <v>38</v>
      </c>
      <c r="AP461" s="28">
        <f t="shared" si="203"/>
        <v>12</v>
      </c>
      <c r="AQ461" s="65">
        <f t="shared" ca="1" si="219"/>
        <v>0</v>
      </c>
      <c r="AR461" s="66">
        <f t="shared" ca="1" si="204"/>
        <v>0</v>
      </c>
      <c r="AS461" s="66">
        <f t="shared" ca="1" si="205"/>
        <v>0</v>
      </c>
      <c r="AT461" s="66">
        <f t="shared" ca="1" si="206"/>
        <v>0</v>
      </c>
      <c r="AU461" s="66">
        <f t="shared" ca="1" si="207"/>
        <v>0</v>
      </c>
      <c r="AV461" s="68">
        <f t="shared" ca="1" si="200"/>
        <v>0</v>
      </c>
      <c r="AW461" s="65">
        <f t="shared" ca="1" si="208"/>
        <v>0</v>
      </c>
      <c r="AX461" s="69">
        <f t="shared" ca="1" si="209"/>
        <v>0</v>
      </c>
      <c r="AY461" s="70">
        <f t="shared" ca="1" si="210"/>
        <v>0</v>
      </c>
      <c r="AZ461" s="66">
        <f t="shared" ca="1" si="211"/>
        <v>0</v>
      </c>
      <c r="BA461" s="66">
        <f t="shared" ca="1" si="212"/>
        <v>0</v>
      </c>
      <c r="BB461" s="66">
        <f t="shared" ca="1" si="213"/>
        <v>0</v>
      </c>
      <c r="BC461" s="66">
        <f t="shared" ca="1" si="214"/>
        <v>0</v>
      </c>
      <c r="BD461" s="66">
        <f t="shared" ca="1" si="215"/>
        <v>0</v>
      </c>
      <c r="BE461" s="71">
        <f t="shared" ca="1" si="221"/>
        <v>0</v>
      </c>
      <c r="BF461" s="65">
        <f t="shared" ca="1" si="216"/>
        <v>0</v>
      </c>
      <c r="BG461" s="69">
        <f t="shared" ca="1" si="217"/>
        <v>0</v>
      </c>
      <c r="BH461" s="301">
        <f t="shared" ca="1" si="220"/>
        <v>0</v>
      </c>
      <c r="BI461" s="300">
        <f ca="1">IF(AO461&gt;TartamVálasztott,0,   (BI460+BH461)*(1+yields!$D$2)*(1-(0.0099/12)))</f>
        <v>0</v>
      </c>
      <c r="BJ461" s="300">
        <f ca="1">SUM(BH$6:BH461)*-1.2</f>
        <v>-862056.26733480149</v>
      </c>
      <c r="BK461" s="300">
        <f t="shared" ca="1" si="201"/>
        <v>-862056.26733480149</v>
      </c>
      <c r="BL461" s="28">
        <f t="shared" ca="1" si="199"/>
        <v>2055</v>
      </c>
      <c r="BM461" s="28">
        <f t="shared" ca="1" si="222"/>
        <v>1</v>
      </c>
      <c r="BN461" s="236">
        <f t="shared" ca="1" si="223"/>
        <v>0</v>
      </c>
      <c r="BO461" s="236">
        <f t="shared" ca="1" si="218"/>
        <v>0</v>
      </c>
    </row>
    <row r="462" spans="41:67" x14ac:dyDescent="0.25">
      <c r="AO462" s="28">
        <f t="shared" si="202"/>
        <v>39</v>
      </c>
      <c r="AP462" s="28">
        <f t="shared" si="203"/>
        <v>1</v>
      </c>
      <c r="AQ462" s="65">
        <f t="shared" ca="1" si="219"/>
        <v>0</v>
      </c>
      <c r="AR462" s="66">
        <f t="shared" ca="1" si="204"/>
        <v>0</v>
      </c>
      <c r="AS462" s="66">
        <f t="shared" ca="1" si="205"/>
        <v>0</v>
      </c>
      <c r="AT462" s="66">
        <f t="shared" ca="1" si="206"/>
        <v>0</v>
      </c>
      <c r="AU462" s="66">
        <f t="shared" ca="1" si="207"/>
        <v>0</v>
      </c>
      <c r="AV462" s="68">
        <f t="shared" ca="1" si="200"/>
        <v>0</v>
      </c>
      <c r="AW462" s="65">
        <f t="shared" ca="1" si="208"/>
        <v>0</v>
      </c>
      <c r="AX462" s="69">
        <f t="shared" ca="1" si="209"/>
        <v>0</v>
      </c>
      <c r="AY462" s="70">
        <f t="shared" ca="1" si="210"/>
        <v>0</v>
      </c>
      <c r="AZ462" s="66">
        <f t="shared" ca="1" si="211"/>
        <v>0</v>
      </c>
      <c r="BA462" s="66">
        <f t="shared" ca="1" si="212"/>
        <v>0</v>
      </c>
      <c r="BB462" s="66">
        <f t="shared" ca="1" si="213"/>
        <v>0</v>
      </c>
      <c r="BC462" s="66">
        <f t="shared" ca="1" si="214"/>
        <v>0</v>
      </c>
      <c r="BD462" s="66">
        <f t="shared" ca="1" si="215"/>
        <v>0</v>
      </c>
      <c r="BE462" s="71">
        <f t="shared" ca="1" si="221"/>
        <v>0</v>
      </c>
      <c r="BF462" s="65">
        <f t="shared" ca="1" si="216"/>
        <v>0</v>
      </c>
      <c r="BG462" s="69">
        <f t="shared" ca="1" si="217"/>
        <v>0</v>
      </c>
      <c r="BH462" s="301">
        <f t="shared" ca="1" si="220"/>
        <v>0</v>
      </c>
      <c r="BI462" s="300">
        <f ca="1">IF(AO462&gt;TartamVálasztott,0,   (BI461+BH462)*(1+yields!$D$2)*(1-(0.0099/12)))</f>
        <v>0</v>
      </c>
      <c r="BJ462" s="300">
        <f ca="1">SUM(BH$6:BH462)*-1.2</f>
        <v>-862056.26733480149</v>
      </c>
      <c r="BK462" s="300">
        <f t="shared" ca="1" si="201"/>
        <v>-862056.26733480149</v>
      </c>
      <c r="BL462" s="28">
        <f t="shared" ca="1" si="199"/>
        <v>2055</v>
      </c>
      <c r="BM462" s="28">
        <f t="shared" ca="1" si="222"/>
        <v>2</v>
      </c>
      <c r="BN462" s="236">
        <f t="shared" ca="1" si="223"/>
        <v>0</v>
      </c>
      <c r="BO462" s="236">
        <f t="shared" ca="1" si="218"/>
        <v>0</v>
      </c>
    </row>
    <row r="463" spans="41:67" x14ac:dyDescent="0.25">
      <c r="AO463" s="28">
        <f t="shared" si="202"/>
        <v>39</v>
      </c>
      <c r="AP463" s="28">
        <f t="shared" si="203"/>
        <v>2</v>
      </c>
      <c r="AQ463" s="65">
        <f t="shared" ca="1" si="219"/>
        <v>0</v>
      </c>
      <c r="AR463" s="66">
        <f t="shared" ca="1" si="204"/>
        <v>0</v>
      </c>
      <c r="AS463" s="66">
        <f t="shared" ca="1" si="205"/>
        <v>0</v>
      </c>
      <c r="AT463" s="66">
        <f t="shared" ca="1" si="206"/>
        <v>0</v>
      </c>
      <c r="AU463" s="66">
        <f t="shared" ca="1" si="207"/>
        <v>0</v>
      </c>
      <c r="AV463" s="68">
        <f t="shared" ca="1" si="200"/>
        <v>0</v>
      </c>
      <c r="AW463" s="65">
        <f t="shared" ca="1" si="208"/>
        <v>0</v>
      </c>
      <c r="AX463" s="69">
        <f t="shared" ca="1" si="209"/>
        <v>0</v>
      </c>
      <c r="AY463" s="70">
        <f t="shared" ca="1" si="210"/>
        <v>0</v>
      </c>
      <c r="AZ463" s="66">
        <f t="shared" ca="1" si="211"/>
        <v>0</v>
      </c>
      <c r="BA463" s="66">
        <f t="shared" ca="1" si="212"/>
        <v>0</v>
      </c>
      <c r="BB463" s="66">
        <f t="shared" ca="1" si="213"/>
        <v>0</v>
      </c>
      <c r="BC463" s="66">
        <f t="shared" ca="1" si="214"/>
        <v>0</v>
      </c>
      <c r="BD463" s="66">
        <f t="shared" ca="1" si="215"/>
        <v>0</v>
      </c>
      <c r="BE463" s="71">
        <f t="shared" ca="1" si="221"/>
        <v>0</v>
      </c>
      <c r="BF463" s="65">
        <f t="shared" ca="1" si="216"/>
        <v>0</v>
      </c>
      <c r="BG463" s="69">
        <f t="shared" ca="1" si="217"/>
        <v>0</v>
      </c>
      <c r="BH463" s="301">
        <f t="shared" ca="1" si="220"/>
        <v>0</v>
      </c>
      <c r="BI463" s="300">
        <f ca="1">IF(AO463&gt;TartamVálasztott,0,   (BI462+BH463)*(1+yields!$D$2)*(1-(0.0099/12)))</f>
        <v>0</v>
      </c>
      <c r="BJ463" s="300">
        <f ca="1">SUM(BH$6:BH463)*-1.2</f>
        <v>-862056.26733480149</v>
      </c>
      <c r="BK463" s="300">
        <f t="shared" ca="1" si="201"/>
        <v>-862056.26733480149</v>
      </c>
      <c r="BL463" s="28">
        <f t="shared" ca="1" si="199"/>
        <v>2055</v>
      </c>
      <c r="BM463" s="28">
        <f t="shared" ca="1" si="222"/>
        <v>3</v>
      </c>
      <c r="BN463" s="236">
        <f t="shared" ca="1" si="223"/>
        <v>0</v>
      </c>
      <c r="BO463" s="236">
        <f t="shared" ca="1" si="218"/>
        <v>0</v>
      </c>
    </row>
    <row r="464" spans="41:67" x14ac:dyDescent="0.25">
      <c r="AO464" s="28">
        <f t="shared" si="202"/>
        <v>39</v>
      </c>
      <c r="AP464" s="28">
        <f t="shared" si="203"/>
        <v>3</v>
      </c>
      <c r="AQ464" s="65">
        <f t="shared" ca="1" si="219"/>
        <v>0</v>
      </c>
      <c r="AR464" s="66">
        <f t="shared" ca="1" si="204"/>
        <v>0</v>
      </c>
      <c r="AS464" s="66">
        <f t="shared" ca="1" si="205"/>
        <v>0</v>
      </c>
      <c r="AT464" s="66">
        <f t="shared" ca="1" si="206"/>
        <v>0</v>
      </c>
      <c r="AU464" s="66">
        <f t="shared" ca="1" si="207"/>
        <v>0</v>
      </c>
      <c r="AV464" s="68">
        <f t="shared" ca="1" si="200"/>
        <v>0</v>
      </c>
      <c r="AW464" s="65">
        <f t="shared" ca="1" si="208"/>
        <v>0</v>
      </c>
      <c r="AX464" s="69">
        <f t="shared" ca="1" si="209"/>
        <v>0</v>
      </c>
      <c r="AY464" s="70">
        <f t="shared" ca="1" si="210"/>
        <v>0</v>
      </c>
      <c r="AZ464" s="66">
        <f t="shared" ca="1" si="211"/>
        <v>0</v>
      </c>
      <c r="BA464" s="66">
        <f t="shared" ca="1" si="212"/>
        <v>0</v>
      </c>
      <c r="BB464" s="66">
        <f t="shared" ca="1" si="213"/>
        <v>0</v>
      </c>
      <c r="BC464" s="66">
        <f t="shared" ca="1" si="214"/>
        <v>0</v>
      </c>
      <c r="BD464" s="66">
        <f t="shared" ca="1" si="215"/>
        <v>0</v>
      </c>
      <c r="BE464" s="71">
        <f t="shared" ca="1" si="221"/>
        <v>0</v>
      </c>
      <c r="BF464" s="65">
        <f t="shared" ca="1" si="216"/>
        <v>0</v>
      </c>
      <c r="BG464" s="69">
        <f t="shared" ca="1" si="217"/>
        <v>0</v>
      </c>
      <c r="BH464" s="301">
        <f t="shared" ca="1" si="220"/>
        <v>0</v>
      </c>
      <c r="BI464" s="300">
        <f ca="1">IF(AO464&gt;TartamVálasztott,0,   (BI463+BH464)*(1+yields!$D$2)*(1-(0.0099/12)))</f>
        <v>0</v>
      </c>
      <c r="BJ464" s="300">
        <f ca="1">SUM(BH$6:BH464)*-1.2</f>
        <v>-862056.26733480149</v>
      </c>
      <c r="BK464" s="300">
        <f t="shared" ca="1" si="201"/>
        <v>-862056.26733480149</v>
      </c>
      <c r="BL464" s="28">
        <f t="shared" ca="1" si="199"/>
        <v>2055</v>
      </c>
      <c r="BM464" s="28">
        <f t="shared" ca="1" si="222"/>
        <v>4</v>
      </c>
      <c r="BN464" s="236">
        <f t="shared" ca="1" si="223"/>
        <v>0</v>
      </c>
      <c r="BO464" s="236">
        <f t="shared" ca="1" si="218"/>
        <v>0</v>
      </c>
    </row>
    <row r="465" spans="41:67" x14ac:dyDescent="0.25">
      <c r="AO465" s="28">
        <f t="shared" si="202"/>
        <v>39</v>
      </c>
      <c r="AP465" s="28">
        <f t="shared" si="203"/>
        <v>4</v>
      </c>
      <c r="AQ465" s="65">
        <f t="shared" ca="1" si="219"/>
        <v>0</v>
      </c>
      <c r="AR465" s="66">
        <f t="shared" ca="1" si="204"/>
        <v>0</v>
      </c>
      <c r="AS465" s="66">
        <f t="shared" ca="1" si="205"/>
        <v>0</v>
      </c>
      <c r="AT465" s="66">
        <f t="shared" ca="1" si="206"/>
        <v>0</v>
      </c>
      <c r="AU465" s="66">
        <f t="shared" ca="1" si="207"/>
        <v>0</v>
      </c>
      <c r="AV465" s="68">
        <f t="shared" ca="1" si="200"/>
        <v>0</v>
      </c>
      <c r="AW465" s="65">
        <f t="shared" ca="1" si="208"/>
        <v>0</v>
      </c>
      <c r="AX465" s="69">
        <f t="shared" ca="1" si="209"/>
        <v>0</v>
      </c>
      <c r="AY465" s="70">
        <f t="shared" ca="1" si="210"/>
        <v>0</v>
      </c>
      <c r="AZ465" s="66">
        <f t="shared" ca="1" si="211"/>
        <v>0</v>
      </c>
      <c r="BA465" s="66">
        <f t="shared" ca="1" si="212"/>
        <v>0</v>
      </c>
      <c r="BB465" s="66">
        <f t="shared" ca="1" si="213"/>
        <v>0</v>
      </c>
      <c r="BC465" s="66">
        <f t="shared" ca="1" si="214"/>
        <v>0</v>
      </c>
      <c r="BD465" s="66">
        <f t="shared" ca="1" si="215"/>
        <v>0</v>
      </c>
      <c r="BE465" s="71">
        <f t="shared" ca="1" si="221"/>
        <v>0</v>
      </c>
      <c r="BF465" s="65">
        <f t="shared" ca="1" si="216"/>
        <v>0</v>
      </c>
      <c r="BG465" s="69">
        <f t="shared" ca="1" si="217"/>
        <v>0</v>
      </c>
      <c r="BH465" s="301">
        <f t="shared" ca="1" si="220"/>
        <v>0</v>
      </c>
      <c r="BI465" s="300">
        <f ca="1">IF(AO465&gt;TartamVálasztott,0,   (BI464+BH465)*(1+yields!$D$2)*(1-(0.0099/12)))</f>
        <v>0</v>
      </c>
      <c r="BJ465" s="300">
        <f ca="1">SUM(BH$6:BH465)*-1.2</f>
        <v>-862056.26733480149</v>
      </c>
      <c r="BK465" s="300">
        <f t="shared" ca="1" si="201"/>
        <v>-862056.26733480149</v>
      </c>
      <c r="BL465" s="28">
        <f t="shared" ca="1" si="199"/>
        <v>2055</v>
      </c>
      <c r="BM465" s="28">
        <f t="shared" ca="1" si="222"/>
        <v>5</v>
      </c>
      <c r="BN465" s="236">
        <f t="shared" ca="1" si="223"/>
        <v>0</v>
      </c>
      <c r="BO465" s="236">
        <f t="shared" ca="1" si="218"/>
        <v>0</v>
      </c>
    </row>
    <row r="466" spans="41:67" x14ac:dyDescent="0.25">
      <c r="AO466" s="28">
        <f t="shared" si="202"/>
        <v>39</v>
      </c>
      <c r="AP466" s="28">
        <f t="shared" si="203"/>
        <v>5</v>
      </c>
      <c r="AQ466" s="65">
        <f t="shared" ca="1" si="219"/>
        <v>0</v>
      </c>
      <c r="AR466" s="66">
        <f t="shared" ca="1" si="204"/>
        <v>0</v>
      </c>
      <c r="AS466" s="66">
        <f t="shared" ca="1" si="205"/>
        <v>0</v>
      </c>
      <c r="AT466" s="66">
        <f t="shared" ca="1" si="206"/>
        <v>0</v>
      </c>
      <c r="AU466" s="66">
        <f t="shared" ca="1" si="207"/>
        <v>0</v>
      </c>
      <c r="AV466" s="68">
        <f t="shared" ca="1" si="200"/>
        <v>0</v>
      </c>
      <c r="AW466" s="65">
        <f t="shared" ca="1" si="208"/>
        <v>0</v>
      </c>
      <c r="AX466" s="69">
        <f t="shared" ca="1" si="209"/>
        <v>0</v>
      </c>
      <c r="AY466" s="70">
        <f t="shared" ca="1" si="210"/>
        <v>0</v>
      </c>
      <c r="AZ466" s="66">
        <f t="shared" ca="1" si="211"/>
        <v>0</v>
      </c>
      <c r="BA466" s="66">
        <f t="shared" ca="1" si="212"/>
        <v>0</v>
      </c>
      <c r="BB466" s="66">
        <f t="shared" ca="1" si="213"/>
        <v>0</v>
      </c>
      <c r="BC466" s="66">
        <f t="shared" ca="1" si="214"/>
        <v>0</v>
      </c>
      <c r="BD466" s="66">
        <f t="shared" ca="1" si="215"/>
        <v>0</v>
      </c>
      <c r="BE466" s="71">
        <f t="shared" ca="1" si="221"/>
        <v>0</v>
      </c>
      <c r="BF466" s="65">
        <f t="shared" ca="1" si="216"/>
        <v>0</v>
      </c>
      <c r="BG466" s="69">
        <f t="shared" ca="1" si="217"/>
        <v>0</v>
      </c>
      <c r="BH466" s="301">
        <f t="shared" ca="1" si="220"/>
        <v>0</v>
      </c>
      <c r="BI466" s="300">
        <f ca="1">IF(AO466&gt;TartamVálasztott,0,   (BI465+BH466)*(1+yields!$D$2)*(1-(0.0099/12)))</f>
        <v>0</v>
      </c>
      <c r="BJ466" s="300">
        <f ca="1">SUM(BH$6:BH466)*-1.2</f>
        <v>-862056.26733480149</v>
      </c>
      <c r="BK466" s="300">
        <f t="shared" ca="1" si="201"/>
        <v>-862056.26733480149</v>
      </c>
      <c r="BL466" s="28">
        <f t="shared" ref="BL466:BL529" ca="1" si="224">IF(BM465=12,BL465+1,BL465)</f>
        <v>2055</v>
      </c>
      <c r="BM466" s="28">
        <f t="shared" ca="1" si="222"/>
        <v>6</v>
      </c>
      <c r="BN466" s="236">
        <f t="shared" ca="1" si="223"/>
        <v>0</v>
      </c>
      <c r="BO466" s="236">
        <f t="shared" ca="1" si="218"/>
        <v>0</v>
      </c>
    </row>
    <row r="467" spans="41:67" x14ac:dyDescent="0.25">
      <c r="AO467" s="28">
        <f t="shared" si="202"/>
        <v>39</v>
      </c>
      <c r="AP467" s="28">
        <f t="shared" si="203"/>
        <v>6</v>
      </c>
      <c r="AQ467" s="65">
        <f t="shared" ca="1" si="219"/>
        <v>0</v>
      </c>
      <c r="AR467" s="66">
        <f t="shared" ca="1" si="204"/>
        <v>0</v>
      </c>
      <c r="AS467" s="66">
        <f t="shared" ca="1" si="205"/>
        <v>0</v>
      </c>
      <c r="AT467" s="66">
        <f t="shared" ca="1" si="206"/>
        <v>0</v>
      </c>
      <c r="AU467" s="66">
        <f t="shared" ca="1" si="207"/>
        <v>0</v>
      </c>
      <c r="AV467" s="68">
        <f t="shared" ref="AV467:AV530" ca="1" si="225">IF( ($AO467*12+$AP467) &gt; (12*(Term+1) ), 0,
($AT467-$AW467) +$AU467
)</f>
        <v>0</v>
      </c>
      <c r="AW467" s="65">
        <f t="shared" ca="1" si="208"/>
        <v>0</v>
      </c>
      <c r="AX467" s="69">
        <f t="shared" ca="1" si="209"/>
        <v>0</v>
      </c>
      <c r="AY467" s="70">
        <f t="shared" ca="1" si="210"/>
        <v>0</v>
      </c>
      <c r="AZ467" s="66">
        <f t="shared" ca="1" si="211"/>
        <v>0</v>
      </c>
      <c r="BA467" s="66">
        <f t="shared" ca="1" si="212"/>
        <v>0</v>
      </c>
      <c r="BB467" s="66">
        <f t="shared" ca="1" si="213"/>
        <v>0</v>
      </c>
      <c r="BC467" s="66">
        <f t="shared" ca="1" si="214"/>
        <v>0</v>
      </c>
      <c r="BD467" s="66">
        <f t="shared" ca="1" si="215"/>
        <v>0</v>
      </c>
      <c r="BE467" s="71">
        <f t="shared" ca="1" si="221"/>
        <v>0</v>
      </c>
      <c r="BF467" s="65">
        <f t="shared" ca="1" si="216"/>
        <v>0</v>
      </c>
      <c r="BG467" s="69">
        <f t="shared" ca="1" si="217"/>
        <v>0</v>
      </c>
      <c r="BH467" s="301">
        <f t="shared" ca="1" si="220"/>
        <v>0</v>
      </c>
      <c r="BI467" s="300">
        <f ca="1">IF(AO467&gt;TartamVálasztott,0,   (BI466+BH467)*(1+yields!$D$2)*(1-(0.0099/12)))</f>
        <v>0</v>
      </c>
      <c r="BJ467" s="300">
        <f ca="1">SUM(BH$6:BH467)*-1.2</f>
        <v>-862056.26733480149</v>
      </c>
      <c r="BK467" s="300">
        <f t="shared" ca="1" si="201"/>
        <v>-862056.26733480149</v>
      </c>
      <c r="BL467" s="28">
        <f t="shared" ca="1" si="224"/>
        <v>2055</v>
      </c>
      <c r="BM467" s="28">
        <f t="shared" ca="1" si="222"/>
        <v>7</v>
      </c>
      <c r="BN467" s="236">
        <f t="shared" ca="1" si="223"/>
        <v>0</v>
      </c>
      <c r="BO467" s="236">
        <f t="shared" ca="1" si="218"/>
        <v>0</v>
      </c>
    </row>
    <row r="468" spans="41:67" x14ac:dyDescent="0.25">
      <c r="AO468" s="28">
        <f t="shared" si="202"/>
        <v>39</v>
      </c>
      <c r="AP468" s="28">
        <f t="shared" si="203"/>
        <v>7</v>
      </c>
      <c r="AQ468" s="65">
        <f t="shared" ca="1" si="219"/>
        <v>0</v>
      </c>
      <c r="AR468" s="66">
        <f t="shared" ca="1" si="204"/>
        <v>0</v>
      </c>
      <c r="AS468" s="66">
        <f t="shared" ca="1" si="205"/>
        <v>0</v>
      </c>
      <c r="AT468" s="66">
        <f t="shared" ca="1" si="206"/>
        <v>0</v>
      </c>
      <c r="AU468" s="66">
        <f t="shared" ca="1" si="207"/>
        <v>0</v>
      </c>
      <c r="AV468" s="68">
        <f t="shared" ca="1" si="225"/>
        <v>0</v>
      </c>
      <c r="AW468" s="65">
        <f t="shared" ca="1" si="208"/>
        <v>0</v>
      </c>
      <c r="AX468" s="69">
        <f t="shared" ca="1" si="209"/>
        <v>0</v>
      </c>
      <c r="AY468" s="70">
        <f t="shared" ca="1" si="210"/>
        <v>0</v>
      </c>
      <c r="AZ468" s="66">
        <f t="shared" ca="1" si="211"/>
        <v>0</v>
      </c>
      <c r="BA468" s="66">
        <f t="shared" ca="1" si="212"/>
        <v>0</v>
      </c>
      <c r="BB468" s="66">
        <f t="shared" ca="1" si="213"/>
        <v>0</v>
      </c>
      <c r="BC468" s="66">
        <f t="shared" ca="1" si="214"/>
        <v>0</v>
      </c>
      <c r="BD468" s="66">
        <f t="shared" ca="1" si="215"/>
        <v>0</v>
      </c>
      <c r="BE468" s="71">
        <f t="shared" ca="1" si="221"/>
        <v>0</v>
      </c>
      <c r="BF468" s="65">
        <f t="shared" ca="1" si="216"/>
        <v>0</v>
      </c>
      <c r="BG468" s="69">
        <f t="shared" ca="1" si="217"/>
        <v>0</v>
      </c>
      <c r="BH468" s="301">
        <f t="shared" ca="1" si="220"/>
        <v>0</v>
      </c>
      <c r="BI468" s="300">
        <f ca="1">IF(AO468&gt;TartamVálasztott,0,   (BI467+BH468)*(1+yields!$D$2)*(1-(0.0099/12)))</f>
        <v>0</v>
      </c>
      <c r="BJ468" s="300">
        <f ca="1">SUM(BH$6:BH468)*-1.2</f>
        <v>-862056.26733480149</v>
      </c>
      <c r="BK468" s="300">
        <f t="shared" ca="1" si="201"/>
        <v>-862056.26733480149</v>
      </c>
      <c r="BL468" s="28">
        <f t="shared" ca="1" si="224"/>
        <v>2055</v>
      </c>
      <c r="BM468" s="28">
        <f t="shared" ca="1" si="222"/>
        <v>8</v>
      </c>
      <c r="BN468" s="236">
        <f t="shared" ca="1" si="223"/>
        <v>0</v>
      </c>
      <c r="BO468" s="236">
        <f t="shared" ca="1" si="218"/>
        <v>0</v>
      </c>
    </row>
    <row r="469" spans="41:67" x14ac:dyDescent="0.25">
      <c r="AO469" s="28">
        <f t="shared" si="202"/>
        <v>39</v>
      </c>
      <c r="AP469" s="28">
        <f t="shared" si="203"/>
        <v>8</v>
      </c>
      <c r="AQ469" s="65">
        <f t="shared" ca="1" si="219"/>
        <v>0</v>
      </c>
      <c r="AR469" s="66">
        <f t="shared" ca="1" si="204"/>
        <v>0</v>
      </c>
      <c r="AS469" s="66">
        <f t="shared" ca="1" si="205"/>
        <v>0</v>
      </c>
      <c r="AT469" s="66">
        <f t="shared" ca="1" si="206"/>
        <v>0</v>
      </c>
      <c r="AU469" s="66">
        <f t="shared" ca="1" si="207"/>
        <v>0</v>
      </c>
      <c r="AV469" s="68">
        <f t="shared" ca="1" si="225"/>
        <v>0</v>
      </c>
      <c r="AW469" s="65">
        <f t="shared" ca="1" si="208"/>
        <v>0</v>
      </c>
      <c r="AX469" s="69">
        <f t="shared" ca="1" si="209"/>
        <v>0</v>
      </c>
      <c r="AY469" s="70">
        <f t="shared" ca="1" si="210"/>
        <v>0</v>
      </c>
      <c r="AZ469" s="66">
        <f t="shared" ca="1" si="211"/>
        <v>0</v>
      </c>
      <c r="BA469" s="66">
        <f t="shared" ca="1" si="212"/>
        <v>0</v>
      </c>
      <c r="BB469" s="66">
        <f t="shared" ca="1" si="213"/>
        <v>0</v>
      </c>
      <c r="BC469" s="66">
        <f t="shared" ca="1" si="214"/>
        <v>0</v>
      </c>
      <c r="BD469" s="66">
        <f t="shared" ca="1" si="215"/>
        <v>0</v>
      </c>
      <c r="BE469" s="71">
        <f t="shared" ca="1" si="221"/>
        <v>0</v>
      </c>
      <c r="BF469" s="65">
        <f t="shared" ca="1" si="216"/>
        <v>0</v>
      </c>
      <c r="BG469" s="69">
        <f t="shared" ca="1" si="217"/>
        <v>0</v>
      </c>
      <c r="BH469" s="301">
        <f t="shared" ca="1" si="220"/>
        <v>0</v>
      </c>
      <c r="BI469" s="300">
        <f ca="1">IF(AO469&gt;TartamVálasztott,0,   (BI468+BH469)*(1+yields!$D$2)*(1-(0.0099/12)))</f>
        <v>0</v>
      </c>
      <c r="BJ469" s="300">
        <f ca="1">SUM(BH$6:BH469)*-1.2</f>
        <v>-862056.26733480149</v>
      </c>
      <c r="BK469" s="300">
        <f t="shared" ca="1" si="201"/>
        <v>-862056.26733480149</v>
      </c>
      <c r="BL469" s="28">
        <f t="shared" ca="1" si="224"/>
        <v>2055</v>
      </c>
      <c r="BM469" s="28">
        <f t="shared" ca="1" si="222"/>
        <v>9</v>
      </c>
      <c r="BN469" s="236">
        <f t="shared" ca="1" si="223"/>
        <v>0</v>
      </c>
      <c r="BO469" s="236">
        <f t="shared" ca="1" si="218"/>
        <v>0</v>
      </c>
    </row>
    <row r="470" spans="41:67" x14ac:dyDescent="0.25">
      <c r="AO470" s="28">
        <f t="shared" si="202"/>
        <v>39</v>
      </c>
      <c r="AP470" s="28">
        <f t="shared" si="203"/>
        <v>9</v>
      </c>
      <c r="AQ470" s="65">
        <f t="shared" ca="1" si="219"/>
        <v>0</v>
      </c>
      <c r="AR470" s="66">
        <f t="shared" ca="1" si="204"/>
        <v>0</v>
      </c>
      <c r="AS470" s="66">
        <f t="shared" ca="1" si="205"/>
        <v>0</v>
      </c>
      <c r="AT470" s="66">
        <f t="shared" ca="1" si="206"/>
        <v>0</v>
      </c>
      <c r="AU470" s="66">
        <f t="shared" ca="1" si="207"/>
        <v>0</v>
      </c>
      <c r="AV470" s="68">
        <f t="shared" ca="1" si="225"/>
        <v>0</v>
      </c>
      <c r="AW470" s="65">
        <f t="shared" ca="1" si="208"/>
        <v>0</v>
      </c>
      <c r="AX470" s="69">
        <f t="shared" ca="1" si="209"/>
        <v>0</v>
      </c>
      <c r="AY470" s="70">
        <f t="shared" ca="1" si="210"/>
        <v>0</v>
      </c>
      <c r="AZ470" s="66">
        <f t="shared" ca="1" si="211"/>
        <v>0</v>
      </c>
      <c r="BA470" s="66">
        <f t="shared" ca="1" si="212"/>
        <v>0</v>
      </c>
      <c r="BB470" s="66">
        <f t="shared" ca="1" si="213"/>
        <v>0</v>
      </c>
      <c r="BC470" s="66">
        <f t="shared" ca="1" si="214"/>
        <v>0</v>
      </c>
      <c r="BD470" s="66">
        <f t="shared" ca="1" si="215"/>
        <v>0</v>
      </c>
      <c r="BE470" s="71">
        <f t="shared" ca="1" si="221"/>
        <v>0</v>
      </c>
      <c r="BF470" s="65">
        <f t="shared" ca="1" si="216"/>
        <v>0</v>
      </c>
      <c r="BG470" s="69">
        <f t="shared" ca="1" si="217"/>
        <v>0</v>
      </c>
      <c r="BH470" s="301">
        <f t="shared" ca="1" si="220"/>
        <v>0</v>
      </c>
      <c r="BI470" s="300">
        <f ca="1">IF(AO470&gt;TartamVálasztott,0,   (BI469+BH470)*(1+yields!$D$2)*(1-(0.0099/12)))</f>
        <v>0</v>
      </c>
      <c r="BJ470" s="300">
        <f ca="1">SUM(BH$6:BH470)*-1.2</f>
        <v>-862056.26733480149</v>
      </c>
      <c r="BK470" s="300">
        <f t="shared" ca="1" si="201"/>
        <v>-862056.26733480149</v>
      </c>
      <c r="BL470" s="28">
        <f t="shared" ca="1" si="224"/>
        <v>2055</v>
      </c>
      <c r="BM470" s="28">
        <f t="shared" ca="1" si="222"/>
        <v>10</v>
      </c>
      <c r="BN470" s="236">
        <f t="shared" ca="1" si="223"/>
        <v>0</v>
      </c>
      <c r="BO470" s="236">
        <f t="shared" ca="1" si="218"/>
        <v>0</v>
      </c>
    </row>
    <row r="471" spans="41:67" x14ac:dyDescent="0.25">
      <c r="AO471" s="28">
        <f t="shared" si="202"/>
        <v>39</v>
      </c>
      <c r="AP471" s="28">
        <f t="shared" si="203"/>
        <v>10</v>
      </c>
      <c r="AQ471" s="65">
        <f t="shared" ca="1" si="219"/>
        <v>0</v>
      </c>
      <c r="AR471" s="66">
        <f t="shared" ca="1" si="204"/>
        <v>0</v>
      </c>
      <c r="AS471" s="66">
        <f t="shared" ca="1" si="205"/>
        <v>0</v>
      </c>
      <c r="AT471" s="66">
        <f t="shared" ca="1" si="206"/>
        <v>0</v>
      </c>
      <c r="AU471" s="66">
        <f t="shared" ca="1" si="207"/>
        <v>0</v>
      </c>
      <c r="AV471" s="68">
        <f t="shared" ca="1" si="225"/>
        <v>0</v>
      </c>
      <c r="AW471" s="65">
        <f t="shared" ca="1" si="208"/>
        <v>0</v>
      </c>
      <c r="AX471" s="69">
        <f t="shared" ca="1" si="209"/>
        <v>0</v>
      </c>
      <c r="AY471" s="70">
        <f t="shared" ca="1" si="210"/>
        <v>0</v>
      </c>
      <c r="AZ471" s="66">
        <f t="shared" ca="1" si="211"/>
        <v>0</v>
      </c>
      <c r="BA471" s="66">
        <f t="shared" ca="1" si="212"/>
        <v>0</v>
      </c>
      <c r="BB471" s="66">
        <f t="shared" ca="1" si="213"/>
        <v>0</v>
      </c>
      <c r="BC471" s="66">
        <f t="shared" ca="1" si="214"/>
        <v>0</v>
      </c>
      <c r="BD471" s="66">
        <f t="shared" ca="1" si="215"/>
        <v>0</v>
      </c>
      <c r="BE471" s="71">
        <f t="shared" ca="1" si="221"/>
        <v>0</v>
      </c>
      <c r="BF471" s="65">
        <f t="shared" ca="1" si="216"/>
        <v>0</v>
      </c>
      <c r="BG471" s="69">
        <f t="shared" ca="1" si="217"/>
        <v>0</v>
      </c>
      <c r="BH471" s="301">
        <f t="shared" ca="1" si="220"/>
        <v>0</v>
      </c>
      <c r="BI471" s="300">
        <f ca="1">IF(AO471&gt;TartamVálasztott,0,   (BI470+BH471)*(1+yields!$D$2)*(1-(0.0099/12)))</f>
        <v>0</v>
      </c>
      <c r="BJ471" s="300">
        <f ca="1">SUM(BH$6:BH471)*-1.2</f>
        <v>-862056.26733480149</v>
      </c>
      <c r="BK471" s="300">
        <f t="shared" ref="BK471:BK534" ca="1" si="226">BI471+BJ471</f>
        <v>-862056.26733480149</v>
      </c>
      <c r="BL471" s="28">
        <f t="shared" ca="1" si="224"/>
        <v>2055</v>
      </c>
      <c r="BM471" s="28">
        <f t="shared" ca="1" si="222"/>
        <v>11</v>
      </c>
      <c r="BN471" s="236">
        <f t="shared" ca="1" si="223"/>
        <v>0</v>
      </c>
      <c r="BO471" s="236">
        <f t="shared" ca="1" si="218"/>
        <v>0</v>
      </c>
    </row>
    <row r="472" spans="41:67" x14ac:dyDescent="0.25">
      <c r="AO472" s="28">
        <f t="shared" si="202"/>
        <v>39</v>
      </c>
      <c r="AP472" s="28">
        <f t="shared" si="203"/>
        <v>11</v>
      </c>
      <c r="AQ472" s="65">
        <f t="shared" ca="1" si="219"/>
        <v>0</v>
      </c>
      <c r="AR472" s="66">
        <f t="shared" ca="1" si="204"/>
        <v>0</v>
      </c>
      <c r="AS472" s="66">
        <f t="shared" ca="1" si="205"/>
        <v>0</v>
      </c>
      <c r="AT472" s="66">
        <f t="shared" ca="1" si="206"/>
        <v>0</v>
      </c>
      <c r="AU472" s="66">
        <f t="shared" ca="1" si="207"/>
        <v>0</v>
      </c>
      <c r="AV472" s="68">
        <f t="shared" ca="1" si="225"/>
        <v>0</v>
      </c>
      <c r="AW472" s="65">
        <f t="shared" ca="1" si="208"/>
        <v>0</v>
      </c>
      <c r="AX472" s="69">
        <f t="shared" ca="1" si="209"/>
        <v>0</v>
      </c>
      <c r="AY472" s="70">
        <f t="shared" ca="1" si="210"/>
        <v>0</v>
      </c>
      <c r="AZ472" s="66">
        <f t="shared" ca="1" si="211"/>
        <v>0</v>
      </c>
      <c r="BA472" s="66">
        <f t="shared" ca="1" si="212"/>
        <v>0</v>
      </c>
      <c r="BB472" s="66">
        <f t="shared" ca="1" si="213"/>
        <v>0</v>
      </c>
      <c r="BC472" s="66">
        <f t="shared" ca="1" si="214"/>
        <v>0</v>
      </c>
      <c r="BD472" s="66">
        <f t="shared" ca="1" si="215"/>
        <v>0</v>
      </c>
      <c r="BE472" s="71">
        <f t="shared" ca="1" si="221"/>
        <v>0</v>
      </c>
      <c r="BF472" s="65">
        <f t="shared" ca="1" si="216"/>
        <v>0</v>
      </c>
      <c r="BG472" s="69">
        <f t="shared" ca="1" si="217"/>
        <v>0</v>
      </c>
      <c r="BH472" s="301">
        <f t="shared" ca="1" si="220"/>
        <v>0</v>
      </c>
      <c r="BI472" s="300">
        <f ca="1">IF(AO472&gt;TartamVálasztott,0,   (BI471+BH472)*(1+yields!$D$2)*(1-(0.0099/12)))</f>
        <v>0</v>
      </c>
      <c r="BJ472" s="300">
        <f ca="1">SUM(BH$6:BH472)*-1.2</f>
        <v>-862056.26733480149</v>
      </c>
      <c r="BK472" s="300">
        <f t="shared" ca="1" si="226"/>
        <v>-862056.26733480149</v>
      </c>
      <c r="BL472" s="28">
        <f t="shared" ca="1" si="224"/>
        <v>2055</v>
      </c>
      <c r="BM472" s="28">
        <f t="shared" ca="1" si="222"/>
        <v>12</v>
      </c>
      <c r="BN472" s="236">
        <f t="shared" ca="1" si="223"/>
        <v>0</v>
      </c>
      <c r="BO472" s="236">
        <f t="shared" ca="1" si="218"/>
        <v>0</v>
      </c>
    </row>
    <row r="473" spans="41:67" x14ac:dyDescent="0.25">
      <c r="AO473" s="28">
        <f t="shared" si="202"/>
        <v>39</v>
      </c>
      <c r="AP473" s="28">
        <f t="shared" si="203"/>
        <v>12</v>
      </c>
      <c r="AQ473" s="65">
        <f t="shared" ca="1" si="219"/>
        <v>0</v>
      </c>
      <c r="AR473" s="66">
        <f t="shared" ca="1" si="204"/>
        <v>0</v>
      </c>
      <c r="AS473" s="66">
        <f t="shared" ca="1" si="205"/>
        <v>0</v>
      </c>
      <c r="AT473" s="66">
        <f t="shared" ca="1" si="206"/>
        <v>0</v>
      </c>
      <c r="AU473" s="66">
        <f t="shared" ca="1" si="207"/>
        <v>0</v>
      </c>
      <c r="AV473" s="68">
        <f t="shared" ca="1" si="225"/>
        <v>0</v>
      </c>
      <c r="AW473" s="65">
        <f t="shared" ca="1" si="208"/>
        <v>0</v>
      </c>
      <c r="AX473" s="69">
        <f t="shared" ca="1" si="209"/>
        <v>0</v>
      </c>
      <c r="AY473" s="70">
        <f t="shared" ca="1" si="210"/>
        <v>0</v>
      </c>
      <c r="AZ473" s="66">
        <f t="shared" ca="1" si="211"/>
        <v>0</v>
      </c>
      <c r="BA473" s="66">
        <f t="shared" ca="1" si="212"/>
        <v>0</v>
      </c>
      <c r="BB473" s="66">
        <f t="shared" ca="1" si="213"/>
        <v>0</v>
      </c>
      <c r="BC473" s="66">
        <f t="shared" ca="1" si="214"/>
        <v>0</v>
      </c>
      <c r="BD473" s="66">
        <f t="shared" ca="1" si="215"/>
        <v>0</v>
      </c>
      <c r="BE473" s="71">
        <f t="shared" ca="1" si="221"/>
        <v>0</v>
      </c>
      <c r="BF473" s="65">
        <f t="shared" ca="1" si="216"/>
        <v>0</v>
      </c>
      <c r="BG473" s="69">
        <f t="shared" ca="1" si="217"/>
        <v>0</v>
      </c>
      <c r="BH473" s="301">
        <f t="shared" ca="1" si="220"/>
        <v>0</v>
      </c>
      <c r="BI473" s="300">
        <f ca="1">IF(AO473&gt;TartamVálasztott,0,   (BI472+BH473)*(1+yields!$D$2)*(1-(0.0099/12)))</f>
        <v>0</v>
      </c>
      <c r="BJ473" s="300">
        <f ca="1">SUM(BH$6:BH473)*-1.2</f>
        <v>-862056.26733480149</v>
      </c>
      <c r="BK473" s="300">
        <f t="shared" ca="1" si="226"/>
        <v>-862056.26733480149</v>
      </c>
      <c r="BL473" s="28">
        <f t="shared" ca="1" si="224"/>
        <v>2056</v>
      </c>
      <c r="BM473" s="28">
        <f t="shared" ca="1" si="222"/>
        <v>1</v>
      </c>
      <c r="BN473" s="236">
        <f t="shared" ca="1" si="223"/>
        <v>0</v>
      </c>
      <c r="BO473" s="236">
        <f t="shared" ca="1" si="218"/>
        <v>0</v>
      </c>
    </row>
    <row r="474" spans="41:67" x14ac:dyDescent="0.25">
      <c r="AO474" s="28">
        <f t="shared" si="202"/>
        <v>40</v>
      </c>
      <c r="AP474" s="28">
        <f t="shared" si="203"/>
        <v>1</v>
      </c>
      <c r="AQ474" s="65">
        <f t="shared" ca="1" si="219"/>
        <v>0</v>
      </c>
      <c r="AR474" s="66">
        <f t="shared" ca="1" si="204"/>
        <v>0</v>
      </c>
      <c r="AS474" s="66">
        <f t="shared" ca="1" si="205"/>
        <v>0</v>
      </c>
      <c r="AT474" s="66">
        <f t="shared" ca="1" si="206"/>
        <v>0</v>
      </c>
      <c r="AU474" s="66">
        <f t="shared" ca="1" si="207"/>
        <v>0</v>
      </c>
      <c r="AV474" s="68">
        <f t="shared" ca="1" si="225"/>
        <v>0</v>
      </c>
      <c r="AW474" s="65">
        <f t="shared" ca="1" si="208"/>
        <v>0</v>
      </c>
      <c r="AX474" s="69">
        <f t="shared" ca="1" si="209"/>
        <v>0</v>
      </c>
      <c r="AY474" s="70">
        <f t="shared" ca="1" si="210"/>
        <v>0</v>
      </c>
      <c r="AZ474" s="66">
        <f t="shared" ca="1" si="211"/>
        <v>0</v>
      </c>
      <c r="BA474" s="66">
        <f t="shared" ca="1" si="212"/>
        <v>0</v>
      </c>
      <c r="BB474" s="66">
        <f t="shared" ca="1" si="213"/>
        <v>0</v>
      </c>
      <c r="BC474" s="66">
        <f t="shared" ca="1" si="214"/>
        <v>0</v>
      </c>
      <c r="BD474" s="66">
        <f t="shared" ca="1" si="215"/>
        <v>0</v>
      </c>
      <c r="BE474" s="71">
        <f t="shared" ca="1" si="221"/>
        <v>0</v>
      </c>
      <c r="BF474" s="65">
        <f t="shared" ca="1" si="216"/>
        <v>0</v>
      </c>
      <c r="BG474" s="69">
        <f t="shared" ca="1" si="217"/>
        <v>0</v>
      </c>
      <c r="BH474" s="301">
        <f t="shared" ca="1" si="220"/>
        <v>0</v>
      </c>
      <c r="BI474" s="300">
        <f ca="1">IF(AO474&gt;TartamVálasztott,0,   (BI473+BH474)*(1+yields!$D$2)*(1-(0.0099/12)))</f>
        <v>0</v>
      </c>
      <c r="BJ474" s="300">
        <f ca="1">SUM(BH$6:BH474)*-1.2</f>
        <v>-862056.26733480149</v>
      </c>
      <c r="BK474" s="300">
        <f t="shared" ca="1" si="226"/>
        <v>-862056.26733480149</v>
      </c>
      <c r="BL474" s="28">
        <f t="shared" ca="1" si="224"/>
        <v>2056</v>
      </c>
      <c r="BM474" s="28">
        <f t="shared" ca="1" si="222"/>
        <v>2</v>
      </c>
      <c r="BN474" s="236">
        <f t="shared" ca="1" si="223"/>
        <v>0</v>
      </c>
      <c r="BO474" s="236">
        <f t="shared" ca="1" si="218"/>
        <v>0</v>
      </c>
    </row>
    <row r="475" spans="41:67" x14ac:dyDescent="0.25">
      <c r="AO475" s="28">
        <f t="shared" si="202"/>
        <v>40</v>
      </c>
      <c r="AP475" s="28">
        <f t="shared" si="203"/>
        <v>2</v>
      </c>
      <c r="AQ475" s="65">
        <f t="shared" ca="1" si="219"/>
        <v>0</v>
      </c>
      <c r="AR475" s="66">
        <f t="shared" ca="1" si="204"/>
        <v>0</v>
      </c>
      <c r="AS475" s="66">
        <f t="shared" ca="1" si="205"/>
        <v>0</v>
      </c>
      <c r="AT475" s="66">
        <f t="shared" ca="1" si="206"/>
        <v>0</v>
      </c>
      <c r="AU475" s="66">
        <f t="shared" ca="1" si="207"/>
        <v>0</v>
      </c>
      <c r="AV475" s="68">
        <f t="shared" ca="1" si="225"/>
        <v>0</v>
      </c>
      <c r="AW475" s="65">
        <f t="shared" ca="1" si="208"/>
        <v>0</v>
      </c>
      <c r="AX475" s="69">
        <f t="shared" ca="1" si="209"/>
        <v>0</v>
      </c>
      <c r="AY475" s="70">
        <f t="shared" ca="1" si="210"/>
        <v>0</v>
      </c>
      <c r="AZ475" s="66">
        <f t="shared" ca="1" si="211"/>
        <v>0</v>
      </c>
      <c r="BA475" s="66">
        <f t="shared" ca="1" si="212"/>
        <v>0</v>
      </c>
      <c r="BB475" s="66">
        <f t="shared" ca="1" si="213"/>
        <v>0</v>
      </c>
      <c r="BC475" s="66">
        <f t="shared" ca="1" si="214"/>
        <v>0</v>
      </c>
      <c r="BD475" s="66">
        <f t="shared" ca="1" si="215"/>
        <v>0</v>
      </c>
      <c r="BE475" s="71">
        <f t="shared" ca="1" si="221"/>
        <v>0</v>
      </c>
      <c r="BF475" s="65">
        <f t="shared" ca="1" si="216"/>
        <v>0</v>
      </c>
      <c r="BG475" s="69">
        <f t="shared" ca="1" si="217"/>
        <v>0</v>
      </c>
      <c r="BH475" s="301">
        <f t="shared" ca="1" si="220"/>
        <v>0</v>
      </c>
      <c r="BI475" s="300">
        <f ca="1">IF(AO475&gt;TartamVálasztott,0,   (BI474+BH475)*(1+yields!$D$2)*(1-(0.0099/12)))</f>
        <v>0</v>
      </c>
      <c r="BJ475" s="300">
        <f ca="1">SUM(BH$6:BH475)*-1.2</f>
        <v>-862056.26733480149</v>
      </c>
      <c r="BK475" s="300">
        <f t="shared" ca="1" si="226"/>
        <v>-862056.26733480149</v>
      </c>
      <c r="BL475" s="28">
        <f t="shared" ca="1" si="224"/>
        <v>2056</v>
      </c>
      <c r="BM475" s="28">
        <f t="shared" ca="1" si="222"/>
        <v>3</v>
      </c>
      <c r="BN475" s="236">
        <f t="shared" ca="1" si="223"/>
        <v>0</v>
      </c>
      <c r="BO475" s="236">
        <f t="shared" ca="1" si="218"/>
        <v>0</v>
      </c>
    </row>
    <row r="476" spans="41:67" x14ac:dyDescent="0.25">
      <c r="AO476" s="28">
        <f t="shared" si="202"/>
        <v>40</v>
      </c>
      <c r="AP476" s="28">
        <f t="shared" si="203"/>
        <v>3</v>
      </c>
      <c r="AQ476" s="65">
        <f t="shared" ca="1" si="219"/>
        <v>0</v>
      </c>
      <c r="AR476" s="66">
        <f t="shared" ca="1" si="204"/>
        <v>0</v>
      </c>
      <c r="AS476" s="66">
        <f t="shared" ca="1" si="205"/>
        <v>0</v>
      </c>
      <c r="AT476" s="66">
        <f t="shared" ca="1" si="206"/>
        <v>0</v>
      </c>
      <c r="AU476" s="66">
        <f t="shared" ca="1" si="207"/>
        <v>0</v>
      </c>
      <c r="AV476" s="68">
        <f t="shared" ca="1" si="225"/>
        <v>0</v>
      </c>
      <c r="AW476" s="65">
        <f t="shared" ca="1" si="208"/>
        <v>0</v>
      </c>
      <c r="AX476" s="69">
        <f t="shared" ca="1" si="209"/>
        <v>0</v>
      </c>
      <c r="AY476" s="70">
        <f t="shared" ca="1" si="210"/>
        <v>0</v>
      </c>
      <c r="AZ476" s="66">
        <f t="shared" ca="1" si="211"/>
        <v>0</v>
      </c>
      <c r="BA476" s="66">
        <f t="shared" ca="1" si="212"/>
        <v>0</v>
      </c>
      <c r="BB476" s="66">
        <f t="shared" ca="1" si="213"/>
        <v>0</v>
      </c>
      <c r="BC476" s="66">
        <f t="shared" ca="1" si="214"/>
        <v>0</v>
      </c>
      <c r="BD476" s="66">
        <f t="shared" ca="1" si="215"/>
        <v>0</v>
      </c>
      <c r="BE476" s="71">
        <f t="shared" ca="1" si="221"/>
        <v>0</v>
      </c>
      <c r="BF476" s="65">
        <f t="shared" ca="1" si="216"/>
        <v>0</v>
      </c>
      <c r="BG476" s="69">
        <f t="shared" ca="1" si="217"/>
        <v>0</v>
      </c>
      <c r="BH476" s="301">
        <f t="shared" ca="1" si="220"/>
        <v>0</v>
      </c>
      <c r="BI476" s="300">
        <f ca="1">IF(AO476&gt;TartamVálasztott,0,   (BI475+BH476)*(1+yields!$D$2)*(1-(0.0099/12)))</f>
        <v>0</v>
      </c>
      <c r="BJ476" s="300">
        <f ca="1">SUM(BH$6:BH476)*-1.2</f>
        <v>-862056.26733480149</v>
      </c>
      <c r="BK476" s="300">
        <f t="shared" ca="1" si="226"/>
        <v>-862056.26733480149</v>
      </c>
      <c r="BL476" s="28">
        <f t="shared" ca="1" si="224"/>
        <v>2056</v>
      </c>
      <c r="BM476" s="28">
        <f t="shared" ca="1" si="222"/>
        <v>4</v>
      </c>
      <c r="BN476" s="236">
        <f t="shared" ca="1" si="223"/>
        <v>0</v>
      </c>
      <c r="BO476" s="236">
        <f t="shared" ca="1" si="218"/>
        <v>0</v>
      </c>
    </row>
    <row r="477" spans="41:67" x14ac:dyDescent="0.25">
      <c r="AO477" s="28">
        <f t="shared" si="202"/>
        <v>40</v>
      </c>
      <c r="AP477" s="28">
        <f t="shared" si="203"/>
        <v>4</v>
      </c>
      <c r="AQ477" s="65">
        <f t="shared" ca="1" si="219"/>
        <v>0</v>
      </c>
      <c r="AR477" s="66">
        <f t="shared" ca="1" si="204"/>
        <v>0</v>
      </c>
      <c r="AS477" s="66">
        <f t="shared" ca="1" si="205"/>
        <v>0</v>
      </c>
      <c r="AT477" s="66">
        <f t="shared" ca="1" si="206"/>
        <v>0</v>
      </c>
      <c r="AU477" s="66">
        <f t="shared" ca="1" si="207"/>
        <v>0</v>
      </c>
      <c r="AV477" s="68">
        <f t="shared" ca="1" si="225"/>
        <v>0</v>
      </c>
      <c r="AW477" s="65">
        <f t="shared" ca="1" si="208"/>
        <v>0</v>
      </c>
      <c r="AX477" s="69">
        <f t="shared" ca="1" si="209"/>
        <v>0</v>
      </c>
      <c r="AY477" s="70">
        <f t="shared" ca="1" si="210"/>
        <v>0</v>
      </c>
      <c r="AZ477" s="66">
        <f t="shared" ca="1" si="211"/>
        <v>0</v>
      </c>
      <c r="BA477" s="66">
        <f t="shared" ca="1" si="212"/>
        <v>0</v>
      </c>
      <c r="BB477" s="66">
        <f t="shared" ca="1" si="213"/>
        <v>0</v>
      </c>
      <c r="BC477" s="66">
        <f t="shared" ca="1" si="214"/>
        <v>0</v>
      </c>
      <c r="BD477" s="66">
        <f t="shared" ca="1" si="215"/>
        <v>0</v>
      </c>
      <c r="BE477" s="71">
        <f t="shared" ca="1" si="221"/>
        <v>0</v>
      </c>
      <c r="BF477" s="65">
        <f t="shared" ca="1" si="216"/>
        <v>0</v>
      </c>
      <c r="BG477" s="69">
        <f t="shared" ca="1" si="217"/>
        <v>0</v>
      </c>
      <c r="BH477" s="301">
        <f t="shared" ca="1" si="220"/>
        <v>0</v>
      </c>
      <c r="BI477" s="300">
        <f ca="1">IF(AO477&gt;TartamVálasztott,0,   (BI476+BH477)*(1+yields!$D$2)*(1-(0.0099/12)))</f>
        <v>0</v>
      </c>
      <c r="BJ477" s="300">
        <f ca="1">SUM(BH$6:BH477)*-1.2</f>
        <v>-862056.26733480149</v>
      </c>
      <c r="BK477" s="300">
        <f t="shared" ca="1" si="226"/>
        <v>-862056.26733480149</v>
      </c>
      <c r="BL477" s="28">
        <f t="shared" ca="1" si="224"/>
        <v>2056</v>
      </c>
      <c r="BM477" s="28">
        <f t="shared" ca="1" si="222"/>
        <v>5</v>
      </c>
      <c r="BN477" s="236">
        <f t="shared" ca="1" si="223"/>
        <v>0</v>
      </c>
      <c r="BO477" s="236">
        <f t="shared" ca="1" si="218"/>
        <v>0</v>
      </c>
    </row>
    <row r="478" spans="41:67" x14ac:dyDescent="0.25">
      <c r="AO478" s="28">
        <f t="shared" si="202"/>
        <v>40</v>
      </c>
      <c r="AP478" s="28">
        <f t="shared" si="203"/>
        <v>5</v>
      </c>
      <c r="AQ478" s="65">
        <f t="shared" ca="1" si="219"/>
        <v>0</v>
      </c>
      <c r="AR478" s="66">
        <f t="shared" ca="1" si="204"/>
        <v>0</v>
      </c>
      <c r="AS478" s="66">
        <f t="shared" ca="1" si="205"/>
        <v>0</v>
      </c>
      <c r="AT478" s="66">
        <f t="shared" ca="1" si="206"/>
        <v>0</v>
      </c>
      <c r="AU478" s="66">
        <f t="shared" ca="1" si="207"/>
        <v>0</v>
      </c>
      <c r="AV478" s="68">
        <f t="shared" ca="1" si="225"/>
        <v>0</v>
      </c>
      <c r="AW478" s="65">
        <f t="shared" ca="1" si="208"/>
        <v>0</v>
      </c>
      <c r="AX478" s="69">
        <f t="shared" ca="1" si="209"/>
        <v>0</v>
      </c>
      <c r="AY478" s="70">
        <f t="shared" ca="1" si="210"/>
        <v>0</v>
      </c>
      <c r="AZ478" s="66">
        <f t="shared" ca="1" si="211"/>
        <v>0</v>
      </c>
      <c r="BA478" s="66">
        <f t="shared" ca="1" si="212"/>
        <v>0</v>
      </c>
      <c r="BB478" s="66">
        <f t="shared" ca="1" si="213"/>
        <v>0</v>
      </c>
      <c r="BC478" s="66">
        <f t="shared" ca="1" si="214"/>
        <v>0</v>
      </c>
      <c r="BD478" s="66">
        <f t="shared" ca="1" si="215"/>
        <v>0</v>
      </c>
      <c r="BE478" s="71">
        <f t="shared" ca="1" si="221"/>
        <v>0</v>
      </c>
      <c r="BF478" s="65">
        <f t="shared" ca="1" si="216"/>
        <v>0</v>
      </c>
      <c r="BG478" s="69">
        <f t="shared" ca="1" si="217"/>
        <v>0</v>
      </c>
      <c r="BH478" s="301">
        <f t="shared" ca="1" si="220"/>
        <v>0</v>
      </c>
      <c r="BI478" s="300">
        <f ca="1">IF(AO478&gt;TartamVálasztott,0,   (BI477+BH478)*(1+yields!$D$2)*(1-(0.0099/12)))</f>
        <v>0</v>
      </c>
      <c r="BJ478" s="300">
        <f ca="1">SUM(BH$6:BH478)*-1.2</f>
        <v>-862056.26733480149</v>
      </c>
      <c r="BK478" s="300">
        <f t="shared" ca="1" si="226"/>
        <v>-862056.26733480149</v>
      </c>
      <c r="BL478" s="28">
        <f t="shared" ca="1" si="224"/>
        <v>2056</v>
      </c>
      <c r="BM478" s="28">
        <f t="shared" ca="1" si="222"/>
        <v>6</v>
      </c>
      <c r="BN478" s="236">
        <f t="shared" ca="1" si="223"/>
        <v>0</v>
      </c>
      <c r="BO478" s="236">
        <f t="shared" ca="1" si="218"/>
        <v>0</v>
      </c>
    </row>
    <row r="479" spans="41:67" x14ac:dyDescent="0.25">
      <c r="AO479" s="28">
        <f t="shared" si="202"/>
        <v>40</v>
      </c>
      <c r="AP479" s="28">
        <f t="shared" si="203"/>
        <v>6</v>
      </c>
      <c r="AQ479" s="65">
        <f t="shared" ca="1" si="219"/>
        <v>0</v>
      </c>
      <c r="AR479" s="66">
        <f t="shared" ca="1" si="204"/>
        <v>0</v>
      </c>
      <c r="AS479" s="66">
        <f t="shared" ca="1" si="205"/>
        <v>0</v>
      </c>
      <c r="AT479" s="66">
        <f t="shared" ca="1" si="206"/>
        <v>0</v>
      </c>
      <c r="AU479" s="66">
        <f t="shared" ca="1" si="207"/>
        <v>0</v>
      </c>
      <c r="AV479" s="68">
        <f t="shared" ca="1" si="225"/>
        <v>0</v>
      </c>
      <c r="AW479" s="65">
        <f t="shared" ca="1" si="208"/>
        <v>0</v>
      </c>
      <c r="AX479" s="69">
        <f t="shared" ca="1" si="209"/>
        <v>0</v>
      </c>
      <c r="AY479" s="70">
        <f t="shared" ca="1" si="210"/>
        <v>0</v>
      </c>
      <c r="AZ479" s="66">
        <f t="shared" ca="1" si="211"/>
        <v>0</v>
      </c>
      <c r="BA479" s="66">
        <f t="shared" ca="1" si="212"/>
        <v>0</v>
      </c>
      <c r="BB479" s="66">
        <f t="shared" ca="1" si="213"/>
        <v>0</v>
      </c>
      <c r="BC479" s="66">
        <f t="shared" ca="1" si="214"/>
        <v>0</v>
      </c>
      <c r="BD479" s="66">
        <f t="shared" ca="1" si="215"/>
        <v>0</v>
      </c>
      <c r="BE479" s="71">
        <f t="shared" ca="1" si="221"/>
        <v>0</v>
      </c>
      <c r="BF479" s="65">
        <f t="shared" ca="1" si="216"/>
        <v>0</v>
      </c>
      <c r="BG479" s="69">
        <f t="shared" ca="1" si="217"/>
        <v>0</v>
      </c>
      <c r="BH479" s="301">
        <f t="shared" ca="1" si="220"/>
        <v>0</v>
      </c>
      <c r="BI479" s="300">
        <f ca="1">IF(AO479&gt;TartamVálasztott,0,   (BI478+BH479)*(1+yields!$D$2)*(1-(0.0099/12)))</f>
        <v>0</v>
      </c>
      <c r="BJ479" s="300">
        <f ca="1">SUM(BH$6:BH479)*-1.2</f>
        <v>-862056.26733480149</v>
      </c>
      <c r="BK479" s="300">
        <f t="shared" ca="1" si="226"/>
        <v>-862056.26733480149</v>
      </c>
      <c r="BL479" s="28">
        <f t="shared" ca="1" si="224"/>
        <v>2056</v>
      </c>
      <c r="BM479" s="28">
        <f t="shared" ca="1" si="222"/>
        <v>7</v>
      </c>
      <c r="BN479" s="236">
        <f t="shared" ca="1" si="223"/>
        <v>0</v>
      </c>
      <c r="BO479" s="236">
        <f t="shared" ca="1" si="218"/>
        <v>0</v>
      </c>
    </row>
    <row r="480" spans="41:67" x14ac:dyDescent="0.25">
      <c r="AO480" s="28">
        <f t="shared" si="202"/>
        <v>40</v>
      </c>
      <c r="AP480" s="28">
        <f t="shared" si="203"/>
        <v>7</v>
      </c>
      <c r="AQ480" s="65">
        <f t="shared" ca="1" si="219"/>
        <v>0</v>
      </c>
      <c r="AR480" s="66">
        <f t="shared" ca="1" si="204"/>
        <v>0</v>
      </c>
      <c r="AS480" s="66">
        <f t="shared" ca="1" si="205"/>
        <v>0</v>
      </c>
      <c r="AT480" s="66">
        <f t="shared" ca="1" si="206"/>
        <v>0</v>
      </c>
      <c r="AU480" s="66">
        <f t="shared" ca="1" si="207"/>
        <v>0</v>
      </c>
      <c r="AV480" s="68">
        <f t="shared" ca="1" si="225"/>
        <v>0</v>
      </c>
      <c r="AW480" s="65">
        <f t="shared" ca="1" si="208"/>
        <v>0</v>
      </c>
      <c r="AX480" s="69">
        <f t="shared" ca="1" si="209"/>
        <v>0</v>
      </c>
      <c r="AY480" s="70">
        <f t="shared" ca="1" si="210"/>
        <v>0</v>
      </c>
      <c r="AZ480" s="66">
        <f t="shared" ca="1" si="211"/>
        <v>0</v>
      </c>
      <c r="BA480" s="66">
        <f t="shared" ca="1" si="212"/>
        <v>0</v>
      </c>
      <c r="BB480" s="66">
        <f t="shared" ca="1" si="213"/>
        <v>0</v>
      </c>
      <c r="BC480" s="66">
        <f t="shared" ca="1" si="214"/>
        <v>0</v>
      </c>
      <c r="BD480" s="66">
        <f t="shared" ca="1" si="215"/>
        <v>0</v>
      </c>
      <c r="BE480" s="71">
        <f t="shared" ca="1" si="221"/>
        <v>0</v>
      </c>
      <c r="BF480" s="65">
        <f t="shared" ca="1" si="216"/>
        <v>0</v>
      </c>
      <c r="BG480" s="69">
        <f t="shared" ca="1" si="217"/>
        <v>0</v>
      </c>
      <c r="BH480" s="301">
        <f t="shared" ca="1" si="220"/>
        <v>0</v>
      </c>
      <c r="BI480" s="300">
        <f ca="1">IF(AO480&gt;TartamVálasztott,0,   (BI479+BH480)*(1+yields!$D$2)*(1-(0.0099/12)))</f>
        <v>0</v>
      </c>
      <c r="BJ480" s="300">
        <f ca="1">SUM(BH$6:BH480)*-1.2</f>
        <v>-862056.26733480149</v>
      </c>
      <c r="BK480" s="300">
        <f t="shared" ca="1" si="226"/>
        <v>-862056.26733480149</v>
      </c>
      <c r="BL480" s="28">
        <f t="shared" ca="1" si="224"/>
        <v>2056</v>
      </c>
      <c r="BM480" s="28">
        <f t="shared" ca="1" si="222"/>
        <v>8</v>
      </c>
      <c r="BN480" s="236">
        <f t="shared" ca="1" si="223"/>
        <v>0</v>
      </c>
      <c r="BO480" s="236">
        <f t="shared" ca="1" si="218"/>
        <v>0</v>
      </c>
    </row>
    <row r="481" spans="41:67" x14ac:dyDescent="0.25">
      <c r="AO481" s="28">
        <f t="shared" si="202"/>
        <v>40</v>
      </c>
      <c r="AP481" s="28">
        <f t="shared" si="203"/>
        <v>8</v>
      </c>
      <c r="AQ481" s="65">
        <f t="shared" ca="1" si="219"/>
        <v>0</v>
      </c>
      <c r="AR481" s="66">
        <f t="shared" ca="1" si="204"/>
        <v>0</v>
      </c>
      <c r="AS481" s="66">
        <f t="shared" ca="1" si="205"/>
        <v>0</v>
      </c>
      <c r="AT481" s="66">
        <f t="shared" ca="1" si="206"/>
        <v>0</v>
      </c>
      <c r="AU481" s="66">
        <f t="shared" ca="1" si="207"/>
        <v>0</v>
      </c>
      <c r="AV481" s="68">
        <f t="shared" ca="1" si="225"/>
        <v>0</v>
      </c>
      <c r="AW481" s="65">
        <f t="shared" ca="1" si="208"/>
        <v>0</v>
      </c>
      <c r="AX481" s="69">
        <f t="shared" ca="1" si="209"/>
        <v>0</v>
      </c>
      <c r="AY481" s="70">
        <f t="shared" ca="1" si="210"/>
        <v>0</v>
      </c>
      <c r="AZ481" s="66">
        <f t="shared" ca="1" si="211"/>
        <v>0</v>
      </c>
      <c r="BA481" s="66">
        <f t="shared" ca="1" si="212"/>
        <v>0</v>
      </c>
      <c r="BB481" s="66">
        <f t="shared" ca="1" si="213"/>
        <v>0</v>
      </c>
      <c r="BC481" s="66">
        <f t="shared" ca="1" si="214"/>
        <v>0</v>
      </c>
      <c r="BD481" s="66">
        <f t="shared" ca="1" si="215"/>
        <v>0</v>
      </c>
      <c r="BE481" s="71">
        <f t="shared" ca="1" si="221"/>
        <v>0</v>
      </c>
      <c r="BF481" s="65">
        <f t="shared" ca="1" si="216"/>
        <v>0</v>
      </c>
      <c r="BG481" s="69">
        <f t="shared" ca="1" si="217"/>
        <v>0</v>
      </c>
      <c r="BH481" s="301">
        <f t="shared" ca="1" si="220"/>
        <v>0</v>
      </c>
      <c r="BI481" s="300">
        <f ca="1">IF(AO481&gt;TartamVálasztott,0,   (BI480+BH481)*(1+yields!$D$2)*(1-(0.0099/12)))</f>
        <v>0</v>
      </c>
      <c r="BJ481" s="300">
        <f ca="1">SUM(BH$6:BH481)*-1.2</f>
        <v>-862056.26733480149</v>
      </c>
      <c r="BK481" s="300">
        <f t="shared" ca="1" si="226"/>
        <v>-862056.26733480149</v>
      </c>
      <c r="BL481" s="28">
        <f t="shared" ca="1" si="224"/>
        <v>2056</v>
      </c>
      <c r="BM481" s="28">
        <f t="shared" ca="1" si="222"/>
        <v>9</v>
      </c>
      <c r="BN481" s="236">
        <f t="shared" ca="1" si="223"/>
        <v>0</v>
      </c>
      <c r="BO481" s="236">
        <f t="shared" ca="1" si="218"/>
        <v>0</v>
      </c>
    </row>
    <row r="482" spans="41:67" x14ac:dyDescent="0.25">
      <c r="AO482" s="28">
        <f t="shared" si="202"/>
        <v>40</v>
      </c>
      <c r="AP482" s="28">
        <f t="shared" si="203"/>
        <v>9</v>
      </c>
      <c r="AQ482" s="65">
        <f t="shared" ca="1" si="219"/>
        <v>0</v>
      </c>
      <c r="AR482" s="66">
        <f t="shared" ca="1" si="204"/>
        <v>0</v>
      </c>
      <c r="AS482" s="66">
        <f t="shared" ca="1" si="205"/>
        <v>0</v>
      </c>
      <c r="AT482" s="66">
        <f t="shared" ca="1" si="206"/>
        <v>0</v>
      </c>
      <c r="AU482" s="66">
        <f t="shared" ca="1" si="207"/>
        <v>0</v>
      </c>
      <c r="AV482" s="68">
        <f t="shared" ca="1" si="225"/>
        <v>0</v>
      </c>
      <c r="AW482" s="65">
        <f t="shared" ca="1" si="208"/>
        <v>0</v>
      </c>
      <c r="AX482" s="69">
        <f t="shared" ca="1" si="209"/>
        <v>0</v>
      </c>
      <c r="AY482" s="70">
        <f t="shared" ca="1" si="210"/>
        <v>0</v>
      </c>
      <c r="AZ482" s="66">
        <f t="shared" ca="1" si="211"/>
        <v>0</v>
      </c>
      <c r="BA482" s="66">
        <f t="shared" ca="1" si="212"/>
        <v>0</v>
      </c>
      <c r="BB482" s="66">
        <f t="shared" ca="1" si="213"/>
        <v>0</v>
      </c>
      <c r="BC482" s="66">
        <f t="shared" ca="1" si="214"/>
        <v>0</v>
      </c>
      <c r="BD482" s="66">
        <f t="shared" ca="1" si="215"/>
        <v>0</v>
      </c>
      <c r="BE482" s="71">
        <f t="shared" ca="1" si="221"/>
        <v>0</v>
      </c>
      <c r="BF482" s="65">
        <f t="shared" ca="1" si="216"/>
        <v>0</v>
      </c>
      <c r="BG482" s="69">
        <f t="shared" ca="1" si="217"/>
        <v>0</v>
      </c>
      <c r="BH482" s="301">
        <f t="shared" ca="1" si="220"/>
        <v>0</v>
      </c>
      <c r="BI482" s="300">
        <f ca="1">IF(AO482&gt;TartamVálasztott,0,   (BI481+BH482)*(1+yields!$D$2)*(1-(0.0099/12)))</f>
        <v>0</v>
      </c>
      <c r="BJ482" s="300">
        <f ca="1">SUM(BH$6:BH482)*-1.2</f>
        <v>-862056.26733480149</v>
      </c>
      <c r="BK482" s="300">
        <f t="shared" ca="1" si="226"/>
        <v>-862056.26733480149</v>
      </c>
      <c r="BL482" s="28">
        <f t="shared" ca="1" si="224"/>
        <v>2056</v>
      </c>
      <c r="BM482" s="28">
        <f t="shared" ca="1" si="222"/>
        <v>10</v>
      </c>
      <c r="BN482" s="236">
        <f t="shared" ca="1" si="223"/>
        <v>0</v>
      </c>
      <c r="BO482" s="236">
        <f t="shared" ca="1" si="218"/>
        <v>0</v>
      </c>
    </row>
    <row r="483" spans="41:67" x14ac:dyDescent="0.25">
      <c r="AO483" s="28">
        <f t="shared" si="202"/>
        <v>40</v>
      </c>
      <c r="AP483" s="28">
        <f t="shared" si="203"/>
        <v>10</v>
      </c>
      <c r="AQ483" s="65">
        <f t="shared" ca="1" si="219"/>
        <v>0</v>
      </c>
      <c r="AR483" s="66">
        <f t="shared" ca="1" si="204"/>
        <v>0</v>
      </c>
      <c r="AS483" s="66">
        <f t="shared" ca="1" si="205"/>
        <v>0</v>
      </c>
      <c r="AT483" s="66">
        <f t="shared" ca="1" si="206"/>
        <v>0</v>
      </c>
      <c r="AU483" s="66">
        <f t="shared" ca="1" si="207"/>
        <v>0</v>
      </c>
      <c r="AV483" s="68">
        <f t="shared" ca="1" si="225"/>
        <v>0</v>
      </c>
      <c r="AW483" s="65">
        <f t="shared" ca="1" si="208"/>
        <v>0</v>
      </c>
      <c r="AX483" s="69">
        <f t="shared" ca="1" si="209"/>
        <v>0</v>
      </c>
      <c r="AY483" s="70">
        <f t="shared" ca="1" si="210"/>
        <v>0</v>
      </c>
      <c r="AZ483" s="66">
        <f t="shared" ca="1" si="211"/>
        <v>0</v>
      </c>
      <c r="BA483" s="66">
        <f t="shared" ca="1" si="212"/>
        <v>0</v>
      </c>
      <c r="BB483" s="66">
        <f t="shared" ca="1" si="213"/>
        <v>0</v>
      </c>
      <c r="BC483" s="66">
        <f t="shared" ca="1" si="214"/>
        <v>0</v>
      </c>
      <c r="BD483" s="66">
        <f t="shared" ca="1" si="215"/>
        <v>0</v>
      </c>
      <c r="BE483" s="71">
        <f t="shared" ca="1" si="221"/>
        <v>0</v>
      </c>
      <c r="BF483" s="65">
        <f t="shared" ca="1" si="216"/>
        <v>0</v>
      </c>
      <c r="BG483" s="69">
        <f t="shared" ca="1" si="217"/>
        <v>0</v>
      </c>
      <c r="BH483" s="301">
        <f t="shared" ca="1" si="220"/>
        <v>0</v>
      </c>
      <c r="BI483" s="300">
        <f ca="1">IF(AO483&gt;TartamVálasztott,0,   (BI482+BH483)*(1+yields!$D$2)*(1-(0.0099/12)))</f>
        <v>0</v>
      </c>
      <c r="BJ483" s="300">
        <f ca="1">SUM(BH$6:BH483)*-1.2</f>
        <v>-862056.26733480149</v>
      </c>
      <c r="BK483" s="300">
        <f t="shared" ca="1" si="226"/>
        <v>-862056.26733480149</v>
      </c>
      <c r="BL483" s="28">
        <f t="shared" ca="1" si="224"/>
        <v>2056</v>
      </c>
      <c r="BM483" s="28">
        <f t="shared" ca="1" si="222"/>
        <v>11</v>
      </c>
      <c r="BN483" s="236">
        <f t="shared" ca="1" si="223"/>
        <v>0</v>
      </c>
      <c r="BO483" s="236">
        <f t="shared" ca="1" si="218"/>
        <v>0</v>
      </c>
    </row>
    <row r="484" spans="41:67" x14ac:dyDescent="0.25">
      <c r="AO484" s="28">
        <f t="shared" si="202"/>
        <v>40</v>
      </c>
      <c r="AP484" s="28">
        <f t="shared" si="203"/>
        <v>11</v>
      </c>
      <c r="AQ484" s="65">
        <f t="shared" ca="1" si="219"/>
        <v>0</v>
      </c>
      <c r="AR484" s="66">
        <f t="shared" ca="1" si="204"/>
        <v>0</v>
      </c>
      <c r="AS484" s="66">
        <f t="shared" ca="1" si="205"/>
        <v>0</v>
      </c>
      <c r="AT484" s="66">
        <f t="shared" ca="1" si="206"/>
        <v>0</v>
      </c>
      <c r="AU484" s="66">
        <f t="shared" ca="1" si="207"/>
        <v>0</v>
      </c>
      <c r="AV484" s="68">
        <f t="shared" ca="1" si="225"/>
        <v>0</v>
      </c>
      <c r="AW484" s="65">
        <f t="shared" ca="1" si="208"/>
        <v>0</v>
      </c>
      <c r="AX484" s="69">
        <f t="shared" ca="1" si="209"/>
        <v>0</v>
      </c>
      <c r="AY484" s="70">
        <f t="shared" ca="1" si="210"/>
        <v>0</v>
      </c>
      <c r="AZ484" s="66">
        <f t="shared" ca="1" si="211"/>
        <v>0</v>
      </c>
      <c r="BA484" s="66">
        <f t="shared" ca="1" si="212"/>
        <v>0</v>
      </c>
      <c r="BB484" s="66">
        <f t="shared" ca="1" si="213"/>
        <v>0</v>
      </c>
      <c r="BC484" s="66">
        <f t="shared" ca="1" si="214"/>
        <v>0</v>
      </c>
      <c r="BD484" s="66">
        <f t="shared" ca="1" si="215"/>
        <v>0</v>
      </c>
      <c r="BE484" s="71">
        <f t="shared" ca="1" si="221"/>
        <v>0</v>
      </c>
      <c r="BF484" s="65">
        <f t="shared" ca="1" si="216"/>
        <v>0</v>
      </c>
      <c r="BG484" s="69">
        <f t="shared" ca="1" si="217"/>
        <v>0</v>
      </c>
      <c r="BH484" s="301">
        <f t="shared" ca="1" si="220"/>
        <v>0</v>
      </c>
      <c r="BI484" s="300">
        <f ca="1">IF(AO484&gt;TartamVálasztott,0,   (BI483+BH484)*(1+yields!$D$2)*(1-(0.0099/12)))</f>
        <v>0</v>
      </c>
      <c r="BJ484" s="300">
        <f ca="1">SUM(BH$6:BH484)*-1.2</f>
        <v>-862056.26733480149</v>
      </c>
      <c r="BK484" s="300">
        <f t="shared" ca="1" si="226"/>
        <v>-862056.26733480149</v>
      </c>
      <c r="BL484" s="28">
        <f t="shared" ca="1" si="224"/>
        <v>2056</v>
      </c>
      <c r="BM484" s="28">
        <f t="shared" ca="1" si="222"/>
        <v>12</v>
      </c>
      <c r="BN484" s="236">
        <f t="shared" ca="1" si="223"/>
        <v>0</v>
      </c>
      <c r="BO484" s="236">
        <f t="shared" ca="1" si="218"/>
        <v>0</v>
      </c>
    </row>
    <row r="485" spans="41:67" x14ac:dyDescent="0.25">
      <c r="AO485" s="28">
        <f t="shared" si="202"/>
        <v>40</v>
      </c>
      <c r="AP485" s="28">
        <f t="shared" si="203"/>
        <v>12</v>
      </c>
      <c r="AQ485" s="65">
        <f t="shared" ca="1" si="219"/>
        <v>0</v>
      </c>
      <c r="AR485" s="66">
        <f t="shared" ca="1" si="204"/>
        <v>0</v>
      </c>
      <c r="AS485" s="66">
        <f t="shared" ca="1" si="205"/>
        <v>0</v>
      </c>
      <c r="AT485" s="66">
        <f t="shared" ca="1" si="206"/>
        <v>0</v>
      </c>
      <c r="AU485" s="66">
        <f t="shared" ca="1" si="207"/>
        <v>0</v>
      </c>
      <c r="AV485" s="68">
        <f t="shared" ca="1" si="225"/>
        <v>0</v>
      </c>
      <c r="AW485" s="65">
        <f t="shared" ca="1" si="208"/>
        <v>0</v>
      </c>
      <c r="AX485" s="69">
        <f t="shared" ca="1" si="209"/>
        <v>0</v>
      </c>
      <c r="AY485" s="70">
        <f t="shared" ca="1" si="210"/>
        <v>0</v>
      </c>
      <c r="AZ485" s="66">
        <f t="shared" ca="1" si="211"/>
        <v>0</v>
      </c>
      <c r="BA485" s="66">
        <f t="shared" ca="1" si="212"/>
        <v>0</v>
      </c>
      <c r="BB485" s="66">
        <f t="shared" ca="1" si="213"/>
        <v>0</v>
      </c>
      <c r="BC485" s="66">
        <f t="shared" ca="1" si="214"/>
        <v>0</v>
      </c>
      <c r="BD485" s="66">
        <f t="shared" ca="1" si="215"/>
        <v>0</v>
      </c>
      <c r="BE485" s="71">
        <f t="shared" ca="1" si="221"/>
        <v>0</v>
      </c>
      <c r="BF485" s="65">
        <f t="shared" ca="1" si="216"/>
        <v>0</v>
      </c>
      <c r="BG485" s="69">
        <f t="shared" ca="1" si="217"/>
        <v>0</v>
      </c>
      <c r="BH485" s="301">
        <f t="shared" ca="1" si="220"/>
        <v>0</v>
      </c>
      <c r="BI485" s="300">
        <f ca="1">IF(AO485&gt;TartamVálasztott,0,   (BI484+BH485)*(1+yields!$D$2)*(1-(0.0099/12)))</f>
        <v>0</v>
      </c>
      <c r="BJ485" s="300">
        <f ca="1">SUM(BH$6:BH485)*-1.2</f>
        <v>-862056.26733480149</v>
      </c>
      <c r="BK485" s="300">
        <f t="shared" ca="1" si="226"/>
        <v>-862056.26733480149</v>
      </c>
      <c r="BL485" s="28">
        <f t="shared" ca="1" si="224"/>
        <v>2057</v>
      </c>
      <c r="BM485" s="28">
        <f t="shared" ca="1" si="222"/>
        <v>1</v>
      </c>
      <c r="BN485" s="236">
        <f t="shared" ca="1" si="223"/>
        <v>0</v>
      </c>
      <c r="BO485" s="236">
        <f t="shared" ca="1" si="218"/>
        <v>0</v>
      </c>
    </row>
    <row r="486" spans="41:67" x14ac:dyDescent="0.25">
      <c r="AO486" s="28">
        <f t="shared" si="202"/>
        <v>41</v>
      </c>
      <c r="AP486" s="28">
        <f t="shared" si="203"/>
        <v>1</v>
      </c>
      <c r="AQ486" s="65">
        <f t="shared" ca="1" si="219"/>
        <v>0</v>
      </c>
      <c r="AR486" s="66">
        <f t="shared" ca="1" si="204"/>
        <v>0</v>
      </c>
      <c r="AS486" s="66">
        <f t="shared" ca="1" si="205"/>
        <v>0</v>
      </c>
      <c r="AT486" s="66">
        <f t="shared" ca="1" si="206"/>
        <v>0</v>
      </c>
      <c r="AU486" s="66">
        <f t="shared" ca="1" si="207"/>
        <v>0</v>
      </c>
      <c r="AV486" s="68">
        <f t="shared" ca="1" si="225"/>
        <v>0</v>
      </c>
      <c r="AW486" s="65">
        <f t="shared" ca="1" si="208"/>
        <v>0</v>
      </c>
      <c r="AX486" s="69">
        <f t="shared" ca="1" si="209"/>
        <v>0</v>
      </c>
      <c r="AY486" s="70">
        <f t="shared" ca="1" si="210"/>
        <v>0</v>
      </c>
      <c r="AZ486" s="66">
        <f t="shared" ca="1" si="211"/>
        <v>0</v>
      </c>
      <c r="BA486" s="66">
        <f t="shared" ca="1" si="212"/>
        <v>0</v>
      </c>
      <c r="BB486" s="66">
        <f t="shared" ca="1" si="213"/>
        <v>0</v>
      </c>
      <c r="BC486" s="66">
        <f t="shared" ca="1" si="214"/>
        <v>0</v>
      </c>
      <c r="BD486" s="66">
        <f t="shared" ca="1" si="215"/>
        <v>0</v>
      </c>
      <c r="BE486" s="71">
        <f t="shared" ca="1" si="221"/>
        <v>0</v>
      </c>
      <c r="BF486" s="65">
        <f t="shared" ca="1" si="216"/>
        <v>0</v>
      </c>
      <c r="BG486" s="69">
        <f t="shared" ca="1" si="217"/>
        <v>0</v>
      </c>
      <c r="BH486" s="301">
        <f t="shared" ca="1" si="220"/>
        <v>0</v>
      </c>
      <c r="BI486" s="300">
        <f ca="1">IF(AO486&gt;TartamVálasztott,0,   (BI485+BH486)*(1+yields!$D$2)*(1-(0.0099/12)))</f>
        <v>0</v>
      </c>
      <c r="BJ486" s="300">
        <f ca="1">SUM(BH$6:BH486)*-1.2</f>
        <v>-862056.26733480149</v>
      </c>
      <c r="BK486" s="300">
        <f t="shared" ca="1" si="226"/>
        <v>-862056.26733480149</v>
      </c>
      <c r="BL486" s="28">
        <f t="shared" ca="1" si="224"/>
        <v>2057</v>
      </c>
      <c r="BM486" s="28">
        <f t="shared" ca="1" si="222"/>
        <v>2</v>
      </c>
      <c r="BN486" s="236">
        <f t="shared" ca="1" si="223"/>
        <v>0</v>
      </c>
      <c r="BO486" s="236">
        <f t="shared" ca="1" si="218"/>
        <v>0</v>
      </c>
    </row>
    <row r="487" spans="41:67" x14ac:dyDescent="0.25">
      <c r="AO487" s="28">
        <f t="shared" si="202"/>
        <v>41</v>
      </c>
      <c r="AP487" s="28">
        <f t="shared" si="203"/>
        <v>2</v>
      </c>
      <c r="AQ487" s="65">
        <f t="shared" ca="1" si="219"/>
        <v>0</v>
      </c>
      <c r="AR487" s="66">
        <f t="shared" ca="1" si="204"/>
        <v>0</v>
      </c>
      <c r="AS487" s="66">
        <f t="shared" ca="1" si="205"/>
        <v>0</v>
      </c>
      <c r="AT487" s="66">
        <f t="shared" ca="1" si="206"/>
        <v>0</v>
      </c>
      <c r="AU487" s="66">
        <f t="shared" ca="1" si="207"/>
        <v>0</v>
      </c>
      <c r="AV487" s="68">
        <f t="shared" ca="1" si="225"/>
        <v>0</v>
      </c>
      <c r="AW487" s="65">
        <f t="shared" ca="1" si="208"/>
        <v>0</v>
      </c>
      <c r="AX487" s="69">
        <f t="shared" ca="1" si="209"/>
        <v>0</v>
      </c>
      <c r="AY487" s="70">
        <f t="shared" ca="1" si="210"/>
        <v>0</v>
      </c>
      <c r="AZ487" s="66">
        <f t="shared" ca="1" si="211"/>
        <v>0</v>
      </c>
      <c r="BA487" s="66">
        <f t="shared" ca="1" si="212"/>
        <v>0</v>
      </c>
      <c r="BB487" s="66">
        <f t="shared" ca="1" si="213"/>
        <v>0</v>
      </c>
      <c r="BC487" s="66">
        <f t="shared" ca="1" si="214"/>
        <v>0</v>
      </c>
      <c r="BD487" s="66">
        <f t="shared" ca="1" si="215"/>
        <v>0</v>
      </c>
      <c r="BE487" s="71">
        <f t="shared" ca="1" si="221"/>
        <v>0</v>
      </c>
      <c r="BF487" s="65">
        <f t="shared" ca="1" si="216"/>
        <v>0</v>
      </c>
      <c r="BG487" s="69">
        <f t="shared" ca="1" si="217"/>
        <v>0</v>
      </c>
      <c r="BH487" s="301">
        <f t="shared" ca="1" si="220"/>
        <v>0</v>
      </c>
      <c r="BI487" s="300">
        <f ca="1">IF(AO487&gt;TartamVálasztott,0,   (BI486+BH487)*(1+yields!$D$2)*(1-(0.0099/12)))</f>
        <v>0</v>
      </c>
      <c r="BJ487" s="300">
        <f ca="1">SUM(BH$6:BH487)*-1.2</f>
        <v>-862056.26733480149</v>
      </c>
      <c r="BK487" s="300">
        <f t="shared" ca="1" si="226"/>
        <v>-862056.26733480149</v>
      </c>
      <c r="BL487" s="28">
        <f t="shared" ca="1" si="224"/>
        <v>2057</v>
      </c>
      <c r="BM487" s="28">
        <f t="shared" ca="1" si="222"/>
        <v>3</v>
      </c>
      <c r="BN487" s="236">
        <f t="shared" ca="1" si="223"/>
        <v>0</v>
      </c>
      <c r="BO487" s="236">
        <f t="shared" ca="1" si="218"/>
        <v>0</v>
      </c>
    </row>
    <row r="488" spans="41:67" x14ac:dyDescent="0.25">
      <c r="AO488" s="28">
        <f t="shared" si="202"/>
        <v>41</v>
      </c>
      <c r="AP488" s="28">
        <f t="shared" si="203"/>
        <v>3</v>
      </c>
      <c r="AQ488" s="65">
        <f t="shared" ca="1" si="219"/>
        <v>0</v>
      </c>
      <c r="AR488" s="66">
        <f t="shared" ca="1" si="204"/>
        <v>0</v>
      </c>
      <c r="AS488" s="66">
        <f t="shared" ca="1" si="205"/>
        <v>0</v>
      </c>
      <c r="AT488" s="66">
        <f t="shared" ca="1" si="206"/>
        <v>0</v>
      </c>
      <c r="AU488" s="66">
        <f t="shared" ca="1" si="207"/>
        <v>0</v>
      </c>
      <c r="AV488" s="68">
        <f t="shared" ca="1" si="225"/>
        <v>0</v>
      </c>
      <c r="AW488" s="65">
        <f t="shared" ca="1" si="208"/>
        <v>0</v>
      </c>
      <c r="AX488" s="69">
        <f t="shared" ca="1" si="209"/>
        <v>0</v>
      </c>
      <c r="AY488" s="70">
        <f t="shared" ca="1" si="210"/>
        <v>0</v>
      </c>
      <c r="AZ488" s="66">
        <f t="shared" ca="1" si="211"/>
        <v>0</v>
      </c>
      <c r="BA488" s="66">
        <f t="shared" ca="1" si="212"/>
        <v>0</v>
      </c>
      <c r="BB488" s="66">
        <f t="shared" ca="1" si="213"/>
        <v>0</v>
      </c>
      <c r="BC488" s="66">
        <f t="shared" ca="1" si="214"/>
        <v>0</v>
      </c>
      <c r="BD488" s="66">
        <f t="shared" ca="1" si="215"/>
        <v>0</v>
      </c>
      <c r="BE488" s="71">
        <f t="shared" ca="1" si="221"/>
        <v>0</v>
      </c>
      <c r="BF488" s="65">
        <f t="shared" ca="1" si="216"/>
        <v>0</v>
      </c>
      <c r="BG488" s="69">
        <f t="shared" ca="1" si="217"/>
        <v>0</v>
      </c>
      <c r="BH488" s="301">
        <f t="shared" ca="1" si="220"/>
        <v>0</v>
      </c>
      <c r="BI488" s="300">
        <f ca="1">IF(AO488&gt;TartamVálasztott,0,   (BI487+BH488)*(1+yields!$D$2)*(1-(0.0099/12)))</f>
        <v>0</v>
      </c>
      <c r="BJ488" s="300">
        <f ca="1">SUM(BH$6:BH488)*-1.2</f>
        <v>-862056.26733480149</v>
      </c>
      <c r="BK488" s="300">
        <f t="shared" ca="1" si="226"/>
        <v>-862056.26733480149</v>
      </c>
      <c r="BL488" s="28">
        <f t="shared" ca="1" si="224"/>
        <v>2057</v>
      </c>
      <c r="BM488" s="28">
        <f t="shared" ca="1" si="222"/>
        <v>4</v>
      </c>
      <c r="BN488" s="236">
        <f t="shared" ca="1" si="223"/>
        <v>0</v>
      </c>
      <c r="BO488" s="236">
        <f t="shared" ca="1" si="218"/>
        <v>0</v>
      </c>
    </row>
    <row r="489" spans="41:67" x14ac:dyDescent="0.25">
      <c r="AO489" s="28">
        <f t="shared" si="202"/>
        <v>41</v>
      </c>
      <c r="AP489" s="28">
        <f t="shared" si="203"/>
        <v>4</v>
      </c>
      <c r="AQ489" s="65">
        <f t="shared" ca="1" si="219"/>
        <v>0</v>
      </c>
      <c r="AR489" s="66">
        <f t="shared" ca="1" si="204"/>
        <v>0</v>
      </c>
      <c r="AS489" s="66">
        <f t="shared" ca="1" si="205"/>
        <v>0</v>
      </c>
      <c r="AT489" s="66">
        <f t="shared" ca="1" si="206"/>
        <v>0</v>
      </c>
      <c r="AU489" s="66">
        <f t="shared" ca="1" si="207"/>
        <v>0</v>
      </c>
      <c r="AV489" s="68">
        <f t="shared" ca="1" si="225"/>
        <v>0</v>
      </c>
      <c r="AW489" s="65">
        <f t="shared" ca="1" si="208"/>
        <v>0</v>
      </c>
      <c r="AX489" s="69">
        <f t="shared" ca="1" si="209"/>
        <v>0</v>
      </c>
      <c r="AY489" s="70">
        <f t="shared" ca="1" si="210"/>
        <v>0</v>
      </c>
      <c r="AZ489" s="66">
        <f t="shared" ca="1" si="211"/>
        <v>0</v>
      </c>
      <c r="BA489" s="66">
        <f t="shared" ca="1" si="212"/>
        <v>0</v>
      </c>
      <c r="BB489" s="66">
        <f t="shared" ca="1" si="213"/>
        <v>0</v>
      </c>
      <c r="BC489" s="66">
        <f t="shared" ca="1" si="214"/>
        <v>0</v>
      </c>
      <c r="BD489" s="66">
        <f t="shared" ca="1" si="215"/>
        <v>0</v>
      </c>
      <c r="BE489" s="71">
        <f t="shared" ca="1" si="221"/>
        <v>0</v>
      </c>
      <c r="BF489" s="65">
        <f t="shared" ca="1" si="216"/>
        <v>0</v>
      </c>
      <c r="BG489" s="69">
        <f t="shared" ca="1" si="217"/>
        <v>0</v>
      </c>
      <c r="BH489" s="301">
        <f t="shared" ca="1" si="220"/>
        <v>0</v>
      </c>
      <c r="BI489" s="300">
        <f ca="1">IF(AO489&gt;TartamVálasztott,0,   (BI488+BH489)*(1+yields!$D$2)*(1-(0.0099/12)))</f>
        <v>0</v>
      </c>
      <c r="BJ489" s="300">
        <f ca="1">SUM(BH$6:BH489)*-1.2</f>
        <v>-862056.26733480149</v>
      </c>
      <c r="BK489" s="300">
        <f t="shared" ca="1" si="226"/>
        <v>-862056.26733480149</v>
      </c>
      <c r="BL489" s="28">
        <f t="shared" ca="1" si="224"/>
        <v>2057</v>
      </c>
      <c r="BM489" s="28">
        <f t="shared" ca="1" si="222"/>
        <v>5</v>
      </c>
      <c r="BN489" s="236">
        <f t="shared" ca="1" si="223"/>
        <v>0</v>
      </c>
      <c r="BO489" s="236">
        <f t="shared" ca="1" si="218"/>
        <v>0</v>
      </c>
    </row>
    <row r="490" spans="41:67" x14ac:dyDescent="0.25">
      <c r="AO490" s="28">
        <f t="shared" si="202"/>
        <v>41</v>
      </c>
      <c r="AP490" s="28">
        <f t="shared" si="203"/>
        <v>5</v>
      </c>
      <c r="AQ490" s="65">
        <f t="shared" ca="1" si="219"/>
        <v>0</v>
      </c>
      <c r="AR490" s="66">
        <f t="shared" ca="1" si="204"/>
        <v>0</v>
      </c>
      <c r="AS490" s="66">
        <f t="shared" ca="1" si="205"/>
        <v>0</v>
      </c>
      <c r="AT490" s="66">
        <f t="shared" ca="1" si="206"/>
        <v>0</v>
      </c>
      <c r="AU490" s="66">
        <f t="shared" ca="1" si="207"/>
        <v>0</v>
      </c>
      <c r="AV490" s="68">
        <f t="shared" ca="1" si="225"/>
        <v>0</v>
      </c>
      <c r="AW490" s="65">
        <f t="shared" ca="1" si="208"/>
        <v>0</v>
      </c>
      <c r="AX490" s="69">
        <f t="shared" ca="1" si="209"/>
        <v>0</v>
      </c>
      <c r="AY490" s="70">
        <f t="shared" ca="1" si="210"/>
        <v>0</v>
      </c>
      <c r="AZ490" s="66">
        <f t="shared" ca="1" si="211"/>
        <v>0</v>
      </c>
      <c r="BA490" s="66">
        <f t="shared" ca="1" si="212"/>
        <v>0</v>
      </c>
      <c r="BB490" s="66">
        <f t="shared" ca="1" si="213"/>
        <v>0</v>
      </c>
      <c r="BC490" s="66">
        <f t="shared" ca="1" si="214"/>
        <v>0</v>
      </c>
      <c r="BD490" s="66">
        <f t="shared" ca="1" si="215"/>
        <v>0</v>
      </c>
      <c r="BE490" s="71">
        <f t="shared" ca="1" si="221"/>
        <v>0</v>
      </c>
      <c r="BF490" s="65">
        <f t="shared" ca="1" si="216"/>
        <v>0</v>
      </c>
      <c r="BG490" s="69">
        <f t="shared" ca="1" si="217"/>
        <v>0</v>
      </c>
      <c r="BH490" s="301">
        <f t="shared" ca="1" si="220"/>
        <v>0</v>
      </c>
      <c r="BI490" s="300">
        <f ca="1">IF(AO490&gt;TartamVálasztott,0,   (BI489+BH490)*(1+yields!$D$2)*(1-(0.0099/12)))</f>
        <v>0</v>
      </c>
      <c r="BJ490" s="300">
        <f ca="1">SUM(BH$6:BH490)*-1.2</f>
        <v>-862056.26733480149</v>
      </c>
      <c r="BK490" s="300">
        <f t="shared" ca="1" si="226"/>
        <v>-862056.26733480149</v>
      </c>
      <c r="BL490" s="28">
        <f t="shared" ca="1" si="224"/>
        <v>2057</v>
      </c>
      <c r="BM490" s="28">
        <f t="shared" ca="1" si="222"/>
        <v>6</v>
      </c>
      <c r="BN490" s="236">
        <f t="shared" ca="1" si="223"/>
        <v>0</v>
      </c>
      <c r="BO490" s="236">
        <f t="shared" ca="1" si="218"/>
        <v>0</v>
      </c>
    </row>
    <row r="491" spans="41:67" x14ac:dyDescent="0.25">
      <c r="AO491" s="28">
        <f t="shared" si="202"/>
        <v>41</v>
      </c>
      <c r="AP491" s="28">
        <f t="shared" si="203"/>
        <v>6</v>
      </c>
      <c r="AQ491" s="65">
        <f t="shared" ca="1" si="219"/>
        <v>0</v>
      </c>
      <c r="AR491" s="66">
        <f t="shared" ca="1" si="204"/>
        <v>0</v>
      </c>
      <c r="AS491" s="66">
        <f t="shared" ca="1" si="205"/>
        <v>0</v>
      </c>
      <c r="AT491" s="66">
        <f t="shared" ca="1" si="206"/>
        <v>0</v>
      </c>
      <c r="AU491" s="66">
        <f t="shared" ca="1" si="207"/>
        <v>0</v>
      </c>
      <c r="AV491" s="68">
        <f t="shared" ca="1" si="225"/>
        <v>0</v>
      </c>
      <c r="AW491" s="65">
        <f t="shared" ca="1" si="208"/>
        <v>0</v>
      </c>
      <c r="AX491" s="69">
        <f t="shared" ca="1" si="209"/>
        <v>0</v>
      </c>
      <c r="AY491" s="70">
        <f t="shared" ca="1" si="210"/>
        <v>0</v>
      </c>
      <c r="AZ491" s="66">
        <f t="shared" ca="1" si="211"/>
        <v>0</v>
      </c>
      <c r="BA491" s="66">
        <f t="shared" ca="1" si="212"/>
        <v>0</v>
      </c>
      <c r="BB491" s="66">
        <f t="shared" ca="1" si="213"/>
        <v>0</v>
      </c>
      <c r="BC491" s="66">
        <f t="shared" ca="1" si="214"/>
        <v>0</v>
      </c>
      <c r="BD491" s="66">
        <f t="shared" ca="1" si="215"/>
        <v>0</v>
      </c>
      <c r="BE491" s="71">
        <f t="shared" ca="1" si="221"/>
        <v>0</v>
      </c>
      <c r="BF491" s="65">
        <f t="shared" ca="1" si="216"/>
        <v>0</v>
      </c>
      <c r="BG491" s="69">
        <f t="shared" ca="1" si="217"/>
        <v>0</v>
      </c>
      <c r="BH491" s="301">
        <f t="shared" ca="1" si="220"/>
        <v>0</v>
      </c>
      <c r="BI491" s="300">
        <f ca="1">IF(AO491&gt;TartamVálasztott,0,   (BI490+BH491)*(1+yields!$D$2)*(1-(0.0099/12)))</f>
        <v>0</v>
      </c>
      <c r="BJ491" s="300">
        <f ca="1">SUM(BH$6:BH491)*-1.2</f>
        <v>-862056.26733480149</v>
      </c>
      <c r="BK491" s="300">
        <f t="shared" ca="1" si="226"/>
        <v>-862056.26733480149</v>
      </c>
      <c r="BL491" s="28">
        <f t="shared" ca="1" si="224"/>
        <v>2057</v>
      </c>
      <c r="BM491" s="28">
        <f t="shared" ca="1" si="222"/>
        <v>7</v>
      </c>
      <c r="BN491" s="236">
        <f t="shared" ca="1" si="223"/>
        <v>0</v>
      </c>
      <c r="BO491" s="236">
        <f t="shared" ca="1" si="218"/>
        <v>0</v>
      </c>
    </row>
    <row r="492" spans="41:67" x14ac:dyDescent="0.25">
      <c r="AO492" s="28">
        <f t="shared" si="202"/>
        <v>41</v>
      </c>
      <c r="AP492" s="28">
        <f t="shared" si="203"/>
        <v>7</v>
      </c>
      <c r="AQ492" s="65">
        <f t="shared" ca="1" si="219"/>
        <v>0</v>
      </c>
      <c r="AR492" s="66">
        <f t="shared" ca="1" si="204"/>
        <v>0</v>
      </c>
      <c r="AS492" s="66">
        <f t="shared" ca="1" si="205"/>
        <v>0</v>
      </c>
      <c r="AT492" s="66">
        <f t="shared" ca="1" si="206"/>
        <v>0</v>
      </c>
      <c r="AU492" s="66">
        <f t="shared" ca="1" si="207"/>
        <v>0</v>
      </c>
      <c r="AV492" s="68">
        <f t="shared" ca="1" si="225"/>
        <v>0</v>
      </c>
      <c r="AW492" s="65">
        <f t="shared" ca="1" si="208"/>
        <v>0</v>
      </c>
      <c r="AX492" s="69">
        <f t="shared" ca="1" si="209"/>
        <v>0</v>
      </c>
      <c r="AY492" s="70">
        <f t="shared" ca="1" si="210"/>
        <v>0</v>
      </c>
      <c r="AZ492" s="66">
        <f t="shared" ca="1" si="211"/>
        <v>0</v>
      </c>
      <c r="BA492" s="66">
        <f t="shared" ca="1" si="212"/>
        <v>0</v>
      </c>
      <c r="BB492" s="66">
        <f t="shared" ca="1" si="213"/>
        <v>0</v>
      </c>
      <c r="BC492" s="66">
        <f t="shared" ca="1" si="214"/>
        <v>0</v>
      </c>
      <c r="BD492" s="66">
        <f t="shared" ca="1" si="215"/>
        <v>0</v>
      </c>
      <c r="BE492" s="71">
        <f t="shared" ca="1" si="221"/>
        <v>0</v>
      </c>
      <c r="BF492" s="65">
        <f t="shared" ca="1" si="216"/>
        <v>0</v>
      </c>
      <c r="BG492" s="69">
        <f t="shared" ca="1" si="217"/>
        <v>0</v>
      </c>
      <c r="BH492" s="301">
        <f t="shared" ca="1" si="220"/>
        <v>0</v>
      </c>
      <c r="BI492" s="300">
        <f ca="1">IF(AO492&gt;TartamVálasztott,0,   (BI491+BH492)*(1+yields!$D$2)*(1-(0.0099/12)))</f>
        <v>0</v>
      </c>
      <c r="BJ492" s="300">
        <f ca="1">SUM(BH$6:BH492)*-1.2</f>
        <v>-862056.26733480149</v>
      </c>
      <c r="BK492" s="300">
        <f t="shared" ca="1" si="226"/>
        <v>-862056.26733480149</v>
      </c>
      <c r="BL492" s="28">
        <f t="shared" ca="1" si="224"/>
        <v>2057</v>
      </c>
      <c r="BM492" s="28">
        <f t="shared" ca="1" si="222"/>
        <v>8</v>
      </c>
      <c r="BN492" s="236">
        <f t="shared" ca="1" si="223"/>
        <v>0</v>
      </c>
      <c r="BO492" s="236">
        <f t="shared" ca="1" si="218"/>
        <v>0</v>
      </c>
    </row>
    <row r="493" spans="41:67" x14ac:dyDescent="0.25">
      <c r="AO493" s="28">
        <f t="shared" si="202"/>
        <v>41</v>
      </c>
      <c r="AP493" s="28">
        <f t="shared" si="203"/>
        <v>8</v>
      </c>
      <c r="AQ493" s="65">
        <f t="shared" ca="1" si="219"/>
        <v>0</v>
      </c>
      <c r="AR493" s="66">
        <f t="shared" ca="1" si="204"/>
        <v>0</v>
      </c>
      <c r="AS493" s="66">
        <f t="shared" ca="1" si="205"/>
        <v>0</v>
      </c>
      <c r="AT493" s="66">
        <f t="shared" ca="1" si="206"/>
        <v>0</v>
      </c>
      <c r="AU493" s="66">
        <f t="shared" ca="1" si="207"/>
        <v>0</v>
      </c>
      <c r="AV493" s="68">
        <f t="shared" ca="1" si="225"/>
        <v>0</v>
      </c>
      <c r="AW493" s="65">
        <f t="shared" ca="1" si="208"/>
        <v>0</v>
      </c>
      <c r="AX493" s="69">
        <f t="shared" ca="1" si="209"/>
        <v>0</v>
      </c>
      <c r="AY493" s="70">
        <f t="shared" ca="1" si="210"/>
        <v>0</v>
      </c>
      <c r="AZ493" s="66">
        <f t="shared" ca="1" si="211"/>
        <v>0</v>
      </c>
      <c r="BA493" s="66">
        <f t="shared" ca="1" si="212"/>
        <v>0</v>
      </c>
      <c r="BB493" s="66">
        <f t="shared" ca="1" si="213"/>
        <v>0</v>
      </c>
      <c r="BC493" s="66">
        <f t="shared" ca="1" si="214"/>
        <v>0</v>
      </c>
      <c r="BD493" s="66">
        <f t="shared" ca="1" si="215"/>
        <v>0</v>
      </c>
      <c r="BE493" s="71">
        <f t="shared" ca="1" si="221"/>
        <v>0</v>
      </c>
      <c r="BF493" s="65">
        <f t="shared" ca="1" si="216"/>
        <v>0</v>
      </c>
      <c r="BG493" s="69">
        <f t="shared" ca="1" si="217"/>
        <v>0</v>
      </c>
      <c r="BH493" s="301">
        <f t="shared" ca="1" si="220"/>
        <v>0</v>
      </c>
      <c r="BI493" s="300">
        <f ca="1">IF(AO493&gt;TartamVálasztott,0,   (BI492+BH493)*(1+yields!$D$2)*(1-(0.0099/12)))</f>
        <v>0</v>
      </c>
      <c r="BJ493" s="300">
        <f ca="1">SUM(BH$6:BH493)*-1.2</f>
        <v>-862056.26733480149</v>
      </c>
      <c r="BK493" s="300">
        <f t="shared" ca="1" si="226"/>
        <v>-862056.26733480149</v>
      </c>
      <c r="BL493" s="28">
        <f t="shared" ca="1" si="224"/>
        <v>2057</v>
      </c>
      <c r="BM493" s="28">
        <f t="shared" ca="1" si="222"/>
        <v>9</v>
      </c>
      <c r="BN493" s="236">
        <f t="shared" ca="1" si="223"/>
        <v>0</v>
      </c>
      <c r="BO493" s="236">
        <f t="shared" ca="1" si="218"/>
        <v>0</v>
      </c>
    </row>
    <row r="494" spans="41:67" x14ac:dyDescent="0.25">
      <c r="AO494" s="28">
        <f t="shared" si="202"/>
        <v>41</v>
      </c>
      <c r="AP494" s="28">
        <f t="shared" si="203"/>
        <v>9</v>
      </c>
      <c r="AQ494" s="65">
        <f t="shared" ca="1" si="219"/>
        <v>0</v>
      </c>
      <c r="AR494" s="66">
        <f t="shared" ca="1" si="204"/>
        <v>0</v>
      </c>
      <c r="AS494" s="66">
        <f t="shared" ca="1" si="205"/>
        <v>0</v>
      </c>
      <c r="AT494" s="66">
        <f t="shared" ca="1" si="206"/>
        <v>0</v>
      </c>
      <c r="AU494" s="66">
        <f t="shared" ca="1" si="207"/>
        <v>0</v>
      </c>
      <c r="AV494" s="68">
        <f t="shared" ca="1" si="225"/>
        <v>0</v>
      </c>
      <c r="AW494" s="65">
        <f t="shared" ca="1" si="208"/>
        <v>0</v>
      </c>
      <c r="AX494" s="69">
        <f t="shared" ca="1" si="209"/>
        <v>0</v>
      </c>
      <c r="AY494" s="70">
        <f t="shared" ca="1" si="210"/>
        <v>0</v>
      </c>
      <c r="AZ494" s="66">
        <f t="shared" ca="1" si="211"/>
        <v>0</v>
      </c>
      <c r="BA494" s="66">
        <f t="shared" ca="1" si="212"/>
        <v>0</v>
      </c>
      <c r="BB494" s="66">
        <f t="shared" ca="1" si="213"/>
        <v>0</v>
      </c>
      <c r="BC494" s="66">
        <f t="shared" ca="1" si="214"/>
        <v>0</v>
      </c>
      <c r="BD494" s="66">
        <f t="shared" ca="1" si="215"/>
        <v>0</v>
      </c>
      <c r="BE494" s="71">
        <f t="shared" ca="1" si="221"/>
        <v>0</v>
      </c>
      <c r="BF494" s="65">
        <f t="shared" ca="1" si="216"/>
        <v>0</v>
      </c>
      <c r="BG494" s="69">
        <f t="shared" ca="1" si="217"/>
        <v>0</v>
      </c>
      <c r="BH494" s="301">
        <f t="shared" ca="1" si="220"/>
        <v>0</v>
      </c>
      <c r="BI494" s="300">
        <f ca="1">IF(AO494&gt;TartamVálasztott,0,   (BI493+BH494)*(1+yields!$D$2)*(1-(0.0099/12)))</f>
        <v>0</v>
      </c>
      <c r="BJ494" s="300">
        <f ca="1">SUM(BH$6:BH494)*-1.2</f>
        <v>-862056.26733480149</v>
      </c>
      <c r="BK494" s="300">
        <f t="shared" ca="1" si="226"/>
        <v>-862056.26733480149</v>
      </c>
      <c r="BL494" s="28">
        <f t="shared" ca="1" si="224"/>
        <v>2057</v>
      </c>
      <c r="BM494" s="28">
        <f t="shared" ca="1" si="222"/>
        <v>10</v>
      </c>
      <c r="BN494" s="236">
        <f t="shared" ca="1" si="223"/>
        <v>0</v>
      </c>
      <c r="BO494" s="236">
        <f t="shared" ca="1" si="218"/>
        <v>0</v>
      </c>
    </row>
    <row r="495" spans="41:67" x14ac:dyDescent="0.25">
      <c r="AO495" s="28">
        <f t="shared" si="202"/>
        <v>41</v>
      </c>
      <c r="AP495" s="28">
        <f t="shared" si="203"/>
        <v>10</v>
      </c>
      <c r="AQ495" s="65">
        <f t="shared" ca="1" si="219"/>
        <v>0</v>
      </c>
      <c r="AR495" s="66">
        <f t="shared" ca="1" si="204"/>
        <v>0</v>
      </c>
      <c r="AS495" s="66">
        <f t="shared" ca="1" si="205"/>
        <v>0</v>
      </c>
      <c r="AT495" s="66">
        <f t="shared" ca="1" si="206"/>
        <v>0</v>
      </c>
      <c r="AU495" s="66">
        <f t="shared" ca="1" si="207"/>
        <v>0</v>
      </c>
      <c r="AV495" s="68">
        <f t="shared" ca="1" si="225"/>
        <v>0</v>
      </c>
      <c r="AW495" s="65">
        <f t="shared" ca="1" si="208"/>
        <v>0</v>
      </c>
      <c r="AX495" s="69">
        <f t="shared" ca="1" si="209"/>
        <v>0</v>
      </c>
      <c r="AY495" s="70">
        <f t="shared" ca="1" si="210"/>
        <v>0</v>
      </c>
      <c r="AZ495" s="66">
        <f t="shared" ca="1" si="211"/>
        <v>0</v>
      </c>
      <c r="BA495" s="66">
        <f t="shared" ca="1" si="212"/>
        <v>0</v>
      </c>
      <c r="BB495" s="66">
        <f t="shared" ca="1" si="213"/>
        <v>0</v>
      </c>
      <c r="BC495" s="66">
        <f t="shared" ca="1" si="214"/>
        <v>0</v>
      </c>
      <c r="BD495" s="66">
        <f t="shared" ca="1" si="215"/>
        <v>0</v>
      </c>
      <c r="BE495" s="71">
        <f t="shared" ca="1" si="221"/>
        <v>0</v>
      </c>
      <c r="BF495" s="65">
        <f t="shared" ca="1" si="216"/>
        <v>0</v>
      </c>
      <c r="BG495" s="69">
        <f t="shared" ca="1" si="217"/>
        <v>0</v>
      </c>
      <c r="BH495" s="301">
        <f t="shared" ca="1" si="220"/>
        <v>0</v>
      </c>
      <c r="BI495" s="300">
        <f ca="1">IF(AO495&gt;TartamVálasztott,0,   (BI494+BH495)*(1+yields!$D$2)*(1-(0.0099/12)))</f>
        <v>0</v>
      </c>
      <c r="BJ495" s="300">
        <f ca="1">SUM(BH$6:BH495)*-1.2</f>
        <v>-862056.26733480149</v>
      </c>
      <c r="BK495" s="300">
        <f t="shared" ca="1" si="226"/>
        <v>-862056.26733480149</v>
      </c>
      <c r="BL495" s="28">
        <f t="shared" ca="1" si="224"/>
        <v>2057</v>
      </c>
      <c r="BM495" s="28">
        <f t="shared" ca="1" si="222"/>
        <v>11</v>
      </c>
      <c r="BN495" s="236">
        <f t="shared" ca="1" si="223"/>
        <v>0</v>
      </c>
      <c r="BO495" s="236">
        <f t="shared" ca="1" si="218"/>
        <v>0</v>
      </c>
    </row>
    <row r="496" spans="41:67" x14ac:dyDescent="0.25">
      <c r="AO496" s="28">
        <f t="shared" si="202"/>
        <v>41</v>
      </c>
      <c r="AP496" s="28">
        <f t="shared" si="203"/>
        <v>11</v>
      </c>
      <c r="AQ496" s="65">
        <f t="shared" ca="1" si="219"/>
        <v>0</v>
      </c>
      <c r="AR496" s="66">
        <f t="shared" ca="1" si="204"/>
        <v>0</v>
      </c>
      <c r="AS496" s="66">
        <f t="shared" ca="1" si="205"/>
        <v>0</v>
      </c>
      <c r="AT496" s="66">
        <f t="shared" ca="1" si="206"/>
        <v>0</v>
      </c>
      <c r="AU496" s="66">
        <f t="shared" ca="1" si="207"/>
        <v>0</v>
      </c>
      <c r="AV496" s="68">
        <f t="shared" ca="1" si="225"/>
        <v>0</v>
      </c>
      <c r="AW496" s="65">
        <f t="shared" ca="1" si="208"/>
        <v>0</v>
      </c>
      <c r="AX496" s="69">
        <f t="shared" ca="1" si="209"/>
        <v>0</v>
      </c>
      <c r="AY496" s="70">
        <f t="shared" ca="1" si="210"/>
        <v>0</v>
      </c>
      <c r="AZ496" s="66">
        <f t="shared" ca="1" si="211"/>
        <v>0</v>
      </c>
      <c r="BA496" s="66">
        <f t="shared" ca="1" si="212"/>
        <v>0</v>
      </c>
      <c r="BB496" s="66">
        <f t="shared" ca="1" si="213"/>
        <v>0</v>
      </c>
      <c r="BC496" s="66">
        <f t="shared" ca="1" si="214"/>
        <v>0</v>
      </c>
      <c r="BD496" s="66">
        <f t="shared" ca="1" si="215"/>
        <v>0</v>
      </c>
      <c r="BE496" s="71">
        <f t="shared" ca="1" si="221"/>
        <v>0</v>
      </c>
      <c r="BF496" s="65">
        <f t="shared" ca="1" si="216"/>
        <v>0</v>
      </c>
      <c r="BG496" s="69">
        <f t="shared" ca="1" si="217"/>
        <v>0</v>
      </c>
      <c r="BH496" s="301">
        <f t="shared" ca="1" si="220"/>
        <v>0</v>
      </c>
      <c r="BI496" s="300">
        <f ca="1">IF(AO496&gt;TartamVálasztott,0,   (BI495+BH496)*(1+yields!$D$2)*(1-(0.0099/12)))</f>
        <v>0</v>
      </c>
      <c r="BJ496" s="300">
        <f ca="1">SUM(BH$6:BH496)*-1.2</f>
        <v>-862056.26733480149</v>
      </c>
      <c r="BK496" s="300">
        <f t="shared" ca="1" si="226"/>
        <v>-862056.26733480149</v>
      </c>
      <c r="BL496" s="28">
        <f t="shared" ca="1" si="224"/>
        <v>2057</v>
      </c>
      <c r="BM496" s="28">
        <f t="shared" ca="1" si="222"/>
        <v>12</v>
      </c>
      <c r="BN496" s="236">
        <f t="shared" ca="1" si="223"/>
        <v>0</v>
      </c>
      <c r="BO496" s="236">
        <f t="shared" ca="1" si="218"/>
        <v>0</v>
      </c>
    </row>
    <row r="497" spans="41:67" x14ac:dyDescent="0.25">
      <c r="AO497" s="28">
        <f t="shared" si="202"/>
        <v>41</v>
      </c>
      <c r="AP497" s="28">
        <f t="shared" si="203"/>
        <v>12</v>
      </c>
      <c r="AQ497" s="65">
        <f t="shared" ca="1" si="219"/>
        <v>0</v>
      </c>
      <c r="AR497" s="66">
        <f t="shared" ca="1" si="204"/>
        <v>0</v>
      </c>
      <c r="AS497" s="66">
        <f t="shared" ca="1" si="205"/>
        <v>0</v>
      </c>
      <c r="AT497" s="66">
        <f t="shared" ca="1" si="206"/>
        <v>0</v>
      </c>
      <c r="AU497" s="66">
        <f t="shared" ca="1" si="207"/>
        <v>0</v>
      </c>
      <c r="AV497" s="68">
        <f t="shared" ca="1" si="225"/>
        <v>0</v>
      </c>
      <c r="AW497" s="65">
        <f t="shared" ca="1" si="208"/>
        <v>0</v>
      </c>
      <c r="AX497" s="69">
        <f t="shared" ca="1" si="209"/>
        <v>0</v>
      </c>
      <c r="AY497" s="70">
        <f t="shared" ca="1" si="210"/>
        <v>0</v>
      </c>
      <c r="AZ497" s="66">
        <f t="shared" ca="1" si="211"/>
        <v>0</v>
      </c>
      <c r="BA497" s="66">
        <f t="shared" ca="1" si="212"/>
        <v>0</v>
      </c>
      <c r="BB497" s="66">
        <f t="shared" ca="1" si="213"/>
        <v>0</v>
      </c>
      <c r="BC497" s="66">
        <f t="shared" ca="1" si="214"/>
        <v>0</v>
      </c>
      <c r="BD497" s="66">
        <f t="shared" ca="1" si="215"/>
        <v>0</v>
      </c>
      <c r="BE497" s="71">
        <f t="shared" ca="1" si="221"/>
        <v>0</v>
      </c>
      <c r="BF497" s="65">
        <f t="shared" ca="1" si="216"/>
        <v>0</v>
      </c>
      <c r="BG497" s="69">
        <f t="shared" ca="1" si="217"/>
        <v>0</v>
      </c>
      <c r="BH497" s="301">
        <f t="shared" ca="1" si="220"/>
        <v>0</v>
      </c>
      <c r="BI497" s="300">
        <f ca="1">IF(AO497&gt;TartamVálasztott,0,   (BI496+BH497)*(1+yields!$D$2)*(1-(0.0099/12)))</f>
        <v>0</v>
      </c>
      <c r="BJ497" s="300">
        <f ca="1">SUM(BH$6:BH497)*-1.2</f>
        <v>-862056.26733480149</v>
      </c>
      <c r="BK497" s="300">
        <f t="shared" ca="1" si="226"/>
        <v>-862056.26733480149</v>
      </c>
      <c r="BL497" s="28">
        <f t="shared" ca="1" si="224"/>
        <v>2058</v>
      </c>
      <c r="BM497" s="28">
        <f t="shared" ca="1" si="222"/>
        <v>1</v>
      </c>
      <c r="BN497" s="236">
        <f t="shared" ca="1" si="223"/>
        <v>0</v>
      </c>
      <c r="BO497" s="236">
        <f t="shared" ca="1" si="218"/>
        <v>0</v>
      </c>
    </row>
    <row r="498" spans="41:67" x14ac:dyDescent="0.25">
      <c r="AO498" s="28">
        <f t="shared" si="202"/>
        <v>42</v>
      </c>
      <c r="AP498" s="28">
        <f t="shared" si="203"/>
        <v>1</v>
      </c>
      <c r="AQ498" s="65">
        <f t="shared" ca="1" si="219"/>
        <v>0</v>
      </c>
      <c r="AR498" s="66">
        <f t="shared" ca="1" si="204"/>
        <v>0</v>
      </c>
      <c r="AS498" s="66">
        <f t="shared" ca="1" si="205"/>
        <v>0</v>
      </c>
      <c r="AT498" s="66">
        <f t="shared" ca="1" si="206"/>
        <v>0</v>
      </c>
      <c r="AU498" s="66">
        <f t="shared" ca="1" si="207"/>
        <v>0</v>
      </c>
      <c r="AV498" s="68">
        <f t="shared" ca="1" si="225"/>
        <v>0</v>
      </c>
      <c r="AW498" s="65">
        <f t="shared" ca="1" si="208"/>
        <v>0</v>
      </c>
      <c r="AX498" s="69">
        <f t="shared" ca="1" si="209"/>
        <v>0</v>
      </c>
      <c r="AY498" s="70">
        <f t="shared" ca="1" si="210"/>
        <v>0</v>
      </c>
      <c r="AZ498" s="66">
        <f t="shared" ca="1" si="211"/>
        <v>0</v>
      </c>
      <c r="BA498" s="66">
        <f t="shared" ca="1" si="212"/>
        <v>0</v>
      </c>
      <c r="BB498" s="66">
        <f t="shared" ca="1" si="213"/>
        <v>0</v>
      </c>
      <c r="BC498" s="66">
        <f t="shared" ca="1" si="214"/>
        <v>0</v>
      </c>
      <c r="BD498" s="66">
        <f t="shared" ca="1" si="215"/>
        <v>0</v>
      </c>
      <c r="BE498" s="71">
        <f t="shared" ca="1" si="221"/>
        <v>0</v>
      </c>
      <c r="BF498" s="65">
        <f t="shared" ca="1" si="216"/>
        <v>0</v>
      </c>
      <c r="BG498" s="69">
        <f t="shared" ca="1" si="217"/>
        <v>0</v>
      </c>
      <c r="BH498" s="301">
        <f t="shared" ca="1" si="220"/>
        <v>0</v>
      </c>
      <c r="BI498" s="300">
        <f ca="1">IF(AO498&gt;TartamVálasztott,0,   (BI497+BH498)*(1+yields!$D$2)*(1-(0.0099/12)))</f>
        <v>0</v>
      </c>
      <c r="BJ498" s="300">
        <f ca="1">SUM(BH$6:BH498)*-1.2</f>
        <v>-862056.26733480149</v>
      </c>
      <c r="BK498" s="300">
        <f t="shared" ca="1" si="226"/>
        <v>-862056.26733480149</v>
      </c>
      <c r="BL498" s="28">
        <f t="shared" ca="1" si="224"/>
        <v>2058</v>
      </c>
      <c r="BM498" s="28">
        <f t="shared" ca="1" si="222"/>
        <v>2</v>
      </c>
      <c r="BN498" s="236">
        <f t="shared" ca="1" si="223"/>
        <v>0</v>
      </c>
      <c r="BO498" s="236">
        <f t="shared" ca="1" si="218"/>
        <v>0</v>
      </c>
    </row>
    <row r="499" spans="41:67" x14ac:dyDescent="0.25">
      <c r="AO499" s="28">
        <f t="shared" si="202"/>
        <v>42</v>
      </c>
      <c r="AP499" s="28">
        <f t="shared" si="203"/>
        <v>2</v>
      </c>
      <c r="AQ499" s="65">
        <f t="shared" ca="1" si="219"/>
        <v>0</v>
      </c>
      <c r="AR499" s="66">
        <f t="shared" ca="1" si="204"/>
        <v>0</v>
      </c>
      <c r="AS499" s="66">
        <f t="shared" ca="1" si="205"/>
        <v>0</v>
      </c>
      <c r="AT499" s="66">
        <f t="shared" ca="1" si="206"/>
        <v>0</v>
      </c>
      <c r="AU499" s="66">
        <f t="shared" ca="1" si="207"/>
        <v>0</v>
      </c>
      <c r="AV499" s="68">
        <f t="shared" ca="1" si="225"/>
        <v>0</v>
      </c>
      <c r="AW499" s="65">
        <f t="shared" ca="1" si="208"/>
        <v>0</v>
      </c>
      <c r="AX499" s="69">
        <f t="shared" ca="1" si="209"/>
        <v>0</v>
      </c>
      <c r="AY499" s="70">
        <f t="shared" ca="1" si="210"/>
        <v>0</v>
      </c>
      <c r="AZ499" s="66">
        <f t="shared" ca="1" si="211"/>
        <v>0</v>
      </c>
      <c r="BA499" s="66">
        <f t="shared" ca="1" si="212"/>
        <v>0</v>
      </c>
      <c r="BB499" s="66">
        <f t="shared" ca="1" si="213"/>
        <v>0</v>
      </c>
      <c r="BC499" s="66">
        <f t="shared" ca="1" si="214"/>
        <v>0</v>
      </c>
      <c r="BD499" s="66">
        <f t="shared" ca="1" si="215"/>
        <v>0</v>
      </c>
      <c r="BE499" s="71">
        <f t="shared" ca="1" si="221"/>
        <v>0</v>
      </c>
      <c r="BF499" s="65">
        <f t="shared" ca="1" si="216"/>
        <v>0</v>
      </c>
      <c r="BG499" s="69">
        <f t="shared" ca="1" si="217"/>
        <v>0</v>
      </c>
      <c r="BH499" s="301">
        <f t="shared" ca="1" si="220"/>
        <v>0</v>
      </c>
      <c r="BI499" s="300">
        <f ca="1">IF(AO499&gt;TartamVálasztott,0,   (BI498+BH499)*(1+yields!$D$2)*(1-(0.0099/12)))</f>
        <v>0</v>
      </c>
      <c r="BJ499" s="300">
        <f ca="1">SUM(BH$6:BH499)*-1.2</f>
        <v>-862056.26733480149</v>
      </c>
      <c r="BK499" s="300">
        <f t="shared" ca="1" si="226"/>
        <v>-862056.26733480149</v>
      </c>
      <c r="BL499" s="28">
        <f t="shared" ca="1" si="224"/>
        <v>2058</v>
      </c>
      <c r="BM499" s="28">
        <f t="shared" ca="1" si="222"/>
        <v>3</v>
      </c>
      <c r="BN499" s="236">
        <f t="shared" ca="1" si="223"/>
        <v>0</v>
      </c>
      <c r="BO499" s="236">
        <f t="shared" ca="1" si="218"/>
        <v>0</v>
      </c>
    </row>
    <row r="500" spans="41:67" x14ac:dyDescent="0.25">
      <c r="AO500" s="28">
        <f t="shared" si="202"/>
        <v>42</v>
      </c>
      <c r="AP500" s="28">
        <f t="shared" si="203"/>
        <v>3</v>
      </c>
      <c r="AQ500" s="65">
        <f t="shared" ca="1" si="219"/>
        <v>0</v>
      </c>
      <c r="AR500" s="66">
        <f t="shared" ca="1" si="204"/>
        <v>0</v>
      </c>
      <c r="AS500" s="66">
        <f t="shared" ca="1" si="205"/>
        <v>0</v>
      </c>
      <c r="AT500" s="66">
        <f t="shared" ca="1" si="206"/>
        <v>0</v>
      </c>
      <c r="AU500" s="66">
        <f t="shared" ca="1" si="207"/>
        <v>0</v>
      </c>
      <c r="AV500" s="68">
        <f t="shared" ca="1" si="225"/>
        <v>0</v>
      </c>
      <c r="AW500" s="65">
        <f t="shared" ca="1" si="208"/>
        <v>0</v>
      </c>
      <c r="AX500" s="69">
        <f t="shared" ca="1" si="209"/>
        <v>0</v>
      </c>
      <c r="AY500" s="70">
        <f t="shared" ca="1" si="210"/>
        <v>0</v>
      </c>
      <c r="AZ500" s="66">
        <f t="shared" ca="1" si="211"/>
        <v>0</v>
      </c>
      <c r="BA500" s="66">
        <f t="shared" ca="1" si="212"/>
        <v>0</v>
      </c>
      <c r="BB500" s="66">
        <f t="shared" ca="1" si="213"/>
        <v>0</v>
      </c>
      <c r="BC500" s="66">
        <f t="shared" ca="1" si="214"/>
        <v>0</v>
      </c>
      <c r="BD500" s="66">
        <f t="shared" ca="1" si="215"/>
        <v>0</v>
      </c>
      <c r="BE500" s="71">
        <f t="shared" ca="1" si="221"/>
        <v>0</v>
      </c>
      <c r="BF500" s="65">
        <f t="shared" ca="1" si="216"/>
        <v>0</v>
      </c>
      <c r="BG500" s="69">
        <f t="shared" ca="1" si="217"/>
        <v>0</v>
      </c>
      <c r="BH500" s="301">
        <f t="shared" ca="1" si="220"/>
        <v>0</v>
      </c>
      <c r="BI500" s="300">
        <f ca="1">IF(AO500&gt;TartamVálasztott,0,   (BI499+BH500)*(1+yields!$D$2)*(1-(0.0099/12)))</f>
        <v>0</v>
      </c>
      <c r="BJ500" s="300">
        <f ca="1">SUM(BH$6:BH500)*-1.2</f>
        <v>-862056.26733480149</v>
      </c>
      <c r="BK500" s="300">
        <f t="shared" ca="1" si="226"/>
        <v>-862056.26733480149</v>
      </c>
      <c r="BL500" s="28">
        <f t="shared" ca="1" si="224"/>
        <v>2058</v>
      </c>
      <c r="BM500" s="28">
        <f t="shared" ca="1" si="222"/>
        <v>4</v>
      </c>
      <c r="BN500" s="236">
        <f t="shared" ca="1" si="223"/>
        <v>0</v>
      </c>
      <c r="BO500" s="236">
        <f t="shared" ca="1" si="218"/>
        <v>0</v>
      </c>
    </row>
    <row r="501" spans="41:67" x14ac:dyDescent="0.25">
      <c r="AO501" s="28">
        <f t="shared" si="202"/>
        <v>42</v>
      </c>
      <c r="AP501" s="28">
        <f t="shared" si="203"/>
        <v>4</v>
      </c>
      <c r="AQ501" s="65">
        <f t="shared" ca="1" si="219"/>
        <v>0</v>
      </c>
      <c r="AR501" s="66">
        <f t="shared" ca="1" si="204"/>
        <v>0</v>
      </c>
      <c r="AS501" s="66">
        <f t="shared" ca="1" si="205"/>
        <v>0</v>
      </c>
      <c r="AT501" s="66">
        <f t="shared" ca="1" si="206"/>
        <v>0</v>
      </c>
      <c r="AU501" s="66">
        <f t="shared" ca="1" si="207"/>
        <v>0</v>
      </c>
      <c r="AV501" s="68">
        <f t="shared" ca="1" si="225"/>
        <v>0</v>
      </c>
      <c r="AW501" s="65">
        <f t="shared" ca="1" si="208"/>
        <v>0</v>
      </c>
      <c r="AX501" s="69">
        <f t="shared" ca="1" si="209"/>
        <v>0</v>
      </c>
      <c r="AY501" s="70">
        <f t="shared" ca="1" si="210"/>
        <v>0</v>
      </c>
      <c r="AZ501" s="66">
        <f t="shared" ca="1" si="211"/>
        <v>0</v>
      </c>
      <c r="BA501" s="66">
        <f t="shared" ca="1" si="212"/>
        <v>0</v>
      </c>
      <c r="BB501" s="66">
        <f t="shared" ca="1" si="213"/>
        <v>0</v>
      </c>
      <c r="BC501" s="66">
        <f t="shared" ca="1" si="214"/>
        <v>0</v>
      </c>
      <c r="BD501" s="66">
        <f t="shared" ca="1" si="215"/>
        <v>0</v>
      </c>
      <c r="BE501" s="71">
        <f t="shared" ca="1" si="221"/>
        <v>0</v>
      </c>
      <c r="BF501" s="65">
        <f t="shared" ca="1" si="216"/>
        <v>0</v>
      </c>
      <c r="BG501" s="69">
        <f t="shared" ca="1" si="217"/>
        <v>0</v>
      </c>
      <c r="BH501" s="301">
        <f t="shared" ca="1" si="220"/>
        <v>0</v>
      </c>
      <c r="BI501" s="300">
        <f ca="1">IF(AO501&gt;TartamVálasztott,0,   (BI500+BH501)*(1+yields!$D$2)*(1-(0.0099/12)))</f>
        <v>0</v>
      </c>
      <c r="BJ501" s="300">
        <f ca="1">SUM(BH$6:BH501)*-1.2</f>
        <v>-862056.26733480149</v>
      </c>
      <c r="BK501" s="300">
        <f t="shared" ca="1" si="226"/>
        <v>-862056.26733480149</v>
      </c>
      <c r="BL501" s="28">
        <f t="shared" ca="1" si="224"/>
        <v>2058</v>
      </c>
      <c r="BM501" s="28">
        <f t="shared" ca="1" si="222"/>
        <v>5</v>
      </c>
      <c r="BN501" s="236">
        <f t="shared" ca="1" si="223"/>
        <v>0</v>
      </c>
      <c r="BO501" s="236">
        <f t="shared" ca="1" si="218"/>
        <v>0</v>
      </c>
    </row>
    <row r="502" spans="41:67" x14ac:dyDescent="0.25">
      <c r="AO502" s="28">
        <f t="shared" si="202"/>
        <v>42</v>
      </c>
      <c r="AP502" s="28">
        <f t="shared" si="203"/>
        <v>5</v>
      </c>
      <c r="AQ502" s="65">
        <f t="shared" ca="1" si="219"/>
        <v>0</v>
      </c>
      <c r="AR502" s="66">
        <f t="shared" ca="1" si="204"/>
        <v>0</v>
      </c>
      <c r="AS502" s="66">
        <f t="shared" ca="1" si="205"/>
        <v>0</v>
      </c>
      <c r="AT502" s="66">
        <f t="shared" ca="1" si="206"/>
        <v>0</v>
      </c>
      <c r="AU502" s="66">
        <f t="shared" ca="1" si="207"/>
        <v>0</v>
      </c>
      <c r="AV502" s="68">
        <f t="shared" ca="1" si="225"/>
        <v>0</v>
      </c>
      <c r="AW502" s="65">
        <f t="shared" ca="1" si="208"/>
        <v>0</v>
      </c>
      <c r="AX502" s="69">
        <f t="shared" ca="1" si="209"/>
        <v>0</v>
      </c>
      <c r="AY502" s="70">
        <f t="shared" ca="1" si="210"/>
        <v>0</v>
      </c>
      <c r="AZ502" s="66">
        <f t="shared" ca="1" si="211"/>
        <v>0</v>
      </c>
      <c r="BA502" s="66">
        <f t="shared" ca="1" si="212"/>
        <v>0</v>
      </c>
      <c r="BB502" s="66">
        <f t="shared" ca="1" si="213"/>
        <v>0</v>
      </c>
      <c r="BC502" s="66">
        <f t="shared" ca="1" si="214"/>
        <v>0</v>
      </c>
      <c r="BD502" s="66">
        <f t="shared" ca="1" si="215"/>
        <v>0</v>
      </c>
      <c r="BE502" s="71">
        <f t="shared" ca="1" si="221"/>
        <v>0</v>
      </c>
      <c r="BF502" s="65">
        <f t="shared" ca="1" si="216"/>
        <v>0</v>
      </c>
      <c r="BG502" s="69">
        <f t="shared" ca="1" si="217"/>
        <v>0</v>
      </c>
      <c r="BH502" s="301">
        <f t="shared" ca="1" si="220"/>
        <v>0</v>
      </c>
      <c r="BI502" s="300">
        <f ca="1">IF(AO502&gt;TartamVálasztott,0,   (BI501+BH502)*(1+yields!$D$2)*(1-(0.0099/12)))</f>
        <v>0</v>
      </c>
      <c r="BJ502" s="300">
        <f ca="1">SUM(BH$6:BH502)*-1.2</f>
        <v>-862056.26733480149</v>
      </c>
      <c r="BK502" s="300">
        <f t="shared" ca="1" si="226"/>
        <v>-862056.26733480149</v>
      </c>
      <c r="BL502" s="28">
        <f t="shared" ca="1" si="224"/>
        <v>2058</v>
      </c>
      <c r="BM502" s="28">
        <f t="shared" ca="1" si="222"/>
        <v>6</v>
      </c>
      <c r="BN502" s="236">
        <f t="shared" ca="1" si="223"/>
        <v>0</v>
      </c>
      <c r="BO502" s="236">
        <f t="shared" ca="1" si="218"/>
        <v>0</v>
      </c>
    </row>
    <row r="503" spans="41:67" x14ac:dyDescent="0.25">
      <c r="AO503" s="28">
        <f t="shared" si="202"/>
        <v>42</v>
      </c>
      <c r="AP503" s="28">
        <f t="shared" si="203"/>
        <v>6</v>
      </c>
      <c r="AQ503" s="65">
        <f t="shared" ca="1" si="219"/>
        <v>0</v>
      </c>
      <c r="AR503" s="66">
        <f t="shared" ca="1" si="204"/>
        <v>0</v>
      </c>
      <c r="AS503" s="66">
        <f t="shared" ca="1" si="205"/>
        <v>0</v>
      </c>
      <c r="AT503" s="66">
        <f t="shared" ca="1" si="206"/>
        <v>0</v>
      </c>
      <c r="AU503" s="66">
        <f t="shared" ca="1" si="207"/>
        <v>0</v>
      </c>
      <c r="AV503" s="68">
        <f t="shared" ca="1" si="225"/>
        <v>0</v>
      </c>
      <c r="AW503" s="65">
        <f t="shared" ca="1" si="208"/>
        <v>0</v>
      </c>
      <c r="AX503" s="69">
        <f t="shared" ca="1" si="209"/>
        <v>0</v>
      </c>
      <c r="AY503" s="70">
        <f t="shared" ca="1" si="210"/>
        <v>0</v>
      </c>
      <c r="AZ503" s="66">
        <f t="shared" ca="1" si="211"/>
        <v>0</v>
      </c>
      <c r="BA503" s="66">
        <f t="shared" ca="1" si="212"/>
        <v>0</v>
      </c>
      <c r="BB503" s="66">
        <f t="shared" ca="1" si="213"/>
        <v>0</v>
      </c>
      <c r="BC503" s="66">
        <f t="shared" ca="1" si="214"/>
        <v>0</v>
      </c>
      <c r="BD503" s="66">
        <f t="shared" ca="1" si="215"/>
        <v>0</v>
      </c>
      <c r="BE503" s="71">
        <f t="shared" ca="1" si="221"/>
        <v>0</v>
      </c>
      <c r="BF503" s="65">
        <f t="shared" ca="1" si="216"/>
        <v>0</v>
      </c>
      <c r="BG503" s="69">
        <f t="shared" ca="1" si="217"/>
        <v>0</v>
      </c>
      <c r="BH503" s="301">
        <f t="shared" ca="1" si="220"/>
        <v>0</v>
      </c>
      <c r="BI503" s="300">
        <f ca="1">IF(AO503&gt;TartamVálasztott,0,   (BI502+BH503)*(1+yields!$D$2)*(1-(0.0099/12)))</f>
        <v>0</v>
      </c>
      <c r="BJ503" s="300">
        <f ca="1">SUM(BH$6:BH503)*-1.2</f>
        <v>-862056.26733480149</v>
      </c>
      <c r="BK503" s="300">
        <f t="shared" ca="1" si="226"/>
        <v>-862056.26733480149</v>
      </c>
      <c r="BL503" s="28">
        <f t="shared" ca="1" si="224"/>
        <v>2058</v>
      </c>
      <c r="BM503" s="28">
        <f t="shared" ca="1" si="222"/>
        <v>7</v>
      </c>
      <c r="BN503" s="236">
        <f t="shared" ca="1" si="223"/>
        <v>0</v>
      </c>
      <c r="BO503" s="236">
        <f t="shared" ca="1" si="218"/>
        <v>0</v>
      </c>
    </row>
    <row r="504" spans="41:67" x14ac:dyDescent="0.25">
      <c r="AO504" s="28">
        <f t="shared" si="202"/>
        <v>42</v>
      </c>
      <c r="AP504" s="28">
        <f t="shared" si="203"/>
        <v>7</v>
      </c>
      <c r="AQ504" s="65">
        <f t="shared" ca="1" si="219"/>
        <v>0</v>
      </c>
      <c r="AR504" s="66">
        <f t="shared" ca="1" si="204"/>
        <v>0</v>
      </c>
      <c r="AS504" s="66">
        <f t="shared" ca="1" si="205"/>
        <v>0</v>
      </c>
      <c r="AT504" s="66">
        <f t="shared" ca="1" si="206"/>
        <v>0</v>
      </c>
      <c r="AU504" s="66">
        <f t="shared" ca="1" si="207"/>
        <v>0</v>
      </c>
      <c r="AV504" s="68">
        <f t="shared" ca="1" si="225"/>
        <v>0</v>
      </c>
      <c r="AW504" s="65">
        <f t="shared" ca="1" si="208"/>
        <v>0</v>
      </c>
      <c r="AX504" s="69">
        <f t="shared" ca="1" si="209"/>
        <v>0</v>
      </c>
      <c r="AY504" s="70">
        <f t="shared" ca="1" si="210"/>
        <v>0</v>
      </c>
      <c r="AZ504" s="66">
        <f t="shared" ca="1" si="211"/>
        <v>0</v>
      </c>
      <c r="BA504" s="66">
        <f t="shared" ca="1" si="212"/>
        <v>0</v>
      </c>
      <c r="BB504" s="66">
        <f t="shared" ca="1" si="213"/>
        <v>0</v>
      </c>
      <c r="BC504" s="66">
        <f t="shared" ca="1" si="214"/>
        <v>0</v>
      </c>
      <c r="BD504" s="66">
        <f t="shared" ca="1" si="215"/>
        <v>0</v>
      </c>
      <c r="BE504" s="71">
        <f t="shared" ca="1" si="221"/>
        <v>0</v>
      </c>
      <c r="BF504" s="65">
        <f t="shared" ca="1" si="216"/>
        <v>0</v>
      </c>
      <c r="BG504" s="69">
        <f t="shared" ca="1" si="217"/>
        <v>0</v>
      </c>
      <c r="BH504" s="301">
        <f t="shared" ca="1" si="220"/>
        <v>0</v>
      </c>
      <c r="BI504" s="300">
        <f ca="1">IF(AO504&gt;TartamVálasztott,0,   (BI503+BH504)*(1+yields!$D$2)*(1-(0.0099/12)))</f>
        <v>0</v>
      </c>
      <c r="BJ504" s="300">
        <f ca="1">SUM(BH$6:BH504)*-1.2</f>
        <v>-862056.26733480149</v>
      </c>
      <c r="BK504" s="300">
        <f t="shared" ca="1" si="226"/>
        <v>-862056.26733480149</v>
      </c>
      <c r="BL504" s="28">
        <f t="shared" ca="1" si="224"/>
        <v>2058</v>
      </c>
      <c r="BM504" s="28">
        <f t="shared" ca="1" si="222"/>
        <v>8</v>
      </c>
      <c r="BN504" s="236">
        <f t="shared" ca="1" si="223"/>
        <v>0</v>
      </c>
      <c r="BO504" s="236">
        <f t="shared" ca="1" si="218"/>
        <v>0</v>
      </c>
    </row>
    <row r="505" spans="41:67" x14ac:dyDescent="0.25">
      <c r="AO505" s="28">
        <f t="shared" si="202"/>
        <v>42</v>
      </c>
      <c r="AP505" s="28">
        <f t="shared" si="203"/>
        <v>8</v>
      </c>
      <c r="AQ505" s="65">
        <f t="shared" ca="1" si="219"/>
        <v>0</v>
      </c>
      <c r="AR505" s="66">
        <f t="shared" ca="1" si="204"/>
        <v>0</v>
      </c>
      <c r="AS505" s="66">
        <f t="shared" ca="1" si="205"/>
        <v>0</v>
      </c>
      <c r="AT505" s="66">
        <f t="shared" ca="1" si="206"/>
        <v>0</v>
      </c>
      <c r="AU505" s="66">
        <f t="shared" ca="1" si="207"/>
        <v>0</v>
      </c>
      <c r="AV505" s="68">
        <f t="shared" ca="1" si="225"/>
        <v>0</v>
      </c>
      <c r="AW505" s="65">
        <f t="shared" ca="1" si="208"/>
        <v>0</v>
      </c>
      <c r="AX505" s="69">
        <f t="shared" ca="1" si="209"/>
        <v>0</v>
      </c>
      <c r="AY505" s="70">
        <f t="shared" ca="1" si="210"/>
        <v>0</v>
      </c>
      <c r="AZ505" s="66">
        <f t="shared" ca="1" si="211"/>
        <v>0</v>
      </c>
      <c r="BA505" s="66">
        <f t="shared" ca="1" si="212"/>
        <v>0</v>
      </c>
      <c r="BB505" s="66">
        <f t="shared" ca="1" si="213"/>
        <v>0</v>
      </c>
      <c r="BC505" s="66">
        <f t="shared" ca="1" si="214"/>
        <v>0</v>
      </c>
      <c r="BD505" s="66">
        <f t="shared" ca="1" si="215"/>
        <v>0</v>
      </c>
      <c r="BE505" s="71">
        <f t="shared" ca="1" si="221"/>
        <v>0</v>
      </c>
      <c r="BF505" s="65">
        <f t="shared" ca="1" si="216"/>
        <v>0</v>
      </c>
      <c r="BG505" s="69">
        <f t="shared" ca="1" si="217"/>
        <v>0</v>
      </c>
      <c r="BH505" s="301">
        <f t="shared" ca="1" si="220"/>
        <v>0</v>
      </c>
      <c r="BI505" s="300">
        <f ca="1">IF(AO505&gt;TartamVálasztott,0,   (BI504+BH505)*(1+yields!$D$2)*(1-(0.0099/12)))</f>
        <v>0</v>
      </c>
      <c r="BJ505" s="300">
        <f ca="1">SUM(BH$6:BH505)*-1.2</f>
        <v>-862056.26733480149</v>
      </c>
      <c r="BK505" s="300">
        <f t="shared" ca="1" si="226"/>
        <v>-862056.26733480149</v>
      </c>
      <c r="BL505" s="28">
        <f t="shared" ca="1" si="224"/>
        <v>2058</v>
      </c>
      <c r="BM505" s="28">
        <f t="shared" ca="1" si="222"/>
        <v>9</v>
      </c>
      <c r="BN505" s="236">
        <f t="shared" ca="1" si="223"/>
        <v>0</v>
      </c>
      <c r="BO505" s="236">
        <f t="shared" ca="1" si="218"/>
        <v>0</v>
      </c>
    </row>
    <row r="506" spans="41:67" x14ac:dyDescent="0.25">
      <c r="AO506" s="28">
        <f t="shared" si="202"/>
        <v>42</v>
      </c>
      <c r="AP506" s="28">
        <f t="shared" si="203"/>
        <v>9</v>
      </c>
      <c r="AQ506" s="65">
        <f t="shared" ca="1" si="219"/>
        <v>0</v>
      </c>
      <c r="AR506" s="66">
        <f t="shared" ca="1" si="204"/>
        <v>0</v>
      </c>
      <c r="AS506" s="66">
        <f t="shared" ca="1" si="205"/>
        <v>0</v>
      </c>
      <c r="AT506" s="66">
        <f t="shared" ca="1" si="206"/>
        <v>0</v>
      </c>
      <c r="AU506" s="66">
        <f t="shared" ca="1" si="207"/>
        <v>0</v>
      </c>
      <c r="AV506" s="68">
        <f t="shared" ca="1" si="225"/>
        <v>0</v>
      </c>
      <c r="AW506" s="65">
        <f t="shared" ca="1" si="208"/>
        <v>0</v>
      </c>
      <c r="AX506" s="69">
        <f t="shared" ca="1" si="209"/>
        <v>0</v>
      </c>
      <c r="AY506" s="70">
        <f t="shared" ca="1" si="210"/>
        <v>0</v>
      </c>
      <c r="AZ506" s="66">
        <f t="shared" ca="1" si="211"/>
        <v>0</v>
      </c>
      <c r="BA506" s="66">
        <f t="shared" ca="1" si="212"/>
        <v>0</v>
      </c>
      <c r="BB506" s="66">
        <f t="shared" ca="1" si="213"/>
        <v>0</v>
      </c>
      <c r="BC506" s="66">
        <f t="shared" ca="1" si="214"/>
        <v>0</v>
      </c>
      <c r="BD506" s="66">
        <f t="shared" ca="1" si="215"/>
        <v>0</v>
      </c>
      <c r="BE506" s="71">
        <f t="shared" ca="1" si="221"/>
        <v>0</v>
      </c>
      <c r="BF506" s="65">
        <f t="shared" ca="1" si="216"/>
        <v>0</v>
      </c>
      <c r="BG506" s="69">
        <f t="shared" ca="1" si="217"/>
        <v>0</v>
      </c>
      <c r="BH506" s="301">
        <f t="shared" ca="1" si="220"/>
        <v>0</v>
      </c>
      <c r="BI506" s="300">
        <f ca="1">IF(AO506&gt;TartamVálasztott,0,   (BI505+BH506)*(1+yields!$D$2)*(1-(0.0099/12)))</f>
        <v>0</v>
      </c>
      <c r="BJ506" s="300">
        <f ca="1">SUM(BH$6:BH506)*-1.2</f>
        <v>-862056.26733480149</v>
      </c>
      <c r="BK506" s="300">
        <f t="shared" ca="1" si="226"/>
        <v>-862056.26733480149</v>
      </c>
      <c r="BL506" s="28">
        <f t="shared" ca="1" si="224"/>
        <v>2058</v>
      </c>
      <c r="BM506" s="28">
        <f t="shared" ca="1" si="222"/>
        <v>10</v>
      </c>
      <c r="BN506" s="236">
        <f t="shared" ca="1" si="223"/>
        <v>0</v>
      </c>
      <c r="BO506" s="236">
        <f t="shared" ca="1" si="218"/>
        <v>0</v>
      </c>
    </row>
    <row r="507" spans="41:67" x14ac:dyDescent="0.25">
      <c r="AO507" s="28">
        <f t="shared" si="202"/>
        <v>42</v>
      </c>
      <c r="AP507" s="28">
        <f t="shared" si="203"/>
        <v>10</v>
      </c>
      <c r="AQ507" s="65">
        <f t="shared" ca="1" si="219"/>
        <v>0</v>
      </c>
      <c r="AR507" s="66">
        <f t="shared" ca="1" si="204"/>
        <v>0</v>
      </c>
      <c r="AS507" s="66">
        <f t="shared" ca="1" si="205"/>
        <v>0</v>
      </c>
      <c r="AT507" s="66">
        <f t="shared" ca="1" si="206"/>
        <v>0</v>
      </c>
      <c r="AU507" s="66">
        <f t="shared" ca="1" si="207"/>
        <v>0</v>
      </c>
      <c r="AV507" s="68">
        <f t="shared" ca="1" si="225"/>
        <v>0</v>
      </c>
      <c r="AW507" s="65">
        <f t="shared" ca="1" si="208"/>
        <v>0</v>
      </c>
      <c r="AX507" s="69">
        <f t="shared" ca="1" si="209"/>
        <v>0</v>
      </c>
      <c r="AY507" s="70">
        <f t="shared" ca="1" si="210"/>
        <v>0</v>
      </c>
      <c r="AZ507" s="66">
        <f t="shared" ca="1" si="211"/>
        <v>0</v>
      </c>
      <c r="BA507" s="66">
        <f t="shared" ca="1" si="212"/>
        <v>0</v>
      </c>
      <c r="BB507" s="66">
        <f t="shared" ca="1" si="213"/>
        <v>0</v>
      </c>
      <c r="BC507" s="66">
        <f t="shared" ca="1" si="214"/>
        <v>0</v>
      </c>
      <c r="BD507" s="66">
        <f t="shared" ca="1" si="215"/>
        <v>0</v>
      </c>
      <c r="BE507" s="71">
        <f t="shared" ca="1" si="221"/>
        <v>0</v>
      </c>
      <c r="BF507" s="65">
        <f t="shared" ca="1" si="216"/>
        <v>0</v>
      </c>
      <c r="BG507" s="69">
        <f t="shared" ca="1" si="217"/>
        <v>0</v>
      </c>
      <c r="BH507" s="301">
        <f t="shared" ca="1" si="220"/>
        <v>0</v>
      </c>
      <c r="BI507" s="300">
        <f ca="1">IF(AO507&gt;TartamVálasztott,0,   (BI506+BH507)*(1+yields!$D$2)*(1-(0.0099/12)))</f>
        <v>0</v>
      </c>
      <c r="BJ507" s="300">
        <f ca="1">SUM(BH$6:BH507)*-1.2</f>
        <v>-862056.26733480149</v>
      </c>
      <c r="BK507" s="300">
        <f t="shared" ca="1" si="226"/>
        <v>-862056.26733480149</v>
      </c>
      <c r="BL507" s="28">
        <f t="shared" ca="1" si="224"/>
        <v>2058</v>
      </c>
      <c r="BM507" s="28">
        <f t="shared" ca="1" si="222"/>
        <v>11</v>
      </c>
      <c r="BN507" s="236">
        <f t="shared" ca="1" si="223"/>
        <v>0</v>
      </c>
      <c r="BO507" s="236">
        <f t="shared" ca="1" si="218"/>
        <v>0</v>
      </c>
    </row>
    <row r="508" spans="41:67" x14ac:dyDescent="0.25">
      <c r="AO508" s="28">
        <f t="shared" si="202"/>
        <v>42</v>
      </c>
      <c r="AP508" s="28">
        <f t="shared" si="203"/>
        <v>11</v>
      </c>
      <c r="AQ508" s="65">
        <f t="shared" ca="1" si="219"/>
        <v>0</v>
      </c>
      <c r="AR508" s="66">
        <f t="shared" ca="1" si="204"/>
        <v>0</v>
      </c>
      <c r="AS508" s="66">
        <f t="shared" ca="1" si="205"/>
        <v>0</v>
      </c>
      <c r="AT508" s="66">
        <f t="shared" ca="1" si="206"/>
        <v>0</v>
      </c>
      <c r="AU508" s="66">
        <f t="shared" ca="1" si="207"/>
        <v>0</v>
      </c>
      <c r="AV508" s="68">
        <f t="shared" ca="1" si="225"/>
        <v>0</v>
      </c>
      <c r="AW508" s="65">
        <f t="shared" ca="1" si="208"/>
        <v>0</v>
      </c>
      <c r="AX508" s="69">
        <f t="shared" ca="1" si="209"/>
        <v>0</v>
      </c>
      <c r="AY508" s="70">
        <f t="shared" ca="1" si="210"/>
        <v>0</v>
      </c>
      <c r="AZ508" s="66">
        <f t="shared" ca="1" si="211"/>
        <v>0</v>
      </c>
      <c r="BA508" s="66">
        <f t="shared" ca="1" si="212"/>
        <v>0</v>
      </c>
      <c r="BB508" s="66">
        <f t="shared" ca="1" si="213"/>
        <v>0</v>
      </c>
      <c r="BC508" s="66">
        <f t="shared" ca="1" si="214"/>
        <v>0</v>
      </c>
      <c r="BD508" s="66">
        <f t="shared" ca="1" si="215"/>
        <v>0</v>
      </c>
      <c r="BE508" s="71">
        <f t="shared" ca="1" si="221"/>
        <v>0</v>
      </c>
      <c r="BF508" s="65">
        <f t="shared" ca="1" si="216"/>
        <v>0</v>
      </c>
      <c r="BG508" s="69">
        <f t="shared" ca="1" si="217"/>
        <v>0</v>
      </c>
      <c r="BH508" s="301">
        <f t="shared" ca="1" si="220"/>
        <v>0</v>
      </c>
      <c r="BI508" s="300">
        <f ca="1">IF(AO508&gt;TartamVálasztott,0,   (BI507+BH508)*(1+yields!$D$2)*(1-(0.0099/12)))</f>
        <v>0</v>
      </c>
      <c r="BJ508" s="300">
        <f ca="1">SUM(BH$6:BH508)*-1.2</f>
        <v>-862056.26733480149</v>
      </c>
      <c r="BK508" s="300">
        <f t="shared" ca="1" si="226"/>
        <v>-862056.26733480149</v>
      </c>
      <c r="BL508" s="28">
        <f t="shared" ca="1" si="224"/>
        <v>2058</v>
      </c>
      <c r="BM508" s="28">
        <f t="shared" ca="1" si="222"/>
        <v>12</v>
      </c>
      <c r="BN508" s="236">
        <f t="shared" ca="1" si="223"/>
        <v>0</v>
      </c>
      <c r="BO508" s="236">
        <f t="shared" ca="1" si="218"/>
        <v>0</v>
      </c>
    </row>
    <row r="509" spans="41:67" x14ac:dyDescent="0.25">
      <c r="AO509" s="28">
        <f t="shared" si="202"/>
        <v>42</v>
      </c>
      <c r="AP509" s="28">
        <f t="shared" si="203"/>
        <v>12</v>
      </c>
      <c r="AQ509" s="65">
        <f t="shared" ca="1" si="219"/>
        <v>0</v>
      </c>
      <c r="AR509" s="66">
        <f t="shared" ca="1" si="204"/>
        <v>0</v>
      </c>
      <c r="AS509" s="66">
        <f t="shared" ca="1" si="205"/>
        <v>0</v>
      </c>
      <c r="AT509" s="66">
        <f t="shared" ca="1" si="206"/>
        <v>0</v>
      </c>
      <c r="AU509" s="66">
        <f t="shared" ca="1" si="207"/>
        <v>0</v>
      </c>
      <c r="AV509" s="68">
        <f t="shared" ca="1" si="225"/>
        <v>0</v>
      </c>
      <c r="AW509" s="65">
        <f t="shared" ca="1" si="208"/>
        <v>0</v>
      </c>
      <c r="AX509" s="69">
        <f t="shared" ca="1" si="209"/>
        <v>0</v>
      </c>
      <c r="AY509" s="70">
        <f t="shared" ca="1" si="210"/>
        <v>0</v>
      </c>
      <c r="AZ509" s="66">
        <f t="shared" ca="1" si="211"/>
        <v>0</v>
      </c>
      <c r="BA509" s="66">
        <f t="shared" ca="1" si="212"/>
        <v>0</v>
      </c>
      <c r="BB509" s="66">
        <f t="shared" ca="1" si="213"/>
        <v>0</v>
      </c>
      <c r="BC509" s="66">
        <f t="shared" ca="1" si="214"/>
        <v>0</v>
      </c>
      <c r="BD509" s="66">
        <f t="shared" ca="1" si="215"/>
        <v>0</v>
      </c>
      <c r="BE509" s="71">
        <f t="shared" ca="1" si="221"/>
        <v>0</v>
      </c>
      <c r="BF509" s="65">
        <f t="shared" ca="1" si="216"/>
        <v>0</v>
      </c>
      <c r="BG509" s="69">
        <f t="shared" ca="1" si="217"/>
        <v>0</v>
      </c>
      <c r="BH509" s="301">
        <f t="shared" ca="1" si="220"/>
        <v>0</v>
      </c>
      <c r="BI509" s="300">
        <f ca="1">IF(AO509&gt;TartamVálasztott,0,   (BI508+BH509)*(1+yields!$D$2)*(1-(0.0099/12)))</f>
        <v>0</v>
      </c>
      <c r="BJ509" s="300">
        <f ca="1">SUM(BH$6:BH509)*-1.2</f>
        <v>-862056.26733480149</v>
      </c>
      <c r="BK509" s="300">
        <f t="shared" ca="1" si="226"/>
        <v>-862056.26733480149</v>
      </c>
      <c r="BL509" s="28">
        <f t="shared" ca="1" si="224"/>
        <v>2059</v>
      </c>
      <c r="BM509" s="28">
        <f t="shared" ca="1" si="222"/>
        <v>1</v>
      </c>
      <c r="BN509" s="236">
        <f t="shared" ca="1" si="223"/>
        <v>0</v>
      </c>
      <c r="BO509" s="236">
        <f t="shared" ca="1" si="218"/>
        <v>0</v>
      </c>
    </row>
    <row r="510" spans="41:67" x14ac:dyDescent="0.25">
      <c r="AO510" s="28">
        <f t="shared" si="202"/>
        <v>43</v>
      </c>
      <c r="AP510" s="28">
        <f t="shared" si="203"/>
        <v>1</v>
      </c>
      <c r="AQ510" s="65">
        <f t="shared" ca="1" si="219"/>
        <v>0</v>
      </c>
      <c r="AR510" s="66">
        <f t="shared" ca="1" si="204"/>
        <v>0</v>
      </c>
      <c r="AS510" s="66">
        <f t="shared" ca="1" si="205"/>
        <v>0</v>
      </c>
      <c r="AT510" s="66">
        <f t="shared" ca="1" si="206"/>
        <v>0</v>
      </c>
      <c r="AU510" s="66">
        <f t="shared" ca="1" si="207"/>
        <v>0</v>
      </c>
      <c r="AV510" s="68">
        <f t="shared" ca="1" si="225"/>
        <v>0</v>
      </c>
      <c r="AW510" s="65">
        <f t="shared" ca="1" si="208"/>
        <v>0</v>
      </c>
      <c r="AX510" s="69">
        <f t="shared" ca="1" si="209"/>
        <v>0</v>
      </c>
      <c r="AY510" s="70">
        <f t="shared" ca="1" si="210"/>
        <v>0</v>
      </c>
      <c r="AZ510" s="66">
        <f t="shared" ca="1" si="211"/>
        <v>0</v>
      </c>
      <c r="BA510" s="66">
        <f t="shared" ca="1" si="212"/>
        <v>0</v>
      </c>
      <c r="BB510" s="66">
        <f t="shared" ca="1" si="213"/>
        <v>0</v>
      </c>
      <c r="BC510" s="66">
        <f t="shared" ca="1" si="214"/>
        <v>0</v>
      </c>
      <c r="BD510" s="66">
        <f t="shared" ca="1" si="215"/>
        <v>0</v>
      </c>
      <c r="BE510" s="71">
        <f t="shared" ca="1" si="221"/>
        <v>0</v>
      </c>
      <c r="BF510" s="65">
        <f t="shared" ca="1" si="216"/>
        <v>0</v>
      </c>
      <c r="BG510" s="69">
        <f t="shared" ca="1" si="217"/>
        <v>0</v>
      </c>
      <c r="BH510" s="301">
        <f t="shared" ca="1" si="220"/>
        <v>0</v>
      </c>
      <c r="BI510" s="300">
        <f ca="1">IF(AO510&gt;TartamVálasztott,0,   (BI509+BH510)*(1+yields!$D$2)*(1-(0.0099/12)))</f>
        <v>0</v>
      </c>
      <c r="BJ510" s="300">
        <f ca="1">SUM(BH$6:BH510)*-1.2</f>
        <v>-862056.26733480149</v>
      </c>
      <c r="BK510" s="300">
        <f t="shared" ca="1" si="226"/>
        <v>-862056.26733480149</v>
      </c>
      <c r="BL510" s="28">
        <f t="shared" ca="1" si="224"/>
        <v>2059</v>
      </c>
      <c r="BM510" s="28">
        <f t="shared" ca="1" si="222"/>
        <v>2</v>
      </c>
      <c r="BN510" s="236">
        <f t="shared" ca="1" si="223"/>
        <v>0</v>
      </c>
      <c r="BO510" s="236">
        <f t="shared" ca="1" si="218"/>
        <v>0</v>
      </c>
    </row>
    <row r="511" spans="41:67" x14ac:dyDescent="0.25">
      <c r="AO511" s="28">
        <f t="shared" si="202"/>
        <v>43</v>
      </c>
      <c r="AP511" s="28">
        <f t="shared" si="203"/>
        <v>2</v>
      </c>
      <c r="AQ511" s="65">
        <f t="shared" ca="1" si="219"/>
        <v>0</v>
      </c>
      <c r="AR511" s="66">
        <f t="shared" ca="1" si="204"/>
        <v>0</v>
      </c>
      <c r="AS511" s="66">
        <f t="shared" ca="1" si="205"/>
        <v>0</v>
      </c>
      <c r="AT511" s="66">
        <f t="shared" ca="1" si="206"/>
        <v>0</v>
      </c>
      <c r="AU511" s="66">
        <f t="shared" ca="1" si="207"/>
        <v>0</v>
      </c>
      <c r="AV511" s="68">
        <f t="shared" ca="1" si="225"/>
        <v>0</v>
      </c>
      <c r="AW511" s="65">
        <f t="shared" ca="1" si="208"/>
        <v>0</v>
      </c>
      <c r="AX511" s="69">
        <f t="shared" ca="1" si="209"/>
        <v>0</v>
      </c>
      <c r="AY511" s="70">
        <f t="shared" ca="1" si="210"/>
        <v>0</v>
      </c>
      <c r="AZ511" s="66">
        <f t="shared" ca="1" si="211"/>
        <v>0</v>
      </c>
      <c r="BA511" s="66">
        <f t="shared" ca="1" si="212"/>
        <v>0</v>
      </c>
      <c r="BB511" s="66">
        <f t="shared" ca="1" si="213"/>
        <v>0</v>
      </c>
      <c r="BC511" s="66">
        <f t="shared" ca="1" si="214"/>
        <v>0</v>
      </c>
      <c r="BD511" s="66">
        <f t="shared" ca="1" si="215"/>
        <v>0</v>
      </c>
      <c r="BE511" s="71">
        <f t="shared" ca="1" si="221"/>
        <v>0</v>
      </c>
      <c r="BF511" s="65">
        <f t="shared" ca="1" si="216"/>
        <v>0</v>
      </c>
      <c r="BG511" s="69">
        <f t="shared" ca="1" si="217"/>
        <v>0</v>
      </c>
      <c r="BH511" s="301">
        <f t="shared" ca="1" si="220"/>
        <v>0</v>
      </c>
      <c r="BI511" s="300">
        <f ca="1">IF(AO511&gt;TartamVálasztott,0,   (BI510+BH511)*(1+yields!$D$2)*(1-(0.0099/12)))</f>
        <v>0</v>
      </c>
      <c r="BJ511" s="300">
        <f ca="1">SUM(BH$6:BH511)*-1.2</f>
        <v>-862056.26733480149</v>
      </c>
      <c r="BK511" s="300">
        <f t="shared" ca="1" si="226"/>
        <v>-862056.26733480149</v>
      </c>
      <c r="BL511" s="28">
        <f t="shared" ca="1" si="224"/>
        <v>2059</v>
      </c>
      <c r="BM511" s="28">
        <f t="shared" ca="1" si="222"/>
        <v>3</v>
      </c>
      <c r="BN511" s="236">
        <f t="shared" ca="1" si="223"/>
        <v>0</v>
      </c>
      <c r="BO511" s="236">
        <f t="shared" ca="1" si="218"/>
        <v>0</v>
      </c>
    </row>
    <row r="512" spans="41:67" x14ac:dyDescent="0.25">
      <c r="AO512" s="28">
        <f t="shared" si="202"/>
        <v>43</v>
      </c>
      <c r="AP512" s="28">
        <f t="shared" si="203"/>
        <v>3</v>
      </c>
      <c r="AQ512" s="65">
        <f t="shared" ca="1" si="219"/>
        <v>0</v>
      </c>
      <c r="AR512" s="66">
        <f t="shared" ca="1" si="204"/>
        <v>0</v>
      </c>
      <c r="AS512" s="66">
        <f t="shared" ca="1" si="205"/>
        <v>0</v>
      </c>
      <c r="AT512" s="66">
        <f t="shared" ca="1" si="206"/>
        <v>0</v>
      </c>
      <c r="AU512" s="66">
        <f t="shared" ca="1" si="207"/>
        <v>0</v>
      </c>
      <c r="AV512" s="68">
        <f t="shared" ca="1" si="225"/>
        <v>0</v>
      </c>
      <c r="AW512" s="65">
        <f t="shared" ca="1" si="208"/>
        <v>0</v>
      </c>
      <c r="AX512" s="69">
        <f t="shared" ca="1" si="209"/>
        <v>0</v>
      </c>
      <c r="AY512" s="70">
        <f t="shared" ca="1" si="210"/>
        <v>0</v>
      </c>
      <c r="AZ512" s="66">
        <f t="shared" ca="1" si="211"/>
        <v>0</v>
      </c>
      <c r="BA512" s="66">
        <f t="shared" ca="1" si="212"/>
        <v>0</v>
      </c>
      <c r="BB512" s="66">
        <f t="shared" ca="1" si="213"/>
        <v>0</v>
      </c>
      <c r="BC512" s="66">
        <f t="shared" ca="1" si="214"/>
        <v>0</v>
      </c>
      <c r="BD512" s="66">
        <f t="shared" ca="1" si="215"/>
        <v>0</v>
      </c>
      <c r="BE512" s="71">
        <f t="shared" ca="1" si="221"/>
        <v>0</v>
      </c>
      <c r="BF512" s="65">
        <f t="shared" ca="1" si="216"/>
        <v>0</v>
      </c>
      <c r="BG512" s="69">
        <f t="shared" ca="1" si="217"/>
        <v>0</v>
      </c>
      <c r="BH512" s="301">
        <f t="shared" ca="1" si="220"/>
        <v>0</v>
      </c>
      <c r="BI512" s="300">
        <f ca="1">IF(AO512&gt;TartamVálasztott,0,   (BI511+BH512)*(1+yields!$D$2)*(1-(0.0099/12)))</f>
        <v>0</v>
      </c>
      <c r="BJ512" s="300">
        <f ca="1">SUM(BH$6:BH512)*-1.2</f>
        <v>-862056.26733480149</v>
      </c>
      <c r="BK512" s="300">
        <f t="shared" ca="1" si="226"/>
        <v>-862056.26733480149</v>
      </c>
      <c r="BL512" s="28">
        <f t="shared" ca="1" si="224"/>
        <v>2059</v>
      </c>
      <c r="BM512" s="28">
        <f t="shared" ca="1" si="222"/>
        <v>4</v>
      </c>
      <c r="BN512" s="236">
        <f t="shared" ca="1" si="223"/>
        <v>0</v>
      </c>
      <c r="BO512" s="236">
        <f t="shared" ca="1" si="218"/>
        <v>0</v>
      </c>
    </row>
    <row r="513" spans="41:67" x14ac:dyDescent="0.25">
      <c r="AO513" s="28">
        <f t="shared" si="202"/>
        <v>43</v>
      </c>
      <c r="AP513" s="28">
        <f t="shared" si="203"/>
        <v>4</v>
      </c>
      <c r="AQ513" s="65">
        <f t="shared" ca="1" si="219"/>
        <v>0</v>
      </c>
      <c r="AR513" s="66">
        <f t="shared" ca="1" si="204"/>
        <v>0</v>
      </c>
      <c r="AS513" s="66">
        <f t="shared" ca="1" si="205"/>
        <v>0</v>
      </c>
      <c r="AT513" s="66">
        <f t="shared" ca="1" si="206"/>
        <v>0</v>
      </c>
      <c r="AU513" s="66">
        <f t="shared" ca="1" si="207"/>
        <v>0</v>
      </c>
      <c r="AV513" s="68">
        <f t="shared" ca="1" si="225"/>
        <v>0</v>
      </c>
      <c r="AW513" s="65">
        <f t="shared" ca="1" si="208"/>
        <v>0</v>
      </c>
      <c r="AX513" s="69">
        <f t="shared" ca="1" si="209"/>
        <v>0</v>
      </c>
      <c r="AY513" s="70">
        <f t="shared" ca="1" si="210"/>
        <v>0</v>
      </c>
      <c r="AZ513" s="66">
        <f t="shared" ca="1" si="211"/>
        <v>0</v>
      </c>
      <c r="BA513" s="66">
        <f t="shared" ca="1" si="212"/>
        <v>0</v>
      </c>
      <c r="BB513" s="66">
        <f t="shared" ca="1" si="213"/>
        <v>0</v>
      </c>
      <c r="BC513" s="66">
        <f t="shared" ca="1" si="214"/>
        <v>0</v>
      </c>
      <c r="BD513" s="66">
        <f t="shared" ca="1" si="215"/>
        <v>0</v>
      </c>
      <c r="BE513" s="71">
        <f t="shared" ca="1" si="221"/>
        <v>0</v>
      </c>
      <c r="BF513" s="65">
        <f t="shared" ca="1" si="216"/>
        <v>0</v>
      </c>
      <c r="BG513" s="69">
        <f t="shared" ca="1" si="217"/>
        <v>0</v>
      </c>
      <c r="BH513" s="301">
        <f t="shared" ca="1" si="220"/>
        <v>0</v>
      </c>
      <c r="BI513" s="300">
        <f ca="1">IF(AO513&gt;TartamVálasztott,0,   (BI512+BH513)*(1+yields!$D$2)*(1-(0.0099/12)))</f>
        <v>0</v>
      </c>
      <c r="BJ513" s="300">
        <f ca="1">SUM(BH$6:BH513)*-1.2</f>
        <v>-862056.26733480149</v>
      </c>
      <c r="BK513" s="300">
        <f t="shared" ca="1" si="226"/>
        <v>-862056.26733480149</v>
      </c>
      <c r="BL513" s="28">
        <f t="shared" ca="1" si="224"/>
        <v>2059</v>
      </c>
      <c r="BM513" s="28">
        <f t="shared" ca="1" si="222"/>
        <v>5</v>
      </c>
      <c r="BN513" s="236">
        <f t="shared" ca="1" si="223"/>
        <v>0</v>
      </c>
      <c r="BO513" s="236">
        <f t="shared" ca="1" si="218"/>
        <v>0</v>
      </c>
    </row>
    <row r="514" spans="41:67" x14ac:dyDescent="0.25">
      <c r="AO514" s="28">
        <f t="shared" si="202"/>
        <v>43</v>
      </c>
      <c r="AP514" s="28">
        <f t="shared" si="203"/>
        <v>5</v>
      </c>
      <c r="AQ514" s="65">
        <f t="shared" ca="1" si="219"/>
        <v>0</v>
      </c>
      <c r="AR514" s="66">
        <f t="shared" ca="1" si="204"/>
        <v>0</v>
      </c>
      <c r="AS514" s="66">
        <f t="shared" ca="1" si="205"/>
        <v>0</v>
      </c>
      <c r="AT514" s="66">
        <f t="shared" ca="1" si="206"/>
        <v>0</v>
      </c>
      <c r="AU514" s="66">
        <f t="shared" ca="1" si="207"/>
        <v>0</v>
      </c>
      <c r="AV514" s="68">
        <f t="shared" ca="1" si="225"/>
        <v>0</v>
      </c>
      <c r="AW514" s="65">
        <f t="shared" ca="1" si="208"/>
        <v>0</v>
      </c>
      <c r="AX514" s="69">
        <f t="shared" ca="1" si="209"/>
        <v>0</v>
      </c>
      <c r="AY514" s="70">
        <f t="shared" ca="1" si="210"/>
        <v>0</v>
      </c>
      <c r="AZ514" s="66">
        <f t="shared" ca="1" si="211"/>
        <v>0</v>
      </c>
      <c r="BA514" s="66">
        <f t="shared" ca="1" si="212"/>
        <v>0</v>
      </c>
      <c r="BB514" s="66">
        <f t="shared" ca="1" si="213"/>
        <v>0</v>
      </c>
      <c r="BC514" s="66">
        <f t="shared" ca="1" si="214"/>
        <v>0</v>
      </c>
      <c r="BD514" s="66">
        <f t="shared" ca="1" si="215"/>
        <v>0</v>
      </c>
      <c r="BE514" s="71">
        <f t="shared" ca="1" si="221"/>
        <v>0</v>
      </c>
      <c r="BF514" s="65">
        <f t="shared" ca="1" si="216"/>
        <v>0</v>
      </c>
      <c r="BG514" s="69">
        <f t="shared" ca="1" si="217"/>
        <v>0</v>
      </c>
      <c r="BH514" s="301">
        <f t="shared" ca="1" si="220"/>
        <v>0</v>
      </c>
      <c r="BI514" s="300">
        <f ca="1">IF(AO514&gt;TartamVálasztott,0,   (BI513+BH514)*(1+yields!$D$2)*(1-(0.0099/12)))</f>
        <v>0</v>
      </c>
      <c r="BJ514" s="300">
        <f ca="1">SUM(BH$6:BH514)*-1.2</f>
        <v>-862056.26733480149</v>
      </c>
      <c r="BK514" s="300">
        <f t="shared" ca="1" si="226"/>
        <v>-862056.26733480149</v>
      </c>
      <c r="BL514" s="28">
        <f t="shared" ca="1" si="224"/>
        <v>2059</v>
      </c>
      <c r="BM514" s="28">
        <f t="shared" ca="1" si="222"/>
        <v>6</v>
      </c>
      <c r="BN514" s="236">
        <f t="shared" ca="1" si="223"/>
        <v>0</v>
      </c>
      <c r="BO514" s="236">
        <f t="shared" ca="1" si="218"/>
        <v>0</v>
      </c>
    </row>
    <row r="515" spans="41:67" x14ac:dyDescent="0.25">
      <c r="AO515" s="28">
        <f t="shared" si="202"/>
        <v>43</v>
      </c>
      <c r="AP515" s="28">
        <f t="shared" si="203"/>
        <v>6</v>
      </c>
      <c r="AQ515" s="65">
        <f t="shared" ca="1" si="219"/>
        <v>0</v>
      </c>
      <c r="AR515" s="66">
        <f t="shared" ca="1" si="204"/>
        <v>0</v>
      </c>
      <c r="AS515" s="66">
        <f t="shared" ca="1" si="205"/>
        <v>0</v>
      </c>
      <c r="AT515" s="66">
        <f t="shared" ca="1" si="206"/>
        <v>0</v>
      </c>
      <c r="AU515" s="66">
        <f t="shared" ca="1" si="207"/>
        <v>0</v>
      </c>
      <c r="AV515" s="68">
        <f t="shared" ca="1" si="225"/>
        <v>0</v>
      </c>
      <c r="AW515" s="65">
        <f t="shared" ca="1" si="208"/>
        <v>0</v>
      </c>
      <c r="AX515" s="69">
        <f t="shared" ca="1" si="209"/>
        <v>0</v>
      </c>
      <c r="AY515" s="70">
        <f t="shared" ca="1" si="210"/>
        <v>0</v>
      </c>
      <c r="AZ515" s="66">
        <f t="shared" ca="1" si="211"/>
        <v>0</v>
      </c>
      <c r="BA515" s="66">
        <f t="shared" ca="1" si="212"/>
        <v>0</v>
      </c>
      <c r="BB515" s="66">
        <f t="shared" ca="1" si="213"/>
        <v>0</v>
      </c>
      <c r="BC515" s="66">
        <f t="shared" ca="1" si="214"/>
        <v>0</v>
      </c>
      <c r="BD515" s="66">
        <f t="shared" ca="1" si="215"/>
        <v>0</v>
      </c>
      <c r="BE515" s="71">
        <f t="shared" ca="1" si="221"/>
        <v>0</v>
      </c>
      <c r="BF515" s="65">
        <f t="shared" ca="1" si="216"/>
        <v>0</v>
      </c>
      <c r="BG515" s="69">
        <f t="shared" ca="1" si="217"/>
        <v>0</v>
      </c>
      <c r="BH515" s="301">
        <f t="shared" ca="1" si="220"/>
        <v>0</v>
      </c>
      <c r="BI515" s="300">
        <f ca="1">IF(AO515&gt;TartamVálasztott,0,   (BI514+BH515)*(1+yields!$D$2)*(1-(0.0099/12)))</f>
        <v>0</v>
      </c>
      <c r="BJ515" s="300">
        <f ca="1">SUM(BH$6:BH515)*-1.2</f>
        <v>-862056.26733480149</v>
      </c>
      <c r="BK515" s="300">
        <f t="shared" ca="1" si="226"/>
        <v>-862056.26733480149</v>
      </c>
      <c r="BL515" s="28">
        <f t="shared" ca="1" si="224"/>
        <v>2059</v>
      </c>
      <c r="BM515" s="28">
        <f t="shared" ca="1" si="222"/>
        <v>7</v>
      </c>
      <c r="BN515" s="236">
        <f t="shared" ca="1" si="223"/>
        <v>0</v>
      </c>
      <c r="BO515" s="236">
        <f t="shared" ca="1" si="218"/>
        <v>0</v>
      </c>
    </row>
    <row r="516" spans="41:67" x14ac:dyDescent="0.25">
      <c r="AO516" s="28">
        <f t="shared" si="202"/>
        <v>43</v>
      </c>
      <c r="AP516" s="28">
        <f t="shared" si="203"/>
        <v>7</v>
      </c>
      <c r="AQ516" s="65">
        <f t="shared" ca="1" si="219"/>
        <v>0</v>
      </c>
      <c r="AR516" s="66">
        <f t="shared" ca="1" si="204"/>
        <v>0</v>
      </c>
      <c r="AS516" s="66">
        <f t="shared" ca="1" si="205"/>
        <v>0</v>
      </c>
      <c r="AT516" s="66">
        <f t="shared" ca="1" si="206"/>
        <v>0</v>
      </c>
      <c r="AU516" s="66">
        <f t="shared" ca="1" si="207"/>
        <v>0</v>
      </c>
      <c r="AV516" s="68">
        <f t="shared" ca="1" si="225"/>
        <v>0</v>
      </c>
      <c r="AW516" s="65">
        <f t="shared" ca="1" si="208"/>
        <v>0</v>
      </c>
      <c r="AX516" s="69">
        <f t="shared" ca="1" si="209"/>
        <v>0</v>
      </c>
      <c r="AY516" s="70">
        <f t="shared" ca="1" si="210"/>
        <v>0</v>
      </c>
      <c r="AZ516" s="66">
        <f t="shared" ca="1" si="211"/>
        <v>0</v>
      </c>
      <c r="BA516" s="66">
        <f t="shared" ca="1" si="212"/>
        <v>0</v>
      </c>
      <c r="BB516" s="66">
        <f t="shared" ca="1" si="213"/>
        <v>0</v>
      </c>
      <c r="BC516" s="66">
        <f t="shared" ca="1" si="214"/>
        <v>0</v>
      </c>
      <c r="BD516" s="66">
        <f t="shared" ca="1" si="215"/>
        <v>0</v>
      </c>
      <c r="BE516" s="71">
        <f t="shared" ca="1" si="221"/>
        <v>0</v>
      </c>
      <c r="BF516" s="65">
        <f t="shared" ca="1" si="216"/>
        <v>0</v>
      </c>
      <c r="BG516" s="69">
        <f t="shared" ca="1" si="217"/>
        <v>0</v>
      </c>
      <c r="BH516" s="301">
        <f t="shared" ca="1" si="220"/>
        <v>0</v>
      </c>
      <c r="BI516" s="300">
        <f ca="1">IF(AO516&gt;TartamVálasztott,0,   (BI515+BH516)*(1+yields!$D$2)*(1-(0.0099/12)))</f>
        <v>0</v>
      </c>
      <c r="BJ516" s="300">
        <f ca="1">SUM(BH$6:BH516)*-1.2</f>
        <v>-862056.26733480149</v>
      </c>
      <c r="BK516" s="300">
        <f t="shared" ca="1" si="226"/>
        <v>-862056.26733480149</v>
      </c>
      <c r="BL516" s="28">
        <f t="shared" ca="1" si="224"/>
        <v>2059</v>
      </c>
      <c r="BM516" s="28">
        <f t="shared" ca="1" si="222"/>
        <v>8</v>
      </c>
      <c r="BN516" s="236">
        <f t="shared" ca="1" si="223"/>
        <v>0</v>
      </c>
      <c r="BO516" s="236">
        <f t="shared" ca="1" si="218"/>
        <v>0</v>
      </c>
    </row>
    <row r="517" spans="41:67" x14ac:dyDescent="0.25">
      <c r="AO517" s="28">
        <f t="shared" si="202"/>
        <v>43</v>
      </c>
      <c r="AP517" s="28">
        <f t="shared" si="203"/>
        <v>8</v>
      </c>
      <c r="AQ517" s="65">
        <f t="shared" ca="1" si="219"/>
        <v>0</v>
      </c>
      <c r="AR517" s="66">
        <f t="shared" ca="1" si="204"/>
        <v>0</v>
      </c>
      <c r="AS517" s="66">
        <f t="shared" ca="1" si="205"/>
        <v>0</v>
      </c>
      <c r="AT517" s="66">
        <f t="shared" ca="1" si="206"/>
        <v>0</v>
      </c>
      <c r="AU517" s="66">
        <f t="shared" ca="1" si="207"/>
        <v>0</v>
      </c>
      <c r="AV517" s="68">
        <f t="shared" ca="1" si="225"/>
        <v>0</v>
      </c>
      <c r="AW517" s="65">
        <f t="shared" ca="1" si="208"/>
        <v>0</v>
      </c>
      <c r="AX517" s="69">
        <f t="shared" ca="1" si="209"/>
        <v>0</v>
      </c>
      <c r="AY517" s="70">
        <f t="shared" ca="1" si="210"/>
        <v>0</v>
      </c>
      <c r="AZ517" s="66">
        <f t="shared" ca="1" si="211"/>
        <v>0</v>
      </c>
      <c r="BA517" s="66">
        <f t="shared" ca="1" si="212"/>
        <v>0</v>
      </c>
      <c r="BB517" s="66">
        <f t="shared" ca="1" si="213"/>
        <v>0</v>
      </c>
      <c r="BC517" s="66">
        <f t="shared" ca="1" si="214"/>
        <v>0</v>
      </c>
      <c r="BD517" s="66">
        <f t="shared" ca="1" si="215"/>
        <v>0</v>
      </c>
      <c r="BE517" s="71">
        <f t="shared" ca="1" si="221"/>
        <v>0</v>
      </c>
      <c r="BF517" s="65">
        <f t="shared" ca="1" si="216"/>
        <v>0</v>
      </c>
      <c r="BG517" s="69">
        <f t="shared" ca="1" si="217"/>
        <v>0</v>
      </c>
      <c r="BH517" s="301">
        <f t="shared" ca="1" si="220"/>
        <v>0</v>
      </c>
      <c r="BI517" s="300">
        <f ca="1">IF(AO517&gt;TartamVálasztott,0,   (BI516+BH517)*(1+yields!$D$2)*(1-(0.0099/12)))</f>
        <v>0</v>
      </c>
      <c r="BJ517" s="300">
        <f ca="1">SUM(BH$6:BH517)*-1.2</f>
        <v>-862056.26733480149</v>
      </c>
      <c r="BK517" s="300">
        <f t="shared" ca="1" si="226"/>
        <v>-862056.26733480149</v>
      </c>
      <c r="BL517" s="28">
        <f t="shared" ca="1" si="224"/>
        <v>2059</v>
      </c>
      <c r="BM517" s="28">
        <f t="shared" ca="1" si="222"/>
        <v>9</v>
      </c>
      <c r="BN517" s="236">
        <f t="shared" ca="1" si="223"/>
        <v>0</v>
      </c>
      <c r="BO517" s="236">
        <f t="shared" ca="1" si="218"/>
        <v>0</v>
      </c>
    </row>
    <row r="518" spans="41:67" x14ac:dyDescent="0.25">
      <c r="AO518" s="28">
        <f t="shared" ref="AO518:AO569" si="227">IF(AP517=12,AO517+1,AO517)</f>
        <v>43</v>
      </c>
      <c r="AP518" s="28">
        <f t="shared" ref="AP518:AP569" si="228">IF(AP517&lt;12,AP517+1,1)</f>
        <v>9</v>
      </c>
      <c r="AQ518" s="65">
        <f t="shared" ca="1" si="219"/>
        <v>0</v>
      </c>
      <c r="AR518" s="66">
        <f t="shared" ref="AR518:AR569" ca="1" si="229">IF( ($AO518*12+$AP518) &gt; (12*(Term+1) ), 0,
$AQ518*(1-VLOOKUP($AO518,Pars,7))
)</f>
        <v>0</v>
      </c>
      <c r="AS518" s="66">
        <f t="shared" ref="AS518:AS569" ca="1" si="230">IF( ($AO518*12+$AP518) &gt; (12*(Term+1) ), 0,
($AV517+$AR518)*IF(OR(TKM=0,TKM=2),VLOOKUP($AO518,Pars,15),TKMm)
)</f>
        <v>0</v>
      </c>
      <c r="AT518" s="66">
        <f t="shared" ref="AT518:AT569" ca="1" si="231">IF( ($AO518*12+$AP518) &gt; (12*(Term+1) ), 0,
$AV517+$AR518+$AS518
)</f>
        <v>0</v>
      </c>
      <c r="AU518" s="66">
        <f t="shared" ref="AU518:AU569" ca="1" si="232">$BD518*(1-LBe)</f>
        <v>0</v>
      </c>
      <c r="AV518" s="68">
        <f t="shared" ca="1" si="225"/>
        <v>0</v>
      </c>
      <c r="AW518" s="65">
        <f t="shared" ref="AW518:AW569" ca="1" si="233">$AT518* ( VLOOKUP($AO518,Pars,9) /12 )</f>
        <v>0</v>
      </c>
      <c r="AX518" s="69">
        <f t="shared" ref="AX518:AX569" ca="1" si="234">$AQ518*VLOOKUP($AO518,Pars,7)</f>
        <v>0</v>
      </c>
      <c r="AY518" s="70">
        <f t="shared" ref="AY518:AY569" ca="1" si="235">$AQ518*VLOOKUP($AO518,Pars,8)</f>
        <v>0</v>
      </c>
      <c r="AZ518" s="66">
        <f t="shared" ref="AZ518:AZ569" ca="1" si="236">($BE517+$AY518)*IF(OR(TKM=0,TKM=2),VLOOKUP($AO518,Pars,15),TKMm)</f>
        <v>0</v>
      </c>
      <c r="BA518" s="66">
        <f t="shared" ref="BA518:BA569" ca="1" si="237">$AT518* ( VLOOKUP($AO518,Pars,11) /12 )</f>
        <v>0</v>
      </c>
      <c r="BB518" s="66">
        <f t="shared" ref="BB518:BB569" ca="1" si="238">$BC518* ( VLOOKUP($AO518,Pars,12) /12 )</f>
        <v>0</v>
      </c>
      <c r="BC518" s="66">
        <f t="shared" ref="BC518:BC569" ca="1" si="239">$BE517+$AY518+$AZ518</f>
        <v>0</v>
      </c>
      <c r="BD518" s="66">
        <f t="shared" ref="BD518:BD569" ca="1" si="240">($BC518 -$BF518 +($BA518+$BB518) ) * IF($AP518=12,VLOOKUP($AO518,Pars,13),0)</f>
        <v>0</v>
      </c>
      <c r="BE518" s="71">
        <f t="shared" ca="1" si="221"/>
        <v>0</v>
      </c>
      <c r="BF518" s="65">
        <f t="shared" ref="BF518:BF569" ca="1" si="241">$BC518* ( VLOOKUP($AO518,Pars,10) /12 )</f>
        <v>0</v>
      </c>
      <c r="BG518" s="69">
        <f t="shared" ref="BG518:BG569" ca="1" si="242">BD518*LBe</f>
        <v>0</v>
      </c>
      <c r="BH518" s="301">
        <f t="shared" ca="1" si="220"/>
        <v>0</v>
      </c>
      <c r="BI518" s="300">
        <f ca="1">IF(AO518&gt;TartamVálasztott,0,   (BI517+BH518)*(1+yields!$D$2)*(1-(0.0099/12)))</f>
        <v>0</v>
      </c>
      <c r="BJ518" s="300">
        <f ca="1">SUM(BH$6:BH518)*-1.2</f>
        <v>-862056.26733480149</v>
      </c>
      <c r="BK518" s="300">
        <f t="shared" ca="1" si="226"/>
        <v>-862056.26733480149</v>
      </c>
      <c r="BL518" s="28">
        <f t="shared" ca="1" si="224"/>
        <v>2059</v>
      </c>
      <c r="BM518" s="28">
        <f t="shared" ca="1" si="222"/>
        <v>10</v>
      </c>
      <c r="BN518" s="236">
        <f t="shared" ca="1" si="223"/>
        <v>0</v>
      </c>
      <c r="BO518" s="236">
        <f t="shared" ref="BO518:BO569" ca="1" si="243">MIN(BN518*0.2,130000)</f>
        <v>0</v>
      </c>
    </row>
    <row r="519" spans="41:67" x14ac:dyDescent="0.25">
      <c r="AO519" s="28">
        <f t="shared" si="227"/>
        <v>43</v>
      </c>
      <c r="AP519" s="28">
        <f t="shared" si="228"/>
        <v>10</v>
      </c>
      <c r="AQ519" s="65">
        <f t="shared" ref="AQ519:AQ569" ca="1" si="244">IF( ($AO519*12+$AP519) &gt; (12*(Term+1) ), 0,
IF( OR(Freq=12, MOD($AP519,12/Freq)=1), Pr*(1+Ind)^($AO519-1)/Freq, 0) *VLOOKUP($AO519,Pars,23)
)</f>
        <v>0</v>
      </c>
      <c r="AR519" s="66">
        <f t="shared" ca="1" si="229"/>
        <v>0</v>
      </c>
      <c r="AS519" s="66">
        <f t="shared" ca="1" si="230"/>
        <v>0</v>
      </c>
      <c r="AT519" s="66">
        <f t="shared" ca="1" si="231"/>
        <v>0</v>
      </c>
      <c r="AU519" s="66">
        <f t="shared" ca="1" si="232"/>
        <v>0</v>
      </c>
      <c r="AV519" s="68">
        <f t="shared" ca="1" si="225"/>
        <v>0</v>
      </c>
      <c r="AW519" s="65">
        <f t="shared" ca="1" si="233"/>
        <v>0</v>
      </c>
      <c r="AX519" s="69">
        <f t="shared" ca="1" si="234"/>
        <v>0</v>
      </c>
      <c r="AY519" s="70">
        <f t="shared" ca="1" si="235"/>
        <v>0</v>
      </c>
      <c r="AZ519" s="66">
        <f t="shared" ca="1" si="236"/>
        <v>0</v>
      </c>
      <c r="BA519" s="66">
        <f t="shared" ca="1" si="237"/>
        <v>0</v>
      </c>
      <c r="BB519" s="66">
        <f t="shared" ca="1" si="238"/>
        <v>0</v>
      </c>
      <c r="BC519" s="66">
        <f t="shared" ca="1" si="239"/>
        <v>0</v>
      </c>
      <c r="BD519" s="66">
        <f t="shared" ca="1" si="240"/>
        <v>0</v>
      </c>
      <c r="BE519" s="71">
        <f t="shared" ca="1" si="221"/>
        <v>0</v>
      </c>
      <c r="BF519" s="65">
        <f t="shared" ca="1" si="241"/>
        <v>0</v>
      </c>
      <c r="BG519" s="69">
        <f t="shared" ca="1" si="242"/>
        <v>0</v>
      </c>
      <c r="BH519" s="301">
        <f t="shared" ref="BH519:BH569" ca="1" si="245">IF(AND(BM519=AdóHó,AO519&lt;=TartamVálasztott),MIN(SUMIF(BL:BL,BL519-1,AQ:AQ)*0.2,130000),0)+IF(AND(AO519=TartamVálasztott,AP519=12),MIN(SUMIF(BL:BL,BL519,AQ:AQ)*0.2,130000),0)</f>
        <v>0</v>
      </c>
      <c r="BI519" s="300">
        <f ca="1">IF(AO519&gt;TartamVálasztott,0,   (BI518+BH519)*(1+yields!$D$2)*(1-(0.0099/12)))</f>
        <v>0</v>
      </c>
      <c r="BJ519" s="300">
        <f ca="1">SUM(BH$6:BH519)*-1.2</f>
        <v>-862056.26733480149</v>
      </c>
      <c r="BK519" s="300">
        <f t="shared" ca="1" si="226"/>
        <v>-862056.26733480149</v>
      </c>
      <c r="BL519" s="28">
        <f t="shared" ca="1" si="224"/>
        <v>2059</v>
      </c>
      <c r="BM519" s="28">
        <f t="shared" ca="1" si="222"/>
        <v>11</v>
      </c>
      <c r="BN519" s="236">
        <f t="shared" ca="1" si="223"/>
        <v>0</v>
      </c>
      <c r="BO519" s="236">
        <f t="shared" ca="1" si="243"/>
        <v>0</v>
      </c>
    </row>
    <row r="520" spans="41:67" x14ac:dyDescent="0.25">
      <c r="AO520" s="28">
        <f t="shared" si="227"/>
        <v>43</v>
      </c>
      <c r="AP520" s="28">
        <f t="shared" si="228"/>
        <v>11</v>
      </c>
      <c r="AQ520" s="65">
        <f t="shared" ca="1" si="244"/>
        <v>0</v>
      </c>
      <c r="AR520" s="66">
        <f t="shared" ca="1" si="229"/>
        <v>0</v>
      </c>
      <c r="AS520" s="66">
        <f t="shared" ca="1" si="230"/>
        <v>0</v>
      </c>
      <c r="AT520" s="66">
        <f t="shared" ca="1" si="231"/>
        <v>0</v>
      </c>
      <c r="AU520" s="66">
        <f t="shared" ca="1" si="232"/>
        <v>0</v>
      </c>
      <c r="AV520" s="68">
        <f t="shared" ca="1" si="225"/>
        <v>0</v>
      </c>
      <c r="AW520" s="65">
        <f t="shared" ca="1" si="233"/>
        <v>0</v>
      </c>
      <c r="AX520" s="69">
        <f t="shared" ca="1" si="234"/>
        <v>0</v>
      </c>
      <c r="AY520" s="70">
        <f t="shared" ca="1" si="235"/>
        <v>0</v>
      </c>
      <c r="AZ520" s="66">
        <f t="shared" ca="1" si="236"/>
        <v>0</v>
      </c>
      <c r="BA520" s="66">
        <f t="shared" ca="1" si="237"/>
        <v>0</v>
      </c>
      <c r="BB520" s="66">
        <f t="shared" ca="1" si="238"/>
        <v>0</v>
      </c>
      <c r="BC520" s="66">
        <f t="shared" ca="1" si="239"/>
        <v>0</v>
      </c>
      <c r="BD520" s="66">
        <f t="shared" ca="1" si="240"/>
        <v>0</v>
      </c>
      <c r="BE520" s="71">
        <f t="shared" ref="BE520:BE569" ca="1" si="246">$BC520 -$BF520 +($BA520+$BB520) -$BD520</f>
        <v>0</v>
      </c>
      <c r="BF520" s="65">
        <f t="shared" ca="1" si="241"/>
        <v>0</v>
      </c>
      <c r="BG520" s="69">
        <f t="shared" ca="1" si="242"/>
        <v>0</v>
      </c>
      <c r="BH520" s="301">
        <f t="shared" ca="1" si="245"/>
        <v>0</v>
      </c>
      <c r="BI520" s="300">
        <f ca="1">IF(AO520&gt;TartamVálasztott,0,   (BI519+BH520)*(1+yields!$D$2)*(1-(0.0099/12)))</f>
        <v>0</v>
      </c>
      <c r="BJ520" s="300">
        <f ca="1">SUM(BH$6:BH520)*-1.2</f>
        <v>-862056.26733480149</v>
      </c>
      <c r="BK520" s="300">
        <f t="shared" ca="1" si="226"/>
        <v>-862056.26733480149</v>
      </c>
      <c r="BL520" s="28">
        <f t="shared" ca="1" si="224"/>
        <v>2059</v>
      </c>
      <c r="BM520" s="28">
        <f t="shared" ref="BM520:BM569" ca="1" si="247">IF(BM519=12,1,BM519+1)</f>
        <v>12</v>
      </c>
      <c r="BN520" s="236">
        <f t="shared" ref="BN520:BN569" ca="1" si="248">IF(BM520=12,SUMIF(BL:BL,BL520,AQ:AQ),0)</f>
        <v>0</v>
      </c>
      <c r="BO520" s="236">
        <f t="shared" ca="1" si="243"/>
        <v>0</v>
      </c>
    </row>
    <row r="521" spans="41:67" x14ac:dyDescent="0.25">
      <c r="AO521" s="28">
        <f t="shared" si="227"/>
        <v>43</v>
      </c>
      <c r="AP521" s="28">
        <f t="shared" si="228"/>
        <v>12</v>
      </c>
      <c r="AQ521" s="65">
        <f t="shared" ca="1" si="244"/>
        <v>0</v>
      </c>
      <c r="AR521" s="66">
        <f t="shared" ca="1" si="229"/>
        <v>0</v>
      </c>
      <c r="AS521" s="66">
        <f t="shared" ca="1" si="230"/>
        <v>0</v>
      </c>
      <c r="AT521" s="66">
        <f t="shared" ca="1" si="231"/>
        <v>0</v>
      </c>
      <c r="AU521" s="66">
        <f t="shared" ca="1" si="232"/>
        <v>0</v>
      </c>
      <c r="AV521" s="68">
        <f t="shared" ca="1" si="225"/>
        <v>0</v>
      </c>
      <c r="AW521" s="65">
        <f t="shared" ca="1" si="233"/>
        <v>0</v>
      </c>
      <c r="AX521" s="69">
        <f t="shared" ca="1" si="234"/>
        <v>0</v>
      </c>
      <c r="AY521" s="70">
        <f t="shared" ca="1" si="235"/>
        <v>0</v>
      </c>
      <c r="AZ521" s="66">
        <f t="shared" ca="1" si="236"/>
        <v>0</v>
      </c>
      <c r="BA521" s="66">
        <f t="shared" ca="1" si="237"/>
        <v>0</v>
      </c>
      <c r="BB521" s="66">
        <f t="shared" ca="1" si="238"/>
        <v>0</v>
      </c>
      <c r="BC521" s="66">
        <f t="shared" ca="1" si="239"/>
        <v>0</v>
      </c>
      <c r="BD521" s="66">
        <f t="shared" ca="1" si="240"/>
        <v>0</v>
      </c>
      <c r="BE521" s="71">
        <f t="shared" ca="1" si="246"/>
        <v>0</v>
      </c>
      <c r="BF521" s="65">
        <f t="shared" ca="1" si="241"/>
        <v>0</v>
      </c>
      <c r="BG521" s="69">
        <f t="shared" ca="1" si="242"/>
        <v>0</v>
      </c>
      <c r="BH521" s="301">
        <f t="shared" ca="1" si="245"/>
        <v>0</v>
      </c>
      <c r="BI521" s="300">
        <f ca="1">IF(AO521&gt;TartamVálasztott,0,   (BI520+BH521)*(1+yields!$D$2)*(1-(0.0099/12)))</f>
        <v>0</v>
      </c>
      <c r="BJ521" s="300">
        <f ca="1">SUM(BH$6:BH521)*-1.2</f>
        <v>-862056.26733480149</v>
      </c>
      <c r="BK521" s="300">
        <f t="shared" ca="1" si="226"/>
        <v>-862056.26733480149</v>
      </c>
      <c r="BL521" s="28">
        <f t="shared" ca="1" si="224"/>
        <v>2060</v>
      </c>
      <c r="BM521" s="28">
        <f t="shared" ca="1" si="247"/>
        <v>1</v>
      </c>
      <c r="BN521" s="236">
        <f t="shared" ca="1" si="248"/>
        <v>0</v>
      </c>
      <c r="BO521" s="236">
        <f t="shared" ca="1" si="243"/>
        <v>0</v>
      </c>
    </row>
    <row r="522" spans="41:67" x14ac:dyDescent="0.25">
      <c r="AO522" s="28">
        <f t="shared" si="227"/>
        <v>44</v>
      </c>
      <c r="AP522" s="28">
        <f t="shared" si="228"/>
        <v>1</v>
      </c>
      <c r="AQ522" s="65">
        <f t="shared" ca="1" si="244"/>
        <v>0</v>
      </c>
      <c r="AR522" s="66">
        <f t="shared" ca="1" si="229"/>
        <v>0</v>
      </c>
      <c r="AS522" s="66">
        <f t="shared" ca="1" si="230"/>
        <v>0</v>
      </c>
      <c r="AT522" s="66">
        <f t="shared" ca="1" si="231"/>
        <v>0</v>
      </c>
      <c r="AU522" s="66">
        <f t="shared" ca="1" si="232"/>
        <v>0</v>
      </c>
      <c r="AV522" s="68">
        <f t="shared" ca="1" si="225"/>
        <v>0</v>
      </c>
      <c r="AW522" s="65">
        <f t="shared" ca="1" si="233"/>
        <v>0</v>
      </c>
      <c r="AX522" s="69">
        <f t="shared" ca="1" si="234"/>
        <v>0</v>
      </c>
      <c r="AY522" s="70">
        <f t="shared" ca="1" si="235"/>
        <v>0</v>
      </c>
      <c r="AZ522" s="66">
        <f t="shared" ca="1" si="236"/>
        <v>0</v>
      </c>
      <c r="BA522" s="66">
        <f t="shared" ca="1" si="237"/>
        <v>0</v>
      </c>
      <c r="BB522" s="66">
        <f t="shared" ca="1" si="238"/>
        <v>0</v>
      </c>
      <c r="BC522" s="66">
        <f t="shared" ca="1" si="239"/>
        <v>0</v>
      </c>
      <c r="BD522" s="66">
        <f t="shared" ca="1" si="240"/>
        <v>0</v>
      </c>
      <c r="BE522" s="71">
        <f t="shared" ca="1" si="246"/>
        <v>0</v>
      </c>
      <c r="BF522" s="65">
        <f t="shared" ca="1" si="241"/>
        <v>0</v>
      </c>
      <c r="BG522" s="69">
        <f t="shared" ca="1" si="242"/>
        <v>0</v>
      </c>
      <c r="BH522" s="301">
        <f t="shared" ca="1" si="245"/>
        <v>0</v>
      </c>
      <c r="BI522" s="300">
        <f ca="1">IF(AO522&gt;TartamVálasztott,0,   (BI521+BH522)*(1+yields!$D$2)*(1-(0.0099/12)))</f>
        <v>0</v>
      </c>
      <c r="BJ522" s="300">
        <f ca="1">SUM(BH$6:BH522)*-1.2</f>
        <v>-862056.26733480149</v>
      </c>
      <c r="BK522" s="300">
        <f t="shared" ca="1" si="226"/>
        <v>-862056.26733480149</v>
      </c>
      <c r="BL522" s="28">
        <f t="shared" ca="1" si="224"/>
        <v>2060</v>
      </c>
      <c r="BM522" s="28">
        <f t="shared" ca="1" si="247"/>
        <v>2</v>
      </c>
      <c r="BN522" s="236">
        <f t="shared" ca="1" si="248"/>
        <v>0</v>
      </c>
      <c r="BO522" s="236">
        <f t="shared" ca="1" si="243"/>
        <v>0</v>
      </c>
    </row>
    <row r="523" spans="41:67" x14ac:dyDescent="0.25">
      <c r="AO523" s="28">
        <f t="shared" si="227"/>
        <v>44</v>
      </c>
      <c r="AP523" s="28">
        <f t="shared" si="228"/>
        <v>2</v>
      </c>
      <c r="AQ523" s="65">
        <f t="shared" ca="1" si="244"/>
        <v>0</v>
      </c>
      <c r="AR523" s="66">
        <f t="shared" ca="1" si="229"/>
        <v>0</v>
      </c>
      <c r="AS523" s="66">
        <f t="shared" ca="1" si="230"/>
        <v>0</v>
      </c>
      <c r="AT523" s="66">
        <f t="shared" ca="1" si="231"/>
        <v>0</v>
      </c>
      <c r="AU523" s="66">
        <f t="shared" ca="1" si="232"/>
        <v>0</v>
      </c>
      <c r="AV523" s="68">
        <f t="shared" ca="1" si="225"/>
        <v>0</v>
      </c>
      <c r="AW523" s="65">
        <f t="shared" ca="1" si="233"/>
        <v>0</v>
      </c>
      <c r="AX523" s="69">
        <f t="shared" ca="1" si="234"/>
        <v>0</v>
      </c>
      <c r="AY523" s="70">
        <f t="shared" ca="1" si="235"/>
        <v>0</v>
      </c>
      <c r="AZ523" s="66">
        <f t="shared" ca="1" si="236"/>
        <v>0</v>
      </c>
      <c r="BA523" s="66">
        <f t="shared" ca="1" si="237"/>
        <v>0</v>
      </c>
      <c r="BB523" s="66">
        <f t="shared" ca="1" si="238"/>
        <v>0</v>
      </c>
      <c r="BC523" s="66">
        <f t="shared" ca="1" si="239"/>
        <v>0</v>
      </c>
      <c r="BD523" s="66">
        <f t="shared" ca="1" si="240"/>
        <v>0</v>
      </c>
      <c r="BE523" s="71">
        <f t="shared" ca="1" si="246"/>
        <v>0</v>
      </c>
      <c r="BF523" s="65">
        <f t="shared" ca="1" si="241"/>
        <v>0</v>
      </c>
      <c r="BG523" s="69">
        <f t="shared" ca="1" si="242"/>
        <v>0</v>
      </c>
      <c r="BH523" s="301">
        <f t="shared" ca="1" si="245"/>
        <v>0</v>
      </c>
      <c r="BI523" s="300">
        <f ca="1">IF(AO523&gt;TartamVálasztott,0,   (BI522+BH523)*(1+yields!$D$2)*(1-(0.0099/12)))</f>
        <v>0</v>
      </c>
      <c r="BJ523" s="300">
        <f ca="1">SUM(BH$6:BH523)*-1.2</f>
        <v>-862056.26733480149</v>
      </c>
      <c r="BK523" s="300">
        <f t="shared" ca="1" si="226"/>
        <v>-862056.26733480149</v>
      </c>
      <c r="BL523" s="28">
        <f t="shared" ca="1" si="224"/>
        <v>2060</v>
      </c>
      <c r="BM523" s="28">
        <f t="shared" ca="1" si="247"/>
        <v>3</v>
      </c>
      <c r="BN523" s="236">
        <f t="shared" ca="1" si="248"/>
        <v>0</v>
      </c>
      <c r="BO523" s="236">
        <f t="shared" ca="1" si="243"/>
        <v>0</v>
      </c>
    </row>
    <row r="524" spans="41:67" x14ac:dyDescent="0.25">
      <c r="AO524" s="28">
        <f t="shared" si="227"/>
        <v>44</v>
      </c>
      <c r="AP524" s="28">
        <f t="shared" si="228"/>
        <v>3</v>
      </c>
      <c r="AQ524" s="65">
        <f t="shared" ca="1" si="244"/>
        <v>0</v>
      </c>
      <c r="AR524" s="66">
        <f t="shared" ca="1" si="229"/>
        <v>0</v>
      </c>
      <c r="AS524" s="66">
        <f t="shared" ca="1" si="230"/>
        <v>0</v>
      </c>
      <c r="AT524" s="66">
        <f t="shared" ca="1" si="231"/>
        <v>0</v>
      </c>
      <c r="AU524" s="66">
        <f t="shared" ca="1" si="232"/>
        <v>0</v>
      </c>
      <c r="AV524" s="68">
        <f t="shared" ca="1" si="225"/>
        <v>0</v>
      </c>
      <c r="AW524" s="65">
        <f t="shared" ca="1" si="233"/>
        <v>0</v>
      </c>
      <c r="AX524" s="69">
        <f t="shared" ca="1" si="234"/>
        <v>0</v>
      </c>
      <c r="AY524" s="70">
        <f t="shared" ca="1" si="235"/>
        <v>0</v>
      </c>
      <c r="AZ524" s="66">
        <f t="shared" ca="1" si="236"/>
        <v>0</v>
      </c>
      <c r="BA524" s="66">
        <f t="shared" ca="1" si="237"/>
        <v>0</v>
      </c>
      <c r="BB524" s="66">
        <f t="shared" ca="1" si="238"/>
        <v>0</v>
      </c>
      <c r="BC524" s="66">
        <f t="shared" ca="1" si="239"/>
        <v>0</v>
      </c>
      <c r="BD524" s="66">
        <f t="shared" ca="1" si="240"/>
        <v>0</v>
      </c>
      <c r="BE524" s="71">
        <f t="shared" ca="1" si="246"/>
        <v>0</v>
      </c>
      <c r="BF524" s="65">
        <f t="shared" ca="1" si="241"/>
        <v>0</v>
      </c>
      <c r="BG524" s="69">
        <f t="shared" ca="1" si="242"/>
        <v>0</v>
      </c>
      <c r="BH524" s="301">
        <f t="shared" ca="1" si="245"/>
        <v>0</v>
      </c>
      <c r="BI524" s="300">
        <f ca="1">IF(AO524&gt;TartamVálasztott,0,   (BI523+BH524)*(1+yields!$D$2)*(1-(0.0099/12)))</f>
        <v>0</v>
      </c>
      <c r="BJ524" s="300">
        <f ca="1">SUM(BH$6:BH524)*-1.2</f>
        <v>-862056.26733480149</v>
      </c>
      <c r="BK524" s="300">
        <f t="shared" ca="1" si="226"/>
        <v>-862056.26733480149</v>
      </c>
      <c r="BL524" s="28">
        <f t="shared" ca="1" si="224"/>
        <v>2060</v>
      </c>
      <c r="BM524" s="28">
        <f t="shared" ca="1" si="247"/>
        <v>4</v>
      </c>
      <c r="BN524" s="236">
        <f t="shared" ca="1" si="248"/>
        <v>0</v>
      </c>
      <c r="BO524" s="236">
        <f t="shared" ca="1" si="243"/>
        <v>0</v>
      </c>
    </row>
    <row r="525" spans="41:67" x14ac:dyDescent="0.25">
      <c r="AO525" s="28">
        <f t="shared" si="227"/>
        <v>44</v>
      </c>
      <c r="AP525" s="28">
        <f t="shared" si="228"/>
        <v>4</v>
      </c>
      <c r="AQ525" s="65">
        <f t="shared" ca="1" si="244"/>
        <v>0</v>
      </c>
      <c r="AR525" s="66">
        <f t="shared" ca="1" si="229"/>
        <v>0</v>
      </c>
      <c r="AS525" s="66">
        <f t="shared" ca="1" si="230"/>
        <v>0</v>
      </c>
      <c r="AT525" s="66">
        <f t="shared" ca="1" si="231"/>
        <v>0</v>
      </c>
      <c r="AU525" s="66">
        <f t="shared" ca="1" si="232"/>
        <v>0</v>
      </c>
      <c r="AV525" s="68">
        <f t="shared" ca="1" si="225"/>
        <v>0</v>
      </c>
      <c r="AW525" s="65">
        <f t="shared" ca="1" si="233"/>
        <v>0</v>
      </c>
      <c r="AX525" s="69">
        <f t="shared" ca="1" si="234"/>
        <v>0</v>
      </c>
      <c r="AY525" s="70">
        <f t="shared" ca="1" si="235"/>
        <v>0</v>
      </c>
      <c r="AZ525" s="66">
        <f t="shared" ca="1" si="236"/>
        <v>0</v>
      </c>
      <c r="BA525" s="66">
        <f t="shared" ca="1" si="237"/>
        <v>0</v>
      </c>
      <c r="BB525" s="66">
        <f t="shared" ca="1" si="238"/>
        <v>0</v>
      </c>
      <c r="BC525" s="66">
        <f t="shared" ca="1" si="239"/>
        <v>0</v>
      </c>
      <c r="BD525" s="66">
        <f t="shared" ca="1" si="240"/>
        <v>0</v>
      </c>
      <c r="BE525" s="71">
        <f t="shared" ca="1" si="246"/>
        <v>0</v>
      </c>
      <c r="BF525" s="65">
        <f t="shared" ca="1" si="241"/>
        <v>0</v>
      </c>
      <c r="BG525" s="69">
        <f t="shared" ca="1" si="242"/>
        <v>0</v>
      </c>
      <c r="BH525" s="301">
        <f t="shared" ca="1" si="245"/>
        <v>0</v>
      </c>
      <c r="BI525" s="300">
        <f ca="1">IF(AO525&gt;TartamVálasztott,0,   (BI524+BH525)*(1+yields!$D$2)*(1-(0.0099/12)))</f>
        <v>0</v>
      </c>
      <c r="BJ525" s="300">
        <f ca="1">SUM(BH$6:BH525)*-1.2</f>
        <v>-862056.26733480149</v>
      </c>
      <c r="BK525" s="300">
        <f t="shared" ca="1" si="226"/>
        <v>-862056.26733480149</v>
      </c>
      <c r="BL525" s="28">
        <f t="shared" ca="1" si="224"/>
        <v>2060</v>
      </c>
      <c r="BM525" s="28">
        <f t="shared" ca="1" si="247"/>
        <v>5</v>
      </c>
      <c r="BN525" s="236">
        <f t="shared" ca="1" si="248"/>
        <v>0</v>
      </c>
      <c r="BO525" s="236">
        <f t="shared" ca="1" si="243"/>
        <v>0</v>
      </c>
    </row>
    <row r="526" spans="41:67" x14ac:dyDescent="0.25">
      <c r="AO526" s="28">
        <f t="shared" si="227"/>
        <v>44</v>
      </c>
      <c r="AP526" s="28">
        <f t="shared" si="228"/>
        <v>5</v>
      </c>
      <c r="AQ526" s="65">
        <f t="shared" ca="1" si="244"/>
        <v>0</v>
      </c>
      <c r="AR526" s="66">
        <f t="shared" ca="1" si="229"/>
        <v>0</v>
      </c>
      <c r="AS526" s="66">
        <f t="shared" ca="1" si="230"/>
        <v>0</v>
      </c>
      <c r="AT526" s="66">
        <f t="shared" ca="1" si="231"/>
        <v>0</v>
      </c>
      <c r="AU526" s="66">
        <f t="shared" ca="1" si="232"/>
        <v>0</v>
      </c>
      <c r="AV526" s="68">
        <f t="shared" ca="1" si="225"/>
        <v>0</v>
      </c>
      <c r="AW526" s="65">
        <f t="shared" ca="1" si="233"/>
        <v>0</v>
      </c>
      <c r="AX526" s="69">
        <f t="shared" ca="1" si="234"/>
        <v>0</v>
      </c>
      <c r="AY526" s="70">
        <f t="shared" ca="1" si="235"/>
        <v>0</v>
      </c>
      <c r="AZ526" s="66">
        <f t="shared" ca="1" si="236"/>
        <v>0</v>
      </c>
      <c r="BA526" s="66">
        <f t="shared" ca="1" si="237"/>
        <v>0</v>
      </c>
      <c r="BB526" s="66">
        <f t="shared" ca="1" si="238"/>
        <v>0</v>
      </c>
      <c r="BC526" s="66">
        <f t="shared" ca="1" si="239"/>
        <v>0</v>
      </c>
      <c r="BD526" s="66">
        <f t="shared" ca="1" si="240"/>
        <v>0</v>
      </c>
      <c r="BE526" s="71">
        <f t="shared" ca="1" si="246"/>
        <v>0</v>
      </c>
      <c r="BF526" s="65">
        <f t="shared" ca="1" si="241"/>
        <v>0</v>
      </c>
      <c r="BG526" s="69">
        <f t="shared" ca="1" si="242"/>
        <v>0</v>
      </c>
      <c r="BH526" s="301">
        <f t="shared" ca="1" si="245"/>
        <v>0</v>
      </c>
      <c r="BI526" s="300">
        <f ca="1">IF(AO526&gt;TartamVálasztott,0,   (BI525+BH526)*(1+yields!$D$2)*(1-(0.0099/12)))</f>
        <v>0</v>
      </c>
      <c r="BJ526" s="300">
        <f ca="1">SUM(BH$6:BH526)*-1.2</f>
        <v>-862056.26733480149</v>
      </c>
      <c r="BK526" s="300">
        <f t="shared" ca="1" si="226"/>
        <v>-862056.26733480149</v>
      </c>
      <c r="BL526" s="28">
        <f t="shared" ca="1" si="224"/>
        <v>2060</v>
      </c>
      <c r="BM526" s="28">
        <f t="shared" ca="1" si="247"/>
        <v>6</v>
      </c>
      <c r="BN526" s="236">
        <f t="shared" ca="1" si="248"/>
        <v>0</v>
      </c>
      <c r="BO526" s="236">
        <f t="shared" ca="1" si="243"/>
        <v>0</v>
      </c>
    </row>
    <row r="527" spans="41:67" x14ac:dyDescent="0.25">
      <c r="AO527" s="28">
        <f t="shared" si="227"/>
        <v>44</v>
      </c>
      <c r="AP527" s="28">
        <f t="shared" si="228"/>
        <v>6</v>
      </c>
      <c r="AQ527" s="65">
        <f t="shared" ca="1" si="244"/>
        <v>0</v>
      </c>
      <c r="AR527" s="66">
        <f t="shared" ca="1" si="229"/>
        <v>0</v>
      </c>
      <c r="AS527" s="66">
        <f t="shared" ca="1" si="230"/>
        <v>0</v>
      </c>
      <c r="AT527" s="66">
        <f t="shared" ca="1" si="231"/>
        <v>0</v>
      </c>
      <c r="AU527" s="66">
        <f t="shared" ca="1" si="232"/>
        <v>0</v>
      </c>
      <c r="AV527" s="68">
        <f t="shared" ca="1" si="225"/>
        <v>0</v>
      </c>
      <c r="AW527" s="65">
        <f t="shared" ca="1" si="233"/>
        <v>0</v>
      </c>
      <c r="AX527" s="69">
        <f t="shared" ca="1" si="234"/>
        <v>0</v>
      </c>
      <c r="AY527" s="70">
        <f t="shared" ca="1" si="235"/>
        <v>0</v>
      </c>
      <c r="AZ527" s="66">
        <f t="shared" ca="1" si="236"/>
        <v>0</v>
      </c>
      <c r="BA527" s="66">
        <f t="shared" ca="1" si="237"/>
        <v>0</v>
      </c>
      <c r="BB527" s="66">
        <f t="shared" ca="1" si="238"/>
        <v>0</v>
      </c>
      <c r="BC527" s="66">
        <f t="shared" ca="1" si="239"/>
        <v>0</v>
      </c>
      <c r="BD527" s="66">
        <f t="shared" ca="1" si="240"/>
        <v>0</v>
      </c>
      <c r="BE527" s="71">
        <f t="shared" ca="1" si="246"/>
        <v>0</v>
      </c>
      <c r="BF527" s="65">
        <f t="shared" ca="1" si="241"/>
        <v>0</v>
      </c>
      <c r="BG527" s="69">
        <f t="shared" ca="1" si="242"/>
        <v>0</v>
      </c>
      <c r="BH527" s="301">
        <f t="shared" ca="1" si="245"/>
        <v>0</v>
      </c>
      <c r="BI527" s="300">
        <f ca="1">IF(AO527&gt;TartamVálasztott,0,   (BI526+BH527)*(1+yields!$D$2)*(1-(0.0099/12)))</f>
        <v>0</v>
      </c>
      <c r="BJ527" s="300">
        <f ca="1">SUM(BH$6:BH527)*-1.2</f>
        <v>-862056.26733480149</v>
      </c>
      <c r="BK527" s="300">
        <f t="shared" ca="1" si="226"/>
        <v>-862056.26733480149</v>
      </c>
      <c r="BL527" s="28">
        <f t="shared" ca="1" si="224"/>
        <v>2060</v>
      </c>
      <c r="BM527" s="28">
        <f t="shared" ca="1" si="247"/>
        <v>7</v>
      </c>
      <c r="BN527" s="236">
        <f t="shared" ca="1" si="248"/>
        <v>0</v>
      </c>
      <c r="BO527" s="236">
        <f t="shared" ca="1" si="243"/>
        <v>0</v>
      </c>
    </row>
    <row r="528" spans="41:67" x14ac:dyDescent="0.25">
      <c r="AO528" s="28">
        <f t="shared" si="227"/>
        <v>44</v>
      </c>
      <c r="AP528" s="28">
        <f t="shared" si="228"/>
        <v>7</v>
      </c>
      <c r="AQ528" s="65">
        <f t="shared" ca="1" si="244"/>
        <v>0</v>
      </c>
      <c r="AR528" s="66">
        <f t="shared" ca="1" si="229"/>
        <v>0</v>
      </c>
      <c r="AS528" s="66">
        <f t="shared" ca="1" si="230"/>
        <v>0</v>
      </c>
      <c r="AT528" s="66">
        <f t="shared" ca="1" si="231"/>
        <v>0</v>
      </c>
      <c r="AU528" s="66">
        <f t="shared" ca="1" si="232"/>
        <v>0</v>
      </c>
      <c r="AV528" s="68">
        <f t="shared" ca="1" si="225"/>
        <v>0</v>
      </c>
      <c r="AW528" s="65">
        <f t="shared" ca="1" si="233"/>
        <v>0</v>
      </c>
      <c r="AX528" s="69">
        <f t="shared" ca="1" si="234"/>
        <v>0</v>
      </c>
      <c r="AY528" s="70">
        <f t="shared" ca="1" si="235"/>
        <v>0</v>
      </c>
      <c r="AZ528" s="66">
        <f t="shared" ca="1" si="236"/>
        <v>0</v>
      </c>
      <c r="BA528" s="66">
        <f t="shared" ca="1" si="237"/>
        <v>0</v>
      </c>
      <c r="BB528" s="66">
        <f t="shared" ca="1" si="238"/>
        <v>0</v>
      </c>
      <c r="BC528" s="66">
        <f t="shared" ca="1" si="239"/>
        <v>0</v>
      </c>
      <c r="BD528" s="66">
        <f t="shared" ca="1" si="240"/>
        <v>0</v>
      </c>
      <c r="BE528" s="71">
        <f t="shared" ca="1" si="246"/>
        <v>0</v>
      </c>
      <c r="BF528" s="65">
        <f t="shared" ca="1" si="241"/>
        <v>0</v>
      </c>
      <c r="BG528" s="69">
        <f t="shared" ca="1" si="242"/>
        <v>0</v>
      </c>
      <c r="BH528" s="301">
        <f t="shared" ca="1" si="245"/>
        <v>0</v>
      </c>
      <c r="BI528" s="300">
        <f ca="1">IF(AO528&gt;TartamVálasztott,0,   (BI527+BH528)*(1+yields!$D$2)*(1-(0.0099/12)))</f>
        <v>0</v>
      </c>
      <c r="BJ528" s="300">
        <f ca="1">SUM(BH$6:BH528)*-1.2</f>
        <v>-862056.26733480149</v>
      </c>
      <c r="BK528" s="300">
        <f t="shared" ca="1" si="226"/>
        <v>-862056.26733480149</v>
      </c>
      <c r="BL528" s="28">
        <f t="shared" ca="1" si="224"/>
        <v>2060</v>
      </c>
      <c r="BM528" s="28">
        <f t="shared" ca="1" si="247"/>
        <v>8</v>
      </c>
      <c r="BN528" s="236">
        <f t="shared" ca="1" si="248"/>
        <v>0</v>
      </c>
      <c r="BO528" s="236">
        <f t="shared" ca="1" si="243"/>
        <v>0</v>
      </c>
    </row>
    <row r="529" spans="41:67" x14ac:dyDescent="0.25">
      <c r="AO529" s="28">
        <f t="shared" si="227"/>
        <v>44</v>
      </c>
      <c r="AP529" s="28">
        <f t="shared" si="228"/>
        <v>8</v>
      </c>
      <c r="AQ529" s="65">
        <f t="shared" ca="1" si="244"/>
        <v>0</v>
      </c>
      <c r="AR529" s="66">
        <f t="shared" ca="1" si="229"/>
        <v>0</v>
      </c>
      <c r="AS529" s="66">
        <f t="shared" ca="1" si="230"/>
        <v>0</v>
      </c>
      <c r="AT529" s="66">
        <f t="shared" ca="1" si="231"/>
        <v>0</v>
      </c>
      <c r="AU529" s="66">
        <f t="shared" ca="1" si="232"/>
        <v>0</v>
      </c>
      <c r="AV529" s="68">
        <f t="shared" ca="1" si="225"/>
        <v>0</v>
      </c>
      <c r="AW529" s="65">
        <f t="shared" ca="1" si="233"/>
        <v>0</v>
      </c>
      <c r="AX529" s="69">
        <f t="shared" ca="1" si="234"/>
        <v>0</v>
      </c>
      <c r="AY529" s="70">
        <f t="shared" ca="1" si="235"/>
        <v>0</v>
      </c>
      <c r="AZ529" s="66">
        <f t="shared" ca="1" si="236"/>
        <v>0</v>
      </c>
      <c r="BA529" s="66">
        <f t="shared" ca="1" si="237"/>
        <v>0</v>
      </c>
      <c r="BB529" s="66">
        <f t="shared" ca="1" si="238"/>
        <v>0</v>
      </c>
      <c r="BC529" s="66">
        <f t="shared" ca="1" si="239"/>
        <v>0</v>
      </c>
      <c r="BD529" s="66">
        <f t="shared" ca="1" si="240"/>
        <v>0</v>
      </c>
      <c r="BE529" s="71">
        <f t="shared" ca="1" si="246"/>
        <v>0</v>
      </c>
      <c r="BF529" s="65">
        <f t="shared" ca="1" si="241"/>
        <v>0</v>
      </c>
      <c r="BG529" s="69">
        <f t="shared" ca="1" si="242"/>
        <v>0</v>
      </c>
      <c r="BH529" s="301">
        <f t="shared" ca="1" si="245"/>
        <v>0</v>
      </c>
      <c r="BI529" s="300">
        <f ca="1">IF(AO529&gt;TartamVálasztott,0,   (BI528+BH529)*(1+yields!$D$2)*(1-(0.0099/12)))</f>
        <v>0</v>
      </c>
      <c r="BJ529" s="300">
        <f ca="1">SUM(BH$6:BH529)*-1.2</f>
        <v>-862056.26733480149</v>
      </c>
      <c r="BK529" s="300">
        <f t="shared" ca="1" si="226"/>
        <v>-862056.26733480149</v>
      </c>
      <c r="BL529" s="28">
        <f t="shared" ca="1" si="224"/>
        <v>2060</v>
      </c>
      <c r="BM529" s="28">
        <f t="shared" ca="1" si="247"/>
        <v>9</v>
      </c>
      <c r="BN529" s="236">
        <f t="shared" ca="1" si="248"/>
        <v>0</v>
      </c>
      <c r="BO529" s="236">
        <f t="shared" ca="1" si="243"/>
        <v>0</v>
      </c>
    </row>
    <row r="530" spans="41:67" x14ac:dyDescent="0.25">
      <c r="AO530" s="28">
        <f t="shared" si="227"/>
        <v>44</v>
      </c>
      <c r="AP530" s="28">
        <f t="shared" si="228"/>
        <v>9</v>
      </c>
      <c r="AQ530" s="65">
        <f t="shared" ca="1" si="244"/>
        <v>0</v>
      </c>
      <c r="AR530" s="66">
        <f t="shared" ca="1" si="229"/>
        <v>0</v>
      </c>
      <c r="AS530" s="66">
        <f t="shared" ca="1" si="230"/>
        <v>0</v>
      </c>
      <c r="AT530" s="66">
        <f t="shared" ca="1" si="231"/>
        <v>0</v>
      </c>
      <c r="AU530" s="66">
        <f t="shared" ca="1" si="232"/>
        <v>0</v>
      </c>
      <c r="AV530" s="68">
        <f t="shared" ca="1" si="225"/>
        <v>0</v>
      </c>
      <c r="AW530" s="65">
        <f t="shared" ca="1" si="233"/>
        <v>0</v>
      </c>
      <c r="AX530" s="69">
        <f t="shared" ca="1" si="234"/>
        <v>0</v>
      </c>
      <c r="AY530" s="70">
        <f t="shared" ca="1" si="235"/>
        <v>0</v>
      </c>
      <c r="AZ530" s="66">
        <f t="shared" ca="1" si="236"/>
        <v>0</v>
      </c>
      <c r="BA530" s="66">
        <f t="shared" ca="1" si="237"/>
        <v>0</v>
      </c>
      <c r="BB530" s="66">
        <f t="shared" ca="1" si="238"/>
        <v>0</v>
      </c>
      <c r="BC530" s="66">
        <f t="shared" ca="1" si="239"/>
        <v>0</v>
      </c>
      <c r="BD530" s="66">
        <f t="shared" ca="1" si="240"/>
        <v>0</v>
      </c>
      <c r="BE530" s="71">
        <f t="shared" ca="1" si="246"/>
        <v>0</v>
      </c>
      <c r="BF530" s="65">
        <f t="shared" ca="1" si="241"/>
        <v>0</v>
      </c>
      <c r="BG530" s="69">
        <f t="shared" ca="1" si="242"/>
        <v>0</v>
      </c>
      <c r="BH530" s="301">
        <f t="shared" ca="1" si="245"/>
        <v>0</v>
      </c>
      <c r="BI530" s="300">
        <f ca="1">IF(AO530&gt;TartamVálasztott,0,   (BI529+BH530)*(1+yields!$D$2)*(1-(0.0099/12)))</f>
        <v>0</v>
      </c>
      <c r="BJ530" s="300">
        <f ca="1">SUM(BH$6:BH530)*-1.2</f>
        <v>-862056.26733480149</v>
      </c>
      <c r="BK530" s="300">
        <f t="shared" ca="1" si="226"/>
        <v>-862056.26733480149</v>
      </c>
      <c r="BL530" s="28">
        <f t="shared" ref="BL530:BL569" ca="1" si="249">IF(BM529=12,BL529+1,BL529)</f>
        <v>2060</v>
      </c>
      <c r="BM530" s="28">
        <f t="shared" ca="1" si="247"/>
        <v>10</v>
      </c>
      <c r="BN530" s="236">
        <f t="shared" ca="1" si="248"/>
        <v>0</v>
      </c>
      <c r="BO530" s="236">
        <f t="shared" ca="1" si="243"/>
        <v>0</v>
      </c>
    </row>
    <row r="531" spans="41:67" x14ac:dyDescent="0.25">
      <c r="AO531" s="28">
        <f t="shared" si="227"/>
        <v>44</v>
      </c>
      <c r="AP531" s="28">
        <f t="shared" si="228"/>
        <v>10</v>
      </c>
      <c r="AQ531" s="65">
        <f t="shared" ca="1" si="244"/>
        <v>0</v>
      </c>
      <c r="AR531" s="66">
        <f t="shared" ca="1" si="229"/>
        <v>0</v>
      </c>
      <c r="AS531" s="66">
        <f t="shared" ca="1" si="230"/>
        <v>0</v>
      </c>
      <c r="AT531" s="66">
        <f t="shared" ca="1" si="231"/>
        <v>0</v>
      </c>
      <c r="AU531" s="66">
        <f t="shared" ca="1" si="232"/>
        <v>0</v>
      </c>
      <c r="AV531" s="68">
        <f t="shared" ref="AV531:AV569" ca="1" si="250">IF( ($AO531*12+$AP531) &gt; (12*(Term+1) ), 0,
($AT531-$AW531) +$AU531
)</f>
        <v>0</v>
      </c>
      <c r="AW531" s="65">
        <f t="shared" ca="1" si="233"/>
        <v>0</v>
      </c>
      <c r="AX531" s="69">
        <f t="shared" ca="1" si="234"/>
        <v>0</v>
      </c>
      <c r="AY531" s="70">
        <f t="shared" ca="1" si="235"/>
        <v>0</v>
      </c>
      <c r="AZ531" s="66">
        <f t="shared" ca="1" si="236"/>
        <v>0</v>
      </c>
      <c r="BA531" s="66">
        <f t="shared" ca="1" si="237"/>
        <v>0</v>
      </c>
      <c r="BB531" s="66">
        <f t="shared" ca="1" si="238"/>
        <v>0</v>
      </c>
      <c r="BC531" s="66">
        <f t="shared" ca="1" si="239"/>
        <v>0</v>
      </c>
      <c r="BD531" s="66">
        <f t="shared" ca="1" si="240"/>
        <v>0</v>
      </c>
      <c r="BE531" s="71">
        <f t="shared" ca="1" si="246"/>
        <v>0</v>
      </c>
      <c r="BF531" s="65">
        <f t="shared" ca="1" si="241"/>
        <v>0</v>
      </c>
      <c r="BG531" s="69">
        <f t="shared" ca="1" si="242"/>
        <v>0</v>
      </c>
      <c r="BH531" s="301">
        <f t="shared" ca="1" si="245"/>
        <v>0</v>
      </c>
      <c r="BI531" s="300">
        <f ca="1">IF(AO531&gt;TartamVálasztott,0,   (BI530+BH531)*(1+yields!$D$2)*(1-(0.0099/12)))</f>
        <v>0</v>
      </c>
      <c r="BJ531" s="300">
        <f ca="1">SUM(BH$6:BH531)*-1.2</f>
        <v>-862056.26733480149</v>
      </c>
      <c r="BK531" s="300">
        <f t="shared" ca="1" si="226"/>
        <v>-862056.26733480149</v>
      </c>
      <c r="BL531" s="28">
        <f t="shared" ca="1" si="249"/>
        <v>2060</v>
      </c>
      <c r="BM531" s="28">
        <f t="shared" ca="1" si="247"/>
        <v>11</v>
      </c>
      <c r="BN531" s="236">
        <f t="shared" ca="1" si="248"/>
        <v>0</v>
      </c>
      <c r="BO531" s="236">
        <f t="shared" ca="1" si="243"/>
        <v>0</v>
      </c>
    </row>
    <row r="532" spans="41:67" x14ac:dyDescent="0.25">
      <c r="AO532" s="28">
        <f t="shared" si="227"/>
        <v>44</v>
      </c>
      <c r="AP532" s="28">
        <f t="shared" si="228"/>
        <v>11</v>
      </c>
      <c r="AQ532" s="65">
        <f t="shared" ca="1" si="244"/>
        <v>0</v>
      </c>
      <c r="AR532" s="66">
        <f t="shared" ca="1" si="229"/>
        <v>0</v>
      </c>
      <c r="AS532" s="66">
        <f t="shared" ca="1" si="230"/>
        <v>0</v>
      </c>
      <c r="AT532" s="66">
        <f t="shared" ca="1" si="231"/>
        <v>0</v>
      </c>
      <c r="AU532" s="66">
        <f t="shared" ca="1" si="232"/>
        <v>0</v>
      </c>
      <c r="AV532" s="68">
        <f t="shared" ca="1" si="250"/>
        <v>0</v>
      </c>
      <c r="AW532" s="65">
        <f t="shared" ca="1" si="233"/>
        <v>0</v>
      </c>
      <c r="AX532" s="69">
        <f t="shared" ca="1" si="234"/>
        <v>0</v>
      </c>
      <c r="AY532" s="70">
        <f t="shared" ca="1" si="235"/>
        <v>0</v>
      </c>
      <c r="AZ532" s="66">
        <f t="shared" ca="1" si="236"/>
        <v>0</v>
      </c>
      <c r="BA532" s="66">
        <f t="shared" ca="1" si="237"/>
        <v>0</v>
      </c>
      <c r="BB532" s="66">
        <f t="shared" ca="1" si="238"/>
        <v>0</v>
      </c>
      <c r="BC532" s="66">
        <f t="shared" ca="1" si="239"/>
        <v>0</v>
      </c>
      <c r="BD532" s="66">
        <f t="shared" ca="1" si="240"/>
        <v>0</v>
      </c>
      <c r="BE532" s="71">
        <f t="shared" ca="1" si="246"/>
        <v>0</v>
      </c>
      <c r="BF532" s="65">
        <f t="shared" ca="1" si="241"/>
        <v>0</v>
      </c>
      <c r="BG532" s="69">
        <f t="shared" ca="1" si="242"/>
        <v>0</v>
      </c>
      <c r="BH532" s="301">
        <f t="shared" ca="1" si="245"/>
        <v>0</v>
      </c>
      <c r="BI532" s="300">
        <f ca="1">IF(AO532&gt;TartamVálasztott,0,   (BI531+BH532)*(1+yields!$D$2)*(1-(0.0099/12)))</f>
        <v>0</v>
      </c>
      <c r="BJ532" s="300">
        <f ca="1">SUM(BH$6:BH532)*-1.2</f>
        <v>-862056.26733480149</v>
      </c>
      <c r="BK532" s="300">
        <f t="shared" ca="1" si="226"/>
        <v>-862056.26733480149</v>
      </c>
      <c r="BL532" s="28">
        <f t="shared" ca="1" si="249"/>
        <v>2060</v>
      </c>
      <c r="BM532" s="28">
        <f t="shared" ca="1" si="247"/>
        <v>12</v>
      </c>
      <c r="BN532" s="236">
        <f t="shared" ca="1" si="248"/>
        <v>0</v>
      </c>
      <c r="BO532" s="236">
        <f t="shared" ca="1" si="243"/>
        <v>0</v>
      </c>
    </row>
    <row r="533" spans="41:67" x14ac:dyDescent="0.25">
      <c r="AO533" s="28">
        <f t="shared" si="227"/>
        <v>44</v>
      </c>
      <c r="AP533" s="28">
        <f t="shared" si="228"/>
        <v>12</v>
      </c>
      <c r="AQ533" s="65">
        <f t="shared" ca="1" si="244"/>
        <v>0</v>
      </c>
      <c r="AR533" s="66">
        <f t="shared" ca="1" si="229"/>
        <v>0</v>
      </c>
      <c r="AS533" s="66">
        <f t="shared" ca="1" si="230"/>
        <v>0</v>
      </c>
      <c r="AT533" s="66">
        <f t="shared" ca="1" si="231"/>
        <v>0</v>
      </c>
      <c r="AU533" s="66">
        <f t="shared" ca="1" si="232"/>
        <v>0</v>
      </c>
      <c r="AV533" s="68">
        <f t="shared" ca="1" si="250"/>
        <v>0</v>
      </c>
      <c r="AW533" s="65">
        <f t="shared" ca="1" si="233"/>
        <v>0</v>
      </c>
      <c r="AX533" s="69">
        <f t="shared" ca="1" si="234"/>
        <v>0</v>
      </c>
      <c r="AY533" s="70">
        <f t="shared" ca="1" si="235"/>
        <v>0</v>
      </c>
      <c r="AZ533" s="66">
        <f t="shared" ca="1" si="236"/>
        <v>0</v>
      </c>
      <c r="BA533" s="66">
        <f t="shared" ca="1" si="237"/>
        <v>0</v>
      </c>
      <c r="BB533" s="66">
        <f t="shared" ca="1" si="238"/>
        <v>0</v>
      </c>
      <c r="BC533" s="66">
        <f t="shared" ca="1" si="239"/>
        <v>0</v>
      </c>
      <c r="BD533" s="66">
        <f t="shared" ca="1" si="240"/>
        <v>0</v>
      </c>
      <c r="BE533" s="71">
        <f t="shared" ca="1" si="246"/>
        <v>0</v>
      </c>
      <c r="BF533" s="65">
        <f t="shared" ca="1" si="241"/>
        <v>0</v>
      </c>
      <c r="BG533" s="69">
        <f t="shared" ca="1" si="242"/>
        <v>0</v>
      </c>
      <c r="BH533" s="301">
        <f t="shared" ca="1" si="245"/>
        <v>0</v>
      </c>
      <c r="BI533" s="300">
        <f ca="1">IF(AO533&gt;TartamVálasztott,0,   (BI532+BH533)*(1+yields!$D$2)*(1-(0.0099/12)))</f>
        <v>0</v>
      </c>
      <c r="BJ533" s="300">
        <f ca="1">SUM(BH$6:BH533)*-1.2</f>
        <v>-862056.26733480149</v>
      </c>
      <c r="BK533" s="300">
        <f t="shared" ca="1" si="226"/>
        <v>-862056.26733480149</v>
      </c>
      <c r="BL533" s="28">
        <f t="shared" ca="1" si="249"/>
        <v>2061</v>
      </c>
      <c r="BM533" s="28">
        <f t="shared" ca="1" si="247"/>
        <v>1</v>
      </c>
      <c r="BN533" s="236">
        <f t="shared" ca="1" si="248"/>
        <v>0</v>
      </c>
      <c r="BO533" s="236">
        <f t="shared" ca="1" si="243"/>
        <v>0</v>
      </c>
    </row>
    <row r="534" spans="41:67" x14ac:dyDescent="0.25">
      <c r="AO534" s="28">
        <f t="shared" si="227"/>
        <v>45</v>
      </c>
      <c r="AP534" s="28">
        <f t="shared" si="228"/>
        <v>1</v>
      </c>
      <c r="AQ534" s="65">
        <f t="shared" ca="1" si="244"/>
        <v>0</v>
      </c>
      <c r="AR534" s="66">
        <f t="shared" ca="1" si="229"/>
        <v>0</v>
      </c>
      <c r="AS534" s="66">
        <f t="shared" ca="1" si="230"/>
        <v>0</v>
      </c>
      <c r="AT534" s="66">
        <f t="shared" ca="1" si="231"/>
        <v>0</v>
      </c>
      <c r="AU534" s="66">
        <f t="shared" ca="1" si="232"/>
        <v>0</v>
      </c>
      <c r="AV534" s="68">
        <f t="shared" ca="1" si="250"/>
        <v>0</v>
      </c>
      <c r="AW534" s="65">
        <f t="shared" ca="1" si="233"/>
        <v>0</v>
      </c>
      <c r="AX534" s="69">
        <f t="shared" ca="1" si="234"/>
        <v>0</v>
      </c>
      <c r="AY534" s="70">
        <f t="shared" ca="1" si="235"/>
        <v>0</v>
      </c>
      <c r="AZ534" s="66">
        <f t="shared" ca="1" si="236"/>
        <v>0</v>
      </c>
      <c r="BA534" s="66">
        <f t="shared" ca="1" si="237"/>
        <v>0</v>
      </c>
      <c r="BB534" s="66">
        <f t="shared" ca="1" si="238"/>
        <v>0</v>
      </c>
      <c r="BC534" s="66">
        <f t="shared" ca="1" si="239"/>
        <v>0</v>
      </c>
      <c r="BD534" s="66">
        <f t="shared" ca="1" si="240"/>
        <v>0</v>
      </c>
      <c r="BE534" s="71">
        <f t="shared" ca="1" si="246"/>
        <v>0</v>
      </c>
      <c r="BF534" s="65">
        <f t="shared" ca="1" si="241"/>
        <v>0</v>
      </c>
      <c r="BG534" s="69">
        <f t="shared" ca="1" si="242"/>
        <v>0</v>
      </c>
      <c r="BH534" s="301">
        <f t="shared" ca="1" si="245"/>
        <v>0</v>
      </c>
      <c r="BI534" s="300">
        <f ca="1">IF(AO534&gt;TartamVálasztott,0,   (BI533+BH534)*(1+yields!$D$2)*(1-(0.0099/12)))</f>
        <v>0</v>
      </c>
      <c r="BJ534" s="300">
        <f ca="1">SUM(BH$6:BH534)*-1.2</f>
        <v>-862056.26733480149</v>
      </c>
      <c r="BK534" s="300">
        <f t="shared" ca="1" si="226"/>
        <v>-862056.26733480149</v>
      </c>
      <c r="BL534" s="28">
        <f t="shared" ca="1" si="249"/>
        <v>2061</v>
      </c>
      <c r="BM534" s="28">
        <f t="shared" ca="1" si="247"/>
        <v>2</v>
      </c>
      <c r="BN534" s="236">
        <f t="shared" ca="1" si="248"/>
        <v>0</v>
      </c>
      <c r="BO534" s="236">
        <f t="shared" ca="1" si="243"/>
        <v>0</v>
      </c>
    </row>
    <row r="535" spans="41:67" x14ac:dyDescent="0.25">
      <c r="AO535" s="28">
        <f t="shared" si="227"/>
        <v>45</v>
      </c>
      <c r="AP535" s="28">
        <f t="shared" si="228"/>
        <v>2</v>
      </c>
      <c r="AQ535" s="65">
        <f t="shared" ca="1" si="244"/>
        <v>0</v>
      </c>
      <c r="AR535" s="66">
        <f t="shared" ca="1" si="229"/>
        <v>0</v>
      </c>
      <c r="AS535" s="66">
        <f t="shared" ca="1" si="230"/>
        <v>0</v>
      </c>
      <c r="AT535" s="66">
        <f t="shared" ca="1" si="231"/>
        <v>0</v>
      </c>
      <c r="AU535" s="66">
        <f t="shared" ca="1" si="232"/>
        <v>0</v>
      </c>
      <c r="AV535" s="68">
        <f t="shared" ca="1" si="250"/>
        <v>0</v>
      </c>
      <c r="AW535" s="65">
        <f t="shared" ca="1" si="233"/>
        <v>0</v>
      </c>
      <c r="AX535" s="69">
        <f t="shared" ca="1" si="234"/>
        <v>0</v>
      </c>
      <c r="AY535" s="70">
        <f t="shared" ca="1" si="235"/>
        <v>0</v>
      </c>
      <c r="AZ535" s="66">
        <f t="shared" ca="1" si="236"/>
        <v>0</v>
      </c>
      <c r="BA535" s="66">
        <f t="shared" ca="1" si="237"/>
        <v>0</v>
      </c>
      <c r="BB535" s="66">
        <f t="shared" ca="1" si="238"/>
        <v>0</v>
      </c>
      <c r="BC535" s="66">
        <f t="shared" ca="1" si="239"/>
        <v>0</v>
      </c>
      <c r="BD535" s="66">
        <f t="shared" ca="1" si="240"/>
        <v>0</v>
      </c>
      <c r="BE535" s="71">
        <f t="shared" ca="1" si="246"/>
        <v>0</v>
      </c>
      <c r="BF535" s="65">
        <f t="shared" ca="1" si="241"/>
        <v>0</v>
      </c>
      <c r="BG535" s="69">
        <f t="shared" ca="1" si="242"/>
        <v>0</v>
      </c>
      <c r="BH535" s="301">
        <f t="shared" ca="1" si="245"/>
        <v>0</v>
      </c>
      <c r="BI535" s="300">
        <f ca="1">IF(AO535&gt;TartamVálasztott,0,   (BI534+BH535)*(1+yields!$D$2)*(1-(0.0099/12)))</f>
        <v>0</v>
      </c>
      <c r="BJ535" s="300">
        <f ca="1">SUM(BH$6:BH535)*-1.2</f>
        <v>-862056.26733480149</v>
      </c>
      <c r="BK535" s="300">
        <f t="shared" ref="BK535:BK569" ca="1" si="251">BI535+BJ535</f>
        <v>-862056.26733480149</v>
      </c>
      <c r="BL535" s="28">
        <f t="shared" ca="1" si="249"/>
        <v>2061</v>
      </c>
      <c r="BM535" s="28">
        <f t="shared" ca="1" si="247"/>
        <v>3</v>
      </c>
      <c r="BN535" s="236">
        <f t="shared" ca="1" si="248"/>
        <v>0</v>
      </c>
      <c r="BO535" s="236">
        <f t="shared" ca="1" si="243"/>
        <v>0</v>
      </c>
    </row>
    <row r="536" spans="41:67" x14ac:dyDescent="0.25">
      <c r="AO536" s="28">
        <f t="shared" si="227"/>
        <v>45</v>
      </c>
      <c r="AP536" s="28">
        <f t="shared" si="228"/>
        <v>3</v>
      </c>
      <c r="AQ536" s="65">
        <f t="shared" ca="1" si="244"/>
        <v>0</v>
      </c>
      <c r="AR536" s="66">
        <f t="shared" ca="1" si="229"/>
        <v>0</v>
      </c>
      <c r="AS536" s="66">
        <f t="shared" ca="1" si="230"/>
        <v>0</v>
      </c>
      <c r="AT536" s="66">
        <f t="shared" ca="1" si="231"/>
        <v>0</v>
      </c>
      <c r="AU536" s="66">
        <f t="shared" ca="1" si="232"/>
        <v>0</v>
      </c>
      <c r="AV536" s="68">
        <f t="shared" ca="1" si="250"/>
        <v>0</v>
      </c>
      <c r="AW536" s="65">
        <f t="shared" ca="1" si="233"/>
        <v>0</v>
      </c>
      <c r="AX536" s="69">
        <f t="shared" ca="1" si="234"/>
        <v>0</v>
      </c>
      <c r="AY536" s="70">
        <f t="shared" ca="1" si="235"/>
        <v>0</v>
      </c>
      <c r="AZ536" s="66">
        <f t="shared" ca="1" si="236"/>
        <v>0</v>
      </c>
      <c r="BA536" s="66">
        <f t="shared" ca="1" si="237"/>
        <v>0</v>
      </c>
      <c r="BB536" s="66">
        <f t="shared" ca="1" si="238"/>
        <v>0</v>
      </c>
      <c r="BC536" s="66">
        <f t="shared" ca="1" si="239"/>
        <v>0</v>
      </c>
      <c r="BD536" s="66">
        <f t="shared" ca="1" si="240"/>
        <v>0</v>
      </c>
      <c r="BE536" s="71">
        <f t="shared" ca="1" si="246"/>
        <v>0</v>
      </c>
      <c r="BF536" s="65">
        <f t="shared" ca="1" si="241"/>
        <v>0</v>
      </c>
      <c r="BG536" s="69">
        <f t="shared" ca="1" si="242"/>
        <v>0</v>
      </c>
      <c r="BH536" s="301">
        <f t="shared" ca="1" si="245"/>
        <v>0</v>
      </c>
      <c r="BI536" s="300">
        <f ca="1">IF(AO536&gt;TartamVálasztott,0,   (BI535+BH536)*(1+yields!$D$2)*(1-(0.0099/12)))</f>
        <v>0</v>
      </c>
      <c r="BJ536" s="300">
        <f ca="1">SUM(BH$6:BH536)*-1.2</f>
        <v>-862056.26733480149</v>
      </c>
      <c r="BK536" s="300">
        <f t="shared" ca="1" si="251"/>
        <v>-862056.26733480149</v>
      </c>
      <c r="BL536" s="28">
        <f t="shared" ca="1" si="249"/>
        <v>2061</v>
      </c>
      <c r="BM536" s="28">
        <f t="shared" ca="1" si="247"/>
        <v>4</v>
      </c>
      <c r="BN536" s="236">
        <f t="shared" ca="1" si="248"/>
        <v>0</v>
      </c>
      <c r="BO536" s="236">
        <f t="shared" ca="1" si="243"/>
        <v>0</v>
      </c>
    </row>
    <row r="537" spans="41:67" x14ac:dyDescent="0.25">
      <c r="AO537" s="28">
        <f t="shared" si="227"/>
        <v>45</v>
      </c>
      <c r="AP537" s="28">
        <f t="shared" si="228"/>
        <v>4</v>
      </c>
      <c r="AQ537" s="65">
        <f t="shared" ca="1" si="244"/>
        <v>0</v>
      </c>
      <c r="AR537" s="66">
        <f t="shared" ca="1" si="229"/>
        <v>0</v>
      </c>
      <c r="AS537" s="66">
        <f t="shared" ca="1" si="230"/>
        <v>0</v>
      </c>
      <c r="AT537" s="66">
        <f t="shared" ca="1" si="231"/>
        <v>0</v>
      </c>
      <c r="AU537" s="66">
        <f t="shared" ca="1" si="232"/>
        <v>0</v>
      </c>
      <c r="AV537" s="68">
        <f t="shared" ca="1" si="250"/>
        <v>0</v>
      </c>
      <c r="AW537" s="65">
        <f t="shared" ca="1" si="233"/>
        <v>0</v>
      </c>
      <c r="AX537" s="69">
        <f t="shared" ca="1" si="234"/>
        <v>0</v>
      </c>
      <c r="AY537" s="70">
        <f t="shared" ca="1" si="235"/>
        <v>0</v>
      </c>
      <c r="AZ537" s="66">
        <f t="shared" ca="1" si="236"/>
        <v>0</v>
      </c>
      <c r="BA537" s="66">
        <f t="shared" ca="1" si="237"/>
        <v>0</v>
      </c>
      <c r="BB537" s="66">
        <f t="shared" ca="1" si="238"/>
        <v>0</v>
      </c>
      <c r="BC537" s="66">
        <f t="shared" ca="1" si="239"/>
        <v>0</v>
      </c>
      <c r="BD537" s="66">
        <f t="shared" ca="1" si="240"/>
        <v>0</v>
      </c>
      <c r="BE537" s="71">
        <f t="shared" ca="1" si="246"/>
        <v>0</v>
      </c>
      <c r="BF537" s="65">
        <f t="shared" ca="1" si="241"/>
        <v>0</v>
      </c>
      <c r="BG537" s="69">
        <f t="shared" ca="1" si="242"/>
        <v>0</v>
      </c>
      <c r="BH537" s="301">
        <f t="shared" ca="1" si="245"/>
        <v>0</v>
      </c>
      <c r="BI537" s="300">
        <f ca="1">IF(AO537&gt;TartamVálasztott,0,   (BI536+BH537)*(1+yields!$D$2)*(1-(0.0099/12)))</f>
        <v>0</v>
      </c>
      <c r="BJ537" s="300">
        <f ca="1">SUM(BH$6:BH537)*-1.2</f>
        <v>-862056.26733480149</v>
      </c>
      <c r="BK537" s="300">
        <f t="shared" ca="1" si="251"/>
        <v>-862056.26733480149</v>
      </c>
      <c r="BL537" s="28">
        <f t="shared" ca="1" si="249"/>
        <v>2061</v>
      </c>
      <c r="BM537" s="28">
        <f t="shared" ca="1" si="247"/>
        <v>5</v>
      </c>
      <c r="BN537" s="236">
        <f t="shared" ca="1" si="248"/>
        <v>0</v>
      </c>
      <c r="BO537" s="236">
        <f t="shared" ca="1" si="243"/>
        <v>0</v>
      </c>
    </row>
    <row r="538" spans="41:67" x14ac:dyDescent="0.25">
      <c r="AO538" s="28">
        <f t="shared" si="227"/>
        <v>45</v>
      </c>
      <c r="AP538" s="28">
        <f t="shared" si="228"/>
        <v>5</v>
      </c>
      <c r="AQ538" s="65">
        <f t="shared" ca="1" si="244"/>
        <v>0</v>
      </c>
      <c r="AR538" s="66">
        <f t="shared" ca="1" si="229"/>
        <v>0</v>
      </c>
      <c r="AS538" s="66">
        <f t="shared" ca="1" si="230"/>
        <v>0</v>
      </c>
      <c r="AT538" s="66">
        <f t="shared" ca="1" si="231"/>
        <v>0</v>
      </c>
      <c r="AU538" s="66">
        <f t="shared" ca="1" si="232"/>
        <v>0</v>
      </c>
      <c r="AV538" s="68">
        <f t="shared" ca="1" si="250"/>
        <v>0</v>
      </c>
      <c r="AW538" s="65">
        <f t="shared" ca="1" si="233"/>
        <v>0</v>
      </c>
      <c r="AX538" s="69">
        <f t="shared" ca="1" si="234"/>
        <v>0</v>
      </c>
      <c r="AY538" s="70">
        <f t="shared" ca="1" si="235"/>
        <v>0</v>
      </c>
      <c r="AZ538" s="66">
        <f t="shared" ca="1" si="236"/>
        <v>0</v>
      </c>
      <c r="BA538" s="66">
        <f t="shared" ca="1" si="237"/>
        <v>0</v>
      </c>
      <c r="BB538" s="66">
        <f t="shared" ca="1" si="238"/>
        <v>0</v>
      </c>
      <c r="BC538" s="66">
        <f t="shared" ca="1" si="239"/>
        <v>0</v>
      </c>
      <c r="BD538" s="66">
        <f t="shared" ca="1" si="240"/>
        <v>0</v>
      </c>
      <c r="BE538" s="71">
        <f t="shared" ca="1" si="246"/>
        <v>0</v>
      </c>
      <c r="BF538" s="65">
        <f t="shared" ca="1" si="241"/>
        <v>0</v>
      </c>
      <c r="BG538" s="69">
        <f t="shared" ca="1" si="242"/>
        <v>0</v>
      </c>
      <c r="BH538" s="301">
        <f t="shared" ca="1" si="245"/>
        <v>0</v>
      </c>
      <c r="BI538" s="300">
        <f ca="1">IF(AO538&gt;TartamVálasztott,0,   (BI537+BH538)*(1+yields!$D$2)*(1-(0.0099/12)))</f>
        <v>0</v>
      </c>
      <c r="BJ538" s="300">
        <f ca="1">SUM(BH$6:BH538)*-1.2</f>
        <v>-862056.26733480149</v>
      </c>
      <c r="BK538" s="300">
        <f t="shared" ca="1" si="251"/>
        <v>-862056.26733480149</v>
      </c>
      <c r="BL538" s="28">
        <f t="shared" ca="1" si="249"/>
        <v>2061</v>
      </c>
      <c r="BM538" s="28">
        <f t="shared" ca="1" si="247"/>
        <v>6</v>
      </c>
      <c r="BN538" s="236">
        <f t="shared" ca="1" si="248"/>
        <v>0</v>
      </c>
      <c r="BO538" s="236">
        <f t="shared" ca="1" si="243"/>
        <v>0</v>
      </c>
    </row>
    <row r="539" spans="41:67" x14ac:dyDescent="0.25">
      <c r="AO539" s="28">
        <f t="shared" si="227"/>
        <v>45</v>
      </c>
      <c r="AP539" s="28">
        <f t="shared" si="228"/>
        <v>6</v>
      </c>
      <c r="AQ539" s="65">
        <f t="shared" ca="1" si="244"/>
        <v>0</v>
      </c>
      <c r="AR539" s="66">
        <f t="shared" ca="1" si="229"/>
        <v>0</v>
      </c>
      <c r="AS539" s="66">
        <f t="shared" ca="1" si="230"/>
        <v>0</v>
      </c>
      <c r="AT539" s="66">
        <f t="shared" ca="1" si="231"/>
        <v>0</v>
      </c>
      <c r="AU539" s="66">
        <f t="shared" ca="1" si="232"/>
        <v>0</v>
      </c>
      <c r="AV539" s="68">
        <f t="shared" ca="1" si="250"/>
        <v>0</v>
      </c>
      <c r="AW539" s="65">
        <f t="shared" ca="1" si="233"/>
        <v>0</v>
      </c>
      <c r="AX539" s="69">
        <f t="shared" ca="1" si="234"/>
        <v>0</v>
      </c>
      <c r="AY539" s="70">
        <f t="shared" ca="1" si="235"/>
        <v>0</v>
      </c>
      <c r="AZ539" s="66">
        <f t="shared" ca="1" si="236"/>
        <v>0</v>
      </c>
      <c r="BA539" s="66">
        <f t="shared" ca="1" si="237"/>
        <v>0</v>
      </c>
      <c r="BB539" s="66">
        <f t="shared" ca="1" si="238"/>
        <v>0</v>
      </c>
      <c r="BC539" s="66">
        <f t="shared" ca="1" si="239"/>
        <v>0</v>
      </c>
      <c r="BD539" s="66">
        <f t="shared" ca="1" si="240"/>
        <v>0</v>
      </c>
      <c r="BE539" s="71">
        <f t="shared" ca="1" si="246"/>
        <v>0</v>
      </c>
      <c r="BF539" s="65">
        <f t="shared" ca="1" si="241"/>
        <v>0</v>
      </c>
      <c r="BG539" s="69">
        <f t="shared" ca="1" si="242"/>
        <v>0</v>
      </c>
      <c r="BH539" s="301">
        <f t="shared" ca="1" si="245"/>
        <v>0</v>
      </c>
      <c r="BI539" s="300">
        <f ca="1">IF(AO539&gt;TartamVálasztott,0,   (BI538+BH539)*(1+yields!$D$2)*(1-(0.0099/12)))</f>
        <v>0</v>
      </c>
      <c r="BJ539" s="300">
        <f ca="1">SUM(BH$6:BH539)*-1.2</f>
        <v>-862056.26733480149</v>
      </c>
      <c r="BK539" s="300">
        <f t="shared" ca="1" si="251"/>
        <v>-862056.26733480149</v>
      </c>
      <c r="BL539" s="28">
        <f t="shared" ca="1" si="249"/>
        <v>2061</v>
      </c>
      <c r="BM539" s="28">
        <f t="shared" ca="1" si="247"/>
        <v>7</v>
      </c>
      <c r="BN539" s="236">
        <f t="shared" ca="1" si="248"/>
        <v>0</v>
      </c>
      <c r="BO539" s="236">
        <f t="shared" ca="1" si="243"/>
        <v>0</v>
      </c>
    </row>
    <row r="540" spans="41:67" x14ac:dyDescent="0.25">
      <c r="AO540" s="28">
        <f t="shared" si="227"/>
        <v>45</v>
      </c>
      <c r="AP540" s="28">
        <f t="shared" si="228"/>
        <v>7</v>
      </c>
      <c r="AQ540" s="65">
        <f t="shared" ca="1" si="244"/>
        <v>0</v>
      </c>
      <c r="AR540" s="66">
        <f t="shared" ca="1" si="229"/>
        <v>0</v>
      </c>
      <c r="AS540" s="66">
        <f t="shared" ca="1" si="230"/>
        <v>0</v>
      </c>
      <c r="AT540" s="66">
        <f t="shared" ca="1" si="231"/>
        <v>0</v>
      </c>
      <c r="AU540" s="66">
        <f t="shared" ca="1" si="232"/>
        <v>0</v>
      </c>
      <c r="AV540" s="68">
        <f t="shared" ca="1" si="250"/>
        <v>0</v>
      </c>
      <c r="AW540" s="65">
        <f t="shared" ca="1" si="233"/>
        <v>0</v>
      </c>
      <c r="AX540" s="69">
        <f t="shared" ca="1" si="234"/>
        <v>0</v>
      </c>
      <c r="AY540" s="70">
        <f t="shared" ca="1" si="235"/>
        <v>0</v>
      </c>
      <c r="AZ540" s="66">
        <f t="shared" ca="1" si="236"/>
        <v>0</v>
      </c>
      <c r="BA540" s="66">
        <f t="shared" ca="1" si="237"/>
        <v>0</v>
      </c>
      <c r="BB540" s="66">
        <f t="shared" ca="1" si="238"/>
        <v>0</v>
      </c>
      <c r="BC540" s="66">
        <f t="shared" ca="1" si="239"/>
        <v>0</v>
      </c>
      <c r="BD540" s="66">
        <f t="shared" ca="1" si="240"/>
        <v>0</v>
      </c>
      <c r="BE540" s="71">
        <f t="shared" ca="1" si="246"/>
        <v>0</v>
      </c>
      <c r="BF540" s="65">
        <f t="shared" ca="1" si="241"/>
        <v>0</v>
      </c>
      <c r="BG540" s="69">
        <f t="shared" ca="1" si="242"/>
        <v>0</v>
      </c>
      <c r="BH540" s="301">
        <f t="shared" ca="1" si="245"/>
        <v>0</v>
      </c>
      <c r="BI540" s="300">
        <f ca="1">IF(AO540&gt;TartamVálasztott,0,   (BI539+BH540)*(1+yields!$D$2)*(1-(0.0099/12)))</f>
        <v>0</v>
      </c>
      <c r="BJ540" s="300">
        <f ca="1">SUM(BH$6:BH540)*-1.2</f>
        <v>-862056.26733480149</v>
      </c>
      <c r="BK540" s="300">
        <f t="shared" ca="1" si="251"/>
        <v>-862056.26733480149</v>
      </c>
      <c r="BL540" s="28">
        <f t="shared" ca="1" si="249"/>
        <v>2061</v>
      </c>
      <c r="BM540" s="28">
        <f t="shared" ca="1" si="247"/>
        <v>8</v>
      </c>
      <c r="BN540" s="236">
        <f t="shared" ca="1" si="248"/>
        <v>0</v>
      </c>
      <c r="BO540" s="236">
        <f t="shared" ca="1" si="243"/>
        <v>0</v>
      </c>
    </row>
    <row r="541" spans="41:67" x14ac:dyDescent="0.25">
      <c r="AO541" s="28">
        <f t="shared" si="227"/>
        <v>45</v>
      </c>
      <c r="AP541" s="28">
        <f t="shared" si="228"/>
        <v>8</v>
      </c>
      <c r="AQ541" s="65">
        <f t="shared" ca="1" si="244"/>
        <v>0</v>
      </c>
      <c r="AR541" s="66">
        <f t="shared" ca="1" si="229"/>
        <v>0</v>
      </c>
      <c r="AS541" s="66">
        <f t="shared" ca="1" si="230"/>
        <v>0</v>
      </c>
      <c r="AT541" s="66">
        <f t="shared" ca="1" si="231"/>
        <v>0</v>
      </c>
      <c r="AU541" s="66">
        <f t="shared" ca="1" si="232"/>
        <v>0</v>
      </c>
      <c r="AV541" s="68">
        <f t="shared" ca="1" si="250"/>
        <v>0</v>
      </c>
      <c r="AW541" s="65">
        <f t="shared" ca="1" si="233"/>
        <v>0</v>
      </c>
      <c r="AX541" s="69">
        <f t="shared" ca="1" si="234"/>
        <v>0</v>
      </c>
      <c r="AY541" s="70">
        <f t="shared" ca="1" si="235"/>
        <v>0</v>
      </c>
      <c r="AZ541" s="66">
        <f t="shared" ca="1" si="236"/>
        <v>0</v>
      </c>
      <c r="BA541" s="66">
        <f t="shared" ca="1" si="237"/>
        <v>0</v>
      </c>
      <c r="BB541" s="66">
        <f t="shared" ca="1" si="238"/>
        <v>0</v>
      </c>
      <c r="BC541" s="66">
        <f t="shared" ca="1" si="239"/>
        <v>0</v>
      </c>
      <c r="BD541" s="66">
        <f t="shared" ca="1" si="240"/>
        <v>0</v>
      </c>
      <c r="BE541" s="71">
        <f t="shared" ca="1" si="246"/>
        <v>0</v>
      </c>
      <c r="BF541" s="65">
        <f t="shared" ca="1" si="241"/>
        <v>0</v>
      </c>
      <c r="BG541" s="69">
        <f t="shared" ca="1" si="242"/>
        <v>0</v>
      </c>
      <c r="BH541" s="301">
        <f t="shared" ca="1" si="245"/>
        <v>0</v>
      </c>
      <c r="BI541" s="300">
        <f ca="1">IF(AO541&gt;TartamVálasztott,0,   (BI540+BH541)*(1+yields!$D$2)*(1-(0.0099/12)))</f>
        <v>0</v>
      </c>
      <c r="BJ541" s="300">
        <f ca="1">SUM(BH$6:BH541)*-1.2</f>
        <v>-862056.26733480149</v>
      </c>
      <c r="BK541" s="300">
        <f t="shared" ca="1" si="251"/>
        <v>-862056.26733480149</v>
      </c>
      <c r="BL541" s="28">
        <f t="shared" ca="1" si="249"/>
        <v>2061</v>
      </c>
      <c r="BM541" s="28">
        <f t="shared" ca="1" si="247"/>
        <v>9</v>
      </c>
      <c r="BN541" s="236">
        <f t="shared" ca="1" si="248"/>
        <v>0</v>
      </c>
      <c r="BO541" s="236">
        <f t="shared" ca="1" si="243"/>
        <v>0</v>
      </c>
    </row>
    <row r="542" spans="41:67" x14ac:dyDescent="0.25">
      <c r="AO542" s="28">
        <f t="shared" si="227"/>
        <v>45</v>
      </c>
      <c r="AP542" s="28">
        <f t="shared" si="228"/>
        <v>9</v>
      </c>
      <c r="AQ542" s="65">
        <f t="shared" ca="1" si="244"/>
        <v>0</v>
      </c>
      <c r="AR542" s="66">
        <f t="shared" ca="1" si="229"/>
        <v>0</v>
      </c>
      <c r="AS542" s="66">
        <f t="shared" ca="1" si="230"/>
        <v>0</v>
      </c>
      <c r="AT542" s="66">
        <f t="shared" ca="1" si="231"/>
        <v>0</v>
      </c>
      <c r="AU542" s="66">
        <f t="shared" ca="1" si="232"/>
        <v>0</v>
      </c>
      <c r="AV542" s="68">
        <f t="shared" ca="1" si="250"/>
        <v>0</v>
      </c>
      <c r="AW542" s="65">
        <f t="shared" ca="1" si="233"/>
        <v>0</v>
      </c>
      <c r="AX542" s="69">
        <f t="shared" ca="1" si="234"/>
        <v>0</v>
      </c>
      <c r="AY542" s="70">
        <f t="shared" ca="1" si="235"/>
        <v>0</v>
      </c>
      <c r="AZ542" s="66">
        <f t="shared" ca="1" si="236"/>
        <v>0</v>
      </c>
      <c r="BA542" s="66">
        <f t="shared" ca="1" si="237"/>
        <v>0</v>
      </c>
      <c r="BB542" s="66">
        <f t="shared" ca="1" si="238"/>
        <v>0</v>
      </c>
      <c r="BC542" s="66">
        <f t="shared" ca="1" si="239"/>
        <v>0</v>
      </c>
      <c r="BD542" s="66">
        <f t="shared" ca="1" si="240"/>
        <v>0</v>
      </c>
      <c r="BE542" s="71">
        <f t="shared" ca="1" si="246"/>
        <v>0</v>
      </c>
      <c r="BF542" s="65">
        <f t="shared" ca="1" si="241"/>
        <v>0</v>
      </c>
      <c r="BG542" s="69">
        <f t="shared" ca="1" si="242"/>
        <v>0</v>
      </c>
      <c r="BH542" s="301">
        <f t="shared" ca="1" si="245"/>
        <v>0</v>
      </c>
      <c r="BI542" s="300">
        <f ca="1">IF(AO542&gt;TartamVálasztott,0,   (BI541+BH542)*(1+yields!$D$2)*(1-(0.0099/12)))</f>
        <v>0</v>
      </c>
      <c r="BJ542" s="300">
        <f ca="1">SUM(BH$6:BH542)*-1.2</f>
        <v>-862056.26733480149</v>
      </c>
      <c r="BK542" s="300">
        <f t="shared" ca="1" si="251"/>
        <v>-862056.26733480149</v>
      </c>
      <c r="BL542" s="28">
        <f t="shared" ca="1" si="249"/>
        <v>2061</v>
      </c>
      <c r="BM542" s="28">
        <f t="shared" ca="1" si="247"/>
        <v>10</v>
      </c>
      <c r="BN542" s="236">
        <f t="shared" ca="1" si="248"/>
        <v>0</v>
      </c>
      <c r="BO542" s="236">
        <f t="shared" ca="1" si="243"/>
        <v>0</v>
      </c>
    </row>
    <row r="543" spans="41:67" x14ac:dyDescent="0.25">
      <c r="AO543" s="28">
        <f t="shared" si="227"/>
        <v>45</v>
      </c>
      <c r="AP543" s="28">
        <f t="shared" si="228"/>
        <v>10</v>
      </c>
      <c r="AQ543" s="65">
        <f t="shared" ca="1" si="244"/>
        <v>0</v>
      </c>
      <c r="AR543" s="66">
        <f t="shared" ca="1" si="229"/>
        <v>0</v>
      </c>
      <c r="AS543" s="66">
        <f t="shared" ca="1" si="230"/>
        <v>0</v>
      </c>
      <c r="AT543" s="66">
        <f t="shared" ca="1" si="231"/>
        <v>0</v>
      </c>
      <c r="AU543" s="66">
        <f t="shared" ca="1" si="232"/>
        <v>0</v>
      </c>
      <c r="AV543" s="68">
        <f t="shared" ca="1" si="250"/>
        <v>0</v>
      </c>
      <c r="AW543" s="65">
        <f t="shared" ca="1" si="233"/>
        <v>0</v>
      </c>
      <c r="AX543" s="69">
        <f t="shared" ca="1" si="234"/>
        <v>0</v>
      </c>
      <c r="AY543" s="70">
        <f t="shared" ca="1" si="235"/>
        <v>0</v>
      </c>
      <c r="AZ543" s="66">
        <f t="shared" ca="1" si="236"/>
        <v>0</v>
      </c>
      <c r="BA543" s="66">
        <f t="shared" ca="1" si="237"/>
        <v>0</v>
      </c>
      <c r="BB543" s="66">
        <f t="shared" ca="1" si="238"/>
        <v>0</v>
      </c>
      <c r="BC543" s="66">
        <f t="shared" ca="1" si="239"/>
        <v>0</v>
      </c>
      <c r="BD543" s="66">
        <f t="shared" ca="1" si="240"/>
        <v>0</v>
      </c>
      <c r="BE543" s="71">
        <f t="shared" ca="1" si="246"/>
        <v>0</v>
      </c>
      <c r="BF543" s="65">
        <f t="shared" ca="1" si="241"/>
        <v>0</v>
      </c>
      <c r="BG543" s="69">
        <f t="shared" ca="1" si="242"/>
        <v>0</v>
      </c>
      <c r="BH543" s="301">
        <f t="shared" ca="1" si="245"/>
        <v>0</v>
      </c>
      <c r="BI543" s="300">
        <f ca="1">IF(AO543&gt;TartamVálasztott,0,   (BI542+BH543)*(1+yields!$D$2)*(1-(0.0099/12)))</f>
        <v>0</v>
      </c>
      <c r="BJ543" s="300">
        <f ca="1">SUM(BH$6:BH543)*-1.2</f>
        <v>-862056.26733480149</v>
      </c>
      <c r="BK543" s="300">
        <f t="shared" ca="1" si="251"/>
        <v>-862056.26733480149</v>
      </c>
      <c r="BL543" s="28">
        <f t="shared" ca="1" si="249"/>
        <v>2061</v>
      </c>
      <c r="BM543" s="28">
        <f t="shared" ca="1" si="247"/>
        <v>11</v>
      </c>
      <c r="BN543" s="236">
        <f t="shared" ca="1" si="248"/>
        <v>0</v>
      </c>
      <c r="BO543" s="236">
        <f t="shared" ca="1" si="243"/>
        <v>0</v>
      </c>
    </row>
    <row r="544" spans="41:67" x14ac:dyDescent="0.25">
      <c r="AO544" s="28">
        <f t="shared" si="227"/>
        <v>45</v>
      </c>
      <c r="AP544" s="28">
        <f t="shared" si="228"/>
        <v>11</v>
      </c>
      <c r="AQ544" s="65">
        <f t="shared" ca="1" si="244"/>
        <v>0</v>
      </c>
      <c r="AR544" s="66">
        <f t="shared" ca="1" si="229"/>
        <v>0</v>
      </c>
      <c r="AS544" s="66">
        <f t="shared" ca="1" si="230"/>
        <v>0</v>
      </c>
      <c r="AT544" s="66">
        <f t="shared" ca="1" si="231"/>
        <v>0</v>
      </c>
      <c r="AU544" s="66">
        <f t="shared" ca="1" si="232"/>
        <v>0</v>
      </c>
      <c r="AV544" s="68">
        <f t="shared" ca="1" si="250"/>
        <v>0</v>
      </c>
      <c r="AW544" s="65">
        <f t="shared" ca="1" si="233"/>
        <v>0</v>
      </c>
      <c r="AX544" s="69">
        <f t="shared" ca="1" si="234"/>
        <v>0</v>
      </c>
      <c r="AY544" s="70">
        <f t="shared" ca="1" si="235"/>
        <v>0</v>
      </c>
      <c r="AZ544" s="66">
        <f t="shared" ca="1" si="236"/>
        <v>0</v>
      </c>
      <c r="BA544" s="66">
        <f t="shared" ca="1" si="237"/>
        <v>0</v>
      </c>
      <c r="BB544" s="66">
        <f t="shared" ca="1" si="238"/>
        <v>0</v>
      </c>
      <c r="BC544" s="66">
        <f t="shared" ca="1" si="239"/>
        <v>0</v>
      </c>
      <c r="BD544" s="66">
        <f t="shared" ca="1" si="240"/>
        <v>0</v>
      </c>
      <c r="BE544" s="71">
        <f t="shared" ca="1" si="246"/>
        <v>0</v>
      </c>
      <c r="BF544" s="65">
        <f t="shared" ca="1" si="241"/>
        <v>0</v>
      </c>
      <c r="BG544" s="69">
        <f t="shared" ca="1" si="242"/>
        <v>0</v>
      </c>
      <c r="BH544" s="301">
        <f t="shared" ca="1" si="245"/>
        <v>0</v>
      </c>
      <c r="BI544" s="300">
        <f ca="1">IF(AO544&gt;TartamVálasztott,0,   (BI543+BH544)*(1+yields!$D$2)*(1-(0.0099/12)))</f>
        <v>0</v>
      </c>
      <c r="BJ544" s="300">
        <f ca="1">SUM(BH$6:BH544)*-1.2</f>
        <v>-862056.26733480149</v>
      </c>
      <c r="BK544" s="300">
        <f t="shared" ca="1" si="251"/>
        <v>-862056.26733480149</v>
      </c>
      <c r="BL544" s="28">
        <f t="shared" ca="1" si="249"/>
        <v>2061</v>
      </c>
      <c r="BM544" s="28">
        <f t="shared" ca="1" si="247"/>
        <v>12</v>
      </c>
      <c r="BN544" s="236">
        <f t="shared" ca="1" si="248"/>
        <v>0</v>
      </c>
      <c r="BO544" s="236">
        <f t="shared" ca="1" si="243"/>
        <v>0</v>
      </c>
    </row>
    <row r="545" spans="41:67" x14ac:dyDescent="0.25">
      <c r="AO545" s="28">
        <f t="shared" si="227"/>
        <v>45</v>
      </c>
      <c r="AP545" s="28">
        <f t="shared" si="228"/>
        <v>12</v>
      </c>
      <c r="AQ545" s="65">
        <f t="shared" ca="1" si="244"/>
        <v>0</v>
      </c>
      <c r="AR545" s="66">
        <f t="shared" ca="1" si="229"/>
        <v>0</v>
      </c>
      <c r="AS545" s="66">
        <f t="shared" ca="1" si="230"/>
        <v>0</v>
      </c>
      <c r="AT545" s="66">
        <f t="shared" ca="1" si="231"/>
        <v>0</v>
      </c>
      <c r="AU545" s="66">
        <f t="shared" ca="1" si="232"/>
        <v>0</v>
      </c>
      <c r="AV545" s="68">
        <f t="shared" ca="1" si="250"/>
        <v>0</v>
      </c>
      <c r="AW545" s="65">
        <f t="shared" ca="1" si="233"/>
        <v>0</v>
      </c>
      <c r="AX545" s="69">
        <f t="shared" ca="1" si="234"/>
        <v>0</v>
      </c>
      <c r="AY545" s="70">
        <f t="shared" ca="1" si="235"/>
        <v>0</v>
      </c>
      <c r="AZ545" s="66">
        <f t="shared" ca="1" si="236"/>
        <v>0</v>
      </c>
      <c r="BA545" s="66">
        <f t="shared" ca="1" si="237"/>
        <v>0</v>
      </c>
      <c r="BB545" s="66">
        <f t="shared" ca="1" si="238"/>
        <v>0</v>
      </c>
      <c r="BC545" s="66">
        <f t="shared" ca="1" si="239"/>
        <v>0</v>
      </c>
      <c r="BD545" s="66">
        <f t="shared" ca="1" si="240"/>
        <v>0</v>
      </c>
      <c r="BE545" s="71">
        <f t="shared" ca="1" si="246"/>
        <v>0</v>
      </c>
      <c r="BF545" s="65">
        <f t="shared" ca="1" si="241"/>
        <v>0</v>
      </c>
      <c r="BG545" s="69">
        <f t="shared" ca="1" si="242"/>
        <v>0</v>
      </c>
      <c r="BH545" s="301">
        <f t="shared" ca="1" si="245"/>
        <v>0</v>
      </c>
      <c r="BI545" s="300">
        <f ca="1">IF(AO545&gt;TartamVálasztott,0,   (BI544+BH545)*(1+yields!$D$2)*(1-(0.0099/12)))</f>
        <v>0</v>
      </c>
      <c r="BJ545" s="300">
        <f ca="1">SUM(BH$6:BH545)*-1.2</f>
        <v>-862056.26733480149</v>
      </c>
      <c r="BK545" s="300">
        <f t="shared" ca="1" si="251"/>
        <v>-862056.26733480149</v>
      </c>
      <c r="BL545" s="28">
        <f t="shared" ca="1" si="249"/>
        <v>2062</v>
      </c>
      <c r="BM545" s="28">
        <f t="shared" ca="1" si="247"/>
        <v>1</v>
      </c>
      <c r="BN545" s="236">
        <f t="shared" ca="1" si="248"/>
        <v>0</v>
      </c>
      <c r="BO545" s="236">
        <f t="shared" ca="1" si="243"/>
        <v>0</v>
      </c>
    </row>
    <row r="546" spans="41:67" x14ac:dyDescent="0.25">
      <c r="AO546" s="28">
        <f t="shared" si="227"/>
        <v>46</v>
      </c>
      <c r="AP546" s="28">
        <f t="shared" si="228"/>
        <v>1</v>
      </c>
      <c r="AQ546" s="65">
        <f t="shared" ca="1" si="244"/>
        <v>0</v>
      </c>
      <c r="AR546" s="66">
        <f t="shared" ca="1" si="229"/>
        <v>0</v>
      </c>
      <c r="AS546" s="66">
        <f t="shared" ca="1" si="230"/>
        <v>0</v>
      </c>
      <c r="AT546" s="66">
        <f t="shared" ca="1" si="231"/>
        <v>0</v>
      </c>
      <c r="AU546" s="66">
        <f t="shared" ca="1" si="232"/>
        <v>0</v>
      </c>
      <c r="AV546" s="68">
        <f t="shared" ca="1" si="250"/>
        <v>0</v>
      </c>
      <c r="AW546" s="65">
        <f t="shared" ca="1" si="233"/>
        <v>0</v>
      </c>
      <c r="AX546" s="69">
        <f t="shared" ca="1" si="234"/>
        <v>0</v>
      </c>
      <c r="AY546" s="70">
        <f t="shared" ca="1" si="235"/>
        <v>0</v>
      </c>
      <c r="AZ546" s="66">
        <f t="shared" ca="1" si="236"/>
        <v>0</v>
      </c>
      <c r="BA546" s="66">
        <f t="shared" ca="1" si="237"/>
        <v>0</v>
      </c>
      <c r="BB546" s="66">
        <f t="shared" ca="1" si="238"/>
        <v>0</v>
      </c>
      <c r="BC546" s="66">
        <f t="shared" ca="1" si="239"/>
        <v>0</v>
      </c>
      <c r="BD546" s="66">
        <f t="shared" ca="1" si="240"/>
        <v>0</v>
      </c>
      <c r="BE546" s="71">
        <f t="shared" ca="1" si="246"/>
        <v>0</v>
      </c>
      <c r="BF546" s="65">
        <f t="shared" ca="1" si="241"/>
        <v>0</v>
      </c>
      <c r="BG546" s="69">
        <f t="shared" ca="1" si="242"/>
        <v>0</v>
      </c>
      <c r="BH546" s="301">
        <f t="shared" ca="1" si="245"/>
        <v>0</v>
      </c>
      <c r="BI546" s="300">
        <f ca="1">IF(AO546&gt;TartamVálasztott,0,   (BI545+BH546)*(1+yields!$D$2)*(1-(0.0099/12)))</f>
        <v>0</v>
      </c>
      <c r="BJ546" s="300">
        <f ca="1">SUM(BH$6:BH546)*-1.2</f>
        <v>-862056.26733480149</v>
      </c>
      <c r="BK546" s="300">
        <f t="shared" ca="1" si="251"/>
        <v>-862056.26733480149</v>
      </c>
      <c r="BL546" s="28">
        <f t="shared" ca="1" si="249"/>
        <v>2062</v>
      </c>
      <c r="BM546" s="28">
        <f t="shared" ca="1" si="247"/>
        <v>2</v>
      </c>
      <c r="BN546" s="236">
        <f t="shared" ca="1" si="248"/>
        <v>0</v>
      </c>
      <c r="BO546" s="236">
        <f t="shared" ca="1" si="243"/>
        <v>0</v>
      </c>
    </row>
    <row r="547" spans="41:67" x14ac:dyDescent="0.25">
      <c r="AO547" s="28">
        <f t="shared" si="227"/>
        <v>46</v>
      </c>
      <c r="AP547" s="28">
        <f t="shared" si="228"/>
        <v>2</v>
      </c>
      <c r="AQ547" s="65">
        <f t="shared" ca="1" si="244"/>
        <v>0</v>
      </c>
      <c r="AR547" s="66">
        <f t="shared" ca="1" si="229"/>
        <v>0</v>
      </c>
      <c r="AS547" s="66">
        <f t="shared" ca="1" si="230"/>
        <v>0</v>
      </c>
      <c r="AT547" s="66">
        <f t="shared" ca="1" si="231"/>
        <v>0</v>
      </c>
      <c r="AU547" s="66">
        <f t="shared" ca="1" si="232"/>
        <v>0</v>
      </c>
      <c r="AV547" s="68">
        <f t="shared" ca="1" si="250"/>
        <v>0</v>
      </c>
      <c r="AW547" s="65">
        <f t="shared" ca="1" si="233"/>
        <v>0</v>
      </c>
      <c r="AX547" s="69">
        <f t="shared" ca="1" si="234"/>
        <v>0</v>
      </c>
      <c r="AY547" s="70">
        <f t="shared" ca="1" si="235"/>
        <v>0</v>
      </c>
      <c r="AZ547" s="66">
        <f t="shared" ca="1" si="236"/>
        <v>0</v>
      </c>
      <c r="BA547" s="66">
        <f t="shared" ca="1" si="237"/>
        <v>0</v>
      </c>
      <c r="BB547" s="66">
        <f t="shared" ca="1" si="238"/>
        <v>0</v>
      </c>
      <c r="BC547" s="66">
        <f t="shared" ca="1" si="239"/>
        <v>0</v>
      </c>
      <c r="BD547" s="66">
        <f t="shared" ca="1" si="240"/>
        <v>0</v>
      </c>
      <c r="BE547" s="71">
        <f t="shared" ca="1" si="246"/>
        <v>0</v>
      </c>
      <c r="BF547" s="65">
        <f t="shared" ca="1" si="241"/>
        <v>0</v>
      </c>
      <c r="BG547" s="69">
        <f t="shared" ca="1" si="242"/>
        <v>0</v>
      </c>
      <c r="BH547" s="301">
        <f t="shared" ca="1" si="245"/>
        <v>0</v>
      </c>
      <c r="BI547" s="300">
        <f ca="1">IF(AO547&gt;TartamVálasztott,0,   (BI546+BH547)*(1+yields!$D$2)*(1-(0.0099/12)))</f>
        <v>0</v>
      </c>
      <c r="BJ547" s="300">
        <f ca="1">SUM(BH$6:BH547)*-1.2</f>
        <v>-862056.26733480149</v>
      </c>
      <c r="BK547" s="300">
        <f t="shared" ca="1" si="251"/>
        <v>-862056.26733480149</v>
      </c>
      <c r="BL547" s="28">
        <f t="shared" ca="1" si="249"/>
        <v>2062</v>
      </c>
      <c r="BM547" s="28">
        <f t="shared" ca="1" si="247"/>
        <v>3</v>
      </c>
      <c r="BN547" s="236">
        <f t="shared" ca="1" si="248"/>
        <v>0</v>
      </c>
      <c r="BO547" s="236">
        <f t="shared" ca="1" si="243"/>
        <v>0</v>
      </c>
    </row>
    <row r="548" spans="41:67" x14ac:dyDescent="0.25">
      <c r="AO548" s="28">
        <f t="shared" si="227"/>
        <v>46</v>
      </c>
      <c r="AP548" s="28">
        <f t="shared" si="228"/>
        <v>3</v>
      </c>
      <c r="AQ548" s="65">
        <f t="shared" ca="1" si="244"/>
        <v>0</v>
      </c>
      <c r="AR548" s="66">
        <f t="shared" ca="1" si="229"/>
        <v>0</v>
      </c>
      <c r="AS548" s="66">
        <f t="shared" ca="1" si="230"/>
        <v>0</v>
      </c>
      <c r="AT548" s="66">
        <f t="shared" ca="1" si="231"/>
        <v>0</v>
      </c>
      <c r="AU548" s="66">
        <f t="shared" ca="1" si="232"/>
        <v>0</v>
      </c>
      <c r="AV548" s="68">
        <f t="shared" ca="1" si="250"/>
        <v>0</v>
      </c>
      <c r="AW548" s="65">
        <f t="shared" ca="1" si="233"/>
        <v>0</v>
      </c>
      <c r="AX548" s="69">
        <f t="shared" ca="1" si="234"/>
        <v>0</v>
      </c>
      <c r="AY548" s="70">
        <f t="shared" ca="1" si="235"/>
        <v>0</v>
      </c>
      <c r="AZ548" s="66">
        <f t="shared" ca="1" si="236"/>
        <v>0</v>
      </c>
      <c r="BA548" s="66">
        <f t="shared" ca="1" si="237"/>
        <v>0</v>
      </c>
      <c r="BB548" s="66">
        <f t="shared" ca="1" si="238"/>
        <v>0</v>
      </c>
      <c r="BC548" s="66">
        <f t="shared" ca="1" si="239"/>
        <v>0</v>
      </c>
      <c r="BD548" s="66">
        <f t="shared" ca="1" si="240"/>
        <v>0</v>
      </c>
      <c r="BE548" s="71">
        <f t="shared" ca="1" si="246"/>
        <v>0</v>
      </c>
      <c r="BF548" s="65">
        <f t="shared" ca="1" si="241"/>
        <v>0</v>
      </c>
      <c r="BG548" s="69">
        <f t="shared" ca="1" si="242"/>
        <v>0</v>
      </c>
      <c r="BH548" s="301">
        <f t="shared" ca="1" si="245"/>
        <v>0</v>
      </c>
      <c r="BI548" s="300">
        <f ca="1">IF(AO548&gt;TartamVálasztott,0,   (BI547+BH548)*(1+yields!$D$2)*(1-(0.0099/12)))</f>
        <v>0</v>
      </c>
      <c r="BJ548" s="300">
        <f ca="1">SUM(BH$6:BH548)*-1.2</f>
        <v>-862056.26733480149</v>
      </c>
      <c r="BK548" s="300">
        <f t="shared" ca="1" si="251"/>
        <v>-862056.26733480149</v>
      </c>
      <c r="BL548" s="28">
        <f t="shared" ca="1" si="249"/>
        <v>2062</v>
      </c>
      <c r="BM548" s="28">
        <f t="shared" ca="1" si="247"/>
        <v>4</v>
      </c>
      <c r="BN548" s="236">
        <f t="shared" ca="1" si="248"/>
        <v>0</v>
      </c>
      <c r="BO548" s="236">
        <f t="shared" ca="1" si="243"/>
        <v>0</v>
      </c>
    </row>
    <row r="549" spans="41:67" x14ac:dyDescent="0.25">
      <c r="AO549" s="28">
        <f t="shared" si="227"/>
        <v>46</v>
      </c>
      <c r="AP549" s="28">
        <f t="shared" si="228"/>
        <v>4</v>
      </c>
      <c r="AQ549" s="65">
        <f t="shared" ca="1" si="244"/>
        <v>0</v>
      </c>
      <c r="AR549" s="66">
        <f t="shared" ca="1" si="229"/>
        <v>0</v>
      </c>
      <c r="AS549" s="66">
        <f t="shared" ca="1" si="230"/>
        <v>0</v>
      </c>
      <c r="AT549" s="66">
        <f t="shared" ca="1" si="231"/>
        <v>0</v>
      </c>
      <c r="AU549" s="66">
        <f t="shared" ca="1" si="232"/>
        <v>0</v>
      </c>
      <c r="AV549" s="68">
        <f t="shared" ca="1" si="250"/>
        <v>0</v>
      </c>
      <c r="AW549" s="65">
        <f t="shared" ca="1" si="233"/>
        <v>0</v>
      </c>
      <c r="AX549" s="69">
        <f t="shared" ca="1" si="234"/>
        <v>0</v>
      </c>
      <c r="AY549" s="70">
        <f t="shared" ca="1" si="235"/>
        <v>0</v>
      </c>
      <c r="AZ549" s="66">
        <f t="shared" ca="1" si="236"/>
        <v>0</v>
      </c>
      <c r="BA549" s="66">
        <f t="shared" ca="1" si="237"/>
        <v>0</v>
      </c>
      <c r="BB549" s="66">
        <f t="shared" ca="1" si="238"/>
        <v>0</v>
      </c>
      <c r="BC549" s="66">
        <f t="shared" ca="1" si="239"/>
        <v>0</v>
      </c>
      <c r="BD549" s="66">
        <f t="shared" ca="1" si="240"/>
        <v>0</v>
      </c>
      <c r="BE549" s="71">
        <f t="shared" ca="1" si="246"/>
        <v>0</v>
      </c>
      <c r="BF549" s="65">
        <f t="shared" ca="1" si="241"/>
        <v>0</v>
      </c>
      <c r="BG549" s="69">
        <f t="shared" ca="1" si="242"/>
        <v>0</v>
      </c>
      <c r="BH549" s="301">
        <f t="shared" ca="1" si="245"/>
        <v>0</v>
      </c>
      <c r="BI549" s="300">
        <f ca="1">IF(AO549&gt;TartamVálasztott,0,   (BI548+BH549)*(1+yields!$D$2)*(1-(0.0099/12)))</f>
        <v>0</v>
      </c>
      <c r="BJ549" s="300">
        <f ca="1">SUM(BH$6:BH549)*-1.2</f>
        <v>-862056.26733480149</v>
      </c>
      <c r="BK549" s="300">
        <f t="shared" ca="1" si="251"/>
        <v>-862056.26733480149</v>
      </c>
      <c r="BL549" s="28">
        <f t="shared" ca="1" si="249"/>
        <v>2062</v>
      </c>
      <c r="BM549" s="28">
        <f t="shared" ca="1" si="247"/>
        <v>5</v>
      </c>
      <c r="BN549" s="236">
        <f t="shared" ca="1" si="248"/>
        <v>0</v>
      </c>
      <c r="BO549" s="236">
        <f t="shared" ca="1" si="243"/>
        <v>0</v>
      </c>
    </row>
    <row r="550" spans="41:67" x14ac:dyDescent="0.25">
      <c r="AO550" s="28">
        <f t="shared" si="227"/>
        <v>46</v>
      </c>
      <c r="AP550" s="28">
        <f t="shared" si="228"/>
        <v>5</v>
      </c>
      <c r="AQ550" s="65">
        <f t="shared" ca="1" si="244"/>
        <v>0</v>
      </c>
      <c r="AR550" s="66">
        <f t="shared" ca="1" si="229"/>
        <v>0</v>
      </c>
      <c r="AS550" s="66">
        <f t="shared" ca="1" si="230"/>
        <v>0</v>
      </c>
      <c r="AT550" s="66">
        <f t="shared" ca="1" si="231"/>
        <v>0</v>
      </c>
      <c r="AU550" s="66">
        <f t="shared" ca="1" si="232"/>
        <v>0</v>
      </c>
      <c r="AV550" s="68">
        <f t="shared" ca="1" si="250"/>
        <v>0</v>
      </c>
      <c r="AW550" s="65">
        <f t="shared" ca="1" si="233"/>
        <v>0</v>
      </c>
      <c r="AX550" s="69">
        <f t="shared" ca="1" si="234"/>
        <v>0</v>
      </c>
      <c r="AY550" s="70">
        <f t="shared" ca="1" si="235"/>
        <v>0</v>
      </c>
      <c r="AZ550" s="66">
        <f t="shared" ca="1" si="236"/>
        <v>0</v>
      </c>
      <c r="BA550" s="66">
        <f t="shared" ca="1" si="237"/>
        <v>0</v>
      </c>
      <c r="BB550" s="66">
        <f t="shared" ca="1" si="238"/>
        <v>0</v>
      </c>
      <c r="BC550" s="66">
        <f t="shared" ca="1" si="239"/>
        <v>0</v>
      </c>
      <c r="BD550" s="66">
        <f t="shared" ca="1" si="240"/>
        <v>0</v>
      </c>
      <c r="BE550" s="71">
        <f t="shared" ca="1" si="246"/>
        <v>0</v>
      </c>
      <c r="BF550" s="65">
        <f t="shared" ca="1" si="241"/>
        <v>0</v>
      </c>
      <c r="BG550" s="69">
        <f t="shared" ca="1" si="242"/>
        <v>0</v>
      </c>
      <c r="BH550" s="301">
        <f t="shared" ca="1" si="245"/>
        <v>0</v>
      </c>
      <c r="BI550" s="300">
        <f ca="1">IF(AO550&gt;TartamVálasztott,0,   (BI549+BH550)*(1+yields!$D$2)*(1-(0.0099/12)))</f>
        <v>0</v>
      </c>
      <c r="BJ550" s="300">
        <f ca="1">SUM(BH$6:BH550)*-1.2</f>
        <v>-862056.26733480149</v>
      </c>
      <c r="BK550" s="300">
        <f t="shared" ca="1" si="251"/>
        <v>-862056.26733480149</v>
      </c>
      <c r="BL550" s="28">
        <f t="shared" ca="1" si="249"/>
        <v>2062</v>
      </c>
      <c r="BM550" s="28">
        <f t="shared" ca="1" si="247"/>
        <v>6</v>
      </c>
      <c r="BN550" s="236">
        <f t="shared" ca="1" si="248"/>
        <v>0</v>
      </c>
      <c r="BO550" s="236">
        <f t="shared" ca="1" si="243"/>
        <v>0</v>
      </c>
    </row>
    <row r="551" spans="41:67" x14ac:dyDescent="0.25">
      <c r="AO551" s="28">
        <f t="shared" si="227"/>
        <v>46</v>
      </c>
      <c r="AP551" s="28">
        <f t="shared" si="228"/>
        <v>6</v>
      </c>
      <c r="AQ551" s="65">
        <f t="shared" ca="1" si="244"/>
        <v>0</v>
      </c>
      <c r="AR551" s="66">
        <f t="shared" ca="1" si="229"/>
        <v>0</v>
      </c>
      <c r="AS551" s="66">
        <f t="shared" ca="1" si="230"/>
        <v>0</v>
      </c>
      <c r="AT551" s="66">
        <f t="shared" ca="1" si="231"/>
        <v>0</v>
      </c>
      <c r="AU551" s="66">
        <f t="shared" ca="1" si="232"/>
        <v>0</v>
      </c>
      <c r="AV551" s="68">
        <f t="shared" ca="1" si="250"/>
        <v>0</v>
      </c>
      <c r="AW551" s="65">
        <f t="shared" ca="1" si="233"/>
        <v>0</v>
      </c>
      <c r="AX551" s="69">
        <f t="shared" ca="1" si="234"/>
        <v>0</v>
      </c>
      <c r="AY551" s="70">
        <f t="shared" ca="1" si="235"/>
        <v>0</v>
      </c>
      <c r="AZ551" s="66">
        <f t="shared" ca="1" si="236"/>
        <v>0</v>
      </c>
      <c r="BA551" s="66">
        <f t="shared" ca="1" si="237"/>
        <v>0</v>
      </c>
      <c r="BB551" s="66">
        <f t="shared" ca="1" si="238"/>
        <v>0</v>
      </c>
      <c r="BC551" s="66">
        <f t="shared" ca="1" si="239"/>
        <v>0</v>
      </c>
      <c r="BD551" s="66">
        <f t="shared" ca="1" si="240"/>
        <v>0</v>
      </c>
      <c r="BE551" s="71">
        <f t="shared" ca="1" si="246"/>
        <v>0</v>
      </c>
      <c r="BF551" s="65">
        <f t="shared" ca="1" si="241"/>
        <v>0</v>
      </c>
      <c r="BG551" s="69">
        <f t="shared" ca="1" si="242"/>
        <v>0</v>
      </c>
      <c r="BH551" s="301">
        <f t="shared" ca="1" si="245"/>
        <v>0</v>
      </c>
      <c r="BI551" s="300">
        <f ca="1">IF(AO551&gt;TartamVálasztott,0,   (BI550+BH551)*(1+yields!$D$2)*(1-(0.0099/12)))</f>
        <v>0</v>
      </c>
      <c r="BJ551" s="300">
        <f ca="1">SUM(BH$6:BH551)*-1.2</f>
        <v>-862056.26733480149</v>
      </c>
      <c r="BK551" s="300">
        <f t="shared" ca="1" si="251"/>
        <v>-862056.26733480149</v>
      </c>
      <c r="BL551" s="28">
        <f t="shared" ca="1" si="249"/>
        <v>2062</v>
      </c>
      <c r="BM551" s="28">
        <f t="shared" ca="1" si="247"/>
        <v>7</v>
      </c>
      <c r="BN551" s="236">
        <f t="shared" ca="1" si="248"/>
        <v>0</v>
      </c>
      <c r="BO551" s="236">
        <f t="shared" ca="1" si="243"/>
        <v>0</v>
      </c>
    </row>
    <row r="552" spans="41:67" x14ac:dyDescent="0.25">
      <c r="AO552" s="28">
        <f t="shared" si="227"/>
        <v>46</v>
      </c>
      <c r="AP552" s="28">
        <f t="shared" si="228"/>
        <v>7</v>
      </c>
      <c r="AQ552" s="65">
        <f t="shared" ca="1" si="244"/>
        <v>0</v>
      </c>
      <c r="AR552" s="66">
        <f t="shared" ca="1" si="229"/>
        <v>0</v>
      </c>
      <c r="AS552" s="66">
        <f t="shared" ca="1" si="230"/>
        <v>0</v>
      </c>
      <c r="AT552" s="66">
        <f t="shared" ca="1" si="231"/>
        <v>0</v>
      </c>
      <c r="AU552" s="66">
        <f t="shared" ca="1" si="232"/>
        <v>0</v>
      </c>
      <c r="AV552" s="68">
        <f t="shared" ca="1" si="250"/>
        <v>0</v>
      </c>
      <c r="AW552" s="65">
        <f t="shared" ca="1" si="233"/>
        <v>0</v>
      </c>
      <c r="AX552" s="69">
        <f t="shared" ca="1" si="234"/>
        <v>0</v>
      </c>
      <c r="AY552" s="70">
        <f t="shared" ca="1" si="235"/>
        <v>0</v>
      </c>
      <c r="AZ552" s="66">
        <f t="shared" ca="1" si="236"/>
        <v>0</v>
      </c>
      <c r="BA552" s="66">
        <f t="shared" ca="1" si="237"/>
        <v>0</v>
      </c>
      <c r="BB552" s="66">
        <f t="shared" ca="1" si="238"/>
        <v>0</v>
      </c>
      <c r="BC552" s="66">
        <f t="shared" ca="1" si="239"/>
        <v>0</v>
      </c>
      <c r="BD552" s="66">
        <f t="shared" ca="1" si="240"/>
        <v>0</v>
      </c>
      <c r="BE552" s="71">
        <f t="shared" ca="1" si="246"/>
        <v>0</v>
      </c>
      <c r="BF552" s="65">
        <f t="shared" ca="1" si="241"/>
        <v>0</v>
      </c>
      <c r="BG552" s="69">
        <f t="shared" ca="1" si="242"/>
        <v>0</v>
      </c>
      <c r="BH552" s="301">
        <f t="shared" ca="1" si="245"/>
        <v>0</v>
      </c>
      <c r="BI552" s="300">
        <f ca="1">IF(AO552&gt;TartamVálasztott,0,   (BI551+BH552)*(1+yields!$D$2)*(1-(0.0099/12)))</f>
        <v>0</v>
      </c>
      <c r="BJ552" s="300">
        <f ca="1">SUM(BH$6:BH552)*-1.2</f>
        <v>-862056.26733480149</v>
      </c>
      <c r="BK552" s="300">
        <f t="shared" ca="1" si="251"/>
        <v>-862056.26733480149</v>
      </c>
      <c r="BL552" s="28">
        <f t="shared" ca="1" si="249"/>
        <v>2062</v>
      </c>
      <c r="BM552" s="28">
        <f t="shared" ca="1" si="247"/>
        <v>8</v>
      </c>
      <c r="BN552" s="236">
        <f t="shared" ca="1" si="248"/>
        <v>0</v>
      </c>
      <c r="BO552" s="236">
        <f t="shared" ca="1" si="243"/>
        <v>0</v>
      </c>
    </row>
    <row r="553" spans="41:67" x14ac:dyDescent="0.25">
      <c r="AO553" s="28">
        <f t="shared" si="227"/>
        <v>46</v>
      </c>
      <c r="AP553" s="28">
        <f t="shared" si="228"/>
        <v>8</v>
      </c>
      <c r="AQ553" s="65">
        <f t="shared" ca="1" si="244"/>
        <v>0</v>
      </c>
      <c r="AR553" s="66">
        <f t="shared" ca="1" si="229"/>
        <v>0</v>
      </c>
      <c r="AS553" s="66">
        <f t="shared" ca="1" si="230"/>
        <v>0</v>
      </c>
      <c r="AT553" s="66">
        <f t="shared" ca="1" si="231"/>
        <v>0</v>
      </c>
      <c r="AU553" s="66">
        <f t="shared" ca="1" si="232"/>
        <v>0</v>
      </c>
      <c r="AV553" s="68">
        <f t="shared" ca="1" si="250"/>
        <v>0</v>
      </c>
      <c r="AW553" s="65">
        <f t="shared" ca="1" si="233"/>
        <v>0</v>
      </c>
      <c r="AX553" s="69">
        <f t="shared" ca="1" si="234"/>
        <v>0</v>
      </c>
      <c r="AY553" s="70">
        <f t="shared" ca="1" si="235"/>
        <v>0</v>
      </c>
      <c r="AZ553" s="66">
        <f t="shared" ca="1" si="236"/>
        <v>0</v>
      </c>
      <c r="BA553" s="66">
        <f t="shared" ca="1" si="237"/>
        <v>0</v>
      </c>
      <c r="BB553" s="66">
        <f t="shared" ca="1" si="238"/>
        <v>0</v>
      </c>
      <c r="BC553" s="66">
        <f t="shared" ca="1" si="239"/>
        <v>0</v>
      </c>
      <c r="BD553" s="66">
        <f t="shared" ca="1" si="240"/>
        <v>0</v>
      </c>
      <c r="BE553" s="71">
        <f t="shared" ca="1" si="246"/>
        <v>0</v>
      </c>
      <c r="BF553" s="65">
        <f t="shared" ca="1" si="241"/>
        <v>0</v>
      </c>
      <c r="BG553" s="69">
        <f t="shared" ca="1" si="242"/>
        <v>0</v>
      </c>
      <c r="BH553" s="301">
        <f t="shared" ca="1" si="245"/>
        <v>0</v>
      </c>
      <c r="BI553" s="300">
        <f ca="1">IF(AO553&gt;TartamVálasztott,0,   (BI552+BH553)*(1+yields!$D$2)*(1-(0.0099/12)))</f>
        <v>0</v>
      </c>
      <c r="BJ553" s="300">
        <f ca="1">SUM(BH$6:BH553)*-1.2</f>
        <v>-862056.26733480149</v>
      </c>
      <c r="BK553" s="300">
        <f t="shared" ca="1" si="251"/>
        <v>-862056.26733480149</v>
      </c>
      <c r="BL553" s="28">
        <f t="shared" ca="1" si="249"/>
        <v>2062</v>
      </c>
      <c r="BM553" s="28">
        <f t="shared" ca="1" si="247"/>
        <v>9</v>
      </c>
      <c r="BN553" s="236">
        <f t="shared" ca="1" si="248"/>
        <v>0</v>
      </c>
      <c r="BO553" s="236">
        <f t="shared" ca="1" si="243"/>
        <v>0</v>
      </c>
    </row>
    <row r="554" spans="41:67" x14ac:dyDescent="0.25">
      <c r="AO554" s="28">
        <f t="shared" si="227"/>
        <v>46</v>
      </c>
      <c r="AP554" s="28">
        <f t="shared" si="228"/>
        <v>9</v>
      </c>
      <c r="AQ554" s="65">
        <f t="shared" ca="1" si="244"/>
        <v>0</v>
      </c>
      <c r="AR554" s="66">
        <f t="shared" ca="1" si="229"/>
        <v>0</v>
      </c>
      <c r="AS554" s="66">
        <f t="shared" ca="1" si="230"/>
        <v>0</v>
      </c>
      <c r="AT554" s="66">
        <f t="shared" ca="1" si="231"/>
        <v>0</v>
      </c>
      <c r="AU554" s="66">
        <f t="shared" ca="1" si="232"/>
        <v>0</v>
      </c>
      <c r="AV554" s="68">
        <f t="shared" ca="1" si="250"/>
        <v>0</v>
      </c>
      <c r="AW554" s="65">
        <f t="shared" ca="1" si="233"/>
        <v>0</v>
      </c>
      <c r="AX554" s="69">
        <f t="shared" ca="1" si="234"/>
        <v>0</v>
      </c>
      <c r="AY554" s="70">
        <f t="shared" ca="1" si="235"/>
        <v>0</v>
      </c>
      <c r="AZ554" s="66">
        <f t="shared" ca="1" si="236"/>
        <v>0</v>
      </c>
      <c r="BA554" s="66">
        <f t="shared" ca="1" si="237"/>
        <v>0</v>
      </c>
      <c r="BB554" s="66">
        <f t="shared" ca="1" si="238"/>
        <v>0</v>
      </c>
      <c r="BC554" s="66">
        <f t="shared" ca="1" si="239"/>
        <v>0</v>
      </c>
      <c r="BD554" s="66">
        <f t="shared" ca="1" si="240"/>
        <v>0</v>
      </c>
      <c r="BE554" s="71">
        <f t="shared" ca="1" si="246"/>
        <v>0</v>
      </c>
      <c r="BF554" s="65">
        <f t="shared" ca="1" si="241"/>
        <v>0</v>
      </c>
      <c r="BG554" s="69">
        <f t="shared" ca="1" si="242"/>
        <v>0</v>
      </c>
      <c r="BH554" s="301">
        <f t="shared" ca="1" si="245"/>
        <v>0</v>
      </c>
      <c r="BI554" s="300">
        <f ca="1">IF(AO554&gt;TartamVálasztott,0,   (BI553+BH554)*(1+yields!$D$2)*(1-(0.0099/12)))</f>
        <v>0</v>
      </c>
      <c r="BJ554" s="300">
        <f ca="1">SUM(BH$6:BH554)*-1.2</f>
        <v>-862056.26733480149</v>
      </c>
      <c r="BK554" s="300">
        <f t="shared" ca="1" si="251"/>
        <v>-862056.26733480149</v>
      </c>
      <c r="BL554" s="28">
        <f t="shared" ca="1" si="249"/>
        <v>2062</v>
      </c>
      <c r="BM554" s="28">
        <f t="shared" ca="1" si="247"/>
        <v>10</v>
      </c>
      <c r="BN554" s="236">
        <f t="shared" ca="1" si="248"/>
        <v>0</v>
      </c>
      <c r="BO554" s="236">
        <f t="shared" ca="1" si="243"/>
        <v>0</v>
      </c>
    </row>
    <row r="555" spans="41:67" x14ac:dyDescent="0.25">
      <c r="AO555" s="28">
        <f t="shared" si="227"/>
        <v>46</v>
      </c>
      <c r="AP555" s="28">
        <f t="shared" si="228"/>
        <v>10</v>
      </c>
      <c r="AQ555" s="65">
        <f t="shared" ca="1" si="244"/>
        <v>0</v>
      </c>
      <c r="AR555" s="66">
        <f t="shared" ca="1" si="229"/>
        <v>0</v>
      </c>
      <c r="AS555" s="66">
        <f t="shared" ca="1" si="230"/>
        <v>0</v>
      </c>
      <c r="AT555" s="66">
        <f t="shared" ca="1" si="231"/>
        <v>0</v>
      </c>
      <c r="AU555" s="66">
        <f t="shared" ca="1" si="232"/>
        <v>0</v>
      </c>
      <c r="AV555" s="68">
        <f t="shared" ca="1" si="250"/>
        <v>0</v>
      </c>
      <c r="AW555" s="65">
        <f t="shared" ca="1" si="233"/>
        <v>0</v>
      </c>
      <c r="AX555" s="69">
        <f t="shared" ca="1" si="234"/>
        <v>0</v>
      </c>
      <c r="AY555" s="70">
        <f t="shared" ca="1" si="235"/>
        <v>0</v>
      </c>
      <c r="AZ555" s="66">
        <f t="shared" ca="1" si="236"/>
        <v>0</v>
      </c>
      <c r="BA555" s="66">
        <f t="shared" ca="1" si="237"/>
        <v>0</v>
      </c>
      <c r="BB555" s="66">
        <f t="shared" ca="1" si="238"/>
        <v>0</v>
      </c>
      <c r="BC555" s="66">
        <f t="shared" ca="1" si="239"/>
        <v>0</v>
      </c>
      <c r="BD555" s="66">
        <f t="shared" ca="1" si="240"/>
        <v>0</v>
      </c>
      <c r="BE555" s="71">
        <f t="shared" ca="1" si="246"/>
        <v>0</v>
      </c>
      <c r="BF555" s="65">
        <f t="shared" ca="1" si="241"/>
        <v>0</v>
      </c>
      <c r="BG555" s="69">
        <f t="shared" ca="1" si="242"/>
        <v>0</v>
      </c>
      <c r="BH555" s="301">
        <f t="shared" ca="1" si="245"/>
        <v>0</v>
      </c>
      <c r="BI555" s="300">
        <f ca="1">IF(AO555&gt;TartamVálasztott,0,   (BI554+BH555)*(1+yields!$D$2)*(1-(0.0099/12)))</f>
        <v>0</v>
      </c>
      <c r="BJ555" s="300">
        <f ca="1">SUM(BH$6:BH555)*-1.2</f>
        <v>-862056.26733480149</v>
      </c>
      <c r="BK555" s="300">
        <f t="shared" ca="1" si="251"/>
        <v>-862056.26733480149</v>
      </c>
      <c r="BL555" s="28">
        <f t="shared" ca="1" si="249"/>
        <v>2062</v>
      </c>
      <c r="BM555" s="28">
        <f t="shared" ca="1" si="247"/>
        <v>11</v>
      </c>
      <c r="BN555" s="236">
        <f t="shared" ca="1" si="248"/>
        <v>0</v>
      </c>
      <c r="BO555" s="236">
        <f t="shared" ca="1" si="243"/>
        <v>0</v>
      </c>
    </row>
    <row r="556" spans="41:67" x14ac:dyDescent="0.25">
      <c r="AO556" s="28">
        <f t="shared" si="227"/>
        <v>46</v>
      </c>
      <c r="AP556" s="28">
        <f t="shared" si="228"/>
        <v>11</v>
      </c>
      <c r="AQ556" s="65">
        <f t="shared" ca="1" si="244"/>
        <v>0</v>
      </c>
      <c r="AR556" s="66">
        <f t="shared" ca="1" si="229"/>
        <v>0</v>
      </c>
      <c r="AS556" s="66">
        <f t="shared" ca="1" si="230"/>
        <v>0</v>
      </c>
      <c r="AT556" s="66">
        <f t="shared" ca="1" si="231"/>
        <v>0</v>
      </c>
      <c r="AU556" s="66">
        <f t="shared" ca="1" si="232"/>
        <v>0</v>
      </c>
      <c r="AV556" s="68">
        <f t="shared" ca="1" si="250"/>
        <v>0</v>
      </c>
      <c r="AW556" s="65">
        <f t="shared" ca="1" si="233"/>
        <v>0</v>
      </c>
      <c r="AX556" s="69">
        <f t="shared" ca="1" si="234"/>
        <v>0</v>
      </c>
      <c r="AY556" s="70">
        <f t="shared" ca="1" si="235"/>
        <v>0</v>
      </c>
      <c r="AZ556" s="66">
        <f t="shared" ca="1" si="236"/>
        <v>0</v>
      </c>
      <c r="BA556" s="66">
        <f t="shared" ca="1" si="237"/>
        <v>0</v>
      </c>
      <c r="BB556" s="66">
        <f t="shared" ca="1" si="238"/>
        <v>0</v>
      </c>
      <c r="BC556" s="66">
        <f t="shared" ca="1" si="239"/>
        <v>0</v>
      </c>
      <c r="BD556" s="66">
        <f t="shared" ca="1" si="240"/>
        <v>0</v>
      </c>
      <c r="BE556" s="71">
        <f t="shared" ca="1" si="246"/>
        <v>0</v>
      </c>
      <c r="BF556" s="65">
        <f t="shared" ca="1" si="241"/>
        <v>0</v>
      </c>
      <c r="BG556" s="69">
        <f t="shared" ca="1" si="242"/>
        <v>0</v>
      </c>
      <c r="BH556" s="301">
        <f t="shared" ca="1" si="245"/>
        <v>0</v>
      </c>
      <c r="BI556" s="300">
        <f ca="1">IF(AO556&gt;TartamVálasztott,0,   (BI555+BH556)*(1+yields!$D$2)*(1-(0.0099/12)))</f>
        <v>0</v>
      </c>
      <c r="BJ556" s="300">
        <f ca="1">SUM(BH$6:BH556)*-1.2</f>
        <v>-862056.26733480149</v>
      </c>
      <c r="BK556" s="300">
        <f t="shared" ca="1" si="251"/>
        <v>-862056.26733480149</v>
      </c>
      <c r="BL556" s="28">
        <f t="shared" ca="1" si="249"/>
        <v>2062</v>
      </c>
      <c r="BM556" s="28">
        <f t="shared" ca="1" si="247"/>
        <v>12</v>
      </c>
      <c r="BN556" s="236">
        <f t="shared" ca="1" si="248"/>
        <v>0</v>
      </c>
      <c r="BO556" s="236">
        <f t="shared" ca="1" si="243"/>
        <v>0</v>
      </c>
    </row>
    <row r="557" spans="41:67" x14ac:dyDescent="0.25">
      <c r="AO557" s="28">
        <f t="shared" si="227"/>
        <v>46</v>
      </c>
      <c r="AP557" s="28">
        <f t="shared" si="228"/>
        <v>12</v>
      </c>
      <c r="AQ557" s="65">
        <f t="shared" ca="1" si="244"/>
        <v>0</v>
      </c>
      <c r="AR557" s="66">
        <f t="shared" ca="1" si="229"/>
        <v>0</v>
      </c>
      <c r="AS557" s="66">
        <f t="shared" ca="1" si="230"/>
        <v>0</v>
      </c>
      <c r="AT557" s="66">
        <f t="shared" ca="1" si="231"/>
        <v>0</v>
      </c>
      <c r="AU557" s="66">
        <f t="shared" ca="1" si="232"/>
        <v>0</v>
      </c>
      <c r="AV557" s="68">
        <f t="shared" ca="1" si="250"/>
        <v>0</v>
      </c>
      <c r="AW557" s="65">
        <f t="shared" ca="1" si="233"/>
        <v>0</v>
      </c>
      <c r="AX557" s="69">
        <f t="shared" ca="1" si="234"/>
        <v>0</v>
      </c>
      <c r="AY557" s="70">
        <f t="shared" ca="1" si="235"/>
        <v>0</v>
      </c>
      <c r="AZ557" s="66">
        <f t="shared" ca="1" si="236"/>
        <v>0</v>
      </c>
      <c r="BA557" s="66">
        <f t="shared" ca="1" si="237"/>
        <v>0</v>
      </c>
      <c r="BB557" s="66">
        <f t="shared" ca="1" si="238"/>
        <v>0</v>
      </c>
      <c r="BC557" s="66">
        <f t="shared" ca="1" si="239"/>
        <v>0</v>
      </c>
      <c r="BD557" s="66">
        <f t="shared" ca="1" si="240"/>
        <v>0</v>
      </c>
      <c r="BE557" s="71">
        <f t="shared" ca="1" si="246"/>
        <v>0</v>
      </c>
      <c r="BF557" s="65">
        <f t="shared" ca="1" si="241"/>
        <v>0</v>
      </c>
      <c r="BG557" s="69">
        <f t="shared" ca="1" si="242"/>
        <v>0</v>
      </c>
      <c r="BH557" s="301">
        <f t="shared" ca="1" si="245"/>
        <v>0</v>
      </c>
      <c r="BI557" s="300">
        <f ca="1">IF(AO557&gt;TartamVálasztott,0,   (BI556+BH557)*(1+yields!$D$2)*(1-(0.0099/12)))</f>
        <v>0</v>
      </c>
      <c r="BJ557" s="300">
        <f ca="1">SUM(BH$6:BH557)*-1.2</f>
        <v>-862056.26733480149</v>
      </c>
      <c r="BK557" s="300">
        <f t="shared" ca="1" si="251"/>
        <v>-862056.26733480149</v>
      </c>
      <c r="BL557" s="28">
        <f t="shared" ca="1" si="249"/>
        <v>2063</v>
      </c>
      <c r="BM557" s="28">
        <f t="shared" ca="1" si="247"/>
        <v>1</v>
      </c>
      <c r="BN557" s="236">
        <f t="shared" ca="1" si="248"/>
        <v>0</v>
      </c>
      <c r="BO557" s="236">
        <f t="shared" ca="1" si="243"/>
        <v>0</v>
      </c>
    </row>
    <row r="558" spans="41:67" x14ac:dyDescent="0.25">
      <c r="AO558" s="28">
        <f t="shared" si="227"/>
        <v>47</v>
      </c>
      <c r="AP558" s="28">
        <f t="shared" si="228"/>
        <v>1</v>
      </c>
      <c r="AQ558" s="65">
        <f t="shared" ca="1" si="244"/>
        <v>0</v>
      </c>
      <c r="AR558" s="66">
        <f t="shared" ca="1" si="229"/>
        <v>0</v>
      </c>
      <c r="AS558" s="66">
        <f t="shared" ca="1" si="230"/>
        <v>0</v>
      </c>
      <c r="AT558" s="66">
        <f t="shared" ca="1" si="231"/>
        <v>0</v>
      </c>
      <c r="AU558" s="66">
        <f t="shared" ca="1" si="232"/>
        <v>0</v>
      </c>
      <c r="AV558" s="68">
        <f t="shared" ca="1" si="250"/>
        <v>0</v>
      </c>
      <c r="AW558" s="65">
        <f t="shared" ca="1" si="233"/>
        <v>0</v>
      </c>
      <c r="AX558" s="69">
        <f t="shared" ca="1" si="234"/>
        <v>0</v>
      </c>
      <c r="AY558" s="70">
        <f t="shared" ca="1" si="235"/>
        <v>0</v>
      </c>
      <c r="AZ558" s="66">
        <f t="shared" ca="1" si="236"/>
        <v>0</v>
      </c>
      <c r="BA558" s="66">
        <f t="shared" ca="1" si="237"/>
        <v>0</v>
      </c>
      <c r="BB558" s="66">
        <f t="shared" ca="1" si="238"/>
        <v>0</v>
      </c>
      <c r="BC558" s="66">
        <f t="shared" ca="1" si="239"/>
        <v>0</v>
      </c>
      <c r="BD558" s="66">
        <f t="shared" ca="1" si="240"/>
        <v>0</v>
      </c>
      <c r="BE558" s="71">
        <f t="shared" ca="1" si="246"/>
        <v>0</v>
      </c>
      <c r="BF558" s="65">
        <f t="shared" ca="1" si="241"/>
        <v>0</v>
      </c>
      <c r="BG558" s="69">
        <f t="shared" ca="1" si="242"/>
        <v>0</v>
      </c>
      <c r="BH558" s="301">
        <f t="shared" ca="1" si="245"/>
        <v>0</v>
      </c>
      <c r="BI558" s="300">
        <f ca="1">IF(AO558&gt;TartamVálasztott,0,   (BI557+BH558)*(1+yields!$D$2)*(1-(0.0099/12)))</f>
        <v>0</v>
      </c>
      <c r="BJ558" s="300">
        <f ca="1">SUM(BH$6:BH558)*-1.2</f>
        <v>-862056.26733480149</v>
      </c>
      <c r="BK558" s="300">
        <f t="shared" ca="1" si="251"/>
        <v>-862056.26733480149</v>
      </c>
      <c r="BL558" s="28">
        <f t="shared" ca="1" si="249"/>
        <v>2063</v>
      </c>
      <c r="BM558" s="28">
        <f t="shared" ca="1" si="247"/>
        <v>2</v>
      </c>
      <c r="BN558" s="236">
        <f t="shared" ca="1" si="248"/>
        <v>0</v>
      </c>
      <c r="BO558" s="236">
        <f t="shared" ca="1" si="243"/>
        <v>0</v>
      </c>
    </row>
    <row r="559" spans="41:67" x14ac:dyDescent="0.25">
      <c r="AO559" s="28">
        <f t="shared" si="227"/>
        <v>47</v>
      </c>
      <c r="AP559" s="28">
        <f t="shared" si="228"/>
        <v>2</v>
      </c>
      <c r="AQ559" s="65">
        <f t="shared" ca="1" si="244"/>
        <v>0</v>
      </c>
      <c r="AR559" s="66">
        <f t="shared" ca="1" si="229"/>
        <v>0</v>
      </c>
      <c r="AS559" s="66">
        <f t="shared" ca="1" si="230"/>
        <v>0</v>
      </c>
      <c r="AT559" s="66">
        <f t="shared" ca="1" si="231"/>
        <v>0</v>
      </c>
      <c r="AU559" s="66">
        <f t="shared" ca="1" si="232"/>
        <v>0</v>
      </c>
      <c r="AV559" s="68">
        <f t="shared" ca="1" si="250"/>
        <v>0</v>
      </c>
      <c r="AW559" s="65">
        <f t="shared" ca="1" si="233"/>
        <v>0</v>
      </c>
      <c r="AX559" s="69">
        <f t="shared" ca="1" si="234"/>
        <v>0</v>
      </c>
      <c r="AY559" s="70">
        <f t="shared" ca="1" si="235"/>
        <v>0</v>
      </c>
      <c r="AZ559" s="66">
        <f t="shared" ca="1" si="236"/>
        <v>0</v>
      </c>
      <c r="BA559" s="66">
        <f t="shared" ca="1" si="237"/>
        <v>0</v>
      </c>
      <c r="BB559" s="66">
        <f t="shared" ca="1" si="238"/>
        <v>0</v>
      </c>
      <c r="BC559" s="66">
        <f t="shared" ca="1" si="239"/>
        <v>0</v>
      </c>
      <c r="BD559" s="66">
        <f t="shared" ca="1" si="240"/>
        <v>0</v>
      </c>
      <c r="BE559" s="71">
        <f t="shared" ca="1" si="246"/>
        <v>0</v>
      </c>
      <c r="BF559" s="65">
        <f t="shared" ca="1" si="241"/>
        <v>0</v>
      </c>
      <c r="BG559" s="69">
        <f t="shared" ca="1" si="242"/>
        <v>0</v>
      </c>
      <c r="BH559" s="301">
        <f t="shared" ca="1" si="245"/>
        <v>0</v>
      </c>
      <c r="BI559" s="300">
        <f ca="1">IF(AO559&gt;TartamVálasztott,0,   (BI558+BH559)*(1+yields!$D$2)*(1-(0.0099/12)))</f>
        <v>0</v>
      </c>
      <c r="BJ559" s="300">
        <f ca="1">SUM(BH$6:BH559)*-1.2</f>
        <v>-862056.26733480149</v>
      </c>
      <c r="BK559" s="300">
        <f t="shared" ca="1" si="251"/>
        <v>-862056.26733480149</v>
      </c>
      <c r="BL559" s="28">
        <f t="shared" ca="1" si="249"/>
        <v>2063</v>
      </c>
      <c r="BM559" s="28">
        <f t="shared" ca="1" si="247"/>
        <v>3</v>
      </c>
      <c r="BN559" s="236">
        <f t="shared" ca="1" si="248"/>
        <v>0</v>
      </c>
      <c r="BO559" s="236">
        <f t="shared" ca="1" si="243"/>
        <v>0</v>
      </c>
    </row>
    <row r="560" spans="41:67" x14ac:dyDescent="0.25">
      <c r="AO560" s="28">
        <f t="shared" si="227"/>
        <v>47</v>
      </c>
      <c r="AP560" s="28">
        <f t="shared" si="228"/>
        <v>3</v>
      </c>
      <c r="AQ560" s="65">
        <f t="shared" ca="1" si="244"/>
        <v>0</v>
      </c>
      <c r="AR560" s="66">
        <f t="shared" ca="1" si="229"/>
        <v>0</v>
      </c>
      <c r="AS560" s="66">
        <f t="shared" ca="1" si="230"/>
        <v>0</v>
      </c>
      <c r="AT560" s="66">
        <f t="shared" ca="1" si="231"/>
        <v>0</v>
      </c>
      <c r="AU560" s="66">
        <f t="shared" ca="1" si="232"/>
        <v>0</v>
      </c>
      <c r="AV560" s="68">
        <f t="shared" ca="1" si="250"/>
        <v>0</v>
      </c>
      <c r="AW560" s="65">
        <f t="shared" ca="1" si="233"/>
        <v>0</v>
      </c>
      <c r="AX560" s="69">
        <f t="shared" ca="1" si="234"/>
        <v>0</v>
      </c>
      <c r="AY560" s="70">
        <f t="shared" ca="1" si="235"/>
        <v>0</v>
      </c>
      <c r="AZ560" s="66">
        <f t="shared" ca="1" si="236"/>
        <v>0</v>
      </c>
      <c r="BA560" s="66">
        <f t="shared" ca="1" si="237"/>
        <v>0</v>
      </c>
      <c r="BB560" s="66">
        <f t="shared" ca="1" si="238"/>
        <v>0</v>
      </c>
      <c r="BC560" s="66">
        <f t="shared" ca="1" si="239"/>
        <v>0</v>
      </c>
      <c r="BD560" s="66">
        <f t="shared" ca="1" si="240"/>
        <v>0</v>
      </c>
      <c r="BE560" s="71">
        <f t="shared" ca="1" si="246"/>
        <v>0</v>
      </c>
      <c r="BF560" s="65">
        <f t="shared" ca="1" si="241"/>
        <v>0</v>
      </c>
      <c r="BG560" s="69">
        <f t="shared" ca="1" si="242"/>
        <v>0</v>
      </c>
      <c r="BH560" s="301">
        <f t="shared" ca="1" si="245"/>
        <v>0</v>
      </c>
      <c r="BI560" s="300">
        <f ca="1">IF(AO560&gt;TartamVálasztott,0,   (BI559+BH560)*(1+yields!$D$2)*(1-(0.0099/12)))</f>
        <v>0</v>
      </c>
      <c r="BJ560" s="300">
        <f ca="1">SUM(BH$6:BH560)*-1.2</f>
        <v>-862056.26733480149</v>
      </c>
      <c r="BK560" s="300">
        <f t="shared" ca="1" si="251"/>
        <v>-862056.26733480149</v>
      </c>
      <c r="BL560" s="28">
        <f t="shared" ca="1" si="249"/>
        <v>2063</v>
      </c>
      <c r="BM560" s="28">
        <f t="shared" ca="1" si="247"/>
        <v>4</v>
      </c>
      <c r="BN560" s="236">
        <f t="shared" ca="1" si="248"/>
        <v>0</v>
      </c>
      <c r="BO560" s="236">
        <f t="shared" ca="1" si="243"/>
        <v>0</v>
      </c>
    </row>
    <row r="561" spans="41:67" x14ac:dyDescent="0.25">
      <c r="AO561" s="28">
        <f t="shared" si="227"/>
        <v>47</v>
      </c>
      <c r="AP561" s="28">
        <f t="shared" si="228"/>
        <v>4</v>
      </c>
      <c r="AQ561" s="65">
        <f t="shared" ca="1" si="244"/>
        <v>0</v>
      </c>
      <c r="AR561" s="66">
        <f t="shared" ca="1" si="229"/>
        <v>0</v>
      </c>
      <c r="AS561" s="66">
        <f t="shared" ca="1" si="230"/>
        <v>0</v>
      </c>
      <c r="AT561" s="66">
        <f t="shared" ca="1" si="231"/>
        <v>0</v>
      </c>
      <c r="AU561" s="66">
        <f t="shared" ca="1" si="232"/>
        <v>0</v>
      </c>
      <c r="AV561" s="68">
        <f t="shared" ca="1" si="250"/>
        <v>0</v>
      </c>
      <c r="AW561" s="65">
        <f t="shared" ca="1" si="233"/>
        <v>0</v>
      </c>
      <c r="AX561" s="69">
        <f t="shared" ca="1" si="234"/>
        <v>0</v>
      </c>
      <c r="AY561" s="70">
        <f t="shared" ca="1" si="235"/>
        <v>0</v>
      </c>
      <c r="AZ561" s="66">
        <f t="shared" ca="1" si="236"/>
        <v>0</v>
      </c>
      <c r="BA561" s="66">
        <f t="shared" ca="1" si="237"/>
        <v>0</v>
      </c>
      <c r="BB561" s="66">
        <f t="shared" ca="1" si="238"/>
        <v>0</v>
      </c>
      <c r="BC561" s="66">
        <f t="shared" ca="1" si="239"/>
        <v>0</v>
      </c>
      <c r="BD561" s="66">
        <f t="shared" ca="1" si="240"/>
        <v>0</v>
      </c>
      <c r="BE561" s="71">
        <f t="shared" ca="1" si="246"/>
        <v>0</v>
      </c>
      <c r="BF561" s="65">
        <f t="shared" ca="1" si="241"/>
        <v>0</v>
      </c>
      <c r="BG561" s="69">
        <f t="shared" ca="1" si="242"/>
        <v>0</v>
      </c>
      <c r="BH561" s="301">
        <f t="shared" ca="1" si="245"/>
        <v>0</v>
      </c>
      <c r="BI561" s="300">
        <f ca="1">IF(AO561&gt;TartamVálasztott,0,   (BI560+BH561)*(1+yields!$D$2)*(1-(0.0099/12)))</f>
        <v>0</v>
      </c>
      <c r="BJ561" s="300">
        <f ca="1">SUM(BH$6:BH561)*-1.2</f>
        <v>-862056.26733480149</v>
      </c>
      <c r="BK561" s="300">
        <f t="shared" ca="1" si="251"/>
        <v>-862056.26733480149</v>
      </c>
      <c r="BL561" s="28">
        <f t="shared" ca="1" si="249"/>
        <v>2063</v>
      </c>
      <c r="BM561" s="28">
        <f t="shared" ca="1" si="247"/>
        <v>5</v>
      </c>
      <c r="BN561" s="236">
        <f t="shared" ca="1" si="248"/>
        <v>0</v>
      </c>
      <c r="BO561" s="236">
        <f t="shared" ca="1" si="243"/>
        <v>0</v>
      </c>
    </row>
    <row r="562" spans="41:67" x14ac:dyDescent="0.25">
      <c r="AO562" s="28">
        <f t="shared" si="227"/>
        <v>47</v>
      </c>
      <c r="AP562" s="28">
        <f t="shared" si="228"/>
        <v>5</v>
      </c>
      <c r="AQ562" s="65">
        <f t="shared" ca="1" si="244"/>
        <v>0</v>
      </c>
      <c r="AR562" s="66">
        <f t="shared" ca="1" si="229"/>
        <v>0</v>
      </c>
      <c r="AS562" s="66">
        <f t="shared" ca="1" si="230"/>
        <v>0</v>
      </c>
      <c r="AT562" s="66">
        <f t="shared" ca="1" si="231"/>
        <v>0</v>
      </c>
      <c r="AU562" s="66">
        <f t="shared" ca="1" si="232"/>
        <v>0</v>
      </c>
      <c r="AV562" s="68">
        <f t="shared" ca="1" si="250"/>
        <v>0</v>
      </c>
      <c r="AW562" s="65">
        <f t="shared" ca="1" si="233"/>
        <v>0</v>
      </c>
      <c r="AX562" s="69">
        <f t="shared" ca="1" si="234"/>
        <v>0</v>
      </c>
      <c r="AY562" s="70">
        <f t="shared" ca="1" si="235"/>
        <v>0</v>
      </c>
      <c r="AZ562" s="66">
        <f t="shared" ca="1" si="236"/>
        <v>0</v>
      </c>
      <c r="BA562" s="66">
        <f t="shared" ca="1" si="237"/>
        <v>0</v>
      </c>
      <c r="BB562" s="66">
        <f t="shared" ca="1" si="238"/>
        <v>0</v>
      </c>
      <c r="BC562" s="66">
        <f t="shared" ca="1" si="239"/>
        <v>0</v>
      </c>
      <c r="BD562" s="66">
        <f t="shared" ca="1" si="240"/>
        <v>0</v>
      </c>
      <c r="BE562" s="71">
        <f t="shared" ca="1" si="246"/>
        <v>0</v>
      </c>
      <c r="BF562" s="65">
        <f t="shared" ca="1" si="241"/>
        <v>0</v>
      </c>
      <c r="BG562" s="69">
        <f t="shared" ca="1" si="242"/>
        <v>0</v>
      </c>
      <c r="BH562" s="301">
        <f t="shared" ca="1" si="245"/>
        <v>0</v>
      </c>
      <c r="BI562" s="300">
        <f ca="1">IF(AO562&gt;TartamVálasztott,0,   (BI561+BH562)*(1+yields!$D$2)*(1-(0.0099/12)))</f>
        <v>0</v>
      </c>
      <c r="BJ562" s="300">
        <f ca="1">SUM(BH$6:BH562)*-1.2</f>
        <v>-862056.26733480149</v>
      </c>
      <c r="BK562" s="300">
        <f t="shared" ca="1" si="251"/>
        <v>-862056.26733480149</v>
      </c>
      <c r="BL562" s="28">
        <f t="shared" ca="1" si="249"/>
        <v>2063</v>
      </c>
      <c r="BM562" s="28">
        <f t="shared" ca="1" si="247"/>
        <v>6</v>
      </c>
      <c r="BN562" s="236">
        <f t="shared" ca="1" si="248"/>
        <v>0</v>
      </c>
      <c r="BO562" s="236">
        <f t="shared" ca="1" si="243"/>
        <v>0</v>
      </c>
    </row>
    <row r="563" spans="41:67" x14ac:dyDescent="0.25">
      <c r="AO563" s="28">
        <f t="shared" si="227"/>
        <v>47</v>
      </c>
      <c r="AP563" s="28">
        <f t="shared" si="228"/>
        <v>6</v>
      </c>
      <c r="AQ563" s="65">
        <f t="shared" ca="1" si="244"/>
        <v>0</v>
      </c>
      <c r="AR563" s="66">
        <f t="shared" ca="1" si="229"/>
        <v>0</v>
      </c>
      <c r="AS563" s="66">
        <f t="shared" ca="1" si="230"/>
        <v>0</v>
      </c>
      <c r="AT563" s="66">
        <f t="shared" ca="1" si="231"/>
        <v>0</v>
      </c>
      <c r="AU563" s="66">
        <f t="shared" ca="1" si="232"/>
        <v>0</v>
      </c>
      <c r="AV563" s="68">
        <f t="shared" ca="1" si="250"/>
        <v>0</v>
      </c>
      <c r="AW563" s="65">
        <f t="shared" ca="1" si="233"/>
        <v>0</v>
      </c>
      <c r="AX563" s="69">
        <f t="shared" ca="1" si="234"/>
        <v>0</v>
      </c>
      <c r="AY563" s="70">
        <f t="shared" ca="1" si="235"/>
        <v>0</v>
      </c>
      <c r="AZ563" s="66">
        <f t="shared" ca="1" si="236"/>
        <v>0</v>
      </c>
      <c r="BA563" s="66">
        <f t="shared" ca="1" si="237"/>
        <v>0</v>
      </c>
      <c r="BB563" s="66">
        <f t="shared" ca="1" si="238"/>
        <v>0</v>
      </c>
      <c r="BC563" s="66">
        <f t="shared" ca="1" si="239"/>
        <v>0</v>
      </c>
      <c r="BD563" s="66">
        <f t="shared" ca="1" si="240"/>
        <v>0</v>
      </c>
      <c r="BE563" s="71">
        <f t="shared" ca="1" si="246"/>
        <v>0</v>
      </c>
      <c r="BF563" s="65">
        <f t="shared" ca="1" si="241"/>
        <v>0</v>
      </c>
      <c r="BG563" s="69">
        <f t="shared" ca="1" si="242"/>
        <v>0</v>
      </c>
      <c r="BH563" s="301">
        <f t="shared" ca="1" si="245"/>
        <v>0</v>
      </c>
      <c r="BI563" s="300">
        <f ca="1">IF(AO563&gt;TartamVálasztott,0,   (BI562+BH563)*(1+yields!$D$2)*(1-(0.0099/12)))</f>
        <v>0</v>
      </c>
      <c r="BJ563" s="300">
        <f ca="1">SUM(BH$6:BH563)*-1.2</f>
        <v>-862056.26733480149</v>
      </c>
      <c r="BK563" s="300">
        <f t="shared" ca="1" si="251"/>
        <v>-862056.26733480149</v>
      </c>
      <c r="BL563" s="28">
        <f t="shared" ca="1" si="249"/>
        <v>2063</v>
      </c>
      <c r="BM563" s="28">
        <f t="shared" ca="1" si="247"/>
        <v>7</v>
      </c>
      <c r="BN563" s="236">
        <f t="shared" ca="1" si="248"/>
        <v>0</v>
      </c>
      <c r="BO563" s="236">
        <f t="shared" ca="1" si="243"/>
        <v>0</v>
      </c>
    </row>
    <row r="564" spans="41:67" x14ac:dyDescent="0.25">
      <c r="AO564" s="28">
        <f t="shared" si="227"/>
        <v>47</v>
      </c>
      <c r="AP564" s="28">
        <f t="shared" si="228"/>
        <v>7</v>
      </c>
      <c r="AQ564" s="65">
        <f t="shared" ca="1" si="244"/>
        <v>0</v>
      </c>
      <c r="AR564" s="66">
        <f t="shared" ca="1" si="229"/>
        <v>0</v>
      </c>
      <c r="AS564" s="66">
        <f t="shared" ca="1" si="230"/>
        <v>0</v>
      </c>
      <c r="AT564" s="66">
        <f t="shared" ca="1" si="231"/>
        <v>0</v>
      </c>
      <c r="AU564" s="66">
        <f t="shared" ca="1" si="232"/>
        <v>0</v>
      </c>
      <c r="AV564" s="68">
        <f t="shared" ca="1" si="250"/>
        <v>0</v>
      </c>
      <c r="AW564" s="65">
        <f t="shared" ca="1" si="233"/>
        <v>0</v>
      </c>
      <c r="AX564" s="69">
        <f t="shared" ca="1" si="234"/>
        <v>0</v>
      </c>
      <c r="AY564" s="70">
        <f t="shared" ca="1" si="235"/>
        <v>0</v>
      </c>
      <c r="AZ564" s="66">
        <f t="shared" ca="1" si="236"/>
        <v>0</v>
      </c>
      <c r="BA564" s="66">
        <f t="shared" ca="1" si="237"/>
        <v>0</v>
      </c>
      <c r="BB564" s="66">
        <f t="shared" ca="1" si="238"/>
        <v>0</v>
      </c>
      <c r="BC564" s="66">
        <f t="shared" ca="1" si="239"/>
        <v>0</v>
      </c>
      <c r="BD564" s="66">
        <f t="shared" ca="1" si="240"/>
        <v>0</v>
      </c>
      <c r="BE564" s="71">
        <f t="shared" ca="1" si="246"/>
        <v>0</v>
      </c>
      <c r="BF564" s="65">
        <f t="shared" ca="1" si="241"/>
        <v>0</v>
      </c>
      <c r="BG564" s="69">
        <f t="shared" ca="1" si="242"/>
        <v>0</v>
      </c>
      <c r="BH564" s="301">
        <f t="shared" ca="1" si="245"/>
        <v>0</v>
      </c>
      <c r="BI564" s="300">
        <f ca="1">IF(AO564&gt;TartamVálasztott,0,   (BI563+BH564)*(1+yields!$D$2)*(1-(0.0099/12)))</f>
        <v>0</v>
      </c>
      <c r="BJ564" s="300">
        <f ca="1">SUM(BH$6:BH564)*-1.2</f>
        <v>-862056.26733480149</v>
      </c>
      <c r="BK564" s="300">
        <f t="shared" ca="1" si="251"/>
        <v>-862056.26733480149</v>
      </c>
      <c r="BL564" s="28">
        <f t="shared" ca="1" si="249"/>
        <v>2063</v>
      </c>
      <c r="BM564" s="28">
        <f t="shared" ca="1" si="247"/>
        <v>8</v>
      </c>
      <c r="BN564" s="236">
        <f t="shared" ca="1" si="248"/>
        <v>0</v>
      </c>
      <c r="BO564" s="236">
        <f t="shared" ca="1" si="243"/>
        <v>0</v>
      </c>
    </row>
    <row r="565" spans="41:67" x14ac:dyDescent="0.25">
      <c r="AO565" s="28">
        <f t="shared" si="227"/>
        <v>47</v>
      </c>
      <c r="AP565" s="28">
        <f t="shared" si="228"/>
        <v>8</v>
      </c>
      <c r="AQ565" s="65">
        <f t="shared" ca="1" si="244"/>
        <v>0</v>
      </c>
      <c r="AR565" s="66">
        <f t="shared" ca="1" si="229"/>
        <v>0</v>
      </c>
      <c r="AS565" s="66">
        <f t="shared" ca="1" si="230"/>
        <v>0</v>
      </c>
      <c r="AT565" s="66">
        <f t="shared" ca="1" si="231"/>
        <v>0</v>
      </c>
      <c r="AU565" s="66">
        <f t="shared" ca="1" si="232"/>
        <v>0</v>
      </c>
      <c r="AV565" s="68">
        <f t="shared" ca="1" si="250"/>
        <v>0</v>
      </c>
      <c r="AW565" s="65">
        <f t="shared" ca="1" si="233"/>
        <v>0</v>
      </c>
      <c r="AX565" s="69">
        <f t="shared" ca="1" si="234"/>
        <v>0</v>
      </c>
      <c r="AY565" s="70">
        <f t="shared" ca="1" si="235"/>
        <v>0</v>
      </c>
      <c r="AZ565" s="66">
        <f t="shared" ca="1" si="236"/>
        <v>0</v>
      </c>
      <c r="BA565" s="66">
        <f t="shared" ca="1" si="237"/>
        <v>0</v>
      </c>
      <c r="BB565" s="66">
        <f t="shared" ca="1" si="238"/>
        <v>0</v>
      </c>
      <c r="BC565" s="66">
        <f t="shared" ca="1" si="239"/>
        <v>0</v>
      </c>
      <c r="BD565" s="66">
        <f t="shared" ca="1" si="240"/>
        <v>0</v>
      </c>
      <c r="BE565" s="71">
        <f t="shared" ca="1" si="246"/>
        <v>0</v>
      </c>
      <c r="BF565" s="65">
        <f t="shared" ca="1" si="241"/>
        <v>0</v>
      </c>
      <c r="BG565" s="69">
        <f t="shared" ca="1" si="242"/>
        <v>0</v>
      </c>
      <c r="BH565" s="301">
        <f t="shared" ca="1" si="245"/>
        <v>0</v>
      </c>
      <c r="BI565" s="300">
        <f ca="1">IF(AO565&gt;TartamVálasztott,0,   (BI564+BH565)*(1+yields!$D$2)*(1-(0.0099/12)))</f>
        <v>0</v>
      </c>
      <c r="BJ565" s="300">
        <f ca="1">SUM(BH$6:BH565)*-1.2</f>
        <v>-862056.26733480149</v>
      </c>
      <c r="BK565" s="300">
        <f t="shared" ca="1" si="251"/>
        <v>-862056.26733480149</v>
      </c>
      <c r="BL565" s="28">
        <f t="shared" ca="1" si="249"/>
        <v>2063</v>
      </c>
      <c r="BM565" s="28">
        <f t="shared" ca="1" si="247"/>
        <v>9</v>
      </c>
      <c r="BN565" s="236">
        <f t="shared" ca="1" si="248"/>
        <v>0</v>
      </c>
      <c r="BO565" s="236">
        <f t="shared" ca="1" si="243"/>
        <v>0</v>
      </c>
    </row>
    <row r="566" spans="41:67" x14ac:dyDescent="0.25">
      <c r="AO566" s="28">
        <f t="shared" si="227"/>
        <v>47</v>
      </c>
      <c r="AP566" s="28">
        <f t="shared" si="228"/>
        <v>9</v>
      </c>
      <c r="AQ566" s="65">
        <f t="shared" ca="1" si="244"/>
        <v>0</v>
      </c>
      <c r="AR566" s="66">
        <f t="shared" ca="1" si="229"/>
        <v>0</v>
      </c>
      <c r="AS566" s="66">
        <f t="shared" ca="1" si="230"/>
        <v>0</v>
      </c>
      <c r="AT566" s="66">
        <f t="shared" ca="1" si="231"/>
        <v>0</v>
      </c>
      <c r="AU566" s="66">
        <f t="shared" ca="1" si="232"/>
        <v>0</v>
      </c>
      <c r="AV566" s="68">
        <f t="shared" ca="1" si="250"/>
        <v>0</v>
      </c>
      <c r="AW566" s="65">
        <f t="shared" ca="1" si="233"/>
        <v>0</v>
      </c>
      <c r="AX566" s="69">
        <f t="shared" ca="1" si="234"/>
        <v>0</v>
      </c>
      <c r="AY566" s="70">
        <f t="shared" ca="1" si="235"/>
        <v>0</v>
      </c>
      <c r="AZ566" s="66">
        <f t="shared" ca="1" si="236"/>
        <v>0</v>
      </c>
      <c r="BA566" s="66">
        <f t="shared" ca="1" si="237"/>
        <v>0</v>
      </c>
      <c r="BB566" s="66">
        <f t="shared" ca="1" si="238"/>
        <v>0</v>
      </c>
      <c r="BC566" s="66">
        <f t="shared" ca="1" si="239"/>
        <v>0</v>
      </c>
      <c r="BD566" s="66">
        <f t="shared" ca="1" si="240"/>
        <v>0</v>
      </c>
      <c r="BE566" s="71">
        <f t="shared" ca="1" si="246"/>
        <v>0</v>
      </c>
      <c r="BF566" s="65">
        <f t="shared" ca="1" si="241"/>
        <v>0</v>
      </c>
      <c r="BG566" s="69">
        <f t="shared" ca="1" si="242"/>
        <v>0</v>
      </c>
      <c r="BH566" s="301">
        <f t="shared" ca="1" si="245"/>
        <v>0</v>
      </c>
      <c r="BI566" s="300">
        <f ca="1">IF(AO566&gt;TartamVálasztott,0,   (BI565+BH566)*(1+yields!$D$2)*(1-(0.0099/12)))</f>
        <v>0</v>
      </c>
      <c r="BJ566" s="300">
        <f ca="1">SUM(BH$6:BH566)*-1.2</f>
        <v>-862056.26733480149</v>
      </c>
      <c r="BK566" s="300">
        <f t="shared" ca="1" si="251"/>
        <v>-862056.26733480149</v>
      </c>
      <c r="BL566" s="28">
        <f t="shared" ca="1" si="249"/>
        <v>2063</v>
      </c>
      <c r="BM566" s="28">
        <f t="shared" ca="1" si="247"/>
        <v>10</v>
      </c>
      <c r="BN566" s="236">
        <f t="shared" ca="1" si="248"/>
        <v>0</v>
      </c>
      <c r="BO566" s="236">
        <f t="shared" ca="1" si="243"/>
        <v>0</v>
      </c>
    </row>
    <row r="567" spans="41:67" x14ac:dyDescent="0.25">
      <c r="AO567" s="28">
        <f t="shared" si="227"/>
        <v>47</v>
      </c>
      <c r="AP567" s="28">
        <f t="shared" si="228"/>
        <v>10</v>
      </c>
      <c r="AQ567" s="65">
        <f t="shared" ca="1" si="244"/>
        <v>0</v>
      </c>
      <c r="AR567" s="66">
        <f t="shared" ca="1" si="229"/>
        <v>0</v>
      </c>
      <c r="AS567" s="66">
        <f t="shared" ca="1" si="230"/>
        <v>0</v>
      </c>
      <c r="AT567" s="66">
        <f t="shared" ca="1" si="231"/>
        <v>0</v>
      </c>
      <c r="AU567" s="66">
        <f t="shared" ca="1" si="232"/>
        <v>0</v>
      </c>
      <c r="AV567" s="68">
        <f t="shared" ca="1" si="250"/>
        <v>0</v>
      </c>
      <c r="AW567" s="65">
        <f t="shared" ca="1" si="233"/>
        <v>0</v>
      </c>
      <c r="AX567" s="69">
        <f t="shared" ca="1" si="234"/>
        <v>0</v>
      </c>
      <c r="AY567" s="70">
        <f t="shared" ca="1" si="235"/>
        <v>0</v>
      </c>
      <c r="AZ567" s="66">
        <f t="shared" ca="1" si="236"/>
        <v>0</v>
      </c>
      <c r="BA567" s="66">
        <f t="shared" ca="1" si="237"/>
        <v>0</v>
      </c>
      <c r="BB567" s="66">
        <f t="shared" ca="1" si="238"/>
        <v>0</v>
      </c>
      <c r="BC567" s="66">
        <f t="shared" ca="1" si="239"/>
        <v>0</v>
      </c>
      <c r="BD567" s="66">
        <f t="shared" ca="1" si="240"/>
        <v>0</v>
      </c>
      <c r="BE567" s="71">
        <f t="shared" ca="1" si="246"/>
        <v>0</v>
      </c>
      <c r="BF567" s="65">
        <f t="shared" ca="1" si="241"/>
        <v>0</v>
      </c>
      <c r="BG567" s="69">
        <f t="shared" ca="1" si="242"/>
        <v>0</v>
      </c>
      <c r="BH567" s="301">
        <f t="shared" ca="1" si="245"/>
        <v>0</v>
      </c>
      <c r="BI567" s="300">
        <f ca="1">IF(AO567&gt;TartamVálasztott,0,   (BI566+BH567)*(1+yields!$D$2)*(1-(0.0099/12)))</f>
        <v>0</v>
      </c>
      <c r="BJ567" s="300">
        <f ca="1">SUM(BH$6:BH567)*-1.2</f>
        <v>-862056.26733480149</v>
      </c>
      <c r="BK567" s="300">
        <f t="shared" ca="1" si="251"/>
        <v>-862056.26733480149</v>
      </c>
      <c r="BL567" s="28">
        <f t="shared" ca="1" si="249"/>
        <v>2063</v>
      </c>
      <c r="BM567" s="28">
        <f t="shared" ca="1" si="247"/>
        <v>11</v>
      </c>
      <c r="BN567" s="236">
        <f t="shared" ca="1" si="248"/>
        <v>0</v>
      </c>
      <c r="BO567" s="236">
        <f t="shared" ca="1" si="243"/>
        <v>0</v>
      </c>
    </row>
    <row r="568" spans="41:67" x14ac:dyDescent="0.25">
      <c r="AO568" s="28">
        <f t="shared" si="227"/>
        <v>47</v>
      </c>
      <c r="AP568" s="28">
        <f t="shared" si="228"/>
        <v>11</v>
      </c>
      <c r="AQ568" s="65">
        <f t="shared" ca="1" si="244"/>
        <v>0</v>
      </c>
      <c r="AR568" s="66">
        <f t="shared" ca="1" si="229"/>
        <v>0</v>
      </c>
      <c r="AS568" s="66">
        <f t="shared" ca="1" si="230"/>
        <v>0</v>
      </c>
      <c r="AT568" s="66">
        <f t="shared" ca="1" si="231"/>
        <v>0</v>
      </c>
      <c r="AU568" s="66">
        <f t="shared" ca="1" si="232"/>
        <v>0</v>
      </c>
      <c r="AV568" s="68">
        <f t="shared" ca="1" si="250"/>
        <v>0</v>
      </c>
      <c r="AW568" s="65">
        <f t="shared" ca="1" si="233"/>
        <v>0</v>
      </c>
      <c r="AX568" s="69">
        <f t="shared" ca="1" si="234"/>
        <v>0</v>
      </c>
      <c r="AY568" s="70">
        <f t="shared" ca="1" si="235"/>
        <v>0</v>
      </c>
      <c r="AZ568" s="66">
        <f t="shared" ca="1" si="236"/>
        <v>0</v>
      </c>
      <c r="BA568" s="66">
        <f t="shared" ca="1" si="237"/>
        <v>0</v>
      </c>
      <c r="BB568" s="66">
        <f t="shared" ca="1" si="238"/>
        <v>0</v>
      </c>
      <c r="BC568" s="66">
        <f t="shared" ca="1" si="239"/>
        <v>0</v>
      </c>
      <c r="BD568" s="66">
        <f t="shared" ca="1" si="240"/>
        <v>0</v>
      </c>
      <c r="BE568" s="71">
        <f t="shared" ca="1" si="246"/>
        <v>0</v>
      </c>
      <c r="BF568" s="65">
        <f t="shared" ca="1" si="241"/>
        <v>0</v>
      </c>
      <c r="BG568" s="69">
        <f t="shared" ca="1" si="242"/>
        <v>0</v>
      </c>
      <c r="BH568" s="301">
        <f t="shared" ca="1" si="245"/>
        <v>0</v>
      </c>
      <c r="BI568" s="300">
        <f ca="1">IF(AO568&gt;TartamVálasztott,0,   (BI567+BH568)*(1+yields!$D$2)*(1-(0.0099/12)))</f>
        <v>0</v>
      </c>
      <c r="BJ568" s="300">
        <f ca="1">SUM(BH$6:BH568)*-1.2</f>
        <v>-862056.26733480149</v>
      </c>
      <c r="BK568" s="300">
        <f t="shared" ca="1" si="251"/>
        <v>-862056.26733480149</v>
      </c>
      <c r="BL568" s="28">
        <f t="shared" ca="1" si="249"/>
        <v>2063</v>
      </c>
      <c r="BM568" s="28">
        <f t="shared" ca="1" si="247"/>
        <v>12</v>
      </c>
      <c r="BN568" s="236">
        <f t="shared" ca="1" si="248"/>
        <v>0</v>
      </c>
      <c r="BO568" s="236">
        <f t="shared" ca="1" si="243"/>
        <v>0</v>
      </c>
    </row>
    <row r="569" spans="41:67" x14ac:dyDescent="0.25">
      <c r="AO569" s="28">
        <f t="shared" si="227"/>
        <v>47</v>
      </c>
      <c r="AP569" s="28">
        <f t="shared" si="228"/>
        <v>12</v>
      </c>
      <c r="AQ569" s="65">
        <f t="shared" ca="1" si="244"/>
        <v>0</v>
      </c>
      <c r="AR569" s="66">
        <f t="shared" ca="1" si="229"/>
        <v>0</v>
      </c>
      <c r="AS569" s="66">
        <f t="shared" ca="1" si="230"/>
        <v>0</v>
      </c>
      <c r="AT569" s="66">
        <f t="shared" ca="1" si="231"/>
        <v>0</v>
      </c>
      <c r="AU569" s="66">
        <f t="shared" ca="1" si="232"/>
        <v>0</v>
      </c>
      <c r="AV569" s="68">
        <f t="shared" ca="1" si="250"/>
        <v>0</v>
      </c>
      <c r="AW569" s="65">
        <f t="shared" ca="1" si="233"/>
        <v>0</v>
      </c>
      <c r="AX569" s="69">
        <f t="shared" ca="1" si="234"/>
        <v>0</v>
      </c>
      <c r="AY569" s="70">
        <f t="shared" ca="1" si="235"/>
        <v>0</v>
      </c>
      <c r="AZ569" s="66">
        <f t="shared" ca="1" si="236"/>
        <v>0</v>
      </c>
      <c r="BA569" s="66">
        <f t="shared" ca="1" si="237"/>
        <v>0</v>
      </c>
      <c r="BB569" s="66">
        <f t="shared" ca="1" si="238"/>
        <v>0</v>
      </c>
      <c r="BC569" s="66">
        <f t="shared" ca="1" si="239"/>
        <v>0</v>
      </c>
      <c r="BD569" s="66">
        <f t="shared" ca="1" si="240"/>
        <v>0</v>
      </c>
      <c r="BE569" s="71">
        <f t="shared" ca="1" si="246"/>
        <v>0</v>
      </c>
      <c r="BF569" s="65">
        <f t="shared" ca="1" si="241"/>
        <v>0</v>
      </c>
      <c r="BG569" s="69">
        <f t="shared" ca="1" si="242"/>
        <v>0</v>
      </c>
      <c r="BH569" s="301">
        <f t="shared" ca="1" si="245"/>
        <v>0</v>
      </c>
      <c r="BI569" s="300">
        <f ca="1">IF(AO569&gt;TartamVálasztott,0,   (BI568+BH569)*(1+yields!$D$2)*(1-(0.0099/12)))</f>
        <v>0</v>
      </c>
      <c r="BJ569" s="300">
        <f ca="1">SUM(BH$6:BH569)*-1.2</f>
        <v>-862056.26733480149</v>
      </c>
      <c r="BK569" s="300">
        <f t="shared" ca="1" si="251"/>
        <v>-862056.26733480149</v>
      </c>
      <c r="BL569" s="28">
        <f t="shared" ca="1" si="249"/>
        <v>2064</v>
      </c>
      <c r="BM569" s="28">
        <f t="shared" ca="1" si="247"/>
        <v>1</v>
      </c>
      <c r="BN569" s="236">
        <f t="shared" ca="1" si="248"/>
        <v>0</v>
      </c>
      <c r="BO569" s="236">
        <f t="shared" ca="1" si="243"/>
        <v>0</v>
      </c>
    </row>
  </sheetData>
  <conditionalFormatting sqref="AO1:BK4 AO5:BG5 AO6:BK1048576">
    <cfRule type="expression" dxfId="26" priority="4">
      <formula>$AP1=12</formula>
    </cfRule>
  </conditionalFormatting>
  <conditionalFormatting sqref="BH5:BK5">
    <cfRule type="expression" dxfId="25" priority="3">
      <formula>$AP4=12</formula>
    </cfRule>
  </conditionalFormatting>
  <conditionalFormatting sqref="BL6:BM569">
    <cfRule type="expression" dxfId="24" priority="2">
      <formula>$BL6&lt;&gt;$BL5</formula>
    </cfRule>
  </conditionalFormatting>
  <conditionalFormatting sqref="BN6:BO569">
    <cfRule type="expression" dxfId="23" priority="1">
      <formula>$BL6&lt;&gt;$BL5</formula>
    </cfRule>
  </conditionalFormatting>
  <dataValidations count="2">
    <dataValidation type="whole" allowBlank="1" showInputMessage="1" showErrorMessage="1" sqref="B17">
      <formula1>1</formula1>
      <formula2>17</formula2>
    </dataValidation>
    <dataValidation type="whole" allowBlank="1" showInputMessage="1" showErrorMessage="1" sqref="B16">
      <formula1>4</formula1>
      <formula2>20</formula2>
    </dataValidation>
  </dataValidations>
  <pageMargins left="0.7" right="0.7" top="0.75" bottom="0.75" header="0.3" footer="0.3"/>
  <pageSetup paperSize="9" orientation="portrait" horizont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7030A0"/>
  </sheetPr>
  <dimension ref="A1:AH75"/>
  <sheetViews>
    <sheetView topLeftCell="A43" zoomScale="90" zoomScaleNormal="90" workbookViewId="0">
      <selection activeCell="C36" sqref="C36"/>
    </sheetView>
  </sheetViews>
  <sheetFormatPr defaultRowHeight="15" x14ac:dyDescent="0.25"/>
  <cols>
    <col min="1" max="1" width="11.85546875" style="23" customWidth="1"/>
    <col min="2" max="2" width="7.42578125" style="23" bestFit="1" customWidth="1"/>
    <col min="3" max="3" width="47" style="23" customWidth="1"/>
    <col min="4" max="12" width="7.42578125" style="23" bestFit="1" customWidth="1"/>
    <col min="13" max="14" width="8.5703125" style="23" bestFit="1" customWidth="1"/>
    <col min="15" max="15" width="2.5703125" style="23" customWidth="1"/>
    <col min="16" max="16" width="20.42578125" style="23" customWidth="1"/>
    <col min="17" max="17" width="33.7109375" style="23" customWidth="1"/>
    <col min="18" max="18" width="2.140625" style="23" customWidth="1"/>
    <col min="19" max="19" width="57.42578125" style="23" customWidth="1"/>
    <col min="20" max="20" width="15.140625" style="23" customWidth="1"/>
    <col min="21" max="22" width="2.28515625" style="23" customWidth="1"/>
    <col min="23" max="23" width="29.7109375" style="23" customWidth="1"/>
    <col min="24" max="16384" width="9.140625" style="23"/>
  </cols>
  <sheetData>
    <row r="1" spans="1:34" ht="15.75" thickBot="1" x14ac:dyDescent="0.3"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34" ht="19.5" thickBot="1" x14ac:dyDescent="0.3">
      <c r="A2" s="457"/>
      <c r="B2" s="149"/>
      <c r="C2" s="150"/>
      <c r="D2" s="708" t="s">
        <v>9</v>
      </c>
      <c r="E2" s="709"/>
      <c r="F2" s="709"/>
      <c r="G2" s="709"/>
      <c r="H2" s="709"/>
      <c r="I2" s="709"/>
      <c r="J2" s="709"/>
      <c r="K2" s="709"/>
      <c r="L2" s="709"/>
      <c r="M2" s="709"/>
      <c r="N2" s="710"/>
      <c r="P2" s="151"/>
      <c r="Q2" s="152"/>
      <c r="S2" s="711"/>
      <c r="T2" s="712"/>
      <c r="W2" s="153"/>
      <c r="X2" s="708"/>
      <c r="Y2" s="709"/>
      <c r="Z2" s="709"/>
      <c r="AA2" s="709"/>
      <c r="AB2" s="709"/>
      <c r="AC2" s="709"/>
      <c r="AD2" s="709"/>
      <c r="AE2" s="709"/>
      <c r="AF2" s="709"/>
      <c r="AG2" s="709"/>
      <c r="AH2" s="710"/>
    </row>
    <row r="3" spans="1:34" ht="15.75" thickBot="1" x14ac:dyDescent="0.3">
      <c r="B3" s="154"/>
      <c r="C3" s="659" t="s">
        <v>196</v>
      </c>
      <c r="D3" s="660">
        <v>10</v>
      </c>
      <c r="E3" s="661">
        <v>11</v>
      </c>
      <c r="F3" s="661">
        <v>12</v>
      </c>
      <c r="G3" s="661">
        <v>13</v>
      </c>
      <c r="H3" s="661">
        <v>14</v>
      </c>
      <c r="I3" s="661">
        <v>15</v>
      </c>
      <c r="J3" s="661">
        <v>16</v>
      </c>
      <c r="K3" s="661">
        <v>17</v>
      </c>
      <c r="L3" s="661">
        <v>18</v>
      </c>
      <c r="M3" s="661">
        <v>19</v>
      </c>
      <c r="N3" s="662">
        <v>20</v>
      </c>
      <c r="P3" s="159"/>
      <c r="Q3" s="160"/>
      <c r="S3" s="161"/>
      <c r="T3" s="162"/>
      <c r="W3" s="155"/>
      <c r="X3" s="156"/>
      <c r="Y3" s="157"/>
      <c r="Z3" s="157"/>
      <c r="AA3" s="157"/>
      <c r="AB3" s="157"/>
      <c r="AC3" s="157"/>
      <c r="AD3" s="157"/>
      <c r="AE3" s="157"/>
      <c r="AF3" s="157"/>
      <c r="AG3" s="157"/>
      <c r="AH3" s="158"/>
    </row>
    <row r="4" spans="1:34" x14ac:dyDescent="0.25">
      <c r="B4" s="154"/>
      <c r="C4" s="163"/>
      <c r="D4" s="164"/>
      <c r="E4" s="165"/>
      <c r="F4" s="165"/>
      <c r="G4" s="165"/>
      <c r="H4" s="165"/>
      <c r="I4" s="165"/>
      <c r="J4" s="165"/>
      <c r="K4" s="165"/>
      <c r="L4" s="165"/>
      <c r="M4" s="165"/>
      <c r="N4" s="166"/>
      <c r="P4" s="159"/>
      <c r="Q4" s="160"/>
      <c r="S4" s="161"/>
      <c r="T4" s="167"/>
      <c r="W4" s="168"/>
      <c r="X4" s="169"/>
      <c r="Y4" s="170"/>
      <c r="Z4" s="170"/>
      <c r="AA4" s="170"/>
      <c r="AB4" s="170"/>
      <c r="AC4" s="170"/>
      <c r="AD4" s="170"/>
      <c r="AE4" s="170"/>
      <c r="AF4" s="170"/>
      <c r="AG4" s="170"/>
      <c r="AH4" s="171"/>
    </row>
    <row r="5" spans="1:34" x14ac:dyDescent="0.25">
      <c r="B5" s="154"/>
      <c r="C5" s="172"/>
      <c r="D5" s="173"/>
      <c r="E5" s="174"/>
      <c r="F5" s="174"/>
      <c r="G5" s="174"/>
      <c r="H5" s="174"/>
      <c r="I5" s="174"/>
      <c r="J5" s="174"/>
      <c r="K5" s="174"/>
      <c r="L5" s="174"/>
      <c r="M5" s="174"/>
      <c r="N5" s="175"/>
      <c r="P5" s="176"/>
      <c r="Q5" s="160"/>
      <c r="S5" s="161"/>
      <c r="T5" s="167"/>
      <c r="W5" s="168"/>
      <c r="X5" s="169"/>
      <c r="Y5" s="170"/>
      <c r="Z5" s="170"/>
      <c r="AA5" s="170"/>
      <c r="AB5" s="170"/>
      <c r="AC5" s="170"/>
      <c r="AD5" s="170"/>
      <c r="AE5" s="170"/>
      <c r="AF5" s="170"/>
      <c r="AG5" s="170"/>
      <c r="AH5" s="171"/>
    </row>
    <row r="6" spans="1:34" ht="15.75" thickBot="1" x14ac:dyDescent="0.3">
      <c r="B6" s="154"/>
      <c r="C6" s="177"/>
      <c r="D6" s="178"/>
      <c r="E6" s="179"/>
      <c r="F6" s="179"/>
      <c r="G6" s="179"/>
      <c r="H6" s="179"/>
      <c r="I6" s="179"/>
      <c r="J6" s="179"/>
      <c r="K6" s="179"/>
      <c r="L6" s="179"/>
      <c r="M6" s="179"/>
      <c r="N6" s="180"/>
      <c r="P6" s="176"/>
      <c r="Q6" s="160"/>
      <c r="S6" s="181"/>
      <c r="T6" s="182"/>
      <c r="W6" s="183"/>
      <c r="X6" s="184"/>
      <c r="Y6" s="185"/>
      <c r="Z6" s="185"/>
      <c r="AA6" s="185"/>
      <c r="AB6" s="185"/>
      <c r="AC6" s="185"/>
      <c r="AD6" s="185"/>
      <c r="AE6" s="185"/>
      <c r="AF6" s="185"/>
      <c r="AG6" s="185"/>
      <c r="AH6" s="186"/>
    </row>
    <row r="7" spans="1:34" x14ac:dyDescent="0.25">
      <c r="B7" s="154"/>
      <c r="C7" s="187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90"/>
      <c r="P7" s="176"/>
      <c r="Q7" s="160"/>
      <c r="W7" s="191"/>
      <c r="X7" s="192"/>
      <c r="Y7" s="193"/>
      <c r="Z7" s="193"/>
      <c r="AA7" s="193"/>
      <c r="AB7" s="193"/>
      <c r="AC7" s="193"/>
      <c r="AD7" s="193"/>
      <c r="AE7" s="193"/>
      <c r="AF7" s="193"/>
      <c r="AG7" s="193"/>
      <c r="AH7" s="194"/>
    </row>
    <row r="8" spans="1:34" x14ac:dyDescent="0.25">
      <c r="B8" s="154"/>
      <c r="C8" s="187"/>
      <c r="D8" s="195"/>
      <c r="E8" s="196"/>
      <c r="F8" s="196"/>
      <c r="G8" s="196"/>
      <c r="H8" s="196"/>
      <c r="I8" s="196"/>
      <c r="J8" s="196"/>
      <c r="K8" s="196"/>
      <c r="L8" s="196"/>
      <c r="M8" s="196"/>
      <c r="N8" s="197"/>
      <c r="P8" s="176"/>
      <c r="Q8" s="160"/>
      <c r="W8" s="198"/>
      <c r="X8" s="199"/>
      <c r="Y8" s="200"/>
      <c r="Z8" s="200"/>
      <c r="AA8" s="200"/>
      <c r="AB8" s="200"/>
      <c r="AC8" s="200"/>
      <c r="AD8" s="200"/>
      <c r="AE8" s="200"/>
      <c r="AF8" s="200"/>
      <c r="AG8" s="200"/>
      <c r="AH8" s="201"/>
    </row>
    <row r="9" spans="1:34" ht="15.75" thickBot="1" x14ac:dyDescent="0.3">
      <c r="B9" s="154"/>
      <c r="C9" s="202"/>
      <c r="D9" s="203"/>
      <c r="E9" s="204"/>
      <c r="F9" s="204"/>
      <c r="G9" s="204"/>
      <c r="H9" s="204"/>
      <c r="I9" s="204"/>
      <c r="J9" s="204"/>
      <c r="K9" s="204"/>
      <c r="L9" s="204"/>
      <c r="M9" s="204"/>
      <c r="N9" s="205"/>
      <c r="P9" s="206"/>
      <c r="Q9" s="207"/>
      <c r="W9" s="202"/>
      <c r="X9" s="208"/>
      <c r="Y9" s="209"/>
      <c r="Z9" s="209"/>
      <c r="AA9" s="209"/>
      <c r="AB9" s="209"/>
      <c r="AC9" s="209"/>
      <c r="AD9" s="209"/>
      <c r="AE9" s="209"/>
      <c r="AF9" s="209"/>
      <c r="AG9" s="209"/>
      <c r="AH9" s="210"/>
    </row>
    <row r="10" spans="1:34" x14ac:dyDescent="0.25">
      <c r="B10" s="154"/>
      <c r="C10" s="202"/>
      <c r="D10" s="203"/>
      <c r="E10" s="204"/>
      <c r="F10" s="204"/>
      <c r="G10" s="204"/>
      <c r="H10" s="204"/>
      <c r="I10" s="204"/>
      <c r="J10" s="204"/>
      <c r="K10" s="204"/>
      <c r="L10" s="204"/>
      <c r="M10" s="204"/>
      <c r="N10" s="205"/>
      <c r="W10" s="202"/>
      <c r="X10" s="208"/>
      <c r="Y10" s="209"/>
      <c r="Z10" s="209"/>
      <c r="AA10" s="209"/>
      <c r="AB10" s="209"/>
      <c r="AC10" s="209"/>
      <c r="AD10" s="209"/>
      <c r="AE10" s="209"/>
      <c r="AF10" s="209"/>
      <c r="AG10" s="209"/>
      <c r="AH10" s="210"/>
    </row>
    <row r="11" spans="1:34" x14ac:dyDescent="0.25">
      <c r="B11" s="154"/>
      <c r="C11" s="202"/>
      <c r="D11" s="203"/>
      <c r="E11" s="204"/>
      <c r="F11" s="204"/>
      <c r="G11" s="204"/>
      <c r="H11" s="204"/>
      <c r="I11" s="204"/>
      <c r="J11" s="204"/>
      <c r="K11" s="204"/>
      <c r="L11" s="204"/>
      <c r="M11" s="204"/>
      <c r="N11" s="205"/>
      <c r="W11" s="202"/>
      <c r="X11" s="208"/>
      <c r="Y11" s="209"/>
      <c r="Z11" s="209"/>
      <c r="AA11" s="209"/>
      <c r="AB11" s="209"/>
      <c r="AC11" s="209"/>
      <c r="AD11" s="209"/>
      <c r="AE11" s="209"/>
      <c r="AF11" s="209"/>
      <c r="AG11" s="209"/>
      <c r="AH11" s="210"/>
    </row>
    <row r="12" spans="1:34" x14ac:dyDescent="0.25">
      <c r="B12" s="154"/>
      <c r="C12" s="202"/>
      <c r="D12" s="203"/>
      <c r="E12" s="204"/>
      <c r="F12" s="204"/>
      <c r="G12" s="204"/>
      <c r="H12" s="204"/>
      <c r="I12" s="204"/>
      <c r="J12" s="204"/>
      <c r="K12" s="204"/>
      <c r="L12" s="204"/>
      <c r="M12" s="204"/>
      <c r="N12" s="205"/>
      <c r="W12" s="202"/>
      <c r="X12" s="208"/>
      <c r="Y12" s="209"/>
      <c r="Z12" s="209"/>
      <c r="AA12" s="209"/>
      <c r="AB12" s="209"/>
      <c r="AC12" s="209"/>
      <c r="AD12" s="209"/>
      <c r="AE12" s="209"/>
      <c r="AF12" s="209"/>
      <c r="AG12" s="209"/>
      <c r="AH12" s="210"/>
    </row>
    <row r="13" spans="1:34" x14ac:dyDescent="0.25">
      <c r="B13" s="154"/>
      <c r="C13" s="202"/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5"/>
      <c r="W13" s="202"/>
      <c r="X13" s="208"/>
      <c r="Y13" s="209"/>
      <c r="Z13" s="209"/>
      <c r="AA13" s="209"/>
      <c r="AB13" s="209"/>
      <c r="AC13" s="209"/>
      <c r="AD13" s="209"/>
      <c r="AE13" s="209"/>
      <c r="AF13" s="209"/>
      <c r="AG13" s="209"/>
      <c r="AH13" s="210"/>
    </row>
    <row r="14" spans="1:34" x14ac:dyDescent="0.25">
      <c r="B14" s="154"/>
      <c r="C14" s="202"/>
      <c r="D14" s="211"/>
      <c r="E14" s="204"/>
      <c r="F14" s="204"/>
      <c r="G14" s="204"/>
      <c r="H14" s="204"/>
      <c r="I14" s="204"/>
      <c r="J14" s="204"/>
      <c r="K14" s="204"/>
      <c r="L14" s="204"/>
      <c r="M14" s="204"/>
      <c r="N14" s="205"/>
      <c r="W14" s="202"/>
      <c r="X14" s="212"/>
      <c r="Y14" s="209"/>
      <c r="Z14" s="209"/>
      <c r="AA14" s="209"/>
      <c r="AB14" s="209"/>
      <c r="AC14" s="209"/>
      <c r="AD14" s="209"/>
      <c r="AE14" s="209"/>
      <c r="AF14" s="209"/>
      <c r="AG14" s="209"/>
      <c r="AH14" s="210"/>
    </row>
    <row r="15" spans="1:34" x14ac:dyDescent="0.25">
      <c r="B15" s="154"/>
      <c r="C15" s="202"/>
      <c r="D15" s="211"/>
      <c r="E15" s="213"/>
      <c r="F15" s="204"/>
      <c r="G15" s="204"/>
      <c r="H15" s="204"/>
      <c r="I15" s="204"/>
      <c r="J15" s="204"/>
      <c r="K15" s="204"/>
      <c r="L15" s="204"/>
      <c r="M15" s="204"/>
      <c r="N15" s="205"/>
      <c r="W15" s="202"/>
      <c r="X15" s="212"/>
      <c r="Y15" s="214"/>
      <c r="Z15" s="209"/>
      <c r="AA15" s="209"/>
      <c r="AB15" s="209"/>
      <c r="AC15" s="209"/>
      <c r="AD15" s="209"/>
      <c r="AE15" s="209"/>
      <c r="AF15" s="209"/>
      <c r="AG15" s="209"/>
      <c r="AH15" s="210"/>
    </row>
    <row r="16" spans="1:34" x14ac:dyDescent="0.25">
      <c r="B16" s="154"/>
      <c r="C16" s="202"/>
      <c r="D16" s="211"/>
      <c r="E16" s="213"/>
      <c r="F16" s="213"/>
      <c r="G16" s="204"/>
      <c r="H16" s="204"/>
      <c r="I16" s="204"/>
      <c r="J16" s="204"/>
      <c r="K16" s="204"/>
      <c r="L16" s="204"/>
      <c r="M16" s="204"/>
      <c r="N16" s="205"/>
      <c r="W16" s="202"/>
      <c r="X16" s="212"/>
      <c r="Y16" s="214"/>
      <c r="Z16" s="214"/>
      <c r="AA16" s="209"/>
      <c r="AB16" s="209"/>
      <c r="AC16" s="209"/>
      <c r="AD16" s="209"/>
      <c r="AE16" s="209"/>
      <c r="AF16" s="209"/>
      <c r="AG16" s="209"/>
      <c r="AH16" s="210"/>
    </row>
    <row r="17" spans="1:34" x14ac:dyDescent="0.25">
      <c r="B17" s="154"/>
      <c r="C17" s="202"/>
      <c r="D17" s="211"/>
      <c r="E17" s="213"/>
      <c r="F17" s="213"/>
      <c r="G17" s="213"/>
      <c r="H17" s="204"/>
      <c r="I17" s="204"/>
      <c r="J17" s="204"/>
      <c r="K17" s="204"/>
      <c r="L17" s="204"/>
      <c r="M17" s="204"/>
      <c r="N17" s="205"/>
      <c r="W17" s="202"/>
      <c r="X17" s="212"/>
      <c r="Y17" s="214"/>
      <c r="Z17" s="214"/>
      <c r="AA17" s="214"/>
      <c r="AB17" s="209"/>
      <c r="AC17" s="209"/>
      <c r="AD17" s="209"/>
      <c r="AE17" s="209"/>
      <c r="AF17" s="209"/>
      <c r="AG17" s="209"/>
      <c r="AH17" s="210"/>
    </row>
    <row r="18" spans="1:34" x14ac:dyDescent="0.25">
      <c r="B18" s="154"/>
      <c r="C18" s="202"/>
      <c r="D18" s="211"/>
      <c r="E18" s="213"/>
      <c r="F18" s="213"/>
      <c r="G18" s="213"/>
      <c r="H18" s="213"/>
      <c r="I18" s="204"/>
      <c r="J18" s="204"/>
      <c r="K18" s="204"/>
      <c r="L18" s="204"/>
      <c r="M18" s="204"/>
      <c r="N18" s="205"/>
      <c r="W18" s="202"/>
      <c r="X18" s="212"/>
      <c r="Y18" s="214"/>
      <c r="Z18" s="214"/>
      <c r="AA18" s="214"/>
      <c r="AB18" s="214"/>
      <c r="AC18" s="209"/>
      <c r="AD18" s="209"/>
      <c r="AE18" s="209"/>
      <c r="AF18" s="209"/>
      <c r="AG18" s="209"/>
      <c r="AH18" s="210"/>
    </row>
    <row r="19" spans="1:34" x14ac:dyDescent="0.25">
      <c r="B19" s="154"/>
      <c r="C19" s="202"/>
      <c r="D19" s="211"/>
      <c r="E19" s="213"/>
      <c r="F19" s="213"/>
      <c r="G19" s="213"/>
      <c r="H19" s="213"/>
      <c r="I19" s="213"/>
      <c r="J19" s="204"/>
      <c r="K19" s="204"/>
      <c r="L19" s="204"/>
      <c r="M19" s="204"/>
      <c r="N19" s="205"/>
      <c r="W19" s="202"/>
      <c r="X19" s="212"/>
      <c r="Y19" s="214"/>
      <c r="Z19" s="214"/>
      <c r="AA19" s="214"/>
      <c r="AB19" s="214"/>
      <c r="AC19" s="214"/>
      <c r="AD19" s="209"/>
      <c r="AE19" s="209"/>
      <c r="AF19" s="209"/>
      <c r="AG19" s="209"/>
      <c r="AH19" s="210"/>
    </row>
    <row r="20" spans="1:34" x14ac:dyDescent="0.25">
      <c r="B20" s="154"/>
      <c r="C20" s="202"/>
      <c r="D20" s="211"/>
      <c r="E20" s="213"/>
      <c r="F20" s="213"/>
      <c r="G20" s="213"/>
      <c r="H20" s="213"/>
      <c r="I20" s="213"/>
      <c r="J20" s="213"/>
      <c r="K20" s="204"/>
      <c r="L20" s="204"/>
      <c r="M20" s="204"/>
      <c r="N20" s="205"/>
      <c r="W20" s="202"/>
      <c r="X20" s="212"/>
      <c r="Y20" s="214"/>
      <c r="Z20" s="214"/>
      <c r="AA20" s="214"/>
      <c r="AB20" s="214"/>
      <c r="AC20" s="214"/>
      <c r="AD20" s="214"/>
      <c r="AE20" s="209"/>
      <c r="AF20" s="209"/>
      <c r="AG20" s="209"/>
      <c r="AH20" s="210"/>
    </row>
    <row r="21" spans="1:34" x14ac:dyDescent="0.25">
      <c r="B21" s="154"/>
      <c r="C21" s="202"/>
      <c r="D21" s="211"/>
      <c r="E21" s="213"/>
      <c r="F21" s="213"/>
      <c r="G21" s="213"/>
      <c r="H21" s="213"/>
      <c r="I21" s="213"/>
      <c r="J21" s="213"/>
      <c r="K21" s="213"/>
      <c r="L21" s="204"/>
      <c r="M21" s="204"/>
      <c r="N21" s="205"/>
      <c r="W21" s="202"/>
      <c r="X21" s="212"/>
      <c r="Y21" s="214"/>
      <c r="Z21" s="214"/>
      <c r="AA21" s="214"/>
      <c r="AB21" s="214"/>
      <c r="AC21" s="214"/>
      <c r="AD21" s="214"/>
      <c r="AE21" s="214"/>
      <c r="AF21" s="209"/>
      <c r="AG21" s="209"/>
      <c r="AH21" s="210"/>
    </row>
    <row r="22" spans="1:34" x14ac:dyDescent="0.25">
      <c r="B22" s="154"/>
      <c r="C22" s="202"/>
      <c r="D22" s="211"/>
      <c r="E22" s="213"/>
      <c r="F22" s="213"/>
      <c r="G22" s="213"/>
      <c r="H22" s="213"/>
      <c r="I22" s="213"/>
      <c r="J22" s="213"/>
      <c r="K22" s="213"/>
      <c r="L22" s="213"/>
      <c r="M22" s="204"/>
      <c r="N22" s="205"/>
      <c r="W22" s="202"/>
      <c r="X22" s="212"/>
      <c r="Y22" s="214"/>
      <c r="Z22" s="214"/>
      <c r="AA22" s="214"/>
      <c r="AB22" s="214"/>
      <c r="AC22" s="214"/>
      <c r="AD22" s="214"/>
      <c r="AE22" s="214"/>
      <c r="AF22" s="214"/>
      <c r="AG22" s="209"/>
      <c r="AH22" s="210"/>
    </row>
    <row r="23" spans="1:34" ht="15.75" thickBot="1" x14ac:dyDescent="0.3">
      <c r="B23" s="154"/>
      <c r="C23" s="215"/>
      <c r="D23" s="216"/>
      <c r="E23" s="217"/>
      <c r="F23" s="217"/>
      <c r="G23" s="217"/>
      <c r="H23" s="217"/>
      <c r="I23" s="217"/>
      <c r="J23" s="217"/>
      <c r="K23" s="217"/>
      <c r="L23" s="217"/>
      <c r="M23" s="217"/>
      <c r="N23" s="218"/>
      <c r="W23" s="215"/>
      <c r="X23" s="219"/>
      <c r="Y23" s="220"/>
      <c r="Z23" s="220"/>
      <c r="AA23" s="220"/>
      <c r="AB23" s="220"/>
      <c r="AC23" s="220"/>
      <c r="AD23" s="220"/>
      <c r="AE23" s="220"/>
      <c r="AF23" s="220"/>
      <c r="AG23" s="220"/>
      <c r="AH23" s="221"/>
    </row>
    <row r="24" spans="1:34" ht="15.75" thickBot="1" x14ac:dyDescent="0.3">
      <c r="C24" s="222"/>
      <c r="D24" s="223"/>
      <c r="E24" s="224"/>
      <c r="F24" s="224"/>
      <c r="G24" s="224"/>
      <c r="H24" s="224"/>
      <c r="I24" s="224"/>
      <c r="J24" s="224"/>
      <c r="K24" s="224"/>
      <c r="L24" s="224"/>
      <c r="M24" s="224"/>
      <c r="N24" s="225"/>
      <c r="W24" s="226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</row>
    <row r="26" spans="1:34" ht="15.75" thickBot="1" x14ac:dyDescent="0.3"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</row>
    <row r="27" spans="1:34" ht="19.5" thickBot="1" x14ac:dyDescent="0.3">
      <c r="A27" s="457"/>
      <c r="C27" s="458"/>
      <c r="D27" s="713"/>
      <c r="E27" s="714"/>
      <c r="F27" s="714"/>
      <c r="G27" s="714"/>
      <c r="H27" s="714"/>
      <c r="I27" s="714"/>
      <c r="J27" s="714"/>
      <c r="K27" s="714"/>
      <c r="L27" s="714"/>
      <c r="M27" s="714"/>
      <c r="N27" s="715"/>
    </row>
    <row r="28" spans="1:34" ht="15.75" thickBot="1" x14ac:dyDescent="0.3">
      <c r="C28" s="459"/>
      <c r="D28" s="460"/>
      <c r="E28" s="461"/>
      <c r="F28" s="461"/>
      <c r="G28" s="461"/>
      <c r="H28" s="461"/>
      <c r="I28" s="461"/>
      <c r="J28" s="461"/>
      <c r="K28" s="461"/>
      <c r="L28" s="461"/>
      <c r="M28" s="461"/>
      <c r="N28" s="462"/>
    </row>
    <row r="29" spans="1:34" x14ac:dyDescent="0.25">
      <c r="C29" s="463"/>
      <c r="D29" s="464"/>
      <c r="E29" s="465"/>
      <c r="F29" s="465"/>
      <c r="G29" s="465"/>
      <c r="H29" s="465"/>
      <c r="I29" s="465"/>
      <c r="J29" s="465"/>
      <c r="K29" s="465"/>
      <c r="L29" s="465"/>
      <c r="M29" s="465"/>
      <c r="N29" s="466"/>
    </row>
    <row r="30" spans="1:34" x14ac:dyDescent="0.25">
      <c r="C30" s="467"/>
      <c r="D30" s="468"/>
      <c r="E30" s="469"/>
      <c r="F30" s="469"/>
      <c r="G30" s="469"/>
      <c r="H30" s="469"/>
      <c r="I30" s="469"/>
      <c r="J30" s="469"/>
      <c r="K30" s="469"/>
      <c r="L30" s="469"/>
      <c r="M30" s="469"/>
      <c r="N30" s="470"/>
    </row>
    <row r="31" spans="1:34" x14ac:dyDescent="0.25">
      <c r="C31" s="471"/>
      <c r="D31" s="472"/>
      <c r="E31" s="473"/>
      <c r="F31" s="473"/>
      <c r="G31" s="473"/>
      <c r="H31" s="473"/>
      <c r="I31" s="473"/>
      <c r="J31" s="473"/>
      <c r="K31" s="473"/>
      <c r="L31" s="473"/>
      <c r="M31" s="473"/>
      <c r="N31" s="474"/>
    </row>
    <row r="32" spans="1:34" x14ac:dyDescent="0.25">
      <c r="C32" s="475"/>
      <c r="D32" s="476"/>
      <c r="E32" s="477"/>
      <c r="F32" s="477"/>
      <c r="G32" s="477"/>
      <c r="H32" s="477"/>
      <c r="I32" s="477"/>
      <c r="J32" s="477"/>
      <c r="K32" s="477"/>
      <c r="L32" s="477"/>
      <c r="M32" s="477"/>
      <c r="N32" s="478"/>
    </row>
    <row r="33" spans="3:14" x14ac:dyDescent="0.25">
      <c r="C33" s="475"/>
      <c r="D33" s="479"/>
      <c r="E33" s="480"/>
      <c r="F33" s="480"/>
      <c r="G33" s="480"/>
      <c r="H33" s="480"/>
      <c r="I33" s="480"/>
      <c r="J33" s="480"/>
      <c r="K33" s="480"/>
      <c r="L33" s="480"/>
      <c r="M33" s="480"/>
      <c r="N33" s="481"/>
    </row>
    <row r="34" spans="3:14" x14ac:dyDescent="0.25">
      <c r="C34" s="482"/>
      <c r="D34" s="483"/>
      <c r="E34" s="484"/>
      <c r="F34" s="484"/>
      <c r="G34" s="484"/>
      <c r="H34" s="484"/>
      <c r="I34" s="484"/>
      <c r="J34" s="484"/>
      <c r="K34" s="484"/>
      <c r="L34" s="484"/>
      <c r="M34" s="484"/>
      <c r="N34" s="485"/>
    </row>
    <row r="35" spans="3:14" x14ac:dyDescent="0.25">
      <c r="C35" s="482"/>
      <c r="D35" s="483"/>
      <c r="E35" s="484"/>
      <c r="F35" s="484"/>
      <c r="G35" s="484"/>
      <c r="H35" s="484"/>
      <c r="I35" s="484"/>
      <c r="J35" s="484"/>
      <c r="K35" s="484"/>
      <c r="L35" s="484"/>
      <c r="M35" s="484"/>
      <c r="N35" s="485"/>
    </row>
    <row r="36" spans="3:14" x14ac:dyDescent="0.25">
      <c r="C36" s="482"/>
      <c r="D36" s="483"/>
      <c r="E36" s="484"/>
      <c r="F36" s="484"/>
      <c r="G36" s="484"/>
      <c r="H36" s="484"/>
      <c r="I36" s="484"/>
      <c r="J36" s="484"/>
      <c r="K36" s="484"/>
      <c r="L36" s="484"/>
      <c r="M36" s="484"/>
      <c r="N36" s="485"/>
    </row>
    <row r="37" spans="3:14" x14ac:dyDescent="0.25">
      <c r="C37" s="482"/>
      <c r="D37" s="483"/>
      <c r="E37" s="484"/>
      <c r="F37" s="484"/>
      <c r="G37" s="484"/>
      <c r="H37" s="484"/>
      <c r="I37" s="484"/>
      <c r="J37" s="484"/>
      <c r="K37" s="484"/>
      <c r="L37" s="484"/>
      <c r="M37" s="484"/>
      <c r="N37" s="485"/>
    </row>
    <row r="38" spans="3:14" x14ac:dyDescent="0.25">
      <c r="C38" s="482"/>
      <c r="D38" s="483"/>
      <c r="E38" s="484"/>
      <c r="F38" s="484"/>
      <c r="G38" s="484"/>
      <c r="H38" s="484"/>
      <c r="I38" s="484"/>
      <c r="J38" s="484"/>
      <c r="K38" s="484"/>
      <c r="L38" s="484"/>
      <c r="M38" s="484"/>
      <c r="N38" s="485"/>
    </row>
    <row r="39" spans="3:14" x14ac:dyDescent="0.25">
      <c r="C39" s="482"/>
      <c r="D39" s="486"/>
      <c r="E39" s="484"/>
      <c r="F39" s="484"/>
      <c r="G39" s="484"/>
      <c r="H39" s="484"/>
      <c r="I39" s="484"/>
      <c r="J39" s="484"/>
      <c r="K39" s="484"/>
      <c r="L39" s="484"/>
      <c r="M39" s="484"/>
      <c r="N39" s="485"/>
    </row>
    <row r="40" spans="3:14" x14ac:dyDescent="0.25">
      <c r="C40" s="482"/>
      <c r="D40" s="486"/>
      <c r="E40" s="487"/>
      <c r="F40" s="484"/>
      <c r="G40" s="484"/>
      <c r="H40" s="484"/>
      <c r="I40" s="484"/>
      <c r="J40" s="484"/>
      <c r="K40" s="484"/>
      <c r="L40" s="484"/>
      <c r="M40" s="484"/>
      <c r="N40" s="485"/>
    </row>
    <row r="41" spans="3:14" x14ac:dyDescent="0.25">
      <c r="C41" s="482"/>
      <c r="D41" s="486"/>
      <c r="E41" s="487"/>
      <c r="F41" s="487"/>
      <c r="G41" s="484"/>
      <c r="H41" s="484"/>
      <c r="I41" s="484"/>
      <c r="J41" s="484"/>
      <c r="K41" s="484"/>
      <c r="L41" s="484"/>
      <c r="M41" s="484"/>
      <c r="N41" s="485"/>
    </row>
    <row r="42" spans="3:14" x14ac:dyDescent="0.25">
      <c r="C42" s="482"/>
      <c r="D42" s="486"/>
      <c r="E42" s="487"/>
      <c r="F42" s="487"/>
      <c r="G42" s="487"/>
      <c r="H42" s="484"/>
      <c r="I42" s="484"/>
      <c r="J42" s="484"/>
      <c r="K42" s="484"/>
      <c r="L42" s="484"/>
      <c r="M42" s="484"/>
      <c r="N42" s="485"/>
    </row>
    <row r="43" spans="3:14" x14ac:dyDescent="0.25">
      <c r="C43" s="482"/>
      <c r="D43" s="486"/>
      <c r="E43" s="487"/>
      <c r="F43" s="487"/>
      <c r="G43" s="487"/>
      <c r="H43" s="487"/>
      <c r="I43" s="484"/>
      <c r="J43" s="484"/>
      <c r="K43" s="484"/>
      <c r="L43" s="484"/>
      <c r="M43" s="484"/>
      <c r="N43" s="485"/>
    </row>
    <row r="44" spans="3:14" x14ac:dyDescent="0.25">
      <c r="C44" s="482"/>
      <c r="D44" s="486"/>
      <c r="E44" s="487"/>
      <c r="F44" s="487"/>
      <c r="G44" s="487"/>
      <c r="H44" s="487"/>
      <c r="I44" s="487"/>
      <c r="J44" s="484"/>
      <c r="K44" s="484"/>
      <c r="L44" s="484"/>
      <c r="M44" s="484"/>
      <c r="N44" s="485"/>
    </row>
    <row r="45" spans="3:14" x14ac:dyDescent="0.25">
      <c r="C45" s="482"/>
      <c r="D45" s="486"/>
      <c r="E45" s="487"/>
      <c r="F45" s="487"/>
      <c r="G45" s="487"/>
      <c r="H45" s="487"/>
      <c r="I45" s="487"/>
      <c r="J45" s="487"/>
      <c r="K45" s="484"/>
      <c r="L45" s="484"/>
      <c r="M45" s="484"/>
      <c r="N45" s="485"/>
    </row>
    <row r="46" spans="3:14" x14ac:dyDescent="0.25">
      <c r="C46" s="482"/>
      <c r="D46" s="486"/>
      <c r="E46" s="487"/>
      <c r="F46" s="487"/>
      <c r="G46" s="487"/>
      <c r="H46" s="487"/>
      <c r="I46" s="487"/>
      <c r="J46" s="487"/>
      <c r="K46" s="487"/>
      <c r="L46" s="484"/>
      <c r="M46" s="484"/>
      <c r="N46" s="485"/>
    </row>
    <row r="47" spans="3:14" x14ac:dyDescent="0.25">
      <c r="C47" s="482"/>
      <c r="D47" s="486"/>
      <c r="E47" s="487"/>
      <c r="F47" s="487"/>
      <c r="G47" s="487"/>
      <c r="H47" s="487"/>
      <c r="I47" s="487"/>
      <c r="J47" s="487"/>
      <c r="K47" s="487"/>
      <c r="L47" s="487"/>
      <c r="M47" s="484"/>
      <c r="N47" s="485"/>
    </row>
    <row r="48" spans="3:14" ht="15.75" thickBot="1" x14ac:dyDescent="0.3">
      <c r="C48" s="488"/>
      <c r="D48" s="489"/>
      <c r="E48" s="490"/>
      <c r="F48" s="490"/>
      <c r="G48" s="490"/>
      <c r="H48" s="490"/>
      <c r="I48" s="490"/>
      <c r="J48" s="490"/>
      <c r="K48" s="490"/>
      <c r="L48" s="490"/>
      <c r="M48" s="490"/>
      <c r="N48" s="491"/>
    </row>
    <row r="49" spans="1:14" ht="15.75" thickBot="1" x14ac:dyDescent="0.3">
      <c r="C49" s="492"/>
      <c r="D49" s="493"/>
      <c r="E49" s="494"/>
      <c r="F49" s="494"/>
      <c r="G49" s="494"/>
      <c r="H49" s="494"/>
      <c r="I49" s="494"/>
      <c r="J49" s="494"/>
      <c r="K49" s="494"/>
      <c r="L49" s="494"/>
      <c r="M49" s="494"/>
      <c r="N49" s="495"/>
    </row>
    <row r="51" spans="1:14" ht="15.75" thickBot="1" x14ac:dyDescent="0.3"/>
    <row r="52" spans="1:14" ht="19.5" thickBot="1" x14ac:dyDescent="0.3">
      <c r="A52" s="457" t="s">
        <v>298</v>
      </c>
      <c r="C52" s="496" t="s">
        <v>311</v>
      </c>
      <c r="D52" s="716" t="s">
        <v>312</v>
      </c>
      <c r="E52" s="717"/>
      <c r="F52" s="717"/>
      <c r="G52" s="717"/>
      <c r="H52" s="717"/>
      <c r="I52" s="717"/>
      <c r="J52" s="717"/>
      <c r="K52" s="717"/>
      <c r="L52" s="717"/>
      <c r="M52" s="717"/>
      <c r="N52" s="718"/>
    </row>
    <row r="53" spans="1:14" ht="15.75" thickBot="1" x14ac:dyDescent="0.3">
      <c r="C53" s="459" t="s">
        <v>196</v>
      </c>
      <c r="D53" s="460">
        <v>10</v>
      </c>
      <c r="E53" s="461">
        <v>11</v>
      </c>
      <c r="F53" s="461">
        <v>12</v>
      </c>
      <c r="G53" s="461">
        <v>13</v>
      </c>
      <c r="H53" s="461">
        <v>14</v>
      </c>
      <c r="I53" s="461">
        <v>15</v>
      </c>
      <c r="J53" s="461">
        <v>16</v>
      </c>
      <c r="K53" s="461">
        <v>17</v>
      </c>
      <c r="L53" s="461">
        <v>18</v>
      </c>
      <c r="M53" s="461">
        <v>19</v>
      </c>
      <c r="N53" s="497">
        <v>20</v>
      </c>
    </row>
    <row r="54" spans="1:14" x14ac:dyDescent="0.25">
      <c r="A54" s="23" t="str">
        <f>$A$52&amp;C54</f>
        <v>Exkluzív1</v>
      </c>
      <c r="C54" s="463">
        <v>1</v>
      </c>
      <c r="D54" s="464">
        <v>4.0000000000000036E-2</v>
      </c>
      <c r="E54" s="465">
        <v>4.0000000000000036E-2</v>
      </c>
      <c r="F54" s="465">
        <v>4.0000000000000036E-2</v>
      </c>
      <c r="G54" s="465">
        <v>4.0000000000000036E-2</v>
      </c>
      <c r="H54" s="465">
        <v>4.0000000000000036E-2</v>
      </c>
      <c r="I54" s="465">
        <v>4.0000000000000036E-2</v>
      </c>
      <c r="J54" s="465">
        <v>4.0000000000000036E-2</v>
      </c>
      <c r="K54" s="465">
        <v>4.0000000000000036E-2</v>
      </c>
      <c r="L54" s="465">
        <v>4.0000000000000036E-2</v>
      </c>
      <c r="M54" s="465">
        <v>3.0000000000000027E-2</v>
      </c>
      <c r="N54" s="466">
        <v>2.0000000000000018E-2</v>
      </c>
    </row>
    <row r="55" spans="1:14" x14ac:dyDescent="0.25">
      <c r="A55" s="23" t="str">
        <f t="shared" ref="A55:A73" si="0">$A$52&amp;C55</f>
        <v>Exkluzív2</v>
      </c>
      <c r="C55" s="467">
        <v>2</v>
      </c>
      <c r="D55" s="468">
        <v>0.34000000000000008</v>
      </c>
      <c r="E55" s="469">
        <v>0.30000000000000004</v>
      </c>
      <c r="F55" s="469">
        <v>0.26</v>
      </c>
      <c r="G55" s="469">
        <v>0.22000000000000008</v>
      </c>
      <c r="H55" s="469">
        <v>0.18000000000000005</v>
      </c>
      <c r="I55" s="469">
        <v>0.14000000000000001</v>
      </c>
      <c r="J55" s="469">
        <v>0.10000000000000009</v>
      </c>
      <c r="K55" s="469">
        <v>6.0000000000000053E-2</v>
      </c>
      <c r="L55" s="469">
        <v>4.0000000000000036E-2</v>
      </c>
      <c r="M55" s="469">
        <v>4.0000000000000036E-2</v>
      </c>
      <c r="N55" s="470">
        <v>2.0000000000000018E-2</v>
      </c>
    </row>
    <row r="56" spans="1:14" x14ac:dyDescent="0.25">
      <c r="A56" s="23" t="str">
        <f t="shared" si="0"/>
        <v>Exkluzív3</v>
      </c>
      <c r="C56" s="471">
        <v>3</v>
      </c>
      <c r="D56" s="472">
        <v>9.0000000000000011E-2</v>
      </c>
      <c r="E56" s="473">
        <v>9.0000000000000011E-2</v>
      </c>
      <c r="F56" s="473">
        <v>9.0000000000000011E-2</v>
      </c>
      <c r="G56" s="473">
        <v>9.0000000000000011E-2</v>
      </c>
      <c r="H56" s="473">
        <v>9.0000000000000011E-2</v>
      </c>
      <c r="I56" s="473">
        <v>9.0000000000000011E-2</v>
      </c>
      <c r="J56" s="473">
        <v>9.0000000000000011E-2</v>
      </c>
      <c r="K56" s="473">
        <v>9.0000000000000011E-2</v>
      </c>
      <c r="L56" s="473">
        <v>7.0000000000000007E-2</v>
      </c>
      <c r="M56" s="473">
        <v>3.999999999999998E-2</v>
      </c>
      <c r="N56" s="474">
        <v>2.9999999999999971E-2</v>
      </c>
    </row>
    <row r="57" spans="1:14" x14ac:dyDescent="0.25">
      <c r="A57" s="23" t="str">
        <f t="shared" si="0"/>
        <v>Exkluzív4</v>
      </c>
      <c r="C57" s="475">
        <v>4</v>
      </c>
      <c r="D57" s="476">
        <v>0.01</v>
      </c>
      <c r="E57" s="477">
        <v>0.01</v>
      </c>
      <c r="F57" s="477">
        <v>0.01</v>
      </c>
      <c r="G57" s="477">
        <v>0.01</v>
      </c>
      <c r="H57" s="477">
        <v>0.01</v>
      </c>
      <c r="I57" s="477">
        <v>0.01</v>
      </c>
      <c r="J57" s="477">
        <v>0.01</v>
      </c>
      <c r="K57" s="477">
        <v>0.01</v>
      </c>
      <c r="L57" s="477">
        <v>0.01</v>
      </c>
      <c r="M57" s="477">
        <v>0.01</v>
      </c>
      <c r="N57" s="478">
        <v>0.01</v>
      </c>
    </row>
    <row r="58" spans="1:14" x14ac:dyDescent="0.25">
      <c r="A58" s="23" t="str">
        <f t="shared" si="0"/>
        <v>Exkluzív5</v>
      </c>
      <c r="C58" s="475">
        <v>5</v>
      </c>
      <c r="D58" s="479">
        <v>1.8000000000000002E-2</v>
      </c>
      <c r="E58" s="480">
        <v>1.9E-2</v>
      </c>
      <c r="F58" s="480">
        <v>1.9099999999999999E-2</v>
      </c>
      <c r="G58" s="480">
        <v>1.9E-2</v>
      </c>
      <c r="H58" s="480">
        <v>1.8700000000000001E-2</v>
      </c>
      <c r="I58" s="480">
        <v>1.84E-2</v>
      </c>
      <c r="J58" s="480">
        <v>1.8000000000000002E-2</v>
      </c>
      <c r="K58" s="480">
        <v>1.7500000000000002E-2</v>
      </c>
      <c r="L58" s="480">
        <v>1.7100000000000001E-2</v>
      </c>
      <c r="M58" s="480">
        <v>1.6799999999999999E-2</v>
      </c>
      <c r="N58" s="481">
        <v>1.6400000000000001E-2</v>
      </c>
    </row>
    <row r="59" spans="1:14" x14ac:dyDescent="0.25">
      <c r="A59" s="23" t="str">
        <f t="shared" si="0"/>
        <v>Exkluzív6</v>
      </c>
      <c r="C59" s="482">
        <v>6</v>
      </c>
      <c r="D59" s="483">
        <v>2.6000000000000002E-2</v>
      </c>
      <c r="E59" s="484">
        <v>2.7999999999999997E-2</v>
      </c>
      <c r="F59" s="484">
        <v>2.8199999999999999E-2</v>
      </c>
      <c r="G59" s="484">
        <v>2.7999999999999997E-2</v>
      </c>
      <c r="H59" s="484">
        <v>2.7400000000000001E-2</v>
      </c>
      <c r="I59" s="484">
        <v>2.6799999999999997E-2</v>
      </c>
      <c r="J59" s="484">
        <v>2.6000000000000002E-2</v>
      </c>
      <c r="K59" s="484">
        <v>2.5000000000000001E-2</v>
      </c>
      <c r="L59" s="484">
        <v>2.4199999999999999E-2</v>
      </c>
      <c r="M59" s="484">
        <v>2.3599999999999999E-2</v>
      </c>
      <c r="N59" s="485">
        <v>2.2800000000000001E-2</v>
      </c>
    </row>
    <row r="60" spans="1:14" x14ac:dyDescent="0.25">
      <c r="A60" s="23" t="str">
        <f t="shared" si="0"/>
        <v>Exkluzív7</v>
      </c>
      <c r="C60" s="482">
        <v>7</v>
      </c>
      <c r="D60" s="483">
        <v>3.4000000000000002E-2</v>
      </c>
      <c r="E60" s="484">
        <v>3.6999999999999998E-2</v>
      </c>
      <c r="F60" s="484">
        <v>3.73E-2</v>
      </c>
      <c r="G60" s="484">
        <v>3.6999999999999998E-2</v>
      </c>
      <c r="H60" s="484">
        <v>3.61E-2</v>
      </c>
      <c r="I60" s="484">
        <v>3.5199999999999995E-2</v>
      </c>
      <c r="J60" s="484">
        <v>3.4000000000000002E-2</v>
      </c>
      <c r="K60" s="484">
        <v>3.2500000000000001E-2</v>
      </c>
      <c r="L60" s="484">
        <v>3.1300000000000001E-2</v>
      </c>
      <c r="M60" s="484">
        <v>3.04E-2</v>
      </c>
      <c r="N60" s="485">
        <v>2.92E-2</v>
      </c>
    </row>
    <row r="61" spans="1:14" x14ac:dyDescent="0.25">
      <c r="A61" s="23" t="str">
        <f t="shared" si="0"/>
        <v>Exkluzív8</v>
      </c>
      <c r="C61" s="482">
        <v>8</v>
      </c>
      <c r="D61" s="483">
        <v>4.2000000000000003E-2</v>
      </c>
      <c r="E61" s="484">
        <v>4.5999999999999999E-2</v>
      </c>
      <c r="F61" s="484">
        <v>4.6399999999999997E-2</v>
      </c>
      <c r="G61" s="484">
        <v>4.5999999999999999E-2</v>
      </c>
      <c r="H61" s="484">
        <v>4.48E-2</v>
      </c>
      <c r="I61" s="484">
        <v>4.3599999999999993E-2</v>
      </c>
      <c r="J61" s="484">
        <v>4.2000000000000003E-2</v>
      </c>
      <c r="K61" s="484">
        <v>0.04</v>
      </c>
      <c r="L61" s="484">
        <v>3.8400000000000004E-2</v>
      </c>
      <c r="M61" s="484">
        <v>3.7199999999999997E-2</v>
      </c>
      <c r="N61" s="485">
        <v>3.56E-2</v>
      </c>
    </row>
    <row r="62" spans="1:14" x14ac:dyDescent="0.25">
      <c r="A62" s="23" t="str">
        <f t="shared" si="0"/>
        <v>Exkluzív9</v>
      </c>
      <c r="C62" s="482">
        <v>9</v>
      </c>
      <c r="D62" s="483">
        <v>0.05</v>
      </c>
      <c r="E62" s="484">
        <v>5.5E-2</v>
      </c>
      <c r="F62" s="484">
        <v>5.5499999999999994E-2</v>
      </c>
      <c r="G62" s="484">
        <v>5.5E-2</v>
      </c>
      <c r="H62" s="484">
        <v>5.3499999999999999E-2</v>
      </c>
      <c r="I62" s="484">
        <v>5.1999999999999991E-2</v>
      </c>
      <c r="J62" s="484">
        <v>0.05</v>
      </c>
      <c r="K62" s="484">
        <v>4.7500000000000001E-2</v>
      </c>
      <c r="L62" s="484">
        <v>4.5500000000000006E-2</v>
      </c>
      <c r="M62" s="484">
        <v>4.3999999999999997E-2</v>
      </c>
      <c r="N62" s="485">
        <v>4.2000000000000003E-2</v>
      </c>
    </row>
    <row r="63" spans="1:14" x14ac:dyDescent="0.25">
      <c r="A63" s="23" t="str">
        <f t="shared" si="0"/>
        <v>Exkluzív10</v>
      </c>
      <c r="C63" s="482">
        <v>10</v>
      </c>
      <c r="D63" s="483">
        <v>5.8000000000000003E-2</v>
      </c>
      <c r="E63" s="484">
        <v>6.4000000000000001E-2</v>
      </c>
      <c r="F63" s="484">
        <v>6.4599999999999991E-2</v>
      </c>
      <c r="G63" s="484">
        <v>6.4000000000000001E-2</v>
      </c>
      <c r="H63" s="484">
        <v>6.2199999999999998E-2</v>
      </c>
      <c r="I63" s="484">
        <v>6.0399999999999988E-2</v>
      </c>
      <c r="J63" s="484">
        <v>5.8000000000000003E-2</v>
      </c>
      <c r="K63" s="484">
        <v>5.5E-2</v>
      </c>
      <c r="L63" s="484">
        <v>5.2600000000000008E-2</v>
      </c>
      <c r="M63" s="484">
        <v>5.0799999999999998E-2</v>
      </c>
      <c r="N63" s="485">
        <v>4.8400000000000006E-2</v>
      </c>
    </row>
    <row r="64" spans="1:14" x14ac:dyDescent="0.25">
      <c r="A64" s="23" t="str">
        <f t="shared" si="0"/>
        <v>Exkluzív11</v>
      </c>
      <c r="C64" s="482">
        <v>11</v>
      </c>
      <c r="D64" s="486"/>
      <c r="E64" s="484">
        <v>7.2999999999999995E-2</v>
      </c>
      <c r="F64" s="484">
        <v>7.3699999999999988E-2</v>
      </c>
      <c r="G64" s="484">
        <v>7.2999999999999995E-2</v>
      </c>
      <c r="H64" s="484">
        <v>7.0899999999999991E-2</v>
      </c>
      <c r="I64" s="484">
        <v>6.8799999999999986E-2</v>
      </c>
      <c r="J64" s="484">
        <v>6.6000000000000003E-2</v>
      </c>
      <c r="K64" s="484">
        <v>6.25E-2</v>
      </c>
      <c r="L64" s="484">
        <v>5.970000000000001E-2</v>
      </c>
      <c r="M64" s="484">
        <v>5.7599999999999998E-2</v>
      </c>
      <c r="N64" s="485">
        <v>5.4800000000000008E-2</v>
      </c>
    </row>
    <row r="65" spans="1:14" x14ac:dyDescent="0.25">
      <c r="A65" s="23" t="str">
        <f t="shared" si="0"/>
        <v>Exkluzív12</v>
      </c>
      <c r="C65" s="482">
        <v>12</v>
      </c>
      <c r="D65" s="486"/>
      <c r="E65" s="487"/>
      <c r="F65" s="484">
        <v>8.2799999999999985E-2</v>
      </c>
      <c r="G65" s="484">
        <v>8.199999999999999E-2</v>
      </c>
      <c r="H65" s="484">
        <v>7.959999999999999E-2</v>
      </c>
      <c r="I65" s="484">
        <v>7.7199999999999991E-2</v>
      </c>
      <c r="J65" s="484">
        <v>7.400000000000001E-2</v>
      </c>
      <c r="K65" s="484">
        <v>7.0000000000000007E-2</v>
      </c>
      <c r="L65" s="484">
        <v>6.6800000000000012E-2</v>
      </c>
      <c r="M65" s="484">
        <v>6.4399999999999999E-2</v>
      </c>
      <c r="N65" s="485">
        <v>6.1200000000000011E-2</v>
      </c>
    </row>
    <row r="66" spans="1:14" x14ac:dyDescent="0.25">
      <c r="A66" s="23" t="str">
        <f t="shared" si="0"/>
        <v>Exkluzív13</v>
      </c>
      <c r="C66" s="482">
        <v>13</v>
      </c>
      <c r="D66" s="486"/>
      <c r="E66" s="487"/>
      <c r="F66" s="487"/>
      <c r="G66" s="484">
        <v>9.0999999999999984E-2</v>
      </c>
      <c r="H66" s="484">
        <v>8.829999999999999E-2</v>
      </c>
      <c r="I66" s="484">
        <v>8.5599999999999996E-2</v>
      </c>
      <c r="J66" s="484">
        <v>8.2000000000000017E-2</v>
      </c>
      <c r="K66" s="484">
        <v>7.7500000000000013E-2</v>
      </c>
      <c r="L66" s="484">
        <v>7.3900000000000007E-2</v>
      </c>
      <c r="M66" s="484">
        <v>7.1199999999999999E-2</v>
      </c>
      <c r="N66" s="485">
        <v>6.7600000000000007E-2</v>
      </c>
    </row>
    <row r="67" spans="1:14" x14ac:dyDescent="0.25">
      <c r="A67" s="23" t="str">
        <f t="shared" si="0"/>
        <v>Exkluzív14</v>
      </c>
      <c r="C67" s="482">
        <v>14</v>
      </c>
      <c r="D67" s="486"/>
      <c r="E67" s="487"/>
      <c r="F67" s="487"/>
      <c r="G67" s="487"/>
      <c r="H67" s="484">
        <v>9.6999999999999989E-2</v>
      </c>
      <c r="I67" s="484">
        <v>9.4E-2</v>
      </c>
      <c r="J67" s="484">
        <v>9.0000000000000024E-2</v>
      </c>
      <c r="K67" s="484">
        <v>8.500000000000002E-2</v>
      </c>
      <c r="L67" s="484">
        <v>8.1000000000000003E-2</v>
      </c>
      <c r="M67" s="484">
        <v>7.8E-2</v>
      </c>
      <c r="N67" s="485">
        <v>7.400000000000001E-2</v>
      </c>
    </row>
    <row r="68" spans="1:14" x14ac:dyDescent="0.25">
      <c r="A68" s="23" t="str">
        <f t="shared" si="0"/>
        <v>Exkluzív15</v>
      </c>
      <c r="C68" s="482">
        <v>15</v>
      </c>
      <c r="D68" s="486"/>
      <c r="E68" s="487"/>
      <c r="F68" s="487"/>
      <c r="G68" s="487"/>
      <c r="H68" s="487"/>
      <c r="I68" s="484">
        <v>0.1024</v>
      </c>
      <c r="J68" s="484">
        <v>9.8000000000000032E-2</v>
      </c>
      <c r="K68" s="484">
        <v>9.2500000000000027E-2</v>
      </c>
      <c r="L68" s="484">
        <v>8.8099999999999998E-2</v>
      </c>
      <c r="M68" s="484">
        <v>8.48E-2</v>
      </c>
      <c r="N68" s="485">
        <v>8.0400000000000013E-2</v>
      </c>
    </row>
    <row r="69" spans="1:14" x14ac:dyDescent="0.25">
      <c r="A69" s="23" t="str">
        <f t="shared" si="0"/>
        <v>Exkluzív16</v>
      </c>
      <c r="C69" s="482">
        <v>16</v>
      </c>
      <c r="D69" s="486"/>
      <c r="E69" s="487"/>
      <c r="F69" s="487"/>
      <c r="G69" s="487"/>
      <c r="H69" s="487"/>
      <c r="I69" s="487"/>
      <c r="J69" s="484">
        <v>0.10600000000000004</v>
      </c>
      <c r="K69" s="484">
        <v>0.10000000000000003</v>
      </c>
      <c r="L69" s="484">
        <v>9.5199999999999993E-2</v>
      </c>
      <c r="M69" s="484">
        <v>9.1600000000000001E-2</v>
      </c>
      <c r="N69" s="485">
        <v>8.6800000000000016E-2</v>
      </c>
    </row>
    <row r="70" spans="1:14" x14ac:dyDescent="0.25">
      <c r="A70" s="23" t="str">
        <f t="shared" si="0"/>
        <v>Exkluzív17</v>
      </c>
      <c r="C70" s="482">
        <v>17</v>
      </c>
      <c r="D70" s="486"/>
      <c r="E70" s="487"/>
      <c r="F70" s="487"/>
      <c r="G70" s="487"/>
      <c r="H70" s="487"/>
      <c r="I70" s="487"/>
      <c r="J70" s="487"/>
      <c r="K70" s="484">
        <v>0.10750000000000004</v>
      </c>
      <c r="L70" s="484">
        <v>0.10229999999999999</v>
      </c>
      <c r="M70" s="484">
        <v>9.8400000000000001E-2</v>
      </c>
      <c r="N70" s="485">
        <v>9.3200000000000019E-2</v>
      </c>
    </row>
    <row r="71" spans="1:14" x14ac:dyDescent="0.25">
      <c r="A71" s="23" t="str">
        <f t="shared" si="0"/>
        <v>Exkluzív18</v>
      </c>
      <c r="C71" s="482">
        <v>18</v>
      </c>
      <c r="D71" s="486"/>
      <c r="E71" s="487"/>
      <c r="F71" s="487"/>
      <c r="G71" s="487"/>
      <c r="H71" s="487"/>
      <c r="I71" s="487"/>
      <c r="J71" s="487"/>
      <c r="K71" s="487"/>
      <c r="L71" s="484">
        <v>0.10939999999999998</v>
      </c>
      <c r="M71" s="484">
        <v>0.1052</v>
      </c>
      <c r="N71" s="485">
        <v>9.9600000000000022E-2</v>
      </c>
    </row>
    <row r="72" spans="1:14" x14ac:dyDescent="0.25">
      <c r="A72" s="23" t="str">
        <f t="shared" si="0"/>
        <v>Exkluzív19</v>
      </c>
      <c r="C72" s="482">
        <v>19</v>
      </c>
      <c r="D72" s="486"/>
      <c r="E72" s="487"/>
      <c r="F72" s="487"/>
      <c r="G72" s="487"/>
      <c r="H72" s="487"/>
      <c r="I72" s="487"/>
      <c r="J72" s="487"/>
      <c r="K72" s="487"/>
      <c r="L72" s="487"/>
      <c r="M72" s="484">
        <v>0.112</v>
      </c>
      <c r="N72" s="485">
        <v>0.10600000000000002</v>
      </c>
    </row>
    <row r="73" spans="1:14" ht="15.75" thickBot="1" x14ac:dyDescent="0.3">
      <c r="A73" s="23" t="str">
        <f t="shared" si="0"/>
        <v>Exkluzív20</v>
      </c>
      <c r="C73" s="488">
        <v>20</v>
      </c>
      <c r="D73" s="489"/>
      <c r="E73" s="490"/>
      <c r="F73" s="490"/>
      <c r="G73" s="490"/>
      <c r="H73" s="490"/>
      <c r="I73" s="490"/>
      <c r="J73" s="490"/>
      <c r="K73" s="490"/>
      <c r="L73" s="490"/>
      <c r="M73" s="490"/>
      <c r="N73" s="491">
        <v>0.11240000000000003</v>
      </c>
    </row>
    <row r="74" spans="1:14" ht="120.75" thickBot="1" x14ac:dyDescent="0.3">
      <c r="C74" s="492" t="s">
        <v>197</v>
      </c>
      <c r="D74" s="493">
        <v>0.5</v>
      </c>
      <c r="E74" s="494">
        <f>D74+5%</f>
        <v>0.55000000000000004</v>
      </c>
      <c r="F74" s="494">
        <f t="shared" ref="F74:M74" si="1">E74+5%</f>
        <v>0.60000000000000009</v>
      </c>
      <c r="G74" s="494">
        <f t="shared" si="1"/>
        <v>0.65000000000000013</v>
      </c>
      <c r="H74" s="494">
        <f t="shared" si="1"/>
        <v>0.70000000000000018</v>
      </c>
      <c r="I74" s="494">
        <f t="shared" si="1"/>
        <v>0.75000000000000022</v>
      </c>
      <c r="J74" s="494">
        <f t="shared" si="1"/>
        <v>0.80000000000000027</v>
      </c>
      <c r="K74" s="494">
        <f t="shared" si="1"/>
        <v>0.85000000000000031</v>
      </c>
      <c r="L74" s="494">
        <f t="shared" si="1"/>
        <v>0.90000000000000036</v>
      </c>
      <c r="M74" s="494">
        <f t="shared" si="1"/>
        <v>0.9500000000000004</v>
      </c>
      <c r="N74" s="495">
        <v>1</v>
      </c>
    </row>
    <row r="75" spans="1:14" x14ac:dyDescent="0.25">
      <c r="C75" s="498"/>
      <c r="D75" s="499">
        <v>0.50295967610026771</v>
      </c>
      <c r="E75" s="499">
        <v>0.5539451890264887</v>
      </c>
      <c r="F75" s="499">
        <v>0.60061157039824953</v>
      </c>
      <c r="G75" s="499">
        <v>0.65112997776049542</v>
      </c>
      <c r="H75" s="499">
        <v>0.70084116241581218</v>
      </c>
      <c r="I75" s="499">
        <v>0.75504289121855062</v>
      </c>
      <c r="J75" s="499">
        <v>0.80632912709667159</v>
      </c>
      <c r="K75" s="499">
        <v>0.85023829008225671</v>
      </c>
      <c r="L75" s="499">
        <v>0.90005448028093993</v>
      </c>
      <c r="M75" s="499">
        <v>0.9591276984453323</v>
      </c>
      <c r="N75" s="499">
        <v>1.0062186467265137</v>
      </c>
    </row>
  </sheetData>
  <mergeCells count="5">
    <mergeCell ref="D2:N2"/>
    <mergeCell ref="S2:T2"/>
    <mergeCell ref="X2:AH2"/>
    <mergeCell ref="D27:N27"/>
    <mergeCell ref="D52:N5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01"/>
  <sheetViews>
    <sheetView workbookViewId="0">
      <selection activeCell="B60" sqref="B60:B80"/>
    </sheetView>
  </sheetViews>
  <sheetFormatPr defaultRowHeight="15" x14ac:dyDescent="0.25"/>
  <cols>
    <col min="1" max="1" width="9.140625" style="23"/>
    <col min="2" max="2" width="14.28515625" style="23" bestFit="1" customWidth="1"/>
    <col min="3" max="3" width="13.85546875" style="23" bestFit="1" customWidth="1"/>
    <col min="4" max="4" width="16.28515625" style="23" bestFit="1" customWidth="1"/>
    <col min="5" max="5" width="15.85546875" style="23" bestFit="1" customWidth="1"/>
    <col min="6" max="7" width="9.140625" style="23"/>
    <col min="8" max="8" width="9.42578125" style="23" bestFit="1" customWidth="1"/>
    <col min="9" max="9" width="9.140625" style="23"/>
    <col min="10" max="10" width="20.42578125" style="23" bestFit="1" customWidth="1"/>
    <col min="11" max="16384" width="9.140625" style="23"/>
  </cols>
  <sheetData>
    <row r="1" spans="1:10" x14ac:dyDescent="0.25">
      <c r="B1" s="23" t="s">
        <v>198</v>
      </c>
      <c r="C1" s="23" t="s">
        <v>199</v>
      </c>
      <c r="D1" s="23" t="s">
        <v>200</v>
      </c>
      <c r="E1" s="23" t="s">
        <v>201</v>
      </c>
    </row>
    <row r="2" spans="1:10" x14ac:dyDescent="0.25">
      <c r="A2" s="23">
        <v>1</v>
      </c>
      <c r="B2" s="227">
        <f>Kalkulátor!$F$17</f>
        <v>0.05</v>
      </c>
      <c r="C2" s="227">
        <v>1.0330000000000001E-2</v>
      </c>
      <c r="D2" s="227">
        <f>(1+B2)^(1/12)-1</f>
        <v>4.0741237836483535E-3</v>
      </c>
      <c r="E2" s="227">
        <f>(1+C2)^(1/12)-1</f>
        <v>8.5678434360270117E-4</v>
      </c>
      <c r="H2" s="23" t="s">
        <v>254</v>
      </c>
      <c r="I2" s="23" t="s">
        <v>255</v>
      </c>
    </row>
    <row r="3" spans="1:10" x14ac:dyDescent="0.25">
      <c r="A3" s="23">
        <v>2</v>
      </c>
      <c r="B3" s="227">
        <f>Kalkulátor!$F$17</f>
        <v>0.05</v>
      </c>
      <c r="C3" s="227">
        <v>2.4879999999999999E-2</v>
      </c>
      <c r="D3" s="227">
        <f t="shared" ref="D3:E48" si="0">(1+B3)^(1/12)-1</f>
        <v>4.0741237836483535E-3</v>
      </c>
      <c r="E3" s="227">
        <f t="shared" si="0"/>
        <v>2.0500595517027875E-3</v>
      </c>
      <c r="H3" s="228">
        <f>1+D2</f>
        <v>1.0040741237836484</v>
      </c>
      <c r="I3" s="228">
        <f>I5</f>
        <v>0.99917500000000004</v>
      </c>
      <c r="J3" s="327">
        <f>H3*I3</f>
        <v>1.003245762631527</v>
      </c>
    </row>
    <row r="4" spans="1:10" x14ac:dyDescent="0.25">
      <c r="A4" s="23">
        <v>3</v>
      </c>
      <c r="B4" s="227">
        <f>Kalkulátor!$F$17</f>
        <v>0.05</v>
      </c>
      <c r="C4" s="227">
        <v>3.1320000000000001E-2</v>
      </c>
      <c r="D4" s="227">
        <f t="shared" si="0"/>
        <v>4.0741237836483535E-3</v>
      </c>
      <c r="E4" s="227">
        <f t="shared" si="0"/>
        <v>2.573266443816058E-3</v>
      </c>
      <c r="G4" s="23" t="s">
        <v>253</v>
      </c>
      <c r="H4" s="326">
        <v>9.9000000000000008E-3</v>
      </c>
      <c r="I4" s="228">
        <f>1-H4</f>
        <v>0.99009999999999998</v>
      </c>
    </row>
    <row r="5" spans="1:10" x14ac:dyDescent="0.25">
      <c r="A5" s="23">
        <v>4</v>
      </c>
      <c r="B5" s="227">
        <f>Kalkulátor!$F$17</f>
        <v>0.05</v>
      </c>
      <c r="C5" s="227">
        <v>3.0530000000000002E-2</v>
      </c>
      <c r="D5" s="227">
        <f t="shared" si="0"/>
        <v>4.0741237836483535E-3</v>
      </c>
      <c r="E5" s="227">
        <f t="shared" si="0"/>
        <v>2.5092456509385741E-3</v>
      </c>
      <c r="H5" s="325">
        <f>H4/12</f>
        <v>8.250000000000001E-4</v>
      </c>
      <c r="I5" s="228">
        <f>1-H5</f>
        <v>0.99917500000000004</v>
      </c>
    </row>
    <row r="6" spans="1:10" x14ac:dyDescent="0.25">
      <c r="A6" s="23">
        <v>5</v>
      </c>
      <c r="B6" s="227">
        <f>Kalkulátor!$F$17</f>
        <v>0.05</v>
      </c>
      <c r="C6" s="227">
        <v>3.3459999999999997E-2</v>
      </c>
      <c r="D6" s="227">
        <f t="shared" si="0"/>
        <v>4.0741237836483535E-3</v>
      </c>
      <c r="E6" s="227">
        <f t="shared" si="0"/>
        <v>2.7464643046741788E-3</v>
      </c>
    </row>
    <row r="7" spans="1:10" x14ac:dyDescent="0.25">
      <c r="A7" s="23">
        <v>6</v>
      </c>
      <c r="B7" s="227">
        <f>Kalkulátor!$F$17</f>
        <v>0.05</v>
      </c>
      <c r="C7" s="227">
        <v>3.5770000000000003E-2</v>
      </c>
      <c r="D7" s="227">
        <f t="shared" si="0"/>
        <v>4.0741237836483535E-3</v>
      </c>
      <c r="E7" s="227">
        <f t="shared" si="0"/>
        <v>2.9330522945167914E-3</v>
      </c>
    </row>
    <row r="8" spans="1:10" x14ac:dyDescent="0.25">
      <c r="A8" s="23">
        <v>7</v>
      </c>
      <c r="B8" s="227">
        <f>Kalkulátor!$F$17</f>
        <v>0.05</v>
      </c>
      <c r="C8" s="227">
        <v>3.9140000000000001E-2</v>
      </c>
      <c r="D8" s="227">
        <f t="shared" si="0"/>
        <v>4.0741237836483535E-3</v>
      </c>
      <c r="E8" s="227">
        <f t="shared" si="0"/>
        <v>3.2045777147584609E-3</v>
      </c>
      <c r="H8" s="228">
        <f>(1+yields!$D$2)</f>
        <v>1.0040741237836484</v>
      </c>
      <c r="I8" s="23">
        <f>(1-(0.0099/12))</f>
        <v>0.99917500000000004</v>
      </c>
      <c r="J8" s="327">
        <f>(1+yields!$D$2)*(1-(0.0099/12))</f>
        <v>1.003245762631527</v>
      </c>
    </row>
    <row r="9" spans="1:10" x14ac:dyDescent="0.25">
      <c r="A9" s="23">
        <v>8</v>
      </c>
      <c r="B9" s="227">
        <f>Kalkulátor!$F$17</f>
        <v>0.05</v>
      </c>
      <c r="C9" s="227">
        <v>4.2750000000000003E-2</v>
      </c>
      <c r="D9" s="227">
        <f t="shared" si="0"/>
        <v>4.0741237836483535E-3</v>
      </c>
      <c r="E9" s="227">
        <f t="shared" si="0"/>
        <v>3.4945462468616295E-3</v>
      </c>
    </row>
    <row r="10" spans="1:10" x14ac:dyDescent="0.25">
      <c r="A10" s="23">
        <v>9</v>
      </c>
      <c r="B10" s="227">
        <f>Kalkulátor!$F$17</f>
        <v>0.05</v>
      </c>
      <c r="C10" s="227">
        <v>4.6379999999999998E-2</v>
      </c>
      <c r="D10" s="227">
        <f t="shared" si="0"/>
        <v>4.0741237836483535E-3</v>
      </c>
      <c r="E10" s="227">
        <f t="shared" si="0"/>
        <v>3.7851948558595971E-3</v>
      </c>
    </row>
    <row r="11" spans="1:10" x14ac:dyDescent="0.25">
      <c r="A11" s="23">
        <v>10</v>
      </c>
      <c r="B11" s="227">
        <f>Kalkulátor!$F$17</f>
        <v>0.05</v>
      </c>
      <c r="C11" s="227">
        <v>4.7370000000000002E-2</v>
      </c>
      <c r="D11" s="227">
        <f t="shared" si="0"/>
        <v>4.0741237836483535E-3</v>
      </c>
      <c r="E11" s="227">
        <f t="shared" si="0"/>
        <v>3.864302244883433E-3</v>
      </c>
    </row>
    <row r="12" spans="1:10" x14ac:dyDescent="0.25">
      <c r="A12" s="23">
        <v>11</v>
      </c>
      <c r="B12" s="227">
        <f>Kalkulátor!$F$17</f>
        <v>0.05</v>
      </c>
      <c r="C12" s="227">
        <v>5.0200000000000002E-2</v>
      </c>
      <c r="D12" s="227">
        <f t="shared" si="0"/>
        <v>4.0741237836483535E-3</v>
      </c>
      <c r="E12" s="227">
        <f t="shared" si="0"/>
        <v>4.0900600769369078E-3</v>
      </c>
    </row>
    <row r="13" spans="1:10" x14ac:dyDescent="0.25">
      <c r="A13" s="23">
        <v>12</v>
      </c>
      <c r="B13" s="227">
        <f>Kalkulátor!$F$17</f>
        <v>0.05</v>
      </c>
      <c r="C13" s="227">
        <v>5.3120000000000001E-2</v>
      </c>
      <c r="D13" s="227">
        <f t="shared" si="0"/>
        <v>4.0741237836483535E-3</v>
      </c>
      <c r="E13" s="227">
        <f t="shared" si="0"/>
        <v>4.3224136958543991E-3</v>
      </c>
    </row>
    <row r="14" spans="1:10" x14ac:dyDescent="0.25">
      <c r="A14" s="23">
        <v>13</v>
      </c>
      <c r="B14" s="227">
        <f>Kalkulátor!$F$17</f>
        <v>0.05</v>
      </c>
      <c r="C14" s="227">
        <v>5.4859999999999999E-2</v>
      </c>
      <c r="D14" s="227">
        <f t="shared" si="0"/>
        <v>4.0741237836483535E-3</v>
      </c>
      <c r="E14" s="227">
        <f t="shared" si="0"/>
        <v>4.4605903395029678E-3</v>
      </c>
    </row>
    <row r="15" spans="1:10" x14ac:dyDescent="0.25">
      <c r="A15" s="23">
        <v>14</v>
      </c>
      <c r="B15" s="227">
        <f>Kalkulátor!$F$17</f>
        <v>0.05</v>
      </c>
      <c r="C15" s="227">
        <v>5.5750000000000001E-2</v>
      </c>
      <c r="D15" s="227">
        <f t="shared" si="0"/>
        <v>4.0741237836483535E-3</v>
      </c>
      <c r="E15" s="227">
        <f t="shared" si="0"/>
        <v>4.5311861540746623E-3</v>
      </c>
    </row>
    <row r="16" spans="1:10" x14ac:dyDescent="0.25">
      <c r="A16" s="23">
        <v>15</v>
      </c>
      <c r="B16" s="227">
        <f>Kalkulátor!$F$17</f>
        <v>0.05</v>
      </c>
      <c r="C16" s="227">
        <v>5.5489999999999998E-2</v>
      </c>
      <c r="D16" s="227">
        <f t="shared" si="0"/>
        <v>4.0741237836483535E-3</v>
      </c>
      <c r="E16" s="227">
        <f t="shared" si="0"/>
        <v>4.5105683000024044E-3</v>
      </c>
    </row>
    <row r="17" spans="1:5" x14ac:dyDescent="0.25">
      <c r="A17" s="23">
        <v>16</v>
      </c>
      <c r="B17" s="227">
        <f>Kalkulátor!$F$17</f>
        <v>0.05</v>
      </c>
      <c r="C17" s="227">
        <v>5.4530000000000002E-2</v>
      </c>
      <c r="D17" s="227">
        <f t="shared" si="0"/>
        <v>4.0741237836483535E-3</v>
      </c>
      <c r="E17" s="227">
        <f t="shared" si="0"/>
        <v>4.4344004871306186E-3</v>
      </c>
    </row>
    <row r="18" spans="1:5" x14ac:dyDescent="0.25">
      <c r="A18" s="23">
        <v>17</v>
      </c>
      <c r="B18" s="227">
        <f>Kalkulátor!$F$17</f>
        <v>0.05</v>
      </c>
      <c r="C18" s="227">
        <v>5.3159999999999999E-2</v>
      </c>
      <c r="D18" s="227">
        <f t="shared" si="0"/>
        <v>4.0741237836483535E-3</v>
      </c>
      <c r="E18" s="227">
        <f t="shared" si="0"/>
        <v>4.3255925198260048E-3</v>
      </c>
    </row>
    <row r="19" spans="1:5" x14ac:dyDescent="0.25">
      <c r="A19" s="23">
        <v>18</v>
      </c>
      <c r="B19" s="227">
        <f>Kalkulátor!$F$17</f>
        <v>0.05</v>
      </c>
      <c r="C19" s="227">
        <v>5.2159999999999998E-2</v>
      </c>
      <c r="D19" s="227">
        <f t="shared" si="0"/>
        <v>4.0741237836483535E-3</v>
      </c>
      <c r="E19" s="227">
        <f t="shared" si="0"/>
        <v>4.2460886981099399E-3</v>
      </c>
    </row>
    <row r="20" spans="1:5" x14ac:dyDescent="0.25">
      <c r="A20" s="23">
        <v>19</v>
      </c>
      <c r="B20" s="227">
        <f>Kalkulátor!$F$17</f>
        <v>0.05</v>
      </c>
      <c r="C20" s="227">
        <v>5.135E-2</v>
      </c>
      <c r="D20" s="227">
        <f t="shared" si="0"/>
        <v>4.0741237836483535E-3</v>
      </c>
      <c r="E20" s="227">
        <f t="shared" si="0"/>
        <v>4.1816398110932074E-3</v>
      </c>
    </row>
    <row r="21" spans="1:5" x14ac:dyDescent="0.25">
      <c r="A21" s="23">
        <v>20</v>
      </c>
      <c r="B21" s="227">
        <f>Kalkulátor!$F$17</f>
        <v>0.05</v>
      </c>
      <c r="C21" s="227">
        <v>5.024E-2</v>
      </c>
      <c r="D21" s="227">
        <f t="shared" si="0"/>
        <v>4.0741237836483535E-3</v>
      </c>
      <c r="E21" s="227">
        <f t="shared" si="0"/>
        <v>4.0932470017516209E-3</v>
      </c>
    </row>
    <row r="22" spans="1:5" x14ac:dyDescent="0.25">
      <c r="A22" s="23">
        <v>21</v>
      </c>
      <c r="B22" s="227">
        <f>Kalkulátor!$F$17</f>
        <v>0.05</v>
      </c>
      <c r="C22" s="227">
        <f>C21</f>
        <v>5.024E-2</v>
      </c>
      <c r="D22" s="227">
        <f t="shared" si="0"/>
        <v>4.0741237836483535E-3</v>
      </c>
      <c r="E22" s="227">
        <f t="shared" si="0"/>
        <v>4.0932470017516209E-3</v>
      </c>
    </row>
    <row r="23" spans="1:5" x14ac:dyDescent="0.25">
      <c r="A23" s="23">
        <v>22</v>
      </c>
      <c r="B23" s="227">
        <f>Kalkulátor!$F$17</f>
        <v>0.05</v>
      </c>
      <c r="C23" s="227">
        <f t="shared" ref="C23:C48" si="1">C22</f>
        <v>5.024E-2</v>
      </c>
      <c r="D23" s="227">
        <f t="shared" si="0"/>
        <v>4.0741237836483535E-3</v>
      </c>
      <c r="E23" s="227">
        <f t="shared" si="0"/>
        <v>4.0932470017516209E-3</v>
      </c>
    </row>
    <row r="24" spans="1:5" x14ac:dyDescent="0.25">
      <c r="A24" s="23">
        <v>23</v>
      </c>
      <c r="B24" s="227">
        <f>Kalkulátor!$F$17</f>
        <v>0.05</v>
      </c>
      <c r="C24" s="227">
        <f t="shared" si="1"/>
        <v>5.024E-2</v>
      </c>
      <c r="D24" s="227">
        <f t="shared" si="0"/>
        <v>4.0741237836483535E-3</v>
      </c>
      <c r="E24" s="227">
        <f t="shared" si="0"/>
        <v>4.0932470017516209E-3</v>
      </c>
    </row>
    <row r="25" spans="1:5" x14ac:dyDescent="0.25">
      <c r="A25" s="23">
        <v>24</v>
      </c>
      <c r="B25" s="227">
        <f>Kalkulátor!$F$17</f>
        <v>0.05</v>
      </c>
      <c r="C25" s="227">
        <f t="shared" si="1"/>
        <v>5.024E-2</v>
      </c>
      <c r="D25" s="227">
        <f t="shared" si="0"/>
        <v>4.0741237836483535E-3</v>
      </c>
      <c r="E25" s="227">
        <f t="shared" si="0"/>
        <v>4.0932470017516209E-3</v>
      </c>
    </row>
    <row r="26" spans="1:5" x14ac:dyDescent="0.25">
      <c r="A26" s="23">
        <v>25</v>
      </c>
      <c r="B26" s="227">
        <f>Kalkulátor!$F$17</f>
        <v>0.05</v>
      </c>
      <c r="C26" s="227">
        <f t="shared" si="1"/>
        <v>5.024E-2</v>
      </c>
      <c r="D26" s="227">
        <f t="shared" si="0"/>
        <v>4.0741237836483535E-3</v>
      </c>
      <c r="E26" s="227">
        <f t="shared" si="0"/>
        <v>4.0932470017516209E-3</v>
      </c>
    </row>
    <row r="27" spans="1:5" x14ac:dyDescent="0.25">
      <c r="A27" s="23">
        <v>26</v>
      </c>
      <c r="B27" s="227">
        <f>Kalkulátor!$F$17</f>
        <v>0.05</v>
      </c>
      <c r="C27" s="227">
        <f t="shared" si="1"/>
        <v>5.024E-2</v>
      </c>
      <c r="D27" s="227">
        <f t="shared" si="0"/>
        <v>4.0741237836483535E-3</v>
      </c>
      <c r="E27" s="227">
        <f t="shared" si="0"/>
        <v>4.0932470017516209E-3</v>
      </c>
    </row>
    <row r="28" spans="1:5" x14ac:dyDescent="0.25">
      <c r="A28" s="23">
        <v>27</v>
      </c>
      <c r="B28" s="227">
        <f>Kalkulátor!$F$17</f>
        <v>0.05</v>
      </c>
      <c r="C28" s="227">
        <f t="shared" si="1"/>
        <v>5.024E-2</v>
      </c>
      <c r="D28" s="227">
        <f t="shared" si="0"/>
        <v>4.0741237836483535E-3</v>
      </c>
      <c r="E28" s="227">
        <f t="shared" si="0"/>
        <v>4.0932470017516209E-3</v>
      </c>
    </row>
    <row r="29" spans="1:5" x14ac:dyDescent="0.25">
      <c r="A29" s="23">
        <v>28</v>
      </c>
      <c r="B29" s="227">
        <f>Kalkulátor!$F$17</f>
        <v>0.05</v>
      </c>
      <c r="C29" s="227">
        <f t="shared" si="1"/>
        <v>5.024E-2</v>
      </c>
      <c r="D29" s="227">
        <f t="shared" si="0"/>
        <v>4.0741237836483535E-3</v>
      </c>
      <c r="E29" s="227">
        <f t="shared" si="0"/>
        <v>4.0932470017516209E-3</v>
      </c>
    </row>
    <row r="30" spans="1:5" x14ac:dyDescent="0.25">
      <c r="A30" s="23">
        <v>29</v>
      </c>
      <c r="B30" s="227">
        <f>Kalkulátor!$F$17</f>
        <v>0.05</v>
      </c>
      <c r="C30" s="227">
        <f t="shared" si="1"/>
        <v>5.024E-2</v>
      </c>
      <c r="D30" s="227">
        <f t="shared" si="0"/>
        <v>4.0741237836483535E-3</v>
      </c>
      <c r="E30" s="227">
        <f t="shared" si="0"/>
        <v>4.0932470017516209E-3</v>
      </c>
    </row>
    <row r="31" spans="1:5" x14ac:dyDescent="0.25">
      <c r="A31" s="23">
        <v>30</v>
      </c>
      <c r="B31" s="227">
        <f>Kalkulátor!$F$17</f>
        <v>0.05</v>
      </c>
      <c r="C31" s="227">
        <f t="shared" si="1"/>
        <v>5.024E-2</v>
      </c>
      <c r="D31" s="227">
        <f t="shared" si="0"/>
        <v>4.0741237836483535E-3</v>
      </c>
      <c r="E31" s="227">
        <f t="shared" si="0"/>
        <v>4.0932470017516209E-3</v>
      </c>
    </row>
    <row r="32" spans="1:5" x14ac:dyDescent="0.25">
      <c r="A32" s="23">
        <v>31</v>
      </c>
      <c r="B32" s="227">
        <f>Kalkulátor!$F$17</f>
        <v>0.05</v>
      </c>
      <c r="C32" s="227">
        <f t="shared" si="1"/>
        <v>5.024E-2</v>
      </c>
      <c r="D32" s="227">
        <f t="shared" si="0"/>
        <v>4.0741237836483535E-3</v>
      </c>
      <c r="E32" s="227">
        <f t="shared" si="0"/>
        <v>4.0932470017516209E-3</v>
      </c>
    </row>
    <row r="33" spans="1:5" x14ac:dyDescent="0.25">
      <c r="A33" s="23">
        <v>32</v>
      </c>
      <c r="B33" s="227">
        <f>Kalkulátor!$F$17</f>
        <v>0.05</v>
      </c>
      <c r="C33" s="227">
        <f t="shared" si="1"/>
        <v>5.024E-2</v>
      </c>
      <c r="D33" s="227">
        <f t="shared" si="0"/>
        <v>4.0741237836483535E-3</v>
      </c>
      <c r="E33" s="227">
        <f t="shared" si="0"/>
        <v>4.0932470017516209E-3</v>
      </c>
    </row>
    <row r="34" spans="1:5" x14ac:dyDescent="0.25">
      <c r="A34" s="23">
        <v>33</v>
      </c>
      <c r="B34" s="227">
        <f>Kalkulátor!$F$17</f>
        <v>0.05</v>
      </c>
      <c r="C34" s="227">
        <f t="shared" si="1"/>
        <v>5.024E-2</v>
      </c>
      <c r="D34" s="227">
        <f t="shared" si="0"/>
        <v>4.0741237836483535E-3</v>
      </c>
      <c r="E34" s="227">
        <f t="shared" si="0"/>
        <v>4.0932470017516209E-3</v>
      </c>
    </row>
    <row r="35" spans="1:5" x14ac:dyDescent="0.25">
      <c r="A35" s="23">
        <v>34</v>
      </c>
      <c r="B35" s="227">
        <f>Kalkulátor!$F$17</f>
        <v>0.05</v>
      </c>
      <c r="C35" s="227">
        <f t="shared" si="1"/>
        <v>5.024E-2</v>
      </c>
      <c r="D35" s="227">
        <f t="shared" si="0"/>
        <v>4.0741237836483535E-3</v>
      </c>
      <c r="E35" s="227">
        <f t="shared" si="0"/>
        <v>4.0932470017516209E-3</v>
      </c>
    </row>
    <row r="36" spans="1:5" x14ac:dyDescent="0.25">
      <c r="A36" s="23">
        <v>35</v>
      </c>
      <c r="B36" s="227">
        <f>Kalkulátor!$F$17</f>
        <v>0.05</v>
      </c>
      <c r="C36" s="227">
        <f t="shared" si="1"/>
        <v>5.024E-2</v>
      </c>
      <c r="D36" s="227">
        <f t="shared" si="0"/>
        <v>4.0741237836483535E-3</v>
      </c>
      <c r="E36" s="227">
        <f t="shared" si="0"/>
        <v>4.0932470017516209E-3</v>
      </c>
    </row>
    <row r="37" spans="1:5" x14ac:dyDescent="0.25">
      <c r="A37" s="23">
        <v>36</v>
      </c>
      <c r="B37" s="227">
        <f>Kalkulátor!$F$17</f>
        <v>0.05</v>
      </c>
      <c r="C37" s="227">
        <f t="shared" si="1"/>
        <v>5.024E-2</v>
      </c>
      <c r="D37" s="227">
        <f t="shared" si="0"/>
        <v>4.0741237836483535E-3</v>
      </c>
      <c r="E37" s="227">
        <f t="shared" si="0"/>
        <v>4.0932470017516209E-3</v>
      </c>
    </row>
    <row r="38" spans="1:5" x14ac:dyDescent="0.25">
      <c r="A38" s="23">
        <v>37</v>
      </c>
      <c r="B38" s="227">
        <f>Kalkulátor!$F$17</f>
        <v>0.05</v>
      </c>
      <c r="C38" s="227">
        <f t="shared" si="1"/>
        <v>5.024E-2</v>
      </c>
      <c r="D38" s="227">
        <f t="shared" si="0"/>
        <v>4.0741237836483535E-3</v>
      </c>
      <c r="E38" s="227">
        <f t="shared" si="0"/>
        <v>4.0932470017516209E-3</v>
      </c>
    </row>
    <row r="39" spans="1:5" x14ac:dyDescent="0.25">
      <c r="A39" s="23">
        <v>38</v>
      </c>
      <c r="B39" s="227">
        <f>Kalkulátor!$F$17</f>
        <v>0.05</v>
      </c>
      <c r="C39" s="227">
        <f t="shared" si="1"/>
        <v>5.024E-2</v>
      </c>
      <c r="D39" s="227">
        <f t="shared" si="0"/>
        <v>4.0741237836483535E-3</v>
      </c>
      <c r="E39" s="227">
        <f t="shared" si="0"/>
        <v>4.0932470017516209E-3</v>
      </c>
    </row>
    <row r="40" spans="1:5" x14ac:dyDescent="0.25">
      <c r="A40" s="23">
        <v>39</v>
      </c>
      <c r="B40" s="227">
        <f>Kalkulátor!$F$17</f>
        <v>0.05</v>
      </c>
      <c r="C40" s="227">
        <f t="shared" si="1"/>
        <v>5.024E-2</v>
      </c>
      <c r="D40" s="227">
        <f t="shared" si="0"/>
        <v>4.0741237836483535E-3</v>
      </c>
      <c r="E40" s="227">
        <f t="shared" si="0"/>
        <v>4.0932470017516209E-3</v>
      </c>
    </row>
    <row r="41" spans="1:5" x14ac:dyDescent="0.25">
      <c r="A41" s="23">
        <v>40</v>
      </c>
      <c r="B41" s="227">
        <f>Kalkulátor!$F$17</f>
        <v>0.05</v>
      </c>
      <c r="C41" s="227">
        <f t="shared" si="1"/>
        <v>5.024E-2</v>
      </c>
      <c r="D41" s="227">
        <f t="shared" si="0"/>
        <v>4.0741237836483535E-3</v>
      </c>
      <c r="E41" s="227">
        <f t="shared" si="0"/>
        <v>4.0932470017516209E-3</v>
      </c>
    </row>
    <row r="42" spans="1:5" x14ac:dyDescent="0.25">
      <c r="A42" s="23">
        <v>41</v>
      </c>
      <c r="B42" s="227">
        <f>Kalkulátor!$F$17</f>
        <v>0.05</v>
      </c>
      <c r="C42" s="227">
        <f t="shared" si="1"/>
        <v>5.024E-2</v>
      </c>
      <c r="D42" s="227">
        <f t="shared" si="0"/>
        <v>4.0741237836483535E-3</v>
      </c>
      <c r="E42" s="227">
        <f t="shared" si="0"/>
        <v>4.0932470017516209E-3</v>
      </c>
    </row>
    <row r="43" spans="1:5" x14ac:dyDescent="0.25">
      <c r="A43" s="23">
        <v>42</v>
      </c>
      <c r="B43" s="227">
        <f>Kalkulátor!$F$17</f>
        <v>0.05</v>
      </c>
      <c r="C43" s="227">
        <f t="shared" si="1"/>
        <v>5.024E-2</v>
      </c>
      <c r="D43" s="227">
        <f t="shared" si="0"/>
        <v>4.0741237836483535E-3</v>
      </c>
      <c r="E43" s="227">
        <f t="shared" si="0"/>
        <v>4.0932470017516209E-3</v>
      </c>
    </row>
    <row r="44" spans="1:5" x14ac:dyDescent="0.25">
      <c r="A44" s="23">
        <v>43</v>
      </c>
      <c r="B44" s="227">
        <f>Kalkulátor!$F$17</f>
        <v>0.05</v>
      </c>
      <c r="C44" s="227">
        <f t="shared" si="1"/>
        <v>5.024E-2</v>
      </c>
      <c r="D44" s="227">
        <f t="shared" si="0"/>
        <v>4.0741237836483535E-3</v>
      </c>
      <c r="E44" s="227">
        <f t="shared" si="0"/>
        <v>4.0932470017516209E-3</v>
      </c>
    </row>
    <row r="45" spans="1:5" x14ac:dyDescent="0.25">
      <c r="A45" s="23">
        <v>44</v>
      </c>
      <c r="B45" s="227">
        <f>Kalkulátor!$F$17</f>
        <v>0.05</v>
      </c>
      <c r="C45" s="227">
        <f t="shared" si="1"/>
        <v>5.024E-2</v>
      </c>
      <c r="D45" s="227">
        <f t="shared" si="0"/>
        <v>4.0741237836483535E-3</v>
      </c>
      <c r="E45" s="227">
        <f t="shared" si="0"/>
        <v>4.0932470017516209E-3</v>
      </c>
    </row>
    <row r="46" spans="1:5" x14ac:dyDescent="0.25">
      <c r="A46" s="23">
        <v>45</v>
      </c>
      <c r="B46" s="227">
        <f>Kalkulátor!$F$17</f>
        <v>0.05</v>
      </c>
      <c r="C46" s="227">
        <f t="shared" si="1"/>
        <v>5.024E-2</v>
      </c>
      <c r="D46" s="227">
        <f t="shared" si="0"/>
        <v>4.0741237836483535E-3</v>
      </c>
      <c r="E46" s="227">
        <f t="shared" si="0"/>
        <v>4.0932470017516209E-3</v>
      </c>
    </row>
    <row r="47" spans="1:5" x14ac:dyDescent="0.25">
      <c r="A47" s="23">
        <v>46</v>
      </c>
      <c r="B47" s="227">
        <f>Kalkulátor!$F$17</f>
        <v>0.05</v>
      </c>
      <c r="C47" s="227">
        <f t="shared" si="1"/>
        <v>5.024E-2</v>
      </c>
      <c r="D47" s="227">
        <f t="shared" si="0"/>
        <v>4.0741237836483535E-3</v>
      </c>
      <c r="E47" s="227">
        <f t="shared" si="0"/>
        <v>4.0932470017516209E-3</v>
      </c>
    </row>
    <row r="48" spans="1:5" x14ac:dyDescent="0.25">
      <c r="A48" s="23">
        <v>47</v>
      </c>
      <c r="B48" s="227">
        <f>Kalkulátor!$F$17</f>
        <v>0.05</v>
      </c>
      <c r="C48" s="227">
        <f t="shared" si="1"/>
        <v>5.024E-2</v>
      </c>
      <c r="D48" s="227">
        <f t="shared" si="0"/>
        <v>4.0741237836483535E-3</v>
      </c>
      <c r="E48" s="227">
        <f t="shared" si="0"/>
        <v>4.0932470017516209E-3</v>
      </c>
    </row>
    <row r="49" spans="1:1" x14ac:dyDescent="0.25">
      <c r="A49" s="23">
        <v>48</v>
      </c>
    </row>
    <row r="50" spans="1:1" x14ac:dyDescent="0.25">
      <c r="A50" s="23">
        <v>49</v>
      </c>
    </row>
    <row r="51" spans="1:1" x14ac:dyDescent="0.25">
      <c r="A51" s="23">
        <v>50</v>
      </c>
    </row>
    <row r="52" spans="1:1" x14ac:dyDescent="0.25">
      <c r="A52" s="23">
        <v>51</v>
      </c>
    </row>
    <row r="53" spans="1:1" x14ac:dyDescent="0.25">
      <c r="A53" s="23">
        <v>52</v>
      </c>
    </row>
    <row r="54" spans="1:1" x14ac:dyDescent="0.25">
      <c r="A54" s="23">
        <v>53</v>
      </c>
    </row>
    <row r="55" spans="1:1" x14ac:dyDescent="0.25">
      <c r="A55" s="23">
        <v>54</v>
      </c>
    </row>
    <row r="56" spans="1:1" x14ac:dyDescent="0.25">
      <c r="A56" s="23">
        <v>55</v>
      </c>
    </row>
    <row r="57" spans="1:1" x14ac:dyDescent="0.25">
      <c r="A57" s="23">
        <v>56</v>
      </c>
    </row>
    <row r="58" spans="1:1" x14ac:dyDescent="0.25">
      <c r="A58" s="23">
        <v>57</v>
      </c>
    </row>
    <row r="59" spans="1:1" x14ac:dyDescent="0.25">
      <c r="A59" s="23">
        <v>58</v>
      </c>
    </row>
    <row r="60" spans="1:1" x14ac:dyDescent="0.25">
      <c r="A60" s="23">
        <v>59</v>
      </c>
    </row>
    <row r="61" spans="1:1" x14ac:dyDescent="0.25">
      <c r="A61" s="23">
        <v>60</v>
      </c>
    </row>
    <row r="62" spans="1:1" x14ac:dyDescent="0.25">
      <c r="A62" s="23">
        <v>61</v>
      </c>
    </row>
    <row r="63" spans="1:1" x14ac:dyDescent="0.25">
      <c r="A63" s="23">
        <v>62</v>
      </c>
    </row>
    <row r="64" spans="1:1" x14ac:dyDescent="0.25">
      <c r="A64" s="23">
        <v>63</v>
      </c>
    </row>
    <row r="65" spans="1:1" x14ac:dyDescent="0.25">
      <c r="A65" s="23">
        <v>64</v>
      </c>
    </row>
    <row r="66" spans="1:1" x14ac:dyDescent="0.25">
      <c r="A66" s="23">
        <v>65</v>
      </c>
    </row>
    <row r="67" spans="1:1" x14ac:dyDescent="0.25">
      <c r="A67" s="23">
        <v>66</v>
      </c>
    </row>
    <row r="68" spans="1:1" x14ac:dyDescent="0.25">
      <c r="A68" s="23">
        <v>67</v>
      </c>
    </row>
    <row r="69" spans="1:1" x14ac:dyDescent="0.25">
      <c r="A69" s="23">
        <v>68</v>
      </c>
    </row>
    <row r="70" spans="1:1" x14ac:dyDescent="0.25">
      <c r="A70" s="23">
        <v>69</v>
      </c>
    </row>
    <row r="71" spans="1:1" x14ac:dyDescent="0.25">
      <c r="A71" s="23">
        <v>70</v>
      </c>
    </row>
    <row r="72" spans="1:1" x14ac:dyDescent="0.25">
      <c r="A72" s="23">
        <v>71</v>
      </c>
    </row>
    <row r="73" spans="1:1" x14ac:dyDescent="0.25">
      <c r="A73" s="23">
        <v>72</v>
      </c>
    </row>
    <row r="74" spans="1:1" x14ac:dyDescent="0.25">
      <c r="A74" s="23">
        <v>73</v>
      </c>
    </row>
    <row r="75" spans="1:1" x14ac:dyDescent="0.25">
      <c r="A75" s="23">
        <v>74</v>
      </c>
    </row>
    <row r="76" spans="1:1" x14ac:dyDescent="0.25">
      <c r="A76" s="23">
        <v>75</v>
      </c>
    </row>
    <row r="77" spans="1:1" x14ac:dyDescent="0.25">
      <c r="A77" s="23">
        <v>76</v>
      </c>
    </row>
    <row r="78" spans="1:1" x14ac:dyDescent="0.25">
      <c r="A78" s="23">
        <v>77</v>
      </c>
    </row>
    <row r="79" spans="1:1" x14ac:dyDescent="0.25">
      <c r="A79" s="23">
        <v>78</v>
      </c>
    </row>
    <row r="80" spans="1:1" x14ac:dyDescent="0.25">
      <c r="A80" s="23">
        <v>79</v>
      </c>
    </row>
    <row r="81" spans="1:1" x14ac:dyDescent="0.25">
      <c r="A81" s="23">
        <v>80</v>
      </c>
    </row>
    <row r="82" spans="1:1" x14ac:dyDescent="0.25">
      <c r="A82" s="23">
        <v>81</v>
      </c>
    </row>
    <row r="83" spans="1:1" x14ac:dyDescent="0.25">
      <c r="A83" s="23">
        <v>82</v>
      </c>
    </row>
    <row r="84" spans="1:1" x14ac:dyDescent="0.25">
      <c r="A84" s="23">
        <v>83</v>
      </c>
    </row>
    <row r="85" spans="1:1" x14ac:dyDescent="0.25">
      <c r="A85" s="23">
        <v>84</v>
      </c>
    </row>
    <row r="86" spans="1:1" x14ac:dyDescent="0.25">
      <c r="A86" s="23">
        <v>85</v>
      </c>
    </row>
    <row r="87" spans="1:1" x14ac:dyDescent="0.25">
      <c r="A87" s="23">
        <v>86</v>
      </c>
    </row>
    <row r="88" spans="1:1" x14ac:dyDescent="0.25">
      <c r="A88" s="23">
        <v>87</v>
      </c>
    </row>
    <row r="89" spans="1:1" x14ac:dyDescent="0.25">
      <c r="A89" s="23">
        <v>88</v>
      </c>
    </row>
    <row r="90" spans="1:1" x14ac:dyDescent="0.25">
      <c r="A90" s="23">
        <v>89</v>
      </c>
    </row>
    <row r="91" spans="1:1" x14ac:dyDescent="0.25">
      <c r="A91" s="23">
        <v>90</v>
      </c>
    </row>
    <row r="92" spans="1:1" x14ac:dyDescent="0.25">
      <c r="A92" s="23">
        <v>91</v>
      </c>
    </row>
    <row r="93" spans="1:1" x14ac:dyDescent="0.25">
      <c r="A93" s="23">
        <v>92</v>
      </c>
    </row>
    <row r="94" spans="1:1" x14ac:dyDescent="0.25">
      <c r="A94" s="23">
        <v>93</v>
      </c>
    </row>
    <row r="95" spans="1:1" x14ac:dyDescent="0.25">
      <c r="A95" s="23">
        <v>94</v>
      </c>
    </row>
    <row r="96" spans="1:1" x14ac:dyDescent="0.25">
      <c r="A96" s="23">
        <v>95</v>
      </c>
    </row>
    <row r="97" spans="1:1" x14ac:dyDescent="0.25">
      <c r="A97" s="23">
        <v>96</v>
      </c>
    </row>
    <row r="98" spans="1:1" x14ac:dyDescent="0.25">
      <c r="A98" s="23">
        <v>97</v>
      </c>
    </row>
    <row r="99" spans="1:1" x14ac:dyDescent="0.25">
      <c r="A99" s="23">
        <v>98</v>
      </c>
    </row>
    <row r="100" spans="1:1" x14ac:dyDescent="0.25">
      <c r="A100" s="23">
        <v>99</v>
      </c>
    </row>
    <row r="101" spans="1:1" x14ac:dyDescent="0.25">
      <c r="A101" s="23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1:AE3"/>
  <sheetViews>
    <sheetView zoomScale="115" zoomScaleNormal="115" workbookViewId="0">
      <pane xSplit="3" ySplit="2" topLeftCell="D3" activePane="bottomRight" state="frozen"/>
      <selection activeCell="C36" sqref="C36"/>
      <selection pane="topRight" activeCell="C36" sqref="C36"/>
      <selection pane="bottomLeft" activeCell="C36" sqref="C36"/>
      <selection pane="bottomRight" activeCell="C36" sqref="C36"/>
    </sheetView>
  </sheetViews>
  <sheetFormatPr defaultRowHeight="12" x14ac:dyDescent="0.2"/>
  <cols>
    <col min="1" max="1" width="6" style="1" customWidth="1"/>
    <col min="2" max="2" width="6.140625" style="2" customWidth="1"/>
    <col min="3" max="3" width="19.42578125" style="3" customWidth="1"/>
    <col min="4" max="5" width="9.85546875" style="4" bestFit="1" customWidth="1"/>
    <col min="6" max="6" width="8.140625" style="5" customWidth="1"/>
    <col min="7" max="8" width="5.5703125" style="2" customWidth="1"/>
    <col min="9" max="10" width="6.28515625" style="4" customWidth="1"/>
    <col min="11" max="11" width="12.7109375" style="6" bestFit="1" customWidth="1"/>
    <col min="12" max="15" width="6.85546875" style="7" customWidth="1"/>
    <col min="16" max="16" width="10.85546875" style="8" customWidth="1"/>
    <col min="17" max="17" width="6.28515625" style="2" customWidth="1"/>
    <col min="18" max="18" width="8.85546875" style="9" customWidth="1"/>
    <col min="19" max="21" width="8.42578125" style="9" customWidth="1"/>
    <col min="22" max="22" width="11.7109375" style="9" customWidth="1"/>
    <col min="23" max="23" width="6.42578125" style="7" customWidth="1"/>
    <col min="24" max="24" width="8" style="7" customWidth="1"/>
    <col min="25" max="25" width="9.140625" style="4"/>
    <col min="26" max="31" width="9.140625" style="255"/>
    <col min="32" max="16384" width="9.140625" style="4"/>
  </cols>
  <sheetData>
    <row r="1" spans="1:31" x14ac:dyDescent="0.2">
      <c r="A1" s="1" t="s">
        <v>3</v>
      </c>
    </row>
    <row r="2" spans="1:31" ht="46.5" customHeight="1" x14ac:dyDescent="0.2">
      <c r="A2" s="10" t="s">
        <v>4</v>
      </c>
      <c r="B2" s="10" t="s">
        <v>5</v>
      </c>
      <c r="C2" s="11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2" t="s">
        <v>14</v>
      </c>
      <c r="L2" s="10" t="s">
        <v>15</v>
      </c>
      <c r="M2" s="10" t="s">
        <v>16</v>
      </c>
      <c r="N2" s="431" t="s">
        <v>300</v>
      </c>
      <c r="O2" s="10" t="s">
        <v>17</v>
      </c>
      <c r="P2" s="13" t="s">
        <v>18</v>
      </c>
      <c r="Q2" s="10" t="s">
        <v>19</v>
      </c>
      <c r="R2" s="14" t="s">
        <v>20</v>
      </c>
      <c r="S2" s="14" t="s">
        <v>21</v>
      </c>
      <c r="T2" s="14" t="s">
        <v>22</v>
      </c>
      <c r="U2" s="14" t="s">
        <v>23</v>
      </c>
      <c r="V2" s="14" t="s">
        <v>24</v>
      </c>
      <c r="W2" s="10" t="s">
        <v>25</v>
      </c>
      <c r="X2" s="10" t="s">
        <v>26</v>
      </c>
      <c r="Y2" s="10" t="s">
        <v>33</v>
      </c>
      <c r="Z2" s="256" t="s">
        <v>209</v>
      </c>
      <c r="AA2" s="256" t="s">
        <v>210</v>
      </c>
      <c r="AB2" s="256" t="s">
        <v>211</v>
      </c>
      <c r="AC2" s="256" t="s">
        <v>214</v>
      </c>
      <c r="AD2" s="256" t="s">
        <v>212</v>
      </c>
      <c r="AE2" s="256" t="s">
        <v>213</v>
      </c>
    </row>
    <row r="3" spans="1:31" x14ac:dyDescent="0.2">
      <c r="A3" s="435">
        <v>240</v>
      </c>
      <c r="B3" s="7" t="s">
        <v>30</v>
      </c>
      <c r="C3" s="436" t="s">
        <v>40</v>
      </c>
      <c r="D3" s="437">
        <v>42736</v>
      </c>
      <c r="E3" s="438"/>
      <c r="F3" s="439" t="s">
        <v>31</v>
      </c>
      <c r="G3" s="429" t="s">
        <v>10</v>
      </c>
      <c r="H3" s="429" t="s">
        <v>27</v>
      </c>
      <c r="I3" s="440">
        <v>10</v>
      </c>
      <c r="J3" s="440">
        <v>35</v>
      </c>
      <c r="K3" s="434">
        <v>120000</v>
      </c>
      <c r="L3" s="441">
        <v>18</v>
      </c>
      <c r="M3" s="441">
        <v>65</v>
      </c>
      <c r="N3" s="441">
        <v>65</v>
      </c>
      <c r="O3" s="441">
        <v>85</v>
      </c>
      <c r="P3" s="443"/>
      <c r="Q3" s="439" t="s">
        <v>28</v>
      </c>
      <c r="R3" s="442" t="s">
        <v>298</v>
      </c>
      <c r="S3" s="444"/>
      <c r="T3" s="444"/>
      <c r="U3" s="444"/>
      <c r="V3" s="442" t="s">
        <v>299</v>
      </c>
    </row>
  </sheetData>
  <autoFilter ref="A2:R3"/>
  <conditionalFormatting sqref="C1:C1048576">
    <cfRule type="expression" dxfId="22" priority="7">
      <formula>$E1=""</formula>
    </cfRule>
  </conditionalFormatting>
  <conditionalFormatting sqref="I1:J1048576">
    <cfRule type="expression" dxfId="21" priority="8">
      <formula>$H1="-"</formula>
    </cfRule>
  </conditionalFormatting>
  <conditionalFormatting sqref="A1:Y1048576">
    <cfRule type="expression" dxfId="20" priority="1">
      <formula>$E1&lt;&gt;""</formula>
    </cfRule>
  </conditionalFormatting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Normal="100" workbookViewId="0">
      <pane ySplit="1" topLeftCell="A101" activePane="bottomLeft" state="frozen"/>
      <selection activeCell="C36" sqref="C36"/>
      <selection pane="bottomLeft" activeCell="C36" sqref="C36"/>
    </sheetView>
  </sheetViews>
  <sheetFormatPr defaultRowHeight="15" x14ac:dyDescent="0.25"/>
  <cols>
    <col min="1" max="1" width="9.140625" style="229"/>
    <col min="2" max="2" width="10.5703125" style="229" customWidth="1"/>
    <col min="3" max="3" width="9.140625" style="229"/>
    <col min="4" max="4" width="41.42578125" style="229" bestFit="1" customWidth="1"/>
    <col min="5" max="8" width="15.5703125" style="229" customWidth="1"/>
    <col min="9" max="16384" width="9.140625" style="16"/>
  </cols>
  <sheetData>
    <row r="1" spans="1:9" ht="33.75" x14ac:dyDescent="0.25">
      <c r="A1" s="425" t="s">
        <v>102</v>
      </c>
      <c r="B1" s="425" t="s">
        <v>101</v>
      </c>
      <c r="C1" s="425" t="s">
        <v>4</v>
      </c>
      <c r="D1" s="19" t="s">
        <v>97</v>
      </c>
      <c r="E1" s="426" t="s">
        <v>98</v>
      </c>
      <c r="F1" s="19" t="s">
        <v>98</v>
      </c>
      <c r="G1" s="19" t="s">
        <v>99</v>
      </c>
      <c r="H1" s="427" t="s">
        <v>100</v>
      </c>
      <c r="I1" s="19"/>
    </row>
    <row r="2" spans="1:9" x14ac:dyDescent="0.25">
      <c r="A2" s="428"/>
      <c r="E2" s="17"/>
      <c r="F2" s="15"/>
      <c r="G2" s="17"/>
      <c r="H2" s="18"/>
    </row>
    <row r="3" spans="1:9" x14ac:dyDescent="0.25">
      <c r="A3" s="428"/>
      <c r="E3" s="17"/>
      <c r="F3" s="15"/>
      <c r="G3" s="17"/>
      <c r="H3" s="18"/>
    </row>
    <row r="4" spans="1:9" x14ac:dyDescent="0.25">
      <c r="A4" s="428"/>
      <c r="E4" s="17"/>
      <c r="F4" s="15"/>
      <c r="G4" s="17"/>
      <c r="H4" s="18"/>
    </row>
    <row r="5" spans="1:9" x14ac:dyDescent="0.25">
      <c r="A5" s="428"/>
      <c r="E5" s="17"/>
      <c r="F5" s="15"/>
      <c r="G5" s="17"/>
      <c r="H5" s="18"/>
    </row>
    <row r="6" spans="1:9" x14ac:dyDescent="0.25">
      <c r="A6" s="428"/>
      <c r="E6" s="17"/>
      <c r="F6" s="15"/>
      <c r="G6" s="17"/>
      <c r="H6" s="18"/>
    </row>
    <row r="7" spans="1:9" x14ac:dyDescent="0.25">
      <c r="A7" s="428"/>
      <c r="E7" s="17"/>
      <c r="F7" s="15"/>
      <c r="G7" s="17"/>
      <c r="H7" s="18"/>
    </row>
    <row r="8" spans="1:9" x14ac:dyDescent="0.25">
      <c r="A8" s="428"/>
      <c r="E8" s="17"/>
      <c r="F8" s="15"/>
      <c r="G8" s="17"/>
      <c r="H8" s="18"/>
    </row>
    <row r="9" spans="1:9" x14ac:dyDescent="0.25">
      <c r="A9" s="428"/>
      <c r="E9" s="17"/>
      <c r="F9" s="15"/>
      <c r="G9" s="17"/>
      <c r="H9" s="18"/>
    </row>
    <row r="10" spans="1:9" x14ac:dyDescent="0.25">
      <c r="A10" s="428"/>
      <c r="E10" s="17"/>
      <c r="F10" s="15"/>
      <c r="G10" s="17"/>
      <c r="H10" s="18"/>
    </row>
    <row r="11" spans="1:9" x14ac:dyDescent="0.25">
      <c r="A11" s="428"/>
      <c r="E11" s="17"/>
      <c r="F11" s="15"/>
      <c r="G11" s="17"/>
      <c r="H11" s="18"/>
    </row>
    <row r="12" spans="1:9" x14ac:dyDescent="0.25">
      <c r="A12" s="428"/>
      <c r="E12" s="17"/>
      <c r="F12" s="15"/>
      <c r="G12" s="17"/>
      <c r="H12" s="18"/>
    </row>
    <row r="13" spans="1:9" x14ac:dyDescent="0.25">
      <c r="A13" s="428"/>
      <c r="E13" s="17"/>
      <c r="F13" s="15"/>
      <c r="G13" s="17"/>
      <c r="H13" s="18"/>
    </row>
    <row r="14" spans="1:9" x14ac:dyDescent="0.25">
      <c r="A14" s="428"/>
      <c r="E14" s="17"/>
      <c r="F14" s="15"/>
      <c r="G14" s="17"/>
      <c r="H14" s="18"/>
    </row>
    <row r="15" spans="1:9" x14ac:dyDescent="0.25">
      <c r="A15" s="428"/>
      <c r="E15" s="17"/>
      <c r="F15" s="15"/>
      <c r="G15" s="17"/>
      <c r="H15" s="18"/>
    </row>
    <row r="16" spans="1:9" x14ac:dyDescent="0.25">
      <c r="A16" s="428"/>
      <c r="E16" s="17"/>
      <c r="F16" s="15"/>
      <c r="G16" s="17"/>
      <c r="H16" s="18"/>
    </row>
    <row r="17" spans="1:8" x14ac:dyDescent="0.25">
      <c r="A17" s="428"/>
      <c r="E17" s="17"/>
      <c r="F17" s="15"/>
      <c r="G17" s="17"/>
      <c r="H17" s="18"/>
    </row>
    <row r="18" spans="1:8" x14ac:dyDescent="0.25">
      <c r="A18" s="428"/>
      <c r="E18" s="17"/>
      <c r="F18" s="15"/>
      <c r="G18" s="17"/>
      <c r="H18" s="18"/>
    </row>
    <row r="19" spans="1:8" x14ac:dyDescent="0.25">
      <c r="A19" s="428"/>
      <c r="E19" s="17"/>
      <c r="F19" s="15"/>
      <c r="G19" s="17"/>
      <c r="H19" s="18"/>
    </row>
    <row r="20" spans="1:8" x14ac:dyDescent="0.25">
      <c r="A20" s="428"/>
      <c r="E20" s="17"/>
      <c r="F20" s="15"/>
      <c r="G20" s="17"/>
      <c r="H20" s="18"/>
    </row>
    <row r="21" spans="1:8" x14ac:dyDescent="0.25">
      <c r="A21" s="428"/>
      <c r="E21" s="17"/>
      <c r="F21" s="15"/>
      <c r="G21" s="17"/>
      <c r="H21" s="18"/>
    </row>
    <row r="22" spans="1:8" x14ac:dyDescent="0.25">
      <c r="A22" s="428"/>
      <c r="E22" s="17"/>
      <c r="F22" s="15"/>
      <c r="G22" s="17"/>
      <c r="H22" s="18"/>
    </row>
    <row r="23" spans="1:8" x14ac:dyDescent="0.25">
      <c r="A23" s="428"/>
      <c r="E23" s="17"/>
      <c r="F23" s="15"/>
      <c r="G23" s="17"/>
      <c r="H23" s="18"/>
    </row>
    <row r="24" spans="1:8" x14ac:dyDescent="0.25">
      <c r="A24" s="428"/>
      <c r="E24" s="17"/>
      <c r="F24" s="15"/>
      <c r="G24" s="17"/>
      <c r="H24" s="18"/>
    </row>
    <row r="25" spans="1:8" x14ac:dyDescent="0.25">
      <c r="A25" s="428"/>
      <c r="E25" s="17"/>
      <c r="F25" s="15"/>
      <c r="G25" s="17"/>
      <c r="H25" s="18"/>
    </row>
    <row r="26" spans="1:8" x14ac:dyDescent="0.25">
      <c r="A26" s="428"/>
      <c r="E26" s="17"/>
      <c r="F26" s="15"/>
      <c r="G26" s="17"/>
      <c r="H26" s="18"/>
    </row>
    <row r="27" spans="1:8" x14ac:dyDescent="0.25">
      <c r="A27" s="428"/>
      <c r="E27" s="17"/>
      <c r="F27" s="15"/>
      <c r="G27" s="17"/>
      <c r="H27" s="18"/>
    </row>
    <row r="28" spans="1:8" x14ac:dyDescent="0.25">
      <c r="A28" s="428"/>
      <c r="E28" s="17"/>
      <c r="F28" s="15"/>
      <c r="G28" s="17"/>
      <c r="H28" s="18"/>
    </row>
    <row r="29" spans="1:8" x14ac:dyDescent="0.25">
      <c r="A29" s="428"/>
      <c r="E29" s="17"/>
      <c r="F29" s="15"/>
      <c r="G29" s="17"/>
      <c r="H29" s="18"/>
    </row>
    <row r="30" spans="1:8" x14ac:dyDescent="0.25">
      <c r="A30" s="428"/>
      <c r="E30" s="17"/>
      <c r="F30" s="15"/>
      <c r="G30" s="17"/>
      <c r="H30" s="18"/>
    </row>
    <row r="31" spans="1:8" x14ac:dyDescent="0.25">
      <c r="A31" s="428"/>
      <c r="E31" s="17"/>
      <c r="F31" s="15"/>
      <c r="G31" s="17"/>
      <c r="H31" s="18"/>
    </row>
    <row r="32" spans="1:8" x14ac:dyDescent="0.25">
      <c r="A32" s="428"/>
      <c r="E32" s="17"/>
      <c r="F32" s="15"/>
      <c r="G32" s="17"/>
      <c r="H32" s="18"/>
    </row>
    <row r="33" spans="1:8" x14ac:dyDescent="0.25">
      <c r="A33" s="428"/>
      <c r="E33" s="17"/>
      <c r="F33" s="15"/>
      <c r="G33" s="17"/>
      <c r="H33" s="18"/>
    </row>
    <row r="34" spans="1:8" x14ac:dyDescent="0.25">
      <c r="A34" s="428"/>
      <c r="E34" s="17"/>
      <c r="F34" s="15"/>
      <c r="G34" s="17"/>
      <c r="H34" s="18"/>
    </row>
    <row r="35" spans="1:8" x14ac:dyDescent="0.25">
      <c r="A35" s="428"/>
      <c r="E35" s="17"/>
      <c r="F35" s="15"/>
      <c r="G35" s="17"/>
      <c r="H35" s="18"/>
    </row>
    <row r="36" spans="1:8" x14ac:dyDescent="0.25">
      <c r="A36" s="428"/>
      <c r="E36" s="17"/>
      <c r="F36" s="15"/>
      <c r="G36" s="17"/>
      <c r="H36" s="18"/>
    </row>
    <row r="37" spans="1:8" x14ac:dyDescent="0.25">
      <c r="A37" s="428"/>
      <c r="E37" s="17"/>
      <c r="F37" s="15"/>
      <c r="G37" s="17"/>
      <c r="H37" s="18"/>
    </row>
    <row r="38" spans="1:8" x14ac:dyDescent="0.25">
      <c r="A38" s="428"/>
      <c r="E38" s="17"/>
      <c r="F38" s="15"/>
      <c r="G38" s="17"/>
      <c r="H38" s="18"/>
    </row>
    <row r="39" spans="1:8" x14ac:dyDescent="0.25">
      <c r="A39" s="428"/>
      <c r="E39" s="17"/>
      <c r="F39" s="15"/>
      <c r="G39" s="17"/>
      <c r="H39" s="18"/>
    </row>
    <row r="40" spans="1:8" x14ac:dyDescent="0.25">
      <c r="A40" s="428"/>
      <c r="E40" s="230"/>
      <c r="F40" s="15"/>
      <c r="G40" s="17"/>
      <c r="H40" s="18"/>
    </row>
    <row r="41" spans="1:8" x14ac:dyDescent="0.25">
      <c r="A41" s="428"/>
      <c r="E41" s="230"/>
      <c r="F41" s="15"/>
      <c r="G41" s="17"/>
      <c r="H41" s="18"/>
    </row>
    <row r="42" spans="1:8" x14ac:dyDescent="0.25">
      <c r="A42" s="428"/>
      <c r="E42" s="230"/>
      <c r="F42" s="15"/>
      <c r="G42" s="17"/>
      <c r="H42" s="18"/>
    </row>
    <row r="43" spans="1:8" x14ac:dyDescent="0.25">
      <c r="A43" s="428"/>
      <c r="E43" s="230"/>
      <c r="F43" s="15"/>
      <c r="G43" s="17"/>
      <c r="H43" s="18"/>
    </row>
    <row r="44" spans="1:8" x14ac:dyDescent="0.25">
      <c r="A44" s="428"/>
      <c r="E44" s="230"/>
      <c r="F44" s="15"/>
      <c r="G44" s="17"/>
      <c r="H44" s="18"/>
    </row>
    <row r="45" spans="1:8" x14ac:dyDescent="0.25">
      <c r="A45" s="428"/>
      <c r="E45" s="230"/>
      <c r="F45" s="15"/>
      <c r="G45" s="17"/>
      <c r="H45" s="18"/>
    </row>
    <row r="46" spans="1:8" x14ac:dyDescent="0.25">
      <c r="A46" s="428"/>
      <c r="E46" s="230"/>
      <c r="F46" s="15"/>
      <c r="G46" s="17"/>
      <c r="H46" s="18"/>
    </row>
    <row r="47" spans="1:8" x14ac:dyDescent="0.25">
      <c r="A47" s="428"/>
      <c r="E47" s="230"/>
      <c r="F47" s="15"/>
      <c r="G47" s="17"/>
      <c r="H47" s="18"/>
    </row>
    <row r="48" spans="1:8" x14ac:dyDescent="0.25">
      <c r="A48" s="428"/>
      <c r="E48" s="230"/>
      <c r="F48" s="15"/>
      <c r="G48" s="17"/>
      <c r="H48" s="18"/>
    </row>
    <row r="49" spans="1:8" x14ac:dyDescent="0.25">
      <c r="A49" s="428"/>
      <c r="E49" s="230"/>
      <c r="F49" s="15"/>
      <c r="G49" s="17"/>
      <c r="H49" s="18"/>
    </row>
    <row r="50" spans="1:8" x14ac:dyDescent="0.25">
      <c r="A50" s="428"/>
      <c r="E50" s="230"/>
      <c r="F50" s="15"/>
      <c r="G50" s="17"/>
      <c r="H50" s="18"/>
    </row>
    <row r="51" spans="1:8" x14ac:dyDescent="0.25">
      <c r="A51" s="428"/>
      <c r="E51" s="230"/>
      <c r="F51" s="15"/>
      <c r="G51" s="17"/>
      <c r="H51" s="18"/>
    </row>
    <row r="52" spans="1:8" x14ac:dyDescent="0.25">
      <c r="A52" s="428"/>
      <c r="E52" s="230"/>
      <c r="F52" s="15"/>
      <c r="G52" s="17"/>
      <c r="H52" s="18"/>
    </row>
    <row r="53" spans="1:8" x14ac:dyDescent="0.25">
      <c r="A53" s="428"/>
      <c r="E53" s="230"/>
      <c r="F53" s="15"/>
      <c r="G53" s="17"/>
      <c r="H53" s="18"/>
    </row>
    <row r="54" spans="1:8" x14ac:dyDescent="0.25">
      <c r="A54" s="428"/>
      <c r="E54" s="230"/>
      <c r="F54" s="15"/>
      <c r="G54" s="17"/>
      <c r="H54" s="18"/>
    </row>
    <row r="55" spans="1:8" x14ac:dyDescent="0.25">
      <c r="A55" s="428"/>
      <c r="E55" s="230"/>
      <c r="F55" s="15"/>
      <c r="G55" s="17"/>
      <c r="H55" s="18"/>
    </row>
    <row r="56" spans="1:8" x14ac:dyDescent="0.25">
      <c r="A56" s="428"/>
      <c r="E56" s="230"/>
      <c r="F56" s="15"/>
      <c r="G56" s="17"/>
      <c r="H56" s="18"/>
    </row>
    <row r="57" spans="1:8" x14ac:dyDescent="0.25">
      <c r="A57" s="428"/>
      <c r="E57" s="230"/>
      <c r="F57" s="15"/>
      <c r="G57" s="17"/>
      <c r="H57" s="18"/>
    </row>
    <row r="58" spans="1:8" x14ac:dyDescent="0.25">
      <c r="A58" s="428"/>
      <c r="E58" s="230"/>
      <c r="F58" s="15"/>
      <c r="G58" s="17"/>
      <c r="H58" s="18"/>
    </row>
    <row r="59" spans="1:8" x14ac:dyDescent="0.25">
      <c r="A59" s="428"/>
      <c r="E59" s="230"/>
      <c r="F59" s="15"/>
      <c r="G59" s="17"/>
      <c r="H59" s="18"/>
    </row>
    <row r="60" spans="1:8" x14ac:dyDescent="0.25">
      <c r="A60" s="428"/>
      <c r="E60" s="230"/>
      <c r="F60" s="15"/>
      <c r="G60" s="17"/>
      <c r="H60" s="18"/>
    </row>
    <row r="61" spans="1:8" x14ac:dyDescent="0.25">
      <c r="A61" s="428"/>
      <c r="E61" s="230"/>
      <c r="F61" s="15"/>
      <c r="G61" s="17"/>
      <c r="H61" s="18"/>
    </row>
    <row r="62" spans="1:8" x14ac:dyDescent="0.25">
      <c r="A62" s="428"/>
      <c r="E62" s="230"/>
      <c r="F62" s="15"/>
      <c r="G62" s="17"/>
      <c r="H62" s="18"/>
    </row>
    <row r="63" spans="1:8" x14ac:dyDescent="0.25">
      <c r="A63" s="428"/>
      <c r="E63" s="230"/>
      <c r="F63" s="15"/>
      <c r="G63" s="17"/>
      <c r="H63" s="18"/>
    </row>
    <row r="64" spans="1:8" x14ac:dyDescent="0.25">
      <c r="A64" s="428"/>
      <c r="E64" s="230"/>
      <c r="F64" s="15"/>
      <c r="G64" s="17"/>
      <c r="H64" s="18"/>
    </row>
    <row r="65" spans="1:8" x14ac:dyDescent="0.25">
      <c r="A65" s="428"/>
      <c r="E65" s="230"/>
      <c r="F65" s="15"/>
      <c r="G65" s="17"/>
      <c r="H65" s="18"/>
    </row>
    <row r="66" spans="1:8" x14ac:dyDescent="0.25">
      <c r="A66" s="428"/>
      <c r="E66" s="230"/>
      <c r="F66" s="15"/>
      <c r="G66" s="17"/>
      <c r="H66" s="18"/>
    </row>
    <row r="67" spans="1:8" x14ac:dyDescent="0.25">
      <c r="A67" s="428"/>
      <c r="E67" s="230"/>
      <c r="F67" s="15"/>
      <c r="G67" s="17"/>
      <c r="H67" s="18"/>
    </row>
    <row r="68" spans="1:8" x14ac:dyDescent="0.25">
      <c r="A68" s="428"/>
      <c r="E68" s="230"/>
      <c r="F68" s="15"/>
      <c r="G68" s="17"/>
      <c r="H68" s="18"/>
    </row>
    <row r="69" spans="1:8" x14ac:dyDescent="0.25">
      <c r="A69" s="428"/>
      <c r="E69" s="230"/>
      <c r="F69" s="15"/>
      <c r="G69" s="17"/>
      <c r="H69" s="18"/>
    </row>
    <row r="70" spans="1:8" x14ac:dyDescent="0.25">
      <c r="A70" s="428"/>
      <c r="E70" s="230"/>
      <c r="F70" s="15"/>
      <c r="G70" s="17"/>
      <c r="H70" s="18"/>
    </row>
    <row r="71" spans="1:8" x14ac:dyDescent="0.25">
      <c r="A71" s="428"/>
      <c r="E71" s="230"/>
      <c r="F71" s="15"/>
      <c r="G71" s="17"/>
      <c r="H71" s="18"/>
    </row>
    <row r="72" spans="1:8" x14ac:dyDescent="0.25">
      <c r="A72" s="428"/>
      <c r="E72" s="230"/>
      <c r="F72" s="15"/>
      <c r="G72" s="17"/>
      <c r="H72" s="18"/>
    </row>
    <row r="73" spans="1:8" x14ac:dyDescent="0.25">
      <c r="A73" s="428"/>
      <c r="E73" s="230"/>
      <c r="F73" s="15"/>
      <c r="G73" s="17"/>
      <c r="H73" s="18"/>
    </row>
    <row r="74" spans="1:8" x14ac:dyDescent="0.25">
      <c r="A74" s="428"/>
      <c r="E74" s="230"/>
      <c r="F74" s="15"/>
      <c r="G74" s="17"/>
      <c r="H74" s="18"/>
    </row>
    <row r="75" spans="1:8" x14ac:dyDescent="0.25">
      <c r="A75" s="428"/>
      <c r="E75" s="230"/>
      <c r="F75" s="15"/>
      <c r="G75" s="17"/>
      <c r="H75" s="18"/>
    </row>
    <row r="76" spans="1:8" x14ac:dyDescent="0.25">
      <c r="A76" s="428"/>
      <c r="E76" s="230"/>
      <c r="F76" s="15"/>
      <c r="G76" s="17"/>
      <c r="H76" s="18"/>
    </row>
    <row r="77" spans="1:8" x14ac:dyDescent="0.25">
      <c r="A77" s="428"/>
      <c r="E77" s="230"/>
      <c r="F77" s="15"/>
      <c r="G77" s="17"/>
      <c r="H77" s="18"/>
    </row>
    <row r="78" spans="1:8" x14ac:dyDescent="0.25">
      <c r="A78" s="428"/>
      <c r="E78" s="230"/>
      <c r="F78" s="15"/>
      <c r="G78" s="17"/>
      <c r="H78" s="18"/>
    </row>
    <row r="79" spans="1:8" x14ac:dyDescent="0.25">
      <c r="A79" s="428"/>
      <c r="E79" s="230"/>
      <c r="F79" s="15"/>
      <c r="G79" s="17"/>
      <c r="H79" s="18"/>
    </row>
    <row r="80" spans="1:8" x14ac:dyDescent="0.25">
      <c r="A80" s="428"/>
      <c r="E80" s="230"/>
      <c r="F80" s="15"/>
      <c r="G80" s="17"/>
      <c r="H80" s="18"/>
    </row>
    <row r="81" spans="1:8" x14ac:dyDescent="0.25">
      <c r="A81" s="428"/>
      <c r="E81" s="17"/>
      <c r="F81" s="15"/>
      <c r="G81" s="17"/>
      <c r="H81" s="18"/>
    </row>
    <row r="82" spans="1:8" x14ac:dyDescent="0.25">
      <c r="A82" s="428"/>
      <c r="E82" s="17"/>
      <c r="F82" s="15"/>
      <c r="G82" s="17"/>
      <c r="H82" s="18"/>
    </row>
    <row r="83" spans="1:8" x14ac:dyDescent="0.25">
      <c r="A83" s="428"/>
      <c r="E83" s="17"/>
      <c r="F83" s="15"/>
      <c r="G83" s="17"/>
      <c r="H83" s="18"/>
    </row>
    <row r="84" spans="1:8" x14ac:dyDescent="0.25">
      <c r="A84" s="428"/>
      <c r="E84" s="17"/>
      <c r="F84" s="15"/>
      <c r="G84" s="17"/>
      <c r="H84" s="18"/>
    </row>
    <row r="85" spans="1:8" x14ac:dyDescent="0.25">
      <c r="A85" s="428"/>
      <c r="E85" s="17"/>
      <c r="F85" s="15"/>
      <c r="G85" s="17"/>
      <c r="H85" s="18"/>
    </row>
    <row r="86" spans="1:8" x14ac:dyDescent="0.25">
      <c r="A86" s="428"/>
      <c r="E86" s="17"/>
      <c r="F86" s="15"/>
      <c r="G86" s="17"/>
      <c r="H86" s="18"/>
    </row>
    <row r="87" spans="1:8" x14ac:dyDescent="0.25">
      <c r="A87" s="428"/>
      <c r="E87" s="17"/>
      <c r="F87" s="15"/>
      <c r="G87" s="17"/>
      <c r="H87" s="18"/>
    </row>
    <row r="88" spans="1:8" x14ac:dyDescent="0.25">
      <c r="A88" s="428"/>
      <c r="E88" s="17"/>
      <c r="F88" s="15"/>
      <c r="G88" s="17"/>
      <c r="H88" s="18"/>
    </row>
    <row r="89" spans="1:8" x14ac:dyDescent="0.25">
      <c r="A89" s="428"/>
      <c r="E89" s="17"/>
      <c r="F89" s="15"/>
      <c r="G89" s="17"/>
      <c r="H89" s="18"/>
    </row>
    <row r="90" spans="1:8" x14ac:dyDescent="0.25">
      <c r="A90" s="428"/>
      <c r="E90" s="17"/>
      <c r="F90" s="15"/>
      <c r="G90" s="17"/>
      <c r="H90" s="18"/>
    </row>
    <row r="91" spans="1:8" x14ac:dyDescent="0.25">
      <c r="A91" s="428"/>
      <c r="E91" s="17"/>
      <c r="F91" s="15"/>
      <c r="G91" s="17"/>
      <c r="H91" s="18"/>
    </row>
    <row r="92" spans="1:8" x14ac:dyDescent="0.25">
      <c r="A92" s="428"/>
      <c r="E92" s="17"/>
      <c r="F92" s="15"/>
      <c r="G92" s="17"/>
      <c r="H92" s="18"/>
    </row>
    <row r="93" spans="1:8" x14ac:dyDescent="0.25">
      <c r="A93" s="428"/>
      <c r="E93" s="17"/>
      <c r="F93" s="15"/>
      <c r="G93" s="17"/>
      <c r="H93" s="18"/>
    </row>
    <row r="94" spans="1:8" x14ac:dyDescent="0.25">
      <c r="A94" s="428"/>
      <c r="E94" s="17"/>
      <c r="F94" s="15"/>
      <c r="G94" s="17"/>
      <c r="H94" s="18"/>
    </row>
    <row r="95" spans="1:8" x14ac:dyDescent="0.25">
      <c r="A95" s="428"/>
      <c r="E95" s="17"/>
      <c r="F95" s="15"/>
      <c r="G95" s="17"/>
      <c r="H95" s="18"/>
    </row>
    <row r="96" spans="1:8" x14ac:dyDescent="0.25">
      <c r="A96" s="428"/>
      <c r="E96" s="17"/>
      <c r="F96" s="15"/>
      <c r="G96" s="17"/>
      <c r="H96" s="18"/>
    </row>
    <row r="97" spans="1:8" x14ac:dyDescent="0.25">
      <c r="A97" s="428"/>
      <c r="E97" s="17"/>
      <c r="F97" s="15"/>
      <c r="G97" s="17"/>
      <c r="H97" s="18"/>
    </row>
    <row r="98" spans="1:8" x14ac:dyDescent="0.25">
      <c r="A98" s="428"/>
      <c r="E98" s="17"/>
      <c r="F98" s="15"/>
      <c r="G98" s="17"/>
      <c r="H98" s="18"/>
    </row>
    <row r="99" spans="1:8" x14ac:dyDescent="0.25">
      <c r="A99" s="428"/>
      <c r="E99" s="17"/>
      <c r="F99" s="15"/>
      <c r="G99" s="17"/>
      <c r="H99" s="18"/>
    </row>
    <row r="100" spans="1:8" x14ac:dyDescent="0.25">
      <c r="A100" s="428"/>
      <c r="E100" s="17"/>
      <c r="F100" s="15"/>
      <c r="G100" s="17"/>
      <c r="H100" s="18"/>
    </row>
    <row r="101" spans="1:8" x14ac:dyDescent="0.25">
      <c r="A101" s="428"/>
      <c r="E101" s="17"/>
      <c r="F101" s="15"/>
      <c r="G101" s="17"/>
      <c r="H101" s="18"/>
    </row>
    <row r="102" spans="1:8" x14ac:dyDescent="0.25">
      <c r="A102" s="428">
        <f ca="1">IF(B102=Termékkód,   MAX(A$1:A101)+1,   0)</f>
        <v>1</v>
      </c>
      <c r="B102" s="229">
        <v>240</v>
      </c>
      <c r="C102" s="229" t="s">
        <v>86</v>
      </c>
      <c r="D102" s="229" t="s">
        <v>87</v>
      </c>
      <c r="E102" s="17">
        <v>2.3E-2</v>
      </c>
      <c r="F102" s="15">
        <v>1.4999999999999999E-2</v>
      </c>
      <c r="G102" s="17">
        <f t="shared" ref="G102:G110" si="0">E102</f>
        <v>2.3E-2</v>
      </c>
      <c r="H102" s="18">
        <f t="shared" ref="H102:H110" si="1">E102-0.005</f>
        <v>1.7999999999999999E-2</v>
      </c>
    </row>
    <row r="103" spans="1:8" x14ac:dyDescent="0.25">
      <c r="A103" s="428">
        <f ca="1">IF(B103=Termékkód,   MAX(A$1:A102)+1,   0)</f>
        <v>2</v>
      </c>
      <c r="B103" s="229">
        <v>240</v>
      </c>
      <c r="C103" s="229" t="s">
        <v>96</v>
      </c>
      <c r="D103" s="229" t="s">
        <v>273</v>
      </c>
      <c r="E103" s="17">
        <v>2.5499999999999998E-2</v>
      </c>
      <c r="F103" s="15">
        <v>1.4999999999999999E-2</v>
      </c>
      <c r="G103" s="17">
        <f t="shared" si="0"/>
        <v>2.5499999999999998E-2</v>
      </c>
      <c r="H103" s="18">
        <f t="shared" si="1"/>
        <v>2.0499999999999997E-2</v>
      </c>
    </row>
    <row r="104" spans="1:8" x14ac:dyDescent="0.25">
      <c r="A104" s="428">
        <f ca="1">IF(B104=Termékkód,   MAX(A$1:A103)+1,   0)</f>
        <v>3</v>
      </c>
      <c r="B104" s="229">
        <v>240</v>
      </c>
      <c r="C104" s="229" t="s">
        <v>274</v>
      </c>
      <c r="D104" s="229" t="s">
        <v>275</v>
      </c>
      <c r="E104" s="17">
        <v>2.5499999999999998E-2</v>
      </c>
      <c r="F104" s="15">
        <v>1.4999999999999999E-2</v>
      </c>
      <c r="G104" s="17">
        <f t="shared" si="0"/>
        <v>2.5499999999999998E-2</v>
      </c>
      <c r="H104" s="18">
        <f t="shared" si="1"/>
        <v>2.0499999999999997E-2</v>
      </c>
    </row>
    <row r="105" spans="1:8" x14ac:dyDescent="0.25">
      <c r="A105" s="428">
        <f ca="1">IF(B105=Termékkód,   MAX(A$1:A104)+1,   0)</f>
        <v>4</v>
      </c>
      <c r="B105" s="229">
        <v>240</v>
      </c>
      <c r="C105" s="229" t="s">
        <v>276</v>
      </c>
      <c r="D105" s="229" t="s">
        <v>277</v>
      </c>
      <c r="E105" s="17">
        <v>2.5499999999999998E-2</v>
      </c>
      <c r="F105" s="15">
        <v>1.4999999999999999E-2</v>
      </c>
      <c r="G105" s="17">
        <f t="shared" si="0"/>
        <v>2.5499999999999998E-2</v>
      </c>
      <c r="H105" s="18">
        <f t="shared" si="1"/>
        <v>2.0499999999999997E-2</v>
      </c>
    </row>
    <row r="106" spans="1:8" x14ac:dyDescent="0.25">
      <c r="A106" s="428">
        <f ca="1">IF(B106=Termékkód,   MAX(A$1:A105)+1,   0)</f>
        <v>5</v>
      </c>
      <c r="B106" s="229">
        <v>240</v>
      </c>
      <c r="C106" s="229" t="s">
        <v>278</v>
      </c>
      <c r="D106" s="229" t="s">
        <v>279</v>
      </c>
      <c r="E106" s="17">
        <v>2.5499999999999998E-2</v>
      </c>
      <c r="F106" s="15">
        <v>1.4999999999999999E-2</v>
      </c>
      <c r="G106" s="17">
        <f t="shared" si="0"/>
        <v>2.5499999999999998E-2</v>
      </c>
      <c r="H106" s="18">
        <f t="shared" si="1"/>
        <v>2.0499999999999997E-2</v>
      </c>
    </row>
    <row r="107" spans="1:8" x14ac:dyDescent="0.25">
      <c r="A107" s="428">
        <f ca="1">IF(B107=Termékkód,   MAX(A$1:A106)+1,   0)</f>
        <v>6</v>
      </c>
      <c r="B107" s="229">
        <v>240</v>
      </c>
      <c r="C107" s="229" t="s">
        <v>280</v>
      </c>
      <c r="D107" s="229" t="s">
        <v>281</v>
      </c>
      <c r="E107" s="17">
        <v>2.5499999999999998E-2</v>
      </c>
      <c r="F107" s="15">
        <v>1.4999999999999999E-2</v>
      </c>
      <c r="G107" s="17">
        <f t="shared" si="0"/>
        <v>2.5499999999999998E-2</v>
      </c>
      <c r="H107" s="18">
        <f t="shared" si="1"/>
        <v>2.0499999999999997E-2</v>
      </c>
    </row>
    <row r="108" spans="1:8" x14ac:dyDescent="0.25">
      <c r="A108" s="428">
        <f ca="1">IF(B108=Termékkód,   MAX(A$1:A107)+1,   0)</f>
        <v>7</v>
      </c>
      <c r="B108" s="229">
        <v>240</v>
      </c>
      <c r="C108" s="229" t="s">
        <v>75</v>
      </c>
      <c r="D108" s="229" t="s">
        <v>76</v>
      </c>
      <c r="E108" s="17">
        <v>2.9000000000000001E-2</v>
      </c>
      <c r="F108" s="15">
        <v>1.4999999999999999E-2</v>
      </c>
      <c r="G108" s="17">
        <f t="shared" si="0"/>
        <v>2.9000000000000001E-2</v>
      </c>
      <c r="H108" s="18">
        <f t="shared" si="1"/>
        <v>2.4E-2</v>
      </c>
    </row>
    <row r="109" spans="1:8" x14ac:dyDescent="0.25">
      <c r="A109" s="428">
        <f ca="1">IF(B109=Termékkód,   MAX(A$1:A108)+1,   0)</f>
        <v>8</v>
      </c>
      <c r="B109" s="229">
        <v>240</v>
      </c>
      <c r="C109" s="229" t="s">
        <v>73</v>
      </c>
      <c r="D109" s="229" t="s">
        <v>74</v>
      </c>
      <c r="E109" s="17">
        <v>2.9000000000000001E-2</v>
      </c>
      <c r="F109" s="15">
        <v>1.4999999999999999E-2</v>
      </c>
      <c r="G109" s="17">
        <f t="shared" si="0"/>
        <v>2.9000000000000001E-2</v>
      </c>
      <c r="H109" s="18">
        <f t="shared" si="1"/>
        <v>2.4E-2</v>
      </c>
    </row>
    <row r="110" spans="1:8" x14ac:dyDescent="0.25">
      <c r="A110" s="428">
        <f ca="1">IF(B110=Termékkód,   MAX(A$1:A109)+1,   0)</f>
        <v>9</v>
      </c>
      <c r="B110" s="229">
        <v>240</v>
      </c>
      <c r="C110" s="229" t="s">
        <v>78</v>
      </c>
      <c r="D110" s="229" t="s">
        <v>79</v>
      </c>
      <c r="E110" s="17">
        <v>2.1999999999999999E-2</v>
      </c>
      <c r="F110" s="15">
        <v>1.4999999999999999E-2</v>
      </c>
      <c r="G110" s="17">
        <f t="shared" si="0"/>
        <v>2.1999999999999999E-2</v>
      </c>
      <c r="H110" s="18">
        <f t="shared" si="1"/>
        <v>1.6999999999999998E-2</v>
      </c>
    </row>
    <row r="111" spans="1:8" x14ac:dyDescent="0.25">
      <c r="A111" s="428">
        <f ca="1">IF(B111=Termékkód,   MAX(A$1:A110)+1,   0)</f>
        <v>10</v>
      </c>
      <c r="B111" s="229">
        <v>240</v>
      </c>
      <c r="C111" s="229" t="s">
        <v>88</v>
      </c>
      <c r="D111" s="229" t="s">
        <v>89</v>
      </c>
      <c r="E111" s="17">
        <v>2.9499999999999998E-2</v>
      </c>
      <c r="F111" s="15">
        <v>1.4999999999999999E-2</v>
      </c>
      <c r="G111" s="17">
        <f t="shared" ref="G111:G122" si="2">E111</f>
        <v>2.9499999999999998E-2</v>
      </c>
      <c r="H111" s="18">
        <f t="shared" ref="H111:H122" si="3">E111-0.005</f>
        <v>2.4499999999999997E-2</v>
      </c>
    </row>
    <row r="112" spans="1:8" x14ac:dyDescent="0.25">
      <c r="A112" s="428">
        <f ca="1">IF(B112=Termékkód,   MAX(A$1:A111)+1,   0)</f>
        <v>11</v>
      </c>
      <c r="B112" s="229">
        <v>240</v>
      </c>
      <c r="C112" s="229" t="s">
        <v>82</v>
      </c>
      <c r="D112" s="229" t="s">
        <v>83</v>
      </c>
      <c r="E112" s="17">
        <v>2.6499999999999999E-2</v>
      </c>
      <c r="F112" s="15">
        <v>1.4999999999999999E-2</v>
      </c>
      <c r="G112" s="17">
        <f t="shared" si="2"/>
        <v>2.6499999999999999E-2</v>
      </c>
      <c r="H112" s="18">
        <f t="shared" si="3"/>
        <v>2.1499999999999998E-2</v>
      </c>
    </row>
    <row r="113" spans="1:8" x14ac:dyDescent="0.25">
      <c r="A113" s="428">
        <f ca="1">IF(B113=Termékkód,   MAX(A$1:A112)+1,   0)</f>
        <v>12</v>
      </c>
      <c r="B113" s="229">
        <v>240</v>
      </c>
      <c r="C113" s="229" t="s">
        <v>80</v>
      </c>
      <c r="D113" s="229" t="s">
        <v>81</v>
      </c>
      <c r="E113" s="17">
        <v>2.1999999999999999E-2</v>
      </c>
      <c r="F113" s="15">
        <v>1.4999999999999999E-2</v>
      </c>
      <c r="G113" s="17">
        <f t="shared" si="2"/>
        <v>2.1999999999999999E-2</v>
      </c>
      <c r="H113" s="18">
        <f t="shared" si="3"/>
        <v>1.6999999999999998E-2</v>
      </c>
    </row>
    <row r="114" spans="1:8" x14ac:dyDescent="0.25">
      <c r="A114" s="428">
        <f ca="1">IF(B114=Termékkód,   MAX(A$1:A113)+1,   0)</f>
        <v>13</v>
      </c>
      <c r="B114" s="229">
        <v>240</v>
      </c>
      <c r="C114" s="229" t="s">
        <v>69</v>
      </c>
      <c r="D114" s="229" t="s">
        <v>70</v>
      </c>
      <c r="E114" s="17">
        <v>2.9000000000000001E-2</v>
      </c>
      <c r="F114" s="15">
        <v>1.4999999999999999E-2</v>
      </c>
      <c r="G114" s="17">
        <f t="shared" si="2"/>
        <v>2.9000000000000001E-2</v>
      </c>
      <c r="H114" s="18">
        <f t="shared" si="3"/>
        <v>2.4E-2</v>
      </c>
    </row>
    <row r="115" spans="1:8" x14ac:dyDescent="0.25">
      <c r="A115" s="428">
        <f ca="1">IF(B115=Termékkód,   MAX(A$1:A114)+1,   0)</f>
        <v>14</v>
      </c>
      <c r="B115" s="229">
        <v>240</v>
      </c>
      <c r="C115" s="229" t="s">
        <v>65</v>
      </c>
      <c r="D115" s="229" t="s">
        <v>66</v>
      </c>
      <c r="E115" s="17">
        <v>2.4500000000000001E-2</v>
      </c>
      <c r="F115" s="15">
        <v>1.4999999999999999E-2</v>
      </c>
      <c r="G115" s="17">
        <f t="shared" si="2"/>
        <v>2.4500000000000001E-2</v>
      </c>
      <c r="H115" s="18">
        <f t="shared" si="3"/>
        <v>1.95E-2</v>
      </c>
    </row>
    <row r="116" spans="1:8" x14ac:dyDescent="0.25">
      <c r="A116" s="428">
        <f ca="1">IF(B116=Termékkód,   MAX(A$1:A115)+1,   0)</f>
        <v>15</v>
      </c>
      <c r="B116" s="229">
        <v>240</v>
      </c>
      <c r="C116" s="229" t="s">
        <v>67</v>
      </c>
      <c r="D116" s="229" t="s">
        <v>68</v>
      </c>
      <c r="E116" s="17">
        <v>2.9000000000000001E-2</v>
      </c>
      <c r="F116" s="15">
        <v>1.4999999999999999E-2</v>
      </c>
      <c r="G116" s="17">
        <f t="shared" si="2"/>
        <v>2.9000000000000001E-2</v>
      </c>
      <c r="H116" s="18">
        <f t="shared" si="3"/>
        <v>2.4E-2</v>
      </c>
    </row>
    <row r="117" spans="1:8" x14ac:dyDescent="0.25">
      <c r="A117" s="428">
        <f ca="1">IF(B117=Termékkód,   MAX(A$1:A116)+1,   0)</f>
        <v>16</v>
      </c>
      <c r="B117" s="229">
        <v>240</v>
      </c>
      <c r="C117" s="229" t="s">
        <v>71</v>
      </c>
      <c r="D117" s="229" t="s">
        <v>72</v>
      </c>
      <c r="E117" s="17">
        <v>2.9000000000000001E-2</v>
      </c>
      <c r="F117" s="15">
        <v>1.4999999999999999E-2</v>
      </c>
      <c r="G117" s="17">
        <f t="shared" si="2"/>
        <v>2.9000000000000001E-2</v>
      </c>
      <c r="H117" s="18">
        <f t="shared" si="3"/>
        <v>2.4E-2</v>
      </c>
    </row>
    <row r="118" spans="1:8" x14ac:dyDescent="0.25">
      <c r="A118" s="428">
        <f ca="1">IF(B118=Termékkód,   MAX(A$1:A117)+1,   0)</f>
        <v>17</v>
      </c>
      <c r="B118" s="229">
        <v>240</v>
      </c>
      <c r="C118" s="229" t="s">
        <v>90</v>
      </c>
      <c r="D118" s="229" t="s">
        <v>91</v>
      </c>
      <c r="E118" s="17">
        <v>2.9499999999999998E-2</v>
      </c>
      <c r="F118" s="15">
        <v>1.4999999999999999E-2</v>
      </c>
      <c r="G118" s="17">
        <f t="shared" si="2"/>
        <v>2.9499999999999998E-2</v>
      </c>
      <c r="H118" s="18">
        <f t="shared" si="3"/>
        <v>2.4499999999999997E-2</v>
      </c>
    </row>
    <row r="119" spans="1:8" x14ac:dyDescent="0.25">
      <c r="A119" s="428">
        <f ca="1">IF(B119=Termékkód,   MAX(A$1:A118)+1,   0)</f>
        <v>18</v>
      </c>
      <c r="B119" s="229">
        <v>240</v>
      </c>
      <c r="C119" s="229" t="s">
        <v>94</v>
      </c>
      <c r="D119" s="229" t="s">
        <v>95</v>
      </c>
      <c r="E119" s="17">
        <v>2.9000000000000001E-2</v>
      </c>
      <c r="F119" s="15">
        <v>1.4999999999999999E-2</v>
      </c>
      <c r="G119" s="17">
        <f t="shared" si="2"/>
        <v>2.9000000000000001E-2</v>
      </c>
      <c r="H119" s="18">
        <f t="shared" si="3"/>
        <v>2.4E-2</v>
      </c>
    </row>
    <row r="120" spans="1:8" x14ac:dyDescent="0.25">
      <c r="A120" s="428">
        <f ca="1">IF(B120=Termékkód,   MAX(A$1:A119)+1,   0)</f>
        <v>19</v>
      </c>
      <c r="B120" s="229">
        <v>240</v>
      </c>
      <c r="C120" s="229" t="s">
        <v>77</v>
      </c>
      <c r="D120" s="229" t="s">
        <v>244</v>
      </c>
      <c r="E120" s="17">
        <v>1.95E-2</v>
      </c>
      <c r="F120" s="15">
        <v>1.4999999999999999E-2</v>
      </c>
      <c r="G120" s="17">
        <f t="shared" si="2"/>
        <v>1.95E-2</v>
      </c>
      <c r="H120" s="18">
        <f t="shared" si="3"/>
        <v>1.4499999999999999E-2</v>
      </c>
    </row>
    <row r="121" spans="1:8" x14ac:dyDescent="0.25">
      <c r="A121" s="428">
        <f ca="1">IF(B121=Termékkód,   MAX(A$1:A120)+1,   0)</f>
        <v>20</v>
      </c>
      <c r="B121" s="229">
        <v>240</v>
      </c>
      <c r="C121" s="229" t="s">
        <v>84</v>
      </c>
      <c r="D121" s="229" t="s">
        <v>85</v>
      </c>
      <c r="E121" s="17">
        <v>2.9000000000000001E-2</v>
      </c>
      <c r="F121" s="15">
        <v>1.4999999999999999E-2</v>
      </c>
      <c r="G121" s="17">
        <f t="shared" si="2"/>
        <v>2.9000000000000001E-2</v>
      </c>
      <c r="H121" s="18">
        <f t="shared" si="3"/>
        <v>2.4E-2</v>
      </c>
    </row>
    <row r="122" spans="1:8" x14ac:dyDescent="0.25">
      <c r="A122" s="428">
        <f ca="1">IF(B122=Termékkód,   MAX(A$1:A121)+1,   0)</f>
        <v>21</v>
      </c>
      <c r="B122" s="229">
        <v>240</v>
      </c>
      <c r="C122" s="229" t="s">
        <v>92</v>
      </c>
      <c r="D122" s="229" t="s">
        <v>93</v>
      </c>
      <c r="E122" s="17">
        <v>2.9499999999999998E-2</v>
      </c>
      <c r="F122" s="15">
        <v>1.4999999999999999E-2</v>
      </c>
      <c r="G122" s="17">
        <f t="shared" si="2"/>
        <v>2.9499999999999998E-2</v>
      </c>
      <c r="H122" s="18">
        <f t="shared" si="3"/>
        <v>2.4499999999999997E-2</v>
      </c>
    </row>
  </sheetData>
  <autoFilter ref="A1:H101"/>
  <sortState ref="A2:I97">
    <sortCondition ref="B2:B97"/>
    <sortCondition ref="D2:D97"/>
  </sortState>
  <conditionalFormatting sqref="A1048576:H1048576">
    <cfRule type="expression" dxfId="19" priority="134">
      <formula>$B1&lt;&gt;#REF!</formula>
    </cfRule>
    <cfRule type="expression" dxfId="18" priority="135">
      <formula>AND(#REF!&gt;0,#REF!&lt;50)</formula>
    </cfRule>
    <cfRule type="expression" dxfId="17" priority="136">
      <formula>ROUND(ROW()/2,0)=ROW()/2</formula>
    </cfRule>
    <cfRule type="expression" dxfId="16" priority="137">
      <formula>#REF!&lt;&gt;$E1</formula>
    </cfRule>
  </conditionalFormatting>
  <conditionalFormatting sqref="A51:B51 E51:H51">
    <cfRule type="expression" dxfId="15" priority="138">
      <formula>$B56&lt;&gt;$B51</formula>
    </cfRule>
    <cfRule type="expression" dxfId="14" priority="139">
      <formula>AND($A51&gt;0,$A51&lt;50)</formula>
    </cfRule>
    <cfRule type="expression" dxfId="13" priority="140">
      <formula>ROUND(ROW()/2,0)=ROW()/2</formula>
    </cfRule>
    <cfRule type="expression" dxfId="12" priority="141">
      <formula>$E51&lt;&gt;$E56</formula>
    </cfRule>
  </conditionalFormatting>
  <conditionalFormatting sqref="A52:B55 E52:H55">
    <cfRule type="expression" dxfId="11" priority="17">
      <formula>$B57&lt;&gt;$B52</formula>
    </cfRule>
    <cfRule type="expression" dxfId="10" priority="18">
      <formula>AND($A52&gt;0,$A52&lt;50)</formula>
    </cfRule>
    <cfRule type="expression" dxfId="9" priority="19">
      <formula>ROUND(ROW()/2,0)=ROW()/2</formula>
    </cfRule>
    <cfRule type="expression" dxfId="8" priority="20">
      <formula>$E52&lt;&gt;$E57</formula>
    </cfRule>
  </conditionalFormatting>
  <conditionalFormatting sqref="A1:H20 A2:A101 A26:H1048576">
    <cfRule type="expression" dxfId="7" priority="13">
      <formula>$B2&lt;&gt;$B1</formula>
    </cfRule>
    <cfRule type="expression" dxfId="6" priority="14">
      <formula>AND($A1&gt;0,$A1&lt;50)</formula>
    </cfRule>
    <cfRule type="expression" dxfId="5" priority="15">
      <formula>ROUND(ROW()/2,0)=ROW()/2</formula>
    </cfRule>
    <cfRule type="expression" dxfId="4" priority="16">
      <formula>$E1&lt;&gt;$E2</formula>
    </cfRule>
  </conditionalFormatting>
  <conditionalFormatting sqref="A21:H25">
    <cfRule type="expression" dxfId="3" priority="1">
      <formula>$B22&lt;&gt;$B21</formula>
    </cfRule>
    <cfRule type="expression" dxfId="2" priority="2">
      <formula>AND($A21&gt;0,$A21&lt;50)</formula>
    </cfRule>
    <cfRule type="expression" dxfId="1" priority="3">
      <formula>ROUND(ROW()/2,0)=ROW()/2</formula>
    </cfRule>
    <cfRule type="expression" dxfId="0" priority="4">
      <formula>$E21&lt;&gt;$E22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Munkalapok</vt:lpstr>
      </vt:variant>
      <vt:variant>
        <vt:i4>8</vt:i4>
      </vt:variant>
      <vt:variant>
        <vt:lpstr>Diagramok</vt:lpstr>
      </vt:variant>
      <vt:variant>
        <vt:i4>2</vt:i4>
      </vt:variant>
      <vt:variant>
        <vt:lpstr>Névvel ellátott tartományok</vt:lpstr>
      </vt:variant>
      <vt:variant>
        <vt:i4>92</vt:i4>
      </vt:variant>
    </vt:vector>
  </HeadingPairs>
  <TitlesOfParts>
    <vt:vector size="102" baseType="lpstr">
      <vt:lpstr>Kalkulátor</vt:lpstr>
      <vt:lpstr>PM</vt:lpstr>
      <vt:lpstr>PPM</vt:lpstr>
      <vt:lpstr>CFdet</vt:lpstr>
      <vt:lpstr>exportTABLES</vt:lpstr>
      <vt:lpstr>yields</vt:lpstr>
      <vt:lpstr>Terméklista</vt:lpstr>
      <vt:lpstr>Eszközalap</vt:lpstr>
      <vt:lpstr>Grafikon</vt:lpstr>
      <vt:lpstr>Bónusz Grafikon</vt:lpstr>
      <vt:lpstr>AccDBen</vt:lpstr>
      <vt:lpstr>AccDPrb</vt:lpstr>
      <vt:lpstr>AdóHó</vt:lpstr>
      <vt:lpstr>Amo.1</vt:lpstr>
      <vt:lpstr>Amo.2</vt:lpstr>
      <vt:lpstr>Amo.3</vt:lpstr>
      <vt:lpstr>AssLoy</vt:lpstr>
      <vt:lpstr>B.1</vt:lpstr>
      <vt:lpstr>B.2</vt:lpstr>
      <vt:lpstr>B.3</vt:lpstr>
      <vt:lpstr>B.4</vt:lpstr>
      <vt:lpstr>B.5</vt:lpstr>
      <vt:lpstr>B.6</vt:lpstr>
      <vt:lpstr>BAK</vt:lpstr>
      <vt:lpstr>BL.1</vt:lpstr>
      <vt:lpstr>BL.2</vt:lpstr>
      <vt:lpstr>BL.3</vt:lpstr>
      <vt:lpstr>BL.4</vt:lpstr>
      <vt:lpstr>BL.5</vt:lpstr>
      <vt:lpstr>BL.6</vt:lpstr>
      <vt:lpstr>C.10</vt:lpstr>
      <vt:lpstr>C.20</vt:lpstr>
      <vt:lpstr>CAP</vt:lpstr>
      <vt:lpstr>CBm</vt:lpstr>
      <vt:lpstr>Check</vt:lpstr>
      <vt:lpstr>ClaimExpDeath</vt:lpstr>
      <vt:lpstr>ClaimExpMat</vt:lpstr>
      <vt:lpstr>ClaimExpSurr</vt:lpstr>
      <vt:lpstr>DAC</vt:lpstr>
      <vt:lpstr>Deviza</vt:lpstr>
      <vt:lpstr>dfgyak</vt:lpstr>
      <vt:lpstr>DíjBonuszok</vt:lpstr>
      <vt:lpstr>EgyFoly</vt:lpstr>
      <vt:lpstr>Ellenőrzés</vt:lpstr>
      <vt:lpstr>Ért</vt:lpstr>
      <vt:lpstr>Fizgyak</vt:lpstr>
      <vt:lpstr>fizmód</vt:lpstr>
      <vt:lpstr>FizMódBonus</vt:lpstr>
      <vt:lpstr>FizMódVálasztott</vt:lpstr>
      <vt:lpstr>CFdet!Freq</vt:lpstr>
      <vt:lpstr>Freq</vt:lpstr>
      <vt:lpstr>GyakDíj</vt:lpstr>
      <vt:lpstr>hozam</vt:lpstr>
      <vt:lpstr>iCom</vt:lpstr>
      <vt:lpstr>Ind</vt:lpstr>
      <vt:lpstr>inExDAC</vt:lpstr>
      <vt:lpstr>inExp</vt:lpstr>
      <vt:lpstr>InExpBack</vt:lpstr>
      <vt:lpstr>Kezdet</vt:lpstr>
      <vt:lpstr>KorMax</vt:lpstr>
      <vt:lpstr>KorMin</vt:lpstr>
      <vt:lpstr>LBe</vt:lpstr>
      <vt:lpstr>LejárKorMax</vt:lpstr>
      <vt:lpstr>MinDíj</vt:lpstr>
      <vt:lpstr>Kalkulátor!Nyomtatási_terület</vt:lpstr>
      <vt:lpstr>Nyug</vt:lpstr>
      <vt:lpstr>OFFmp</vt:lpstr>
      <vt:lpstr>opExp</vt:lpstr>
      <vt:lpstr>P</vt:lpstr>
      <vt:lpstr>Pars</vt:lpstr>
      <vt:lpstr>PCh</vt:lpstr>
      <vt:lpstr>Pénznem</vt:lpstr>
      <vt:lpstr>PPM</vt:lpstr>
      <vt:lpstr>Pr</vt:lpstr>
      <vt:lpstr>PrLim</vt:lpstr>
      <vt:lpstr>RoundSwitch</vt:lpstr>
      <vt:lpstr>sr.1</vt:lpstr>
      <vt:lpstr>sr.2</vt:lpstr>
      <vt:lpstr>sr.3</vt:lpstr>
      <vt:lpstr>TartamMax</vt:lpstr>
      <vt:lpstr>TartamMin</vt:lpstr>
      <vt:lpstr>TartamTermék</vt:lpstr>
      <vt:lpstr>TartamVálasztott</vt:lpstr>
      <vt:lpstr>TartamWlFix</vt:lpstr>
      <vt:lpstr>TAX</vt:lpstr>
      <vt:lpstr>CFdet!Term</vt:lpstr>
      <vt:lpstr>Term</vt:lpstr>
      <vt:lpstr>Termékek</vt:lpstr>
      <vt:lpstr>Termékkód</vt:lpstr>
      <vt:lpstr>TermékVálasztott</vt:lpstr>
      <vt:lpstr>TKM</vt:lpstr>
      <vt:lpstr>TKMhelp</vt:lpstr>
      <vt:lpstr>TKMm</vt:lpstr>
      <vt:lpstr>TöredékHó</vt:lpstr>
      <vt:lpstr>TPB</vt:lpstr>
      <vt:lpstr>Transf10</vt:lpstr>
      <vt:lpstr>Transf15</vt:lpstr>
      <vt:lpstr>Transf5</vt:lpstr>
      <vt:lpstr>VálaszthatóEszközalap</vt:lpstr>
      <vt:lpstr>VV</vt:lpstr>
      <vt:lpstr>WTab</vt:lpstr>
      <vt:lpstr>YIELDmp</vt:lpstr>
    </vt:vector>
  </TitlesOfParts>
  <Company>UNIQA Biztosító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Nyeste Gábor</dc:creator>
  <cp:lastModifiedBy>Laszlone FAZEKAS</cp:lastModifiedBy>
  <cp:lastPrinted>2017-01-18T10:32:25Z</cp:lastPrinted>
  <dcterms:created xsi:type="dcterms:W3CDTF">2016-12-28T13:35:54Z</dcterms:created>
  <dcterms:modified xsi:type="dcterms:W3CDTF">2017-01-31T14:29:54Z</dcterms:modified>
</cp:coreProperties>
</file>