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C32A" lockStructure="1"/>
  <bookViews>
    <workbookView xWindow="0" yWindow="0" windowWidth="19200" windowHeight="10095" tabRatio="783" activeTab="1"/>
  </bookViews>
  <sheets>
    <sheet name="Diagram1" sheetId="13" r:id="rId1"/>
    <sheet name="Kalkulátor" sheetId="7" r:id="rId2"/>
    <sheet name="Nyomtatás" sheetId="8" state="hidden" r:id="rId3"/>
    <sheet name="Szolgáltatás&amp;Maradékjog" sheetId="14" r:id="rId4"/>
    <sheet name="Maradékjogok" sheetId="9" state="hidden" r:id="rId5"/>
    <sheet name="kitöltési útmutató" sheetId="10" state="hidden" r:id="rId6"/>
    <sheet name="PM" sheetId="12" state="hidden" r:id="rId7"/>
    <sheet name="ÉV" sheetId="1" state="hidden" r:id="rId8"/>
    <sheet name="HÓ" sheetId="3" state="hidden" r:id="rId9"/>
    <sheet name="vv_értékek" sheetId="2" state="hidden" r:id="rId10"/>
    <sheet name="Tartalék" sheetId="5" state="hidden" r:id="rId11"/>
    <sheet name="Bruttó_díj" sheetId="4" state="hidden" r:id="rId12"/>
    <sheet name="Pz" sheetId="6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i18n">'[1]0. Language'!$F$93</definedName>
    <definedName name="__iLang">'[1]0. Language'!$D$2</definedName>
    <definedName name="_xlnm._FilterDatabase" localSheetId="8" hidden="1">HÓ!$A$1:$Y$578</definedName>
    <definedName name="_TS_">[1]P.Readme!$B$55</definedName>
    <definedName name="AdóHó">PM!$C$119</definedName>
    <definedName name="ah" localSheetId="3">'[2]Premium Calculation'!#REF!</definedName>
    <definedName name="ah">'[2]Premium Calculation'!#REF!</definedName>
    <definedName name="alpha1">'[2]Profit Test Assumptions'!$E$3</definedName>
    <definedName name="anscount" hidden="1">1</definedName>
    <definedName name="benefit">'[2]Profit Test Assumptions'!$B$10</definedName>
    <definedName name="benefit_annuity">'[2]Profit Test Assumptions'!$B$14</definedName>
    <definedName name="benefit_maturity">'[2]Profit Test Assumptions'!$B$11</definedName>
    <definedName name="benefit_term">'[2]Profit Test Assumptions'!$B$10</definedName>
    <definedName name="beta">'[2]Profit Test Assumptions'!$E$16</definedName>
    <definedName name="BiztÖsszeg">Kalkulátor!$H$13</definedName>
    <definedName name="BonExtrTart">[3]Bon!$B:$B</definedName>
    <definedName name="Class" localSheetId="3">PM!#REF!</definedName>
    <definedName name="Class">PM!#REF!</definedName>
    <definedName name="company">'[4]Market Risk'!$A$4:$A$23</definedName>
    <definedName name="company2">[2]Solvency_II_adj!$A$38:$A$54</definedName>
    <definedName name="compound_period" localSheetId="1">Kalkulátor!#REF!</definedName>
    <definedName name="compound_period" localSheetId="4">Maradékjogok!#REF!</definedName>
    <definedName name="compound_period" localSheetId="3">'Szolgáltatás&amp;Maradékjog'!#REF!</definedName>
    <definedName name="contract_duration">'[2]Profit Test Assumptions'!$B$6</definedName>
    <definedName name="cur">[2]Solvency_II_adj!$J$3:$J$16</definedName>
    <definedName name="currency">'[4]Market Risk'!$M$4:$M$16</definedName>
    <definedName name="deferral">'[2]Profit Test Assumptions'!$B$15</definedName>
    <definedName name="deposits_per_year" localSheetId="1">Kalkulátor!#REF!</definedName>
    <definedName name="deposits_per_year" localSheetId="4">Maradékjogok!#REF!</definedName>
    <definedName name="deposits_per_year" localSheetId="3">'Szolgáltatás&amp;Maradékjog'!#REF!</definedName>
    <definedName name="deposits_per_year">'[5]Megtakarítási egységek'!$F$7</definedName>
    <definedName name="Deviza">PM!$C$39</definedName>
    <definedName name="DíjBonuszok">PM!$B$112:$C$117</definedName>
    <definedName name="DíjfizetésiGyakoriságok" localSheetId="5">[6]kalkulátor!$M$11:$M$14</definedName>
    <definedName name="DíjfizetésiGyakoriságok" localSheetId="4">Maradékjogok!#REF!</definedName>
    <definedName name="DíjfizetésiGyakoriságok" localSheetId="2">[6]kalkulátor!$M$11:$M$14</definedName>
    <definedName name="DíjfizetésiGyakoriságok" localSheetId="6">'[7]Kalkulátor (2)'!$N$12:$N$16</definedName>
    <definedName name="DíjfizetésiGyakoriságok" localSheetId="3">'Szolgáltatás&amp;Maradékjog'!#REF!</definedName>
    <definedName name="DíjIndex">Kalkulátor!$I$17</definedName>
    <definedName name="EgyFoly">PM!$C$28</definedName>
    <definedName name="Ért">PM!$C$3</definedName>
    <definedName name="Eszközalap">[3]EszközalapLista!$C$6:$C$117</definedName>
    <definedName name="ÉvesDíj">ÉV!$B$8</definedName>
    <definedName name="FeltételezettHozam">ÉV!$B$12</definedName>
    <definedName name="Fizgyak">PM!$A$29:$A$32</definedName>
    <definedName name="FizGyakNr" localSheetId="6">'[7]Kalkulátor (2)'!$F$7</definedName>
    <definedName name="FizGyakNr">Kalkulátor!$J$15</definedName>
    <definedName name="FizMódBonus">PM!$C$36</definedName>
    <definedName name="freq_ann">[8]Profit_test_assumptions!$M$14</definedName>
    <definedName name="freq_annuity">'[2]Profit Test Assumptions'!$B$13</definedName>
    <definedName name="gamma1">'[2]Profit Test Assumptions'!$E$14</definedName>
    <definedName name="gross_premium">'[2]Profit Test Assumptions'!$B$26</definedName>
    <definedName name="guarantee">[8]Profit_test_assumptions!$C$7</definedName>
    <definedName name="guaranteed">'[2]Profit Test Assumptions'!$B$16</definedName>
    <definedName name="GyakDíj" localSheetId="6">[7]CFdet!$B$51</definedName>
    <definedName name="GyakDíj" localSheetId="3">Kalkulátor!#REF!</definedName>
    <definedName name="GyakDíj">Kalkulátor!#REF!</definedName>
    <definedName name="HozamFeltételezés">Kalkulátor!$H$18</definedName>
    <definedName name="inflation" localSheetId="3">'[2]Profit Test Assumptions'!#REF!</definedName>
    <definedName name="inflation">'[2]Profit Test Assumptions'!#REF!</definedName>
    <definedName name="Kezdet" localSheetId="6">Kalkulátor!$G$8</definedName>
    <definedName name="Kezdet">Kalkulátor!$I$8</definedName>
    <definedName name="KorMax">PM!$C$59</definedName>
    <definedName name="KorMin">PM!$C$58</definedName>
    <definedName name="Lejárat" localSheetId="6">Kalkulátor!$G$9</definedName>
    <definedName name="LejáratNyug" localSheetId="6">Kalkulátor!$G$11</definedName>
    <definedName name="LejáratNyug">Kalkulátor!$I$11</definedName>
    <definedName name="LejárKorMax">PM!$C$60</definedName>
    <definedName name="limcount" hidden="1">1</definedName>
    <definedName name="method_payment">'[2]Profit Test Assumptions'!$B$18</definedName>
    <definedName name="MinDíj">PM!$C$15</definedName>
    <definedName name="no_insured">'[2]Profit Test Assumptions'!$B$5</definedName>
    <definedName name="_xlnm.Print_Titles" localSheetId="1">Kalkulátor!$36:$36</definedName>
    <definedName name="_xlnm.Print_Area" localSheetId="1">Kalkulátor!$A$1:$K$83</definedName>
    <definedName name="_xlnm.Print_Area" localSheetId="4">Maradékjogok!$A$1:$F$34</definedName>
    <definedName name="_xlnm.Print_Area" localSheetId="2">Nyomtatás!$A$1:$H$52</definedName>
    <definedName name="_xlnm.Print_Area" localSheetId="3">'Szolgáltatás&amp;Maradékjog'!$B$1:$G$34</definedName>
    <definedName name="Nyug" localSheetId="6">Kalkulátor!$H$4</definedName>
    <definedName name="Nyug">Kalkulátor!$J$4</definedName>
    <definedName name="payment_duration">'[2]Profit Test Assumptions'!$B$20</definedName>
    <definedName name="Pénznem">PM!$C$40</definedName>
    <definedName name="periodus" localSheetId="1">Kalkulátor!#REF!</definedName>
    <definedName name="periodus" localSheetId="4">Maradékjogok!#REF!</definedName>
    <definedName name="periodus" localSheetId="3">'Szolgáltatás&amp;Maradékjog'!#REF!</definedName>
    <definedName name="prem_pay">[8]Profit_test_assumptions!$C$5</definedName>
    <definedName name="SegmentNames">[9]Segments!$A$2:$A$8</definedName>
    <definedName name="sencount" hidden="1">1</definedName>
    <definedName name="subsidiaries">[2]Solvency_II_adj!$A$38:$A$54</definedName>
    <definedName name="Tartam_815">[3]Kalkulátor!$G$29</definedName>
    <definedName name="TartamDíjfiz" localSheetId="6">'[7]Kalkulátor (2)'!$F$6</definedName>
    <definedName name="TartamDíjfiz">Kalkulátor!$I$10</definedName>
    <definedName name="TartamMax">PM!$C$49</definedName>
    <definedName name="TartamMin">PM!$C$48</definedName>
    <definedName name="TartamTermék">PM!$C$47</definedName>
    <definedName name="TartamVálasztott" localSheetId="6">Kalkulátor!$G$10</definedName>
    <definedName name="TartamVálasztott">Kalkulátor!$I$10</definedName>
    <definedName name="TartamWlFix">PM!$C$46</definedName>
    <definedName name="technical_rate">'[2]Profit Test Assumptions'!$H$13</definedName>
    <definedName name="Technical_rate_surr">'[2]Profit Test Assumptions'!$H$21</definedName>
    <definedName name="Terméknév">PM!$C$2</definedName>
    <definedName name="TöredékHó" localSheetId="6">Kalkulátor!$F$12</definedName>
    <definedName name="Töredékhó">Kalkulátor!$J$12</definedName>
    <definedName name="VálaszthatóEszközalap">PM!$B$72:$B$92</definedName>
    <definedName name="valuevx">42.314159</definedName>
    <definedName name="zillmer">'[2]Profit Test Assumptions'!$H$15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7" l="1"/>
  <c r="A94" i="12" l="1"/>
  <c r="A100" i="12"/>
  <c r="L100" i="12" s="1"/>
  <c r="B37" i="8"/>
  <c r="B32" i="14"/>
  <c r="B15" i="14"/>
  <c r="B21" i="14"/>
  <c r="F26" i="9" l="1"/>
  <c r="F22" i="9"/>
  <c r="F12" i="9"/>
  <c r="B19" i="14"/>
  <c r="G4" i="14"/>
  <c r="B33" i="14"/>
  <c r="B31" i="14"/>
  <c r="B30" i="14"/>
  <c r="B26" i="14"/>
  <c r="B12" i="8"/>
  <c r="B3" i="8" l="1"/>
  <c r="A33" i="9" l="1"/>
  <c r="A31" i="9"/>
  <c r="A32" i="9"/>
  <c r="E19" i="9"/>
  <c r="H36" i="7"/>
  <c r="M8" i="7"/>
  <c r="B5" i="8"/>
  <c r="F2" i="7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3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270" i="3"/>
  <c r="Z271" i="3"/>
  <c r="Z272" i="3"/>
  <c r="Z273" i="3"/>
  <c r="Z274" i="3"/>
  <c r="Z275" i="3"/>
  <c r="Z276" i="3"/>
  <c r="Z277" i="3"/>
  <c r="Z278" i="3"/>
  <c r="Z279" i="3"/>
  <c r="Z280" i="3"/>
  <c r="Z281" i="3"/>
  <c r="Z282" i="3"/>
  <c r="Z283" i="3"/>
  <c r="Z284" i="3"/>
  <c r="Z285" i="3"/>
  <c r="Z286" i="3"/>
  <c r="Z287" i="3"/>
  <c r="Z288" i="3"/>
  <c r="Z289" i="3"/>
  <c r="Z290" i="3"/>
  <c r="Z291" i="3"/>
  <c r="Z292" i="3"/>
  <c r="Z293" i="3"/>
  <c r="Z294" i="3"/>
  <c r="Z295" i="3"/>
  <c r="Z296" i="3"/>
  <c r="Z297" i="3"/>
  <c r="Z298" i="3"/>
  <c r="Z299" i="3"/>
  <c r="Z300" i="3"/>
  <c r="Z301" i="3"/>
  <c r="Z302" i="3"/>
  <c r="Z303" i="3"/>
  <c r="Z304" i="3"/>
  <c r="Z305" i="3"/>
  <c r="Z306" i="3"/>
  <c r="Z307" i="3"/>
  <c r="Z308" i="3"/>
  <c r="Z309" i="3"/>
  <c r="Z310" i="3"/>
  <c r="Z311" i="3"/>
  <c r="Z312" i="3"/>
  <c r="Z313" i="3"/>
  <c r="Z314" i="3"/>
  <c r="Z315" i="3"/>
  <c r="Z316" i="3"/>
  <c r="Z317" i="3"/>
  <c r="Z318" i="3"/>
  <c r="Z319" i="3"/>
  <c r="Z320" i="3"/>
  <c r="Z321" i="3"/>
  <c r="Z322" i="3"/>
  <c r="Z323" i="3"/>
  <c r="Z324" i="3"/>
  <c r="Z325" i="3"/>
  <c r="Z326" i="3"/>
  <c r="Z327" i="3"/>
  <c r="Z328" i="3"/>
  <c r="Z329" i="3"/>
  <c r="Z330" i="3"/>
  <c r="Z331" i="3"/>
  <c r="Z332" i="3"/>
  <c r="Z333" i="3"/>
  <c r="Z334" i="3"/>
  <c r="Z335" i="3"/>
  <c r="Z336" i="3"/>
  <c r="Z337" i="3"/>
  <c r="Z338" i="3"/>
  <c r="Z339" i="3"/>
  <c r="Z340" i="3"/>
  <c r="Z341" i="3"/>
  <c r="Z342" i="3"/>
  <c r="Z343" i="3"/>
  <c r="Z344" i="3"/>
  <c r="Z345" i="3"/>
  <c r="Z346" i="3"/>
  <c r="Z347" i="3"/>
  <c r="Z348" i="3"/>
  <c r="Z349" i="3"/>
  <c r="Z350" i="3"/>
  <c r="Z351" i="3"/>
  <c r="Z352" i="3"/>
  <c r="Z353" i="3"/>
  <c r="Z354" i="3"/>
  <c r="Z355" i="3"/>
  <c r="Z356" i="3"/>
  <c r="Z357" i="3"/>
  <c r="Z358" i="3"/>
  <c r="Z359" i="3"/>
  <c r="Z360" i="3"/>
  <c r="Z361" i="3"/>
  <c r="Z362" i="3"/>
  <c r="Z363" i="3"/>
  <c r="Z364" i="3"/>
  <c r="Z365" i="3"/>
  <c r="Z366" i="3"/>
  <c r="Z367" i="3"/>
  <c r="Z368" i="3"/>
  <c r="Z369" i="3"/>
  <c r="Z370" i="3"/>
  <c r="Z371" i="3"/>
  <c r="Z372" i="3"/>
  <c r="Z373" i="3"/>
  <c r="Z374" i="3"/>
  <c r="Z375" i="3"/>
  <c r="Z376" i="3"/>
  <c r="Z377" i="3"/>
  <c r="Z378" i="3"/>
  <c r="Z379" i="3"/>
  <c r="Z380" i="3"/>
  <c r="Z381" i="3"/>
  <c r="Z382" i="3"/>
  <c r="Z383" i="3"/>
  <c r="Z384" i="3"/>
  <c r="Z385" i="3"/>
  <c r="Z386" i="3"/>
  <c r="Z387" i="3"/>
  <c r="Z388" i="3"/>
  <c r="Z389" i="3"/>
  <c r="Z390" i="3"/>
  <c r="Z391" i="3"/>
  <c r="Z392" i="3"/>
  <c r="Z393" i="3"/>
  <c r="Z394" i="3"/>
  <c r="Z395" i="3"/>
  <c r="Z396" i="3"/>
  <c r="Z397" i="3"/>
  <c r="Z398" i="3"/>
  <c r="Z399" i="3"/>
  <c r="Z400" i="3"/>
  <c r="Z401" i="3"/>
  <c r="Z402" i="3"/>
  <c r="Z403" i="3"/>
  <c r="Z404" i="3"/>
  <c r="Z405" i="3"/>
  <c r="Z406" i="3"/>
  <c r="Z407" i="3"/>
  <c r="Z408" i="3"/>
  <c r="Z409" i="3"/>
  <c r="Z410" i="3"/>
  <c r="Z411" i="3"/>
  <c r="Z412" i="3"/>
  <c r="Z413" i="3"/>
  <c r="Z414" i="3"/>
  <c r="Z415" i="3"/>
  <c r="Z416" i="3"/>
  <c r="Z417" i="3"/>
  <c r="Z418" i="3"/>
  <c r="Z419" i="3"/>
  <c r="Z420" i="3"/>
  <c r="Z421" i="3"/>
  <c r="Z422" i="3"/>
  <c r="Z423" i="3"/>
  <c r="Z424" i="3"/>
  <c r="Z425" i="3"/>
  <c r="Z426" i="3"/>
  <c r="Z427" i="3"/>
  <c r="Z428" i="3"/>
  <c r="Z429" i="3"/>
  <c r="Z430" i="3"/>
  <c r="Z431" i="3"/>
  <c r="Z432" i="3"/>
  <c r="Z433" i="3"/>
  <c r="Z434" i="3"/>
  <c r="Z435" i="3"/>
  <c r="Z436" i="3"/>
  <c r="Z437" i="3"/>
  <c r="Z438" i="3"/>
  <c r="Z439" i="3"/>
  <c r="Z440" i="3"/>
  <c r="Z441" i="3"/>
  <c r="Z442" i="3"/>
  <c r="Z443" i="3"/>
  <c r="Z444" i="3"/>
  <c r="Z445" i="3"/>
  <c r="Z446" i="3"/>
  <c r="Z447" i="3"/>
  <c r="Z448" i="3"/>
  <c r="Z449" i="3"/>
  <c r="Z450" i="3"/>
  <c r="Z451" i="3"/>
  <c r="Z452" i="3"/>
  <c r="Z453" i="3"/>
  <c r="Z454" i="3"/>
  <c r="Z455" i="3"/>
  <c r="Z456" i="3"/>
  <c r="Z457" i="3"/>
  <c r="Z458" i="3"/>
  <c r="Z459" i="3"/>
  <c r="Z460" i="3"/>
  <c r="Z461" i="3"/>
  <c r="Z462" i="3"/>
  <c r="Z463" i="3"/>
  <c r="Z464" i="3"/>
  <c r="Z465" i="3"/>
  <c r="Z466" i="3"/>
  <c r="Z467" i="3"/>
  <c r="Z468" i="3"/>
  <c r="Z469" i="3"/>
  <c r="Z470" i="3"/>
  <c r="Z471" i="3"/>
  <c r="Z472" i="3"/>
  <c r="Z473" i="3"/>
  <c r="Z474" i="3"/>
  <c r="Z475" i="3"/>
  <c r="Z476" i="3"/>
  <c r="Z477" i="3"/>
  <c r="Z478" i="3"/>
  <c r="Z479" i="3"/>
  <c r="Z480" i="3"/>
  <c r="Z481" i="3"/>
  <c r="Z482" i="3"/>
  <c r="Z483" i="3"/>
  <c r="Z484" i="3"/>
  <c r="Z485" i="3"/>
  <c r="Z486" i="3"/>
  <c r="Z487" i="3"/>
  <c r="Z488" i="3"/>
  <c r="Z489" i="3"/>
  <c r="Z490" i="3"/>
  <c r="Z491" i="3"/>
  <c r="Z492" i="3"/>
  <c r="Z493" i="3"/>
  <c r="Z494" i="3"/>
  <c r="Z495" i="3"/>
  <c r="Z496" i="3"/>
  <c r="Z497" i="3"/>
  <c r="Z498" i="3"/>
  <c r="Z499" i="3"/>
  <c r="Z500" i="3"/>
  <c r="Z501" i="3"/>
  <c r="Z502" i="3"/>
  <c r="Z503" i="3"/>
  <c r="Z504" i="3"/>
  <c r="Z505" i="3"/>
  <c r="Z506" i="3"/>
  <c r="Z507" i="3"/>
  <c r="Z508" i="3"/>
  <c r="Z509" i="3"/>
  <c r="Z510" i="3"/>
  <c r="Z511" i="3"/>
  <c r="Z512" i="3"/>
  <c r="Z513" i="3"/>
  <c r="Z514" i="3"/>
  <c r="Z515" i="3"/>
  <c r="Z516" i="3"/>
  <c r="Z517" i="3"/>
  <c r="Z518" i="3"/>
  <c r="Z519" i="3"/>
  <c r="Z520" i="3"/>
  <c r="Z521" i="3"/>
  <c r="Z522" i="3"/>
  <c r="Z523" i="3"/>
  <c r="Z524" i="3"/>
  <c r="Z525" i="3"/>
  <c r="Z526" i="3"/>
  <c r="Z527" i="3"/>
  <c r="Z528" i="3"/>
  <c r="Z529" i="3"/>
  <c r="Z530" i="3"/>
  <c r="Z531" i="3"/>
  <c r="Z532" i="3"/>
  <c r="Z533" i="3"/>
  <c r="Z534" i="3"/>
  <c r="Z535" i="3"/>
  <c r="Z536" i="3"/>
  <c r="Z537" i="3"/>
  <c r="Z538" i="3"/>
  <c r="Z539" i="3"/>
  <c r="Z540" i="3"/>
  <c r="Z541" i="3"/>
  <c r="Z542" i="3"/>
  <c r="Z543" i="3"/>
  <c r="Z544" i="3"/>
  <c r="Z545" i="3"/>
  <c r="Z546" i="3"/>
  <c r="Z547" i="3"/>
  <c r="Z548" i="3"/>
  <c r="Z549" i="3"/>
  <c r="Z550" i="3"/>
  <c r="Z551" i="3"/>
  <c r="Z552" i="3"/>
  <c r="Z553" i="3"/>
  <c r="Z554" i="3"/>
  <c r="Z555" i="3"/>
  <c r="Z556" i="3"/>
  <c r="Z557" i="3"/>
  <c r="Z558" i="3"/>
  <c r="Z559" i="3"/>
  <c r="Z560" i="3"/>
  <c r="Z561" i="3"/>
  <c r="Z562" i="3"/>
  <c r="Z563" i="3"/>
  <c r="Z564" i="3"/>
  <c r="Z565" i="3"/>
  <c r="Z566" i="3"/>
  <c r="Z567" i="3"/>
  <c r="Z568" i="3"/>
  <c r="Z569" i="3"/>
  <c r="Z570" i="3"/>
  <c r="Z571" i="3"/>
  <c r="Z572" i="3"/>
  <c r="Z573" i="3"/>
  <c r="Z574" i="3"/>
  <c r="Z575" i="3"/>
  <c r="Z576" i="3"/>
  <c r="Z577" i="3"/>
  <c r="D9" i="7" l="1"/>
  <c r="D10" i="7"/>
  <c r="B35" i="8"/>
  <c r="B39" i="8" l="1"/>
  <c r="B36" i="8"/>
  <c r="B38" i="8"/>
  <c r="G25" i="8"/>
  <c r="B25" i="8"/>
  <c r="B9" i="8"/>
  <c r="A103" i="12"/>
  <c r="L103" i="12" s="1"/>
  <c r="A102" i="12"/>
  <c r="L102" i="12" s="1"/>
  <c r="A98" i="12"/>
  <c r="L98" i="12" s="1"/>
  <c r="A99" i="12"/>
  <c r="L99" i="12" s="1"/>
  <c r="A95" i="12" l="1"/>
  <c r="I2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I20" i="7"/>
  <c r="C10" i="1"/>
  <c r="B29" i="8" l="1"/>
  <c r="G24" i="8"/>
  <c r="B24" i="8"/>
  <c r="B28" i="8"/>
  <c r="B27" i="8"/>
  <c r="B26" i="8"/>
  <c r="M9" i="7"/>
  <c r="M7" i="7"/>
  <c r="M6" i="7"/>
  <c r="M5" i="7"/>
  <c r="F26" i="8"/>
  <c r="D14" i="7"/>
  <c r="J15" i="7"/>
  <c r="O6" i="7" l="1"/>
  <c r="H7" i="7" l="1"/>
  <c r="F7" i="7"/>
  <c r="D6" i="7"/>
  <c r="J5" i="7"/>
  <c r="I7" i="7" l="1"/>
  <c r="I8" i="7" s="1"/>
  <c r="I5" i="7"/>
  <c r="D3" i="1" l="1"/>
  <c r="A55" i="12"/>
  <c r="C55" i="12"/>
  <c r="I6" i="7"/>
  <c r="J6" i="7" s="1"/>
  <c r="D6" i="1"/>
  <c r="A6" i="1" s="1"/>
  <c r="J7" i="7"/>
  <c r="I11" i="7" l="1"/>
  <c r="G20" i="8" s="1"/>
  <c r="C3" i="1"/>
  <c r="B3" i="1"/>
  <c r="A3" i="1"/>
  <c r="D11" i="7"/>
  <c r="D12" i="7"/>
  <c r="E6" i="1" l="1"/>
  <c r="C53" i="12"/>
  <c r="C54" i="12"/>
  <c r="A54" i="12" s="1"/>
  <c r="I9" i="7" l="1"/>
  <c r="J11" i="7" l="1"/>
  <c r="C52" i="12"/>
  <c r="C50" i="12" s="1"/>
  <c r="I10" i="7" s="1"/>
  <c r="I12" i="7" s="1"/>
  <c r="J12" i="7"/>
  <c r="A26" i="7" l="1"/>
  <c r="A38" i="7"/>
  <c r="J10" i="7"/>
  <c r="F19" i="8"/>
  <c r="J9" i="7"/>
  <c r="B47" i="12"/>
  <c r="B59" i="12"/>
  <c r="A27" i="7" l="1"/>
  <c r="B29" i="14" s="1"/>
  <c r="B28" i="14"/>
  <c r="A29" i="9"/>
  <c r="A101" i="12"/>
  <c r="L101" i="12" s="1"/>
  <c r="B33" i="8"/>
  <c r="B38" i="7"/>
  <c r="A39" i="7"/>
  <c r="A30" i="9" l="1"/>
  <c r="A97" i="12"/>
  <c r="L97" i="12" s="1"/>
  <c r="B34" i="8"/>
  <c r="A104" i="12"/>
  <c r="B39" i="7"/>
  <c r="A40" i="7"/>
  <c r="B40" i="7" l="1"/>
  <c r="A41" i="7"/>
  <c r="B41" i="7" l="1"/>
  <c r="A42" i="7"/>
  <c r="A43" i="7" l="1"/>
  <c r="B42" i="7"/>
  <c r="A44" i="7" l="1"/>
  <c r="B43" i="7"/>
  <c r="A45" i="7" l="1"/>
  <c r="B44" i="7"/>
  <c r="A46" i="7" l="1"/>
  <c r="B45" i="7"/>
  <c r="A47" i="7" l="1"/>
  <c r="B46" i="7"/>
  <c r="A48" i="7" l="1"/>
  <c r="B47" i="7"/>
  <c r="A49" i="7" l="1"/>
  <c r="B48" i="7"/>
  <c r="A50" i="7" l="1"/>
  <c r="B49" i="7"/>
  <c r="A51" i="7" l="1"/>
  <c r="B50" i="7"/>
  <c r="A52" i="7" l="1"/>
  <c r="B51" i="7"/>
  <c r="A53" i="7" l="1"/>
  <c r="B52" i="7"/>
  <c r="A54" i="7" l="1"/>
  <c r="B53" i="7"/>
  <c r="A55" i="7" l="1"/>
  <c r="B54" i="7"/>
  <c r="A56" i="7" l="1"/>
  <c r="B55" i="7"/>
  <c r="B56" i="7" l="1"/>
  <c r="A57" i="7"/>
  <c r="B57" i="7" l="1"/>
  <c r="B12" i="1" l="1"/>
  <c r="B14" i="14" l="1"/>
  <c r="E27" i="9"/>
  <c r="E23" i="9"/>
  <c r="B23" i="14"/>
  <c r="B18" i="14"/>
  <c r="E17" i="9"/>
  <c r="B20" i="14"/>
  <c r="B25" i="14" s="1"/>
  <c r="Z3" i="3"/>
  <c r="F3" i="9" l="1"/>
  <c r="C44" i="8" l="1"/>
  <c r="AB3" i="3" l="1"/>
  <c r="AC3" i="3"/>
  <c r="D3" i="3"/>
  <c r="X2" i="3"/>
  <c r="AF3" i="3" l="1"/>
  <c r="AG3" i="3" s="1"/>
  <c r="AC4" i="3"/>
  <c r="AB4" i="3"/>
  <c r="C4" i="3"/>
  <c r="G4" i="1"/>
  <c r="G5" i="1" s="1"/>
  <c r="C6" i="1"/>
  <c r="B6" i="1"/>
  <c r="Y2" i="3"/>
  <c r="O3" i="3" l="1"/>
  <c r="AB5" i="3"/>
  <c r="AC5" i="3"/>
  <c r="B4" i="3"/>
  <c r="Z4" i="3" s="1"/>
  <c r="AH3" i="3" l="1"/>
  <c r="AB6" i="3"/>
  <c r="AC6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2" i="3"/>
  <c r="A4" i="3"/>
  <c r="AF4" i="3" s="1"/>
  <c r="AG4" i="3" s="1"/>
  <c r="J2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2" i="2"/>
  <c r="O4" i="3" l="1"/>
  <c r="AB7" i="3"/>
  <c r="AC7" i="3"/>
  <c r="A5" i="3"/>
  <c r="AF5" i="3" s="1"/>
  <c r="B5" i="3"/>
  <c r="Z5" i="3" s="1"/>
  <c r="AH4" i="3" l="1"/>
  <c r="AC8" i="3"/>
  <c r="AB8" i="3"/>
  <c r="B6" i="3"/>
  <c r="Z6" i="3" s="1"/>
  <c r="A6" i="3"/>
  <c r="AF6" i="3" s="1"/>
  <c r="AD5" i="3" l="1"/>
  <c r="AE5" i="3" s="1"/>
  <c r="AD4" i="3"/>
  <c r="AE4" i="3" s="1"/>
  <c r="AB9" i="3"/>
  <c r="AC9" i="3"/>
  <c r="A7" i="3"/>
  <c r="AF7" i="3" s="1"/>
  <c r="AG7" i="3" s="1"/>
  <c r="B7" i="3"/>
  <c r="Z7" i="3" s="1"/>
  <c r="AB10" i="3" l="1"/>
  <c r="AC10" i="3"/>
  <c r="A8" i="3"/>
  <c r="B8" i="3"/>
  <c r="Z8" i="3" s="1"/>
  <c r="AF8" i="3" l="1"/>
  <c r="AG8" i="3" s="1"/>
  <c r="AB11" i="3"/>
  <c r="AC11" i="3"/>
  <c r="A9" i="3"/>
  <c r="B9" i="3"/>
  <c r="Z9" i="3" s="1"/>
  <c r="AF9" i="3" l="1"/>
  <c r="AD8" i="3"/>
  <c r="AE8" i="3" s="1"/>
  <c r="AC12" i="3"/>
  <c r="AB12" i="3"/>
  <c r="B10" i="3"/>
  <c r="Z10" i="3" s="1"/>
  <c r="A10" i="3"/>
  <c r="AF10" i="3" s="1"/>
  <c r="AG10" i="3" l="1"/>
  <c r="AD9" i="3"/>
  <c r="AE9" i="3" s="1"/>
  <c r="AB13" i="3"/>
  <c r="AC13" i="3"/>
  <c r="B11" i="3"/>
  <c r="Z11" i="3" s="1"/>
  <c r="A11" i="3"/>
  <c r="AF11" i="3" s="1"/>
  <c r="AG11" i="3" s="1"/>
  <c r="AB14" i="3" l="1"/>
  <c r="AC14" i="3"/>
  <c r="B12" i="3"/>
  <c r="Z12" i="3" s="1"/>
  <c r="A12" i="3"/>
  <c r="AF12" i="3" s="1"/>
  <c r="AG12" i="3" s="1"/>
  <c r="AB15" i="3" l="1"/>
  <c r="AC15" i="3"/>
  <c r="B13" i="3"/>
  <c r="Z13" i="3" s="1"/>
  <c r="A13" i="3"/>
  <c r="AF13" i="3" s="1"/>
  <c r="AG13" i="3" s="1"/>
  <c r="AD13" i="3" l="1"/>
  <c r="AE13" i="3" s="1"/>
  <c r="AC16" i="3"/>
  <c r="AB16" i="3"/>
  <c r="B14" i="3"/>
  <c r="Z14" i="3" s="1"/>
  <c r="A14" i="3"/>
  <c r="AF14" i="3" s="1"/>
  <c r="AG14" i="3" s="1"/>
  <c r="AB17" i="3" l="1"/>
  <c r="AC17" i="3"/>
  <c r="B15" i="3"/>
  <c r="Z15" i="3" s="1"/>
  <c r="A15" i="3"/>
  <c r="AF15" i="3" s="1"/>
  <c r="AG15" i="3" s="1"/>
  <c r="AB18" i="3" l="1"/>
  <c r="AC18" i="3"/>
  <c r="B16" i="3"/>
  <c r="Z16" i="3" s="1"/>
  <c r="A16" i="3"/>
  <c r="AF16" i="3" s="1"/>
  <c r="AG16" i="3" s="1"/>
  <c r="AD16" i="3" l="1"/>
  <c r="AE16" i="3" s="1"/>
  <c r="AB19" i="3"/>
  <c r="AC19" i="3"/>
  <c r="B17" i="3"/>
  <c r="Z17" i="3" s="1"/>
  <c r="A17" i="3"/>
  <c r="AF17" i="3" s="1"/>
  <c r="AD17" i="3" l="1"/>
  <c r="AE17" i="3" s="1"/>
  <c r="AC20" i="3"/>
  <c r="AB20" i="3"/>
  <c r="B18" i="3"/>
  <c r="Z18" i="3" s="1"/>
  <c r="A18" i="3"/>
  <c r="AF18" i="3" s="1"/>
  <c r="A58" i="7" l="1"/>
  <c r="AB21" i="3"/>
  <c r="AC21" i="3"/>
  <c r="A19" i="3"/>
  <c r="B19" i="3"/>
  <c r="Z19" i="3" s="1"/>
  <c r="AF19" i="3" l="1"/>
  <c r="AG19" i="3" s="1"/>
  <c r="A59" i="7"/>
  <c r="B58" i="7"/>
  <c r="AB22" i="3"/>
  <c r="AC22" i="3"/>
  <c r="A20" i="3"/>
  <c r="AF20" i="3" s="1"/>
  <c r="B20" i="3"/>
  <c r="Z20" i="3" s="1"/>
  <c r="AG20" i="3" l="1"/>
  <c r="AD20" i="3"/>
  <c r="AE20" i="3" s="1"/>
  <c r="A60" i="7"/>
  <c r="B59" i="7"/>
  <c r="AB23" i="3"/>
  <c r="AC23" i="3"/>
  <c r="A21" i="3"/>
  <c r="B21" i="3"/>
  <c r="Z21" i="3" s="1"/>
  <c r="AF21" i="3" l="1"/>
  <c r="B60" i="7"/>
  <c r="A61" i="7"/>
  <c r="AC24" i="3"/>
  <c r="AB24" i="3"/>
  <c r="A22" i="3"/>
  <c r="AF22" i="3" s="1"/>
  <c r="B22" i="3"/>
  <c r="Z22" i="3" s="1"/>
  <c r="AG22" i="3" l="1"/>
  <c r="AD21" i="3"/>
  <c r="AE21" i="3" s="1"/>
  <c r="A62" i="7"/>
  <c r="B61" i="7"/>
  <c r="AB25" i="3"/>
  <c r="AC25" i="3"/>
  <c r="A23" i="3"/>
  <c r="AF23" i="3" s="1"/>
  <c r="AG23" i="3" s="1"/>
  <c r="B23" i="3"/>
  <c r="Z23" i="3" s="1"/>
  <c r="A63" i="7" l="1"/>
  <c r="B62" i="7"/>
  <c r="AB26" i="3"/>
  <c r="AC26" i="3"/>
  <c r="B24" i="3"/>
  <c r="Z24" i="3" s="1"/>
  <c r="A24" i="3"/>
  <c r="AF24" i="3" s="1"/>
  <c r="AG24" i="3" s="1"/>
  <c r="A64" i="7" l="1"/>
  <c r="B63" i="7"/>
  <c r="AB27" i="3"/>
  <c r="AC27" i="3"/>
  <c r="B25" i="3"/>
  <c r="A25" i="3"/>
  <c r="AF25" i="3" s="1"/>
  <c r="AG25" i="3" s="1"/>
  <c r="AD25" i="3" l="1"/>
  <c r="AE25" i="3" s="1"/>
  <c r="A65" i="7"/>
  <c r="B64" i="7"/>
  <c r="AC28" i="3"/>
  <c r="AB28" i="3"/>
  <c r="A26" i="3"/>
  <c r="B26" i="3"/>
  <c r="AF26" i="3" l="1"/>
  <c r="AG26" i="3" s="1"/>
  <c r="A66" i="7"/>
  <c r="B65" i="7"/>
  <c r="AB29" i="3"/>
  <c r="AC29" i="3"/>
  <c r="A27" i="3"/>
  <c r="AF27" i="3" s="1"/>
  <c r="B27" i="3"/>
  <c r="AG27" i="3" l="1"/>
  <c r="A67" i="7"/>
  <c r="B66" i="7"/>
  <c r="AB30" i="3"/>
  <c r="AC30" i="3"/>
  <c r="B28" i="3"/>
  <c r="A28" i="3"/>
  <c r="AF28" i="3" s="1"/>
  <c r="AG28" i="3" s="1"/>
  <c r="AD28" i="3" l="1"/>
  <c r="AE28" i="3" s="1"/>
  <c r="A68" i="7"/>
  <c r="B67" i="7"/>
  <c r="AB31" i="3"/>
  <c r="AC31" i="3"/>
  <c r="A29" i="3"/>
  <c r="B29" i="3"/>
  <c r="AF29" i="3" l="1"/>
  <c r="A69" i="7"/>
  <c r="B68" i="7"/>
  <c r="AC32" i="3"/>
  <c r="AB32" i="3"/>
  <c r="B30" i="3"/>
  <c r="A30" i="3"/>
  <c r="AF30" i="3" s="1"/>
  <c r="AD29" i="3" l="1"/>
  <c r="AE29" i="3" s="1"/>
  <c r="A70" i="7"/>
  <c r="B69" i="7"/>
  <c r="AB33" i="3"/>
  <c r="AC33" i="3"/>
  <c r="A31" i="3"/>
  <c r="AF31" i="3" s="1"/>
  <c r="AG31" i="3" s="1"/>
  <c r="B31" i="3"/>
  <c r="A71" i="7" l="1"/>
  <c r="B70" i="7"/>
  <c r="AC34" i="3"/>
  <c r="AB34" i="3"/>
  <c r="A32" i="3"/>
  <c r="AF32" i="3" s="1"/>
  <c r="AG32" i="3" s="1"/>
  <c r="B32" i="3"/>
  <c r="AD32" i="3" l="1"/>
  <c r="AE32" i="3" s="1"/>
  <c r="A72" i="7"/>
  <c r="B71" i="7"/>
  <c r="AB35" i="3"/>
  <c r="AC35" i="3"/>
  <c r="B33" i="3"/>
  <c r="A33" i="3"/>
  <c r="AF33" i="3" s="1"/>
  <c r="AD33" i="3" l="1"/>
  <c r="AE33" i="3" s="1"/>
  <c r="A73" i="7"/>
  <c r="B72" i="7"/>
  <c r="AB36" i="3"/>
  <c r="AC36" i="3"/>
  <c r="A34" i="3"/>
  <c r="AF34" i="3" s="1"/>
  <c r="AG34" i="3" s="1"/>
  <c r="B34" i="3"/>
  <c r="A74" i="7" l="1"/>
  <c r="B73" i="7"/>
  <c r="AB37" i="3"/>
  <c r="AC37" i="3"/>
  <c r="A35" i="3"/>
  <c r="AF35" i="3" s="1"/>
  <c r="AG35" i="3" s="1"/>
  <c r="B35" i="3"/>
  <c r="A75" i="7" l="1"/>
  <c r="B74" i="7"/>
  <c r="AC38" i="3"/>
  <c r="AB38" i="3"/>
  <c r="A36" i="3"/>
  <c r="B36" i="3"/>
  <c r="AF36" i="3" l="1"/>
  <c r="AG36" i="3" s="1"/>
  <c r="A76" i="7"/>
  <c r="B75" i="7"/>
  <c r="AB39" i="3"/>
  <c r="AC39" i="3"/>
  <c r="A37" i="3"/>
  <c r="AF37" i="3" s="1"/>
  <c r="B37" i="3"/>
  <c r="AG37" i="3" l="1"/>
  <c r="AD37" i="3"/>
  <c r="AE37" i="3" s="1"/>
  <c r="A77" i="7"/>
  <c r="B76" i="7"/>
  <c r="AB40" i="3"/>
  <c r="AC40" i="3"/>
  <c r="A38" i="3"/>
  <c r="B38" i="3"/>
  <c r="AF38" i="3" l="1"/>
  <c r="AG38" i="3" s="1"/>
  <c r="A78" i="7"/>
  <c r="B77" i="7"/>
  <c r="AB41" i="3"/>
  <c r="AC41" i="3"/>
  <c r="A39" i="3"/>
  <c r="AF39" i="3" s="1"/>
  <c r="B39" i="3"/>
  <c r="AG39" i="3" l="1"/>
  <c r="A79" i="7"/>
  <c r="B78" i="7"/>
  <c r="AC42" i="3"/>
  <c r="AB42" i="3"/>
  <c r="B40" i="3"/>
  <c r="A40" i="3"/>
  <c r="AF40" i="3" s="1"/>
  <c r="AG40" i="3" s="1"/>
  <c r="AD40" i="3" l="1"/>
  <c r="AE40" i="3" s="1"/>
  <c r="A80" i="7"/>
  <c r="B79" i="7"/>
  <c r="AB43" i="3"/>
  <c r="AC43" i="3"/>
  <c r="A41" i="3"/>
  <c r="AF41" i="3" s="1"/>
  <c r="B41" i="3"/>
  <c r="AD41" i="3" l="1"/>
  <c r="AE41" i="3" s="1"/>
  <c r="A81" i="7"/>
  <c r="B80" i="7"/>
  <c r="AB44" i="3"/>
  <c r="AC44" i="3"/>
  <c r="B42" i="3"/>
  <c r="A42" i="3"/>
  <c r="AF42" i="3" s="1"/>
  <c r="A82" i="7" l="1"/>
  <c r="B81" i="7"/>
  <c r="AB45" i="3"/>
  <c r="AC45" i="3"/>
  <c r="A43" i="3"/>
  <c r="B43" i="3"/>
  <c r="AF43" i="3" l="1"/>
  <c r="AG43" i="3" s="1"/>
  <c r="A83" i="7"/>
  <c r="B82" i="7"/>
  <c r="AC46" i="3"/>
  <c r="AB46" i="3"/>
  <c r="B44" i="3"/>
  <c r="A44" i="3"/>
  <c r="AF44" i="3" s="1"/>
  <c r="AG44" i="3" l="1"/>
  <c r="AD44" i="3"/>
  <c r="AE44" i="3" s="1"/>
  <c r="B83" i="7"/>
  <c r="AB47" i="3"/>
  <c r="AC47" i="3"/>
  <c r="B45" i="3"/>
  <c r="A45" i="3"/>
  <c r="AF45" i="3" s="1"/>
  <c r="AD45" i="3" l="1"/>
  <c r="AE45" i="3" s="1"/>
  <c r="AC48" i="3"/>
  <c r="AB48" i="3"/>
  <c r="A46" i="3"/>
  <c r="AF46" i="3" s="1"/>
  <c r="AG46" i="3" s="1"/>
  <c r="B46" i="3"/>
  <c r="AC49" i="3" l="1"/>
  <c r="AB49" i="3"/>
  <c r="A47" i="3"/>
  <c r="AF47" i="3" s="1"/>
  <c r="AG47" i="3" s="1"/>
  <c r="B47" i="3"/>
  <c r="AC50" i="3" l="1"/>
  <c r="AB50" i="3"/>
  <c r="B48" i="3"/>
  <c r="A48" i="3"/>
  <c r="AF48" i="3" s="1"/>
  <c r="AG48" i="3" s="1"/>
  <c r="AC51" i="3" l="1"/>
  <c r="AB51" i="3"/>
  <c r="A49" i="3"/>
  <c r="AF49" i="3" s="1"/>
  <c r="AG49" i="3" s="1"/>
  <c r="B49" i="3"/>
  <c r="AD49" i="3" l="1"/>
  <c r="AE49" i="3" s="1"/>
  <c r="AC52" i="3"/>
  <c r="AB52" i="3"/>
  <c r="A50" i="3"/>
  <c r="AF50" i="3" s="1"/>
  <c r="AG50" i="3" s="1"/>
  <c r="B50" i="3"/>
  <c r="AC53" i="3" l="1"/>
  <c r="AB53" i="3"/>
  <c r="A51" i="3"/>
  <c r="AF51" i="3" s="1"/>
  <c r="AG51" i="3" s="1"/>
  <c r="B51" i="3"/>
  <c r="AC54" i="3" l="1"/>
  <c r="AB54" i="3"/>
  <c r="B52" i="3"/>
  <c r="A52" i="3"/>
  <c r="AF52" i="3" l="1"/>
  <c r="AG52" i="3" s="1"/>
  <c r="AB55" i="3"/>
  <c r="AC55" i="3"/>
  <c r="A53" i="3"/>
  <c r="B53" i="3"/>
  <c r="AF53" i="3" l="1"/>
  <c r="AD52" i="3"/>
  <c r="AE52" i="3" s="1"/>
  <c r="AC56" i="3"/>
  <c r="AB56" i="3"/>
  <c r="A54" i="3"/>
  <c r="B54" i="3"/>
  <c r="AD53" i="3" l="1"/>
  <c r="AE53" i="3" s="1"/>
  <c r="AF54" i="3"/>
  <c r="AC57" i="3"/>
  <c r="AB57" i="3"/>
  <c r="A55" i="3"/>
  <c r="AF55" i="3" s="1"/>
  <c r="B55" i="3"/>
  <c r="AG55" i="3" l="1"/>
  <c r="AC58" i="3"/>
  <c r="AB58" i="3"/>
  <c r="A56" i="3"/>
  <c r="AF56" i="3" s="1"/>
  <c r="AG56" i="3" s="1"/>
  <c r="B56" i="3"/>
  <c r="AD56" i="3" l="1"/>
  <c r="AB59" i="3"/>
  <c r="AC59" i="3"/>
  <c r="B57" i="3"/>
  <c r="A57" i="3"/>
  <c r="AF57" i="3" s="1"/>
  <c r="AD57" i="3" l="1"/>
  <c r="AE57" i="3" s="1"/>
  <c r="AC60" i="3"/>
  <c r="AB60" i="3"/>
  <c r="B58" i="3"/>
  <c r="A58" i="3"/>
  <c r="AF58" i="3" s="1"/>
  <c r="AG58" i="3" s="1"/>
  <c r="AC61" i="3" l="1"/>
  <c r="AB61" i="3"/>
  <c r="B59" i="3"/>
  <c r="A59" i="3"/>
  <c r="AF59" i="3" s="1"/>
  <c r="AG59" i="3" s="1"/>
  <c r="AC62" i="3" l="1"/>
  <c r="AB62" i="3"/>
  <c r="B60" i="3"/>
  <c r="A60" i="3"/>
  <c r="AF60" i="3" s="1"/>
  <c r="AG60" i="3" s="1"/>
  <c r="AB63" i="3" l="1"/>
  <c r="AC63" i="3"/>
  <c r="A61" i="3"/>
  <c r="AF61" i="3" s="1"/>
  <c r="AG61" i="3" s="1"/>
  <c r="B61" i="3"/>
  <c r="AD61" i="3" l="1"/>
  <c r="AE61" i="3" s="1"/>
  <c r="AC64" i="3"/>
  <c r="AB64" i="3"/>
  <c r="A62" i="3"/>
  <c r="AF62" i="3" s="1"/>
  <c r="AG62" i="3" s="1"/>
  <c r="B62" i="3"/>
  <c r="AC65" i="3" l="1"/>
  <c r="AB65" i="3"/>
  <c r="A63" i="3"/>
  <c r="AF63" i="3" s="1"/>
  <c r="AG63" i="3" s="1"/>
  <c r="B63" i="3"/>
  <c r="AC66" i="3" l="1"/>
  <c r="AB66" i="3"/>
  <c r="B64" i="3"/>
  <c r="A64" i="3"/>
  <c r="AF64" i="3" s="1"/>
  <c r="AG64" i="3" s="1"/>
  <c r="AD64" i="3" l="1"/>
  <c r="AE64" i="3" s="1"/>
  <c r="AC67" i="3"/>
  <c r="AB67" i="3"/>
  <c r="A65" i="3"/>
  <c r="AF65" i="3" s="1"/>
  <c r="B65" i="3"/>
  <c r="AD65" i="3" l="1"/>
  <c r="AE65" i="3" s="1"/>
  <c r="AC68" i="3"/>
  <c r="AB68" i="3"/>
  <c r="A66" i="3"/>
  <c r="AF66" i="3" s="1"/>
  <c r="B66" i="3"/>
  <c r="AC69" i="3" l="1"/>
  <c r="AB69" i="3"/>
  <c r="A67" i="3"/>
  <c r="AF67" i="3" s="1"/>
  <c r="AG67" i="3" s="1"/>
  <c r="B67" i="3"/>
  <c r="AC70" i="3" l="1"/>
  <c r="AB70" i="3"/>
  <c r="B68" i="3"/>
  <c r="A68" i="3"/>
  <c r="AF68" i="3" s="1"/>
  <c r="AG68" i="3" s="1"/>
  <c r="AD68" i="3" l="1"/>
  <c r="AE68" i="3" s="1"/>
  <c r="AB71" i="3"/>
  <c r="AC71" i="3"/>
  <c r="B69" i="3"/>
  <c r="A69" i="3"/>
  <c r="AF69" i="3" s="1"/>
  <c r="AD69" i="3" l="1"/>
  <c r="AE69" i="3" s="1"/>
  <c r="AC72" i="3"/>
  <c r="AB72" i="3"/>
  <c r="A70" i="3"/>
  <c r="AF70" i="3" s="1"/>
  <c r="AG70" i="3" s="1"/>
  <c r="B70" i="3"/>
  <c r="AC73" i="3" l="1"/>
  <c r="AB73" i="3"/>
  <c r="B71" i="3"/>
  <c r="A71" i="3"/>
  <c r="AF71" i="3" s="1"/>
  <c r="AG71" i="3" s="1"/>
  <c r="AC74" i="3" l="1"/>
  <c r="AB74" i="3"/>
  <c r="B72" i="3"/>
  <c r="A72" i="3"/>
  <c r="AF72" i="3" s="1"/>
  <c r="AG72" i="3" s="1"/>
  <c r="AB75" i="3" l="1"/>
  <c r="AC75" i="3"/>
  <c r="B73" i="3"/>
  <c r="A73" i="3"/>
  <c r="AF73" i="3" s="1"/>
  <c r="AG73" i="3" s="1"/>
  <c r="AD73" i="3" l="1"/>
  <c r="AE73" i="3" s="1"/>
  <c r="AC76" i="3"/>
  <c r="AB76" i="3"/>
  <c r="B74" i="3"/>
  <c r="A74" i="3"/>
  <c r="AF74" i="3" s="1"/>
  <c r="AG74" i="3" s="1"/>
  <c r="AC77" i="3" l="1"/>
  <c r="AB77" i="3"/>
  <c r="A75" i="3"/>
  <c r="AF75" i="3" s="1"/>
  <c r="AG75" i="3" s="1"/>
  <c r="B75" i="3"/>
  <c r="AC78" i="3" l="1"/>
  <c r="AB78" i="3"/>
  <c r="A76" i="3"/>
  <c r="AF76" i="3" s="1"/>
  <c r="AG76" i="3" s="1"/>
  <c r="B76" i="3"/>
  <c r="AD76" i="3" l="1"/>
  <c r="AE76" i="3" s="1"/>
  <c r="AB79" i="3"/>
  <c r="AC79" i="3"/>
  <c r="B77" i="3"/>
  <c r="A77" i="3"/>
  <c r="AF77" i="3" s="1"/>
  <c r="AD77" i="3" l="1"/>
  <c r="AE77" i="3" s="1"/>
  <c r="AC80" i="3"/>
  <c r="AB80" i="3"/>
  <c r="A78" i="3"/>
  <c r="AF78" i="3" s="1"/>
  <c r="B78" i="3"/>
  <c r="AC81" i="3" l="1"/>
  <c r="AB81" i="3"/>
  <c r="B79" i="3"/>
  <c r="A79" i="3"/>
  <c r="AF79" i="3" s="1"/>
  <c r="AG79" i="3" s="1"/>
  <c r="AC82" i="3" l="1"/>
  <c r="AB82" i="3"/>
  <c r="B80" i="3"/>
  <c r="A80" i="3"/>
  <c r="AF80" i="3" s="1"/>
  <c r="AG80" i="3" s="1"/>
  <c r="AD80" i="3" l="1"/>
  <c r="AE80" i="3" s="1"/>
  <c r="AC83" i="3"/>
  <c r="AB83" i="3"/>
  <c r="A81" i="3"/>
  <c r="AF81" i="3" s="1"/>
  <c r="B81" i="3"/>
  <c r="AD81" i="3" l="1"/>
  <c r="AE81" i="3" s="1"/>
  <c r="AC84" i="3"/>
  <c r="AB84" i="3"/>
  <c r="A82" i="3"/>
  <c r="AF82" i="3" s="1"/>
  <c r="AG82" i="3" s="1"/>
  <c r="B82" i="3"/>
  <c r="AC85" i="3" l="1"/>
  <c r="AB85" i="3"/>
  <c r="A83" i="3"/>
  <c r="B83" i="3"/>
  <c r="AF83" i="3" l="1"/>
  <c r="AG83" i="3" s="1"/>
  <c r="AC86" i="3"/>
  <c r="AB86" i="3"/>
  <c r="A84" i="3"/>
  <c r="B84" i="3"/>
  <c r="AF84" i="3" l="1"/>
  <c r="AG84" i="3" s="1"/>
  <c r="AB87" i="3"/>
  <c r="AC87" i="3"/>
  <c r="A85" i="3"/>
  <c r="AF85" i="3" s="1"/>
  <c r="B85" i="3"/>
  <c r="AG85" i="3" l="1"/>
  <c r="AD85" i="3"/>
  <c r="AE85" i="3" s="1"/>
  <c r="AC88" i="3"/>
  <c r="AB88" i="3"/>
  <c r="B86" i="3"/>
  <c r="A86" i="3"/>
  <c r="AF86" i="3" s="1"/>
  <c r="AG86" i="3" s="1"/>
  <c r="AC89" i="3" l="1"/>
  <c r="AB89" i="3"/>
  <c r="B87" i="3"/>
  <c r="A87" i="3"/>
  <c r="AF87" i="3" s="1"/>
  <c r="AG87" i="3" s="1"/>
  <c r="AC90" i="3" l="1"/>
  <c r="AB90" i="3"/>
  <c r="B88" i="3"/>
  <c r="A88" i="3"/>
  <c r="AF88" i="3" s="1"/>
  <c r="AG88" i="3" s="1"/>
  <c r="AD88" i="3" l="1"/>
  <c r="AE88" i="3" s="1"/>
  <c r="AB91" i="3"/>
  <c r="AC91" i="3"/>
  <c r="A89" i="3"/>
  <c r="B89" i="3"/>
  <c r="AF89" i="3" l="1"/>
  <c r="AC92" i="3"/>
  <c r="AB92" i="3"/>
  <c r="A90" i="3"/>
  <c r="AF90" i="3" s="1"/>
  <c r="B90" i="3"/>
  <c r="AD89" i="3" l="1"/>
  <c r="AE89" i="3" s="1"/>
  <c r="AC93" i="3"/>
  <c r="AB93" i="3"/>
  <c r="B91" i="3"/>
  <c r="A91" i="3"/>
  <c r="AF91" i="3" s="1"/>
  <c r="AG91" i="3" s="1"/>
  <c r="AC94" i="3" l="1"/>
  <c r="AB94" i="3"/>
  <c r="A92" i="3"/>
  <c r="AF92" i="3" s="1"/>
  <c r="AG92" i="3" s="1"/>
  <c r="B92" i="3"/>
  <c r="AD92" i="3" l="1"/>
  <c r="AE92" i="3" s="1"/>
  <c r="AB95" i="3"/>
  <c r="AC95" i="3"/>
  <c r="A93" i="3"/>
  <c r="AF93" i="3" s="1"/>
  <c r="B93" i="3"/>
  <c r="AD93" i="3" l="1"/>
  <c r="AE93" i="3" s="1"/>
  <c r="AC96" i="3"/>
  <c r="AB96" i="3"/>
  <c r="A94" i="3"/>
  <c r="B94" i="3"/>
  <c r="AF94" i="3" l="1"/>
  <c r="AG94" i="3" s="1"/>
  <c r="AC97" i="3"/>
  <c r="AB97" i="3"/>
  <c r="B95" i="3"/>
  <c r="A95" i="3"/>
  <c r="AF95" i="3" l="1"/>
  <c r="AG95" i="3" s="1"/>
  <c r="AC98" i="3"/>
  <c r="AB98" i="3"/>
  <c r="B96" i="3"/>
  <c r="A96" i="3"/>
  <c r="AF96" i="3" l="1"/>
  <c r="AG96" i="3" s="1"/>
  <c r="AC99" i="3"/>
  <c r="AB99" i="3"/>
  <c r="A97" i="3"/>
  <c r="B97" i="3"/>
  <c r="AF97" i="3" l="1"/>
  <c r="AG97" i="3" s="1"/>
  <c r="AC100" i="3"/>
  <c r="AB100" i="3"/>
  <c r="A98" i="3"/>
  <c r="AF98" i="3" s="1"/>
  <c r="B98" i="3"/>
  <c r="AG98" i="3" l="1"/>
  <c r="AD97" i="3"/>
  <c r="AE97" i="3" s="1"/>
  <c r="AC101" i="3"/>
  <c r="AB101" i="3"/>
  <c r="A99" i="3"/>
  <c r="B99" i="3"/>
  <c r="AF99" i="3" l="1"/>
  <c r="AG99" i="3" s="1"/>
  <c r="AC102" i="3"/>
  <c r="AB102" i="3"/>
  <c r="B100" i="3"/>
  <c r="A100" i="3"/>
  <c r="AF100" i="3" l="1"/>
  <c r="AG100" i="3" s="1"/>
  <c r="AB103" i="3"/>
  <c r="AC103" i="3"/>
  <c r="A101" i="3"/>
  <c r="AF101" i="3" s="1"/>
  <c r="B101" i="3"/>
  <c r="AD100" i="3" l="1"/>
  <c r="AE100" i="3" s="1"/>
  <c r="AD101" i="3"/>
  <c r="AE101" i="3" s="1"/>
  <c r="AC104" i="3"/>
  <c r="AB104" i="3"/>
  <c r="B102" i="3"/>
  <c r="A102" i="3"/>
  <c r="AF102" i="3" s="1"/>
  <c r="AC105" i="3" l="1"/>
  <c r="AB105" i="3"/>
  <c r="A103" i="3"/>
  <c r="B103" i="3"/>
  <c r="AF103" i="3" l="1"/>
  <c r="AG103" i="3" s="1"/>
  <c r="AC106" i="3"/>
  <c r="AB106" i="3"/>
  <c r="B104" i="3"/>
  <c r="A104" i="3"/>
  <c r="AF104" i="3" l="1"/>
  <c r="AG104" i="3" s="1"/>
  <c r="AB107" i="3"/>
  <c r="AC107" i="3"/>
  <c r="A105" i="3"/>
  <c r="B105" i="3"/>
  <c r="AF105" i="3" l="1"/>
  <c r="AD104" i="3"/>
  <c r="AC108" i="3"/>
  <c r="AB108" i="3"/>
  <c r="B106" i="3"/>
  <c r="A106" i="3"/>
  <c r="AF106" i="3" s="1"/>
  <c r="AG106" i="3" l="1"/>
  <c r="AD105" i="3"/>
  <c r="AE105" i="3" s="1"/>
  <c r="AC109" i="3"/>
  <c r="AB109" i="3"/>
  <c r="A107" i="3"/>
  <c r="AF107" i="3" s="1"/>
  <c r="AG107" i="3" s="1"/>
  <c r="B107" i="3"/>
  <c r="AC110" i="3" l="1"/>
  <c r="AB110" i="3"/>
  <c r="A108" i="3"/>
  <c r="B108" i="3"/>
  <c r="AF108" i="3" l="1"/>
  <c r="AG108" i="3" s="1"/>
  <c r="AB111" i="3"/>
  <c r="AC111" i="3"/>
  <c r="B109" i="3"/>
  <c r="A109" i="3"/>
  <c r="AF109" i="3" s="1"/>
  <c r="AG109" i="3" s="1"/>
  <c r="AD109" i="3" l="1"/>
  <c r="AE109" i="3" s="1"/>
  <c r="AC112" i="3"/>
  <c r="AB112" i="3"/>
  <c r="A110" i="3"/>
  <c r="B110" i="3"/>
  <c r="AF110" i="3" l="1"/>
  <c r="AG110" i="3" s="1"/>
  <c r="AC113" i="3"/>
  <c r="AB113" i="3"/>
  <c r="B111" i="3"/>
  <c r="A111" i="3"/>
  <c r="AF111" i="3" l="1"/>
  <c r="AG111" i="3" s="1"/>
  <c r="AC114" i="3"/>
  <c r="AB114" i="3"/>
  <c r="A112" i="3"/>
  <c r="B112" i="3"/>
  <c r="AF112" i="3" l="1"/>
  <c r="AG112" i="3" s="1"/>
  <c r="AC115" i="3"/>
  <c r="AB115" i="3"/>
  <c r="A113" i="3"/>
  <c r="B113" i="3"/>
  <c r="AD112" i="3" l="1"/>
  <c r="AE112" i="3" s="1"/>
  <c r="AF113" i="3"/>
  <c r="AC116" i="3"/>
  <c r="AB116" i="3"/>
  <c r="B114" i="3"/>
  <c r="A114" i="3"/>
  <c r="AD113" i="3" l="1"/>
  <c r="AE113" i="3" s="1"/>
  <c r="AF114" i="3"/>
  <c r="AC117" i="3"/>
  <c r="AB117" i="3"/>
  <c r="A115" i="3"/>
  <c r="AF115" i="3" s="1"/>
  <c r="B115" i="3"/>
  <c r="AG115" i="3" l="1"/>
  <c r="AC118" i="3"/>
  <c r="AB118" i="3"/>
  <c r="B116" i="3"/>
  <c r="A116" i="3"/>
  <c r="AF116" i="3" s="1"/>
  <c r="AG116" i="3" s="1"/>
  <c r="AD116" i="3" l="1"/>
  <c r="AE116" i="3" s="1"/>
  <c r="AB119" i="3"/>
  <c r="AC119" i="3"/>
  <c r="A117" i="3"/>
  <c r="AF117" i="3" s="1"/>
  <c r="B117" i="3"/>
  <c r="AD117" i="3" l="1"/>
  <c r="AE117" i="3" s="1"/>
  <c r="AC120" i="3"/>
  <c r="AB120" i="3"/>
  <c r="B118" i="3"/>
  <c r="A118" i="3"/>
  <c r="AF118" i="3" s="1"/>
  <c r="AG118" i="3" s="1"/>
  <c r="AC121" i="3" l="1"/>
  <c r="AB121" i="3"/>
  <c r="A119" i="3"/>
  <c r="B119" i="3"/>
  <c r="AF119" i="3" l="1"/>
  <c r="AG119" i="3" s="1"/>
  <c r="AC122" i="3"/>
  <c r="AB122" i="3"/>
  <c r="B120" i="3"/>
  <c r="A120" i="3"/>
  <c r="AF120" i="3" s="1"/>
  <c r="AG120" i="3" s="1"/>
  <c r="AC123" i="3" l="1"/>
  <c r="AB123" i="3"/>
  <c r="A121" i="3"/>
  <c r="AF121" i="3" s="1"/>
  <c r="AG121" i="3" s="1"/>
  <c r="B121" i="3"/>
  <c r="AD121" i="3" l="1"/>
  <c r="AE121" i="3" s="1"/>
  <c r="AC124" i="3"/>
  <c r="AB124" i="3"/>
  <c r="B122" i="3"/>
  <c r="A122" i="3"/>
  <c r="AF122" i="3" s="1"/>
  <c r="AG122" i="3" s="1"/>
  <c r="AC125" i="3" l="1"/>
  <c r="AB125" i="3"/>
  <c r="B123" i="3"/>
  <c r="A123" i="3"/>
  <c r="AF123" i="3" s="1"/>
  <c r="AG123" i="3" s="1"/>
  <c r="AC126" i="3" l="1"/>
  <c r="AB126" i="3"/>
  <c r="A124" i="3"/>
  <c r="AF124" i="3" s="1"/>
  <c r="AG124" i="3" s="1"/>
  <c r="B124" i="3"/>
  <c r="AD124" i="3" l="1"/>
  <c r="AE124" i="3" s="1"/>
  <c r="AB127" i="3"/>
  <c r="AC127" i="3"/>
  <c r="B125" i="3"/>
  <c r="A125" i="3"/>
  <c r="AF125" i="3" s="1"/>
  <c r="AD125" i="3" l="1"/>
  <c r="AE125" i="3" s="1"/>
  <c r="AC128" i="3"/>
  <c r="AB128" i="3"/>
  <c r="B126" i="3"/>
  <c r="A126" i="3"/>
  <c r="AF126" i="3" s="1"/>
  <c r="AC129" i="3" l="1"/>
  <c r="AB129" i="3"/>
  <c r="A127" i="3"/>
  <c r="AF127" i="3" s="1"/>
  <c r="AG127" i="3" s="1"/>
  <c r="B127" i="3"/>
  <c r="AC130" i="3" l="1"/>
  <c r="AB130" i="3"/>
  <c r="A128" i="3"/>
  <c r="B128" i="3"/>
  <c r="AF128" i="3" l="1"/>
  <c r="AG128" i="3" s="1"/>
  <c r="AC131" i="3"/>
  <c r="AB131" i="3"/>
  <c r="B129" i="3"/>
  <c r="A129" i="3"/>
  <c r="AF129" i="3" s="1"/>
  <c r="AD128" i="3" l="1"/>
  <c r="AE128" i="3" s="1"/>
  <c r="AD129" i="3"/>
  <c r="AE129" i="3" s="1"/>
  <c r="AC132" i="3"/>
  <c r="AB132" i="3"/>
  <c r="B130" i="3"/>
  <c r="A130" i="3"/>
  <c r="AF130" i="3" s="1"/>
  <c r="AG130" i="3" s="1"/>
  <c r="AC133" i="3" l="1"/>
  <c r="AB133" i="3"/>
  <c r="B131" i="3"/>
  <c r="A131" i="3"/>
  <c r="AF131" i="3" s="1"/>
  <c r="AG131" i="3" s="1"/>
  <c r="AC134" i="3" l="1"/>
  <c r="AB134" i="3"/>
  <c r="A132" i="3"/>
  <c r="AF132" i="3" s="1"/>
  <c r="AG132" i="3" s="1"/>
  <c r="B132" i="3"/>
  <c r="AB135" i="3" l="1"/>
  <c r="AC135" i="3"/>
  <c r="A133" i="3"/>
  <c r="B133" i="3"/>
  <c r="AF133" i="3" l="1"/>
  <c r="AG133" i="3" s="1"/>
  <c r="AC136" i="3"/>
  <c r="AB136" i="3"/>
  <c r="B134" i="3"/>
  <c r="A134" i="3"/>
  <c r="AF134" i="3" s="1"/>
  <c r="AG134" i="3" s="1"/>
  <c r="AD133" i="3" l="1"/>
  <c r="AE133" i="3" s="1"/>
  <c r="AC137" i="3"/>
  <c r="AB137" i="3"/>
  <c r="A135" i="3"/>
  <c r="B135" i="3"/>
  <c r="AF135" i="3" l="1"/>
  <c r="AG135" i="3" s="1"/>
  <c r="AC138" i="3"/>
  <c r="AB138" i="3"/>
  <c r="B136" i="3"/>
  <c r="A136" i="3"/>
  <c r="AF136" i="3" s="1"/>
  <c r="AG136" i="3" s="1"/>
  <c r="AD136" i="3" l="1"/>
  <c r="AE136" i="3" s="1"/>
  <c r="AC139" i="3"/>
  <c r="AB139" i="3"/>
  <c r="A137" i="3"/>
  <c r="AF137" i="3" s="1"/>
  <c r="B137" i="3"/>
  <c r="AD137" i="3" l="1"/>
  <c r="AE137" i="3" s="1"/>
  <c r="AC140" i="3"/>
  <c r="AB140" i="3"/>
  <c r="B138" i="3"/>
  <c r="A138" i="3"/>
  <c r="AF138" i="3" s="1"/>
  <c r="AC141" i="3" l="1"/>
  <c r="AB141" i="3"/>
  <c r="B139" i="3"/>
  <c r="A139" i="3"/>
  <c r="AF139" i="3" s="1"/>
  <c r="AG139" i="3" s="1"/>
  <c r="AC142" i="3" l="1"/>
  <c r="AB142" i="3"/>
  <c r="B140" i="3"/>
  <c r="A140" i="3"/>
  <c r="AF140" i="3" s="1"/>
  <c r="AG140" i="3" s="1"/>
  <c r="AD140" i="3" l="1"/>
  <c r="AE140" i="3" s="1"/>
  <c r="AB143" i="3"/>
  <c r="AC143" i="3"/>
  <c r="A141" i="3"/>
  <c r="AF141" i="3" s="1"/>
  <c r="B141" i="3"/>
  <c r="AD141" i="3" l="1"/>
  <c r="AE141" i="3" s="1"/>
  <c r="AC144" i="3"/>
  <c r="AB144" i="3"/>
  <c r="B142" i="3"/>
  <c r="A142" i="3"/>
  <c r="AF142" i="3" s="1"/>
  <c r="AG142" i="3" s="1"/>
  <c r="AC145" i="3" l="1"/>
  <c r="AB145" i="3"/>
  <c r="B143" i="3"/>
  <c r="A143" i="3"/>
  <c r="AF143" i="3" s="1"/>
  <c r="AG143" i="3" s="1"/>
  <c r="AC146" i="3" l="1"/>
  <c r="AB146" i="3"/>
  <c r="B144" i="3"/>
  <c r="A144" i="3"/>
  <c r="AF144" i="3" s="1"/>
  <c r="AG144" i="3" s="1"/>
  <c r="AC147" i="3" l="1"/>
  <c r="AB147" i="3"/>
  <c r="A145" i="3"/>
  <c r="B145" i="3"/>
  <c r="AF145" i="3" l="1"/>
  <c r="AG145" i="3" s="1"/>
  <c r="AC148" i="3"/>
  <c r="AB148" i="3"/>
  <c r="B146" i="3"/>
  <c r="A146" i="3"/>
  <c r="AF146" i="3" s="1"/>
  <c r="AG146" i="3" s="1"/>
  <c r="AD145" i="3" l="1"/>
  <c r="AE145" i="3" s="1"/>
  <c r="AC149" i="3"/>
  <c r="AB149" i="3"/>
  <c r="B147" i="3"/>
  <c r="A147" i="3"/>
  <c r="AF147" i="3" s="1"/>
  <c r="AG147" i="3" s="1"/>
  <c r="AC150" i="3" l="1"/>
  <c r="AB150" i="3"/>
  <c r="A148" i="3"/>
  <c r="B148" i="3"/>
  <c r="AF148" i="3" l="1"/>
  <c r="AG148" i="3" s="1"/>
  <c r="AB151" i="3"/>
  <c r="AC151" i="3"/>
  <c r="A149" i="3"/>
  <c r="AF149" i="3" s="1"/>
  <c r="B149" i="3"/>
  <c r="AD148" i="3" l="1"/>
  <c r="AE148" i="3" s="1"/>
  <c r="AD149" i="3"/>
  <c r="AE149" i="3" s="1"/>
  <c r="AC152" i="3"/>
  <c r="AB152" i="3"/>
  <c r="B150" i="3"/>
  <c r="A150" i="3"/>
  <c r="AF150" i="3" s="1"/>
  <c r="AC153" i="3" l="1"/>
  <c r="AB153" i="3"/>
  <c r="B151" i="3"/>
  <c r="A151" i="3"/>
  <c r="AF151" i="3" s="1"/>
  <c r="AG151" i="3" s="1"/>
  <c r="AC154" i="3" l="1"/>
  <c r="AB154" i="3"/>
  <c r="A152" i="3"/>
  <c r="B152" i="3"/>
  <c r="AF152" i="3" l="1"/>
  <c r="AG152" i="3" s="1"/>
  <c r="AC155" i="3"/>
  <c r="AB155" i="3"/>
  <c r="A153" i="3"/>
  <c r="AF153" i="3" s="1"/>
  <c r="B153" i="3"/>
  <c r="AD152" i="3" l="1"/>
  <c r="AE152" i="3" s="1"/>
  <c r="AD153" i="3"/>
  <c r="AE153" i="3" s="1"/>
  <c r="AC156" i="3"/>
  <c r="AB156" i="3"/>
  <c r="B154" i="3"/>
  <c r="A154" i="3"/>
  <c r="AF154" i="3" s="1"/>
  <c r="AG154" i="3" s="1"/>
  <c r="AC157" i="3" l="1"/>
  <c r="AB157" i="3"/>
  <c r="A155" i="3"/>
  <c r="B155" i="3"/>
  <c r="AF155" i="3" l="1"/>
  <c r="AG155" i="3" s="1"/>
  <c r="AC158" i="3"/>
  <c r="AB158" i="3"/>
  <c r="A156" i="3"/>
  <c r="B156" i="3"/>
  <c r="AF156" i="3" l="1"/>
  <c r="AG156" i="3" s="1"/>
  <c r="AB159" i="3"/>
  <c r="AC159" i="3"/>
  <c r="A157" i="3"/>
  <c r="AF157" i="3" s="1"/>
  <c r="B157" i="3"/>
  <c r="AG157" i="3" l="1"/>
  <c r="AD157" i="3"/>
  <c r="AE157" i="3" s="1"/>
  <c r="AC160" i="3"/>
  <c r="AB160" i="3"/>
  <c r="B158" i="3"/>
  <c r="A158" i="3"/>
  <c r="AF158" i="3" s="1"/>
  <c r="AG158" i="3" s="1"/>
  <c r="AC161" i="3" l="1"/>
  <c r="AB161" i="3"/>
  <c r="A159" i="3"/>
  <c r="AF159" i="3" s="1"/>
  <c r="AG159" i="3" s="1"/>
  <c r="B159" i="3"/>
  <c r="AC162" i="3" l="1"/>
  <c r="AB162" i="3"/>
  <c r="B160" i="3"/>
  <c r="A160" i="3"/>
  <c r="AF160" i="3" s="1"/>
  <c r="AG160" i="3" s="1"/>
  <c r="AD160" i="3" l="1"/>
  <c r="AC163" i="3"/>
  <c r="AB163" i="3"/>
  <c r="A161" i="3"/>
  <c r="B161" i="3"/>
  <c r="AF161" i="3" l="1"/>
  <c r="AC164" i="3"/>
  <c r="AB164" i="3"/>
  <c r="B162" i="3"/>
  <c r="A162" i="3"/>
  <c r="AF162" i="3" s="1"/>
  <c r="AD161" i="3" l="1"/>
  <c r="AE161" i="3" s="1"/>
  <c r="AC165" i="3"/>
  <c r="AB165" i="3"/>
  <c r="A163" i="3"/>
  <c r="B163" i="3"/>
  <c r="AF163" i="3" l="1"/>
  <c r="AG163" i="3" s="1"/>
  <c r="AC166" i="3"/>
  <c r="AB166" i="3"/>
  <c r="B164" i="3"/>
  <c r="A164" i="3"/>
  <c r="AF164" i="3" l="1"/>
  <c r="AG164" i="3" s="1"/>
  <c r="AB167" i="3"/>
  <c r="AC167" i="3"/>
  <c r="A165" i="3"/>
  <c r="B165" i="3"/>
  <c r="AF165" i="3" l="1"/>
  <c r="AD164" i="3"/>
  <c r="AE164" i="3" s="1"/>
  <c r="AC168" i="3"/>
  <c r="AB168" i="3"/>
  <c r="B166" i="3"/>
  <c r="A166" i="3"/>
  <c r="AF166" i="3" s="1"/>
  <c r="AG166" i="3" l="1"/>
  <c r="AD165" i="3"/>
  <c r="AE165" i="3" s="1"/>
  <c r="AC169" i="3"/>
  <c r="AB169" i="3"/>
  <c r="A167" i="3"/>
  <c r="AF167" i="3" s="1"/>
  <c r="AG167" i="3" s="1"/>
  <c r="B167" i="3"/>
  <c r="AC170" i="3" l="1"/>
  <c r="AB170" i="3"/>
  <c r="B168" i="3"/>
  <c r="A168" i="3"/>
  <c r="AF168" i="3" s="1"/>
  <c r="AG168" i="3" s="1"/>
  <c r="AC171" i="3" l="1"/>
  <c r="AB171" i="3"/>
  <c r="A169" i="3"/>
  <c r="AF169" i="3" s="1"/>
  <c r="AG169" i="3" s="1"/>
  <c r="B169" i="3"/>
  <c r="AD169" i="3" l="1"/>
  <c r="AE169" i="3" s="1"/>
  <c r="AC172" i="3"/>
  <c r="AB172" i="3"/>
  <c r="B170" i="3"/>
  <c r="A170" i="3"/>
  <c r="AF170" i="3" s="1"/>
  <c r="AG170" i="3" s="1"/>
  <c r="AC173" i="3" l="1"/>
  <c r="AB173" i="3"/>
  <c r="A171" i="3"/>
  <c r="AF171" i="3" s="1"/>
  <c r="AG171" i="3" s="1"/>
  <c r="B171" i="3"/>
  <c r="AC174" i="3" l="1"/>
  <c r="AB174" i="3"/>
  <c r="B172" i="3"/>
  <c r="A172" i="3"/>
  <c r="AF172" i="3" s="1"/>
  <c r="AG172" i="3" s="1"/>
  <c r="AD172" i="3" l="1"/>
  <c r="AE172" i="3" s="1"/>
  <c r="AB175" i="3"/>
  <c r="AC175" i="3"/>
  <c r="A173" i="3"/>
  <c r="AF173" i="3" s="1"/>
  <c r="B173" i="3"/>
  <c r="AD173" i="3" l="1"/>
  <c r="AE173" i="3" s="1"/>
  <c r="AC176" i="3"/>
  <c r="AB176" i="3"/>
  <c r="B174" i="3"/>
  <c r="A174" i="3"/>
  <c r="AF174" i="3" s="1"/>
  <c r="AC177" i="3" l="1"/>
  <c r="AB177" i="3"/>
  <c r="A175" i="3"/>
  <c r="B175" i="3"/>
  <c r="AF175" i="3" l="1"/>
  <c r="AG175" i="3" s="1"/>
  <c r="AC178" i="3"/>
  <c r="AB178" i="3"/>
  <c r="B176" i="3"/>
  <c r="A176" i="3"/>
  <c r="AF176" i="3" s="1"/>
  <c r="AG176" i="3" s="1"/>
  <c r="AD176" i="3" l="1"/>
  <c r="AE176" i="3" s="1"/>
  <c r="AC179" i="3"/>
  <c r="AB179" i="3"/>
  <c r="A177" i="3"/>
  <c r="B177" i="3"/>
  <c r="AF177" i="3" l="1"/>
  <c r="AC180" i="3"/>
  <c r="AB180" i="3"/>
  <c r="B178" i="3"/>
  <c r="A178" i="3"/>
  <c r="AD177" i="3" l="1"/>
  <c r="AE177" i="3" s="1"/>
  <c r="AF178" i="3"/>
  <c r="AG178" i="3" s="1"/>
  <c r="AC181" i="3"/>
  <c r="AB181" i="3"/>
  <c r="A179" i="3"/>
  <c r="AF179" i="3" s="1"/>
  <c r="B179" i="3"/>
  <c r="AG179" i="3" l="1"/>
  <c r="AC182" i="3"/>
  <c r="AB182" i="3"/>
  <c r="B180" i="3"/>
  <c r="A180" i="3"/>
  <c r="AF180" i="3" s="1"/>
  <c r="AG180" i="3" s="1"/>
  <c r="AB183" i="3" l="1"/>
  <c r="AC183" i="3"/>
  <c r="A181" i="3"/>
  <c r="AF181" i="3" s="1"/>
  <c r="AG181" i="3" s="1"/>
  <c r="B181" i="3"/>
  <c r="AD181" i="3" l="1"/>
  <c r="AE181" i="3" s="1"/>
  <c r="AC184" i="3"/>
  <c r="AB184" i="3"/>
  <c r="B182" i="3"/>
  <c r="A182" i="3"/>
  <c r="AF182" i="3" s="1"/>
  <c r="AG182" i="3" s="1"/>
  <c r="AC185" i="3" l="1"/>
  <c r="AB185" i="3"/>
  <c r="A183" i="3"/>
  <c r="B183" i="3"/>
  <c r="AF183" i="3" l="1"/>
  <c r="AG183" i="3" s="1"/>
  <c r="AC186" i="3"/>
  <c r="AB186" i="3"/>
  <c r="B184" i="3"/>
  <c r="A184" i="3"/>
  <c r="AF184" i="3" s="1"/>
  <c r="AG184" i="3" s="1"/>
  <c r="AD184" i="3" l="1"/>
  <c r="AE184" i="3" s="1"/>
  <c r="AB187" i="3"/>
  <c r="AC187" i="3"/>
  <c r="A185" i="3"/>
  <c r="AF185" i="3" s="1"/>
  <c r="B185" i="3"/>
  <c r="AD185" i="3" l="1"/>
  <c r="AE185" i="3" s="1"/>
  <c r="AC188" i="3"/>
  <c r="AB188" i="3"/>
  <c r="B186" i="3"/>
  <c r="A186" i="3"/>
  <c r="AF186" i="3" s="1"/>
  <c r="AC189" i="3" l="1"/>
  <c r="AB189" i="3"/>
  <c r="A187" i="3"/>
  <c r="AF187" i="3" s="1"/>
  <c r="AG187" i="3" s="1"/>
  <c r="B187" i="3"/>
  <c r="AC190" i="3" l="1"/>
  <c r="AB190" i="3"/>
  <c r="B188" i="3"/>
  <c r="A188" i="3"/>
  <c r="AF188" i="3" s="1"/>
  <c r="AG188" i="3" s="1"/>
  <c r="AD188" i="3" l="1"/>
  <c r="AE188" i="3" s="1"/>
  <c r="AC191" i="3"/>
  <c r="AB191" i="3"/>
  <c r="A189" i="3"/>
  <c r="B189" i="3"/>
  <c r="AF189" i="3" l="1"/>
  <c r="AC192" i="3"/>
  <c r="AB192" i="3"/>
  <c r="B190" i="3"/>
  <c r="A190" i="3"/>
  <c r="AD189" i="3" l="1"/>
  <c r="AE189" i="3" s="1"/>
  <c r="AF190" i="3"/>
  <c r="AG190" i="3" s="1"/>
  <c r="AB193" i="3"/>
  <c r="AC193" i="3"/>
  <c r="A191" i="3"/>
  <c r="AF191" i="3" s="1"/>
  <c r="B191" i="3"/>
  <c r="AG191" i="3" l="1"/>
  <c r="AC194" i="3"/>
  <c r="AB194" i="3"/>
  <c r="B192" i="3"/>
  <c r="A192" i="3"/>
  <c r="AF192" i="3" s="1"/>
  <c r="AG192" i="3" s="1"/>
  <c r="AB195" i="3" l="1"/>
  <c r="AC195" i="3"/>
  <c r="A193" i="3"/>
  <c r="AF193" i="3" s="1"/>
  <c r="AG193" i="3" s="1"/>
  <c r="B193" i="3"/>
  <c r="AD193" i="3" l="1"/>
  <c r="AE193" i="3" s="1"/>
  <c r="AC196" i="3"/>
  <c r="AB196" i="3"/>
  <c r="B194" i="3"/>
  <c r="A194" i="3"/>
  <c r="AF194" i="3" s="1"/>
  <c r="AG194" i="3" s="1"/>
  <c r="AC197" i="3" l="1"/>
  <c r="AB197" i="3"/>
  <c r="A195" i="3"/>
  <c r="B195" i="3"/>
  <c r="AF195" i="3" l="1"/>
  <c r="AG195" i="3" s="1"/>
  <c r="AC198" i="3"/>
  <c r="AB198" i="3"/>
  <c r="B196" i="3"/>
  <c r="A196" i="3"/>
  <c r="AF196" i="3" l="1"/>
  <c r="AG196" i="3" s="1"/>
  <c r="AC199" i="3"/>
  <c r="AB199" i="3"/>
  <c r="A197" i="3"/>
  <c r="AF197" i="3" s="1"/>
  <c r="B197" i="3"/>
  <c r="AD196" i="3" l="1"/>
  <c r="AE196" i="3" s="1"/>
  <c r="AD197" i="3"/>
  <c r="AE197" i="3" s="1"/>
  <c r="AC200" i="3"/>
  <c r="AB200" i="3"/>
  <c r="B198" i="3"/>
  <c r="A198" i="3"/>
  <c r="AF198" i="3" s="1"/>
  <c r="AC201" i="3" l="1"/>
  <c r="AB201" i="3"/>
  <c r="A199" i="3"/>
  <c r="B199" i="3"/>
  <c r="AF199" i="3" l="1"/>
  <c r="AG199" i="3" s="1"/>
  <c r="AC202" i="3"/>
  <c r="AB202" i="3"/>
  <c r="B200" i="3"/>
  <c r="A200" i="3"/>
  <c r="AF200" i="3" l="1"/>
  <c r="AG200" i="3" s="1"/>
  <c r="AB203" i="3"/>
  <c r="AC203" i="3"/>
  <c r="B201" i="3"/>
  <c r="A201" i="3"/>
  <c r="AD200" i="3" l="1"/>
  <c r="AE200" i="3" s="1"/>
  <c r="AF201" i="3"/>
  <c r="AC204" i="3"/>
  <c r="AB204" i="3"/>
  <c r="B202" i="3"/>
  <c r="A202" i="3"/>
  <c r="AD201" i="3" l="1"/>
  <c r="AE201" i="3" s="1"/>
  <c r="AF202" i="3"/>
  <c r="AG202" i="3" s="1"/>
  <c r="AC205" i="3"/>
  <c r="AB205" i="3"/>
  <c r="B203" i="3"/>
  <c r="A203" i="3"/>
  <c r="AF203" i="3" l="1"/>
  <c r="AG203" i="3" s="1"/>
  <c r="AC206" i="3"/>
  <c r="AB206" i="3"/>
  <c r="B204" i="3"/>
  <c r="A204" i="3"/>
  <c r="AF204" i="3" l="1"/>
  <c r="AG204" i="3" s="1"/>
  <c r="AB207" i="3"/>
  <c r="AC207" i="3"/>
  <c r="B205" i="3"/>
  <c r="A205" i="3"/>
  <c r="AF205" i="3" s="1"/>
  <c r="AG205" i="3" s="1"/>
  <c r="AD205" i="3" l="1"/>
  <c r="AE205" i="3" s="1"/>
  <c r="AC208" i="3"/>
  <c r="AB208" i="3"/>
  <c r="B206" i="3"/>
  <c r="A206" i="3"/>
  <c r="AF206" i="3" s="1"/>
  <c r="AG206" i="3" s="1"/>
  <c r="AC209" i="3" l="1"/>
  <c r="AB209" i="3"/>
  <c r="B207" i="3"/>
  <c r="A207" i="3"/>
  <c r="AF207" i="3" s="1"/>
  <c r="AG207" i="3" s="1"/>
  <c r="AC210" i="3" l="1"/>
  <c r="AB210" i="3"/>
  <c r="B208" i="3"/>
  <c r="A208" i="3"/>
  <c r="AF208" i="3" s="1"/>
  <c r="AG208" i="3" s="1"/>
  <c r="AD208" i="3" l="1"/>
  <c r="AE208" i="3" s="1"/>
  <c r="AB211" i="3"/>
  <c r="AC211" i="3"/>
  <c r="B209" i="3"/>
  <c r="A209" i="3"/>
  <c r="AF209" i="3" s="1"/>
  <c r="AD209" i="3" l="1"/>
  <c r="AE209" i="3" s="1"/>
  <c r="AC212" i="3"/>
  <c r="AB212" i="3"/>
  <c r="B210" i="3"/>
  <c r="A210" i="3"/>
  <c r="AF210" i="3" s="1"/>
  <c r="AC213" i="3" l="1"/>
  <c r="AB213" i="3"/>
  <c r="B211" i="3"/>
  <c r="A211" i="3"/>
  <c r="AF211" i="3" s="1"/>
  <c r="AG211" i="3" s="1"/>
  <c r="AC214" i="3" l="1"/>
  <c r="AB214" i="3"/>
  <c r="B212" i="3"/>
  <c r="A212" i="3"/>
  <c r="AF212" i="3" s="1"/>
  <c r="AG212" i="3" s="1"/>
  <c r="AD212" i="3" l="1"/>
  <c r="AE212" i="3" s="1"/>
  <c r="AC215" i="3"/>
  <c r="AB215" i="3"/>
  <c r="B213" i="3"/>
  <c r="A213" i="3"/>
  <c r="AF213" i="3" s="1"/>
  <c r="AD213" i="3" l="1"/>
  <c r="AE213" i="3" s="1"/>
  <c r="AC216" i="3"/>
  <c r="AB216" i="3"/>
  <c r="B214" i="3"/>
  <c r="A214" i="3"/>
  <c r="AF214" i="3" s="1"/>
  <c r="AG214" i="3" s="1"/>
  <c r="AC217" i="3" l="1"/>
  <c r="AB217" i="3"/>
  <c r="B215" i="3"/>
  <c r="A215" i="3"/>
  <c r="AF215" i="3" s="1"/>
  <c r="AG215" i="3" s="1"/>
  <c r="AC218" i="3" l="1"/>
  <c r="AB218" i="3"/>
  <c r="B216" i="3"/>
  <c r="A216" i="3"/>
  <c r="AF216" i="3" s="1"/>
  <c r="AG216" i="3" s="1"/>
  <c r="AB219" i="3" l="1"/>
  <c r="AC219" i="3"/>
  <c r="A217" i="3"/>
  <c r="B217" i="3"/>
  <c r="AF217" i="3" l="1"/>
  <c r="AG217" i="3" s="1"/>
  <c r="AC220" i="3"/>
  <c r="AB220" i="3"/>
  <c r="B218" i="3"/>
  <c r="A218" i="3"/>
  <c r="AF218" i="3" s="1"/>
  <c r="AG218" i="3" s="1"/>
  <c r="AD217" i="3" l="1"/>
  <c r="AE217" i="3" s="1"/>
  <c r="AC221" i="3"/>
  <c r="AB221" i="3"/>
  <c r="A219" i="3"/>
  <c r="B219" i="3"/>
  <c r="AF219" i="3" l="1"/>
  <c r="AG219" i="3" s="1"/>
  <c r="AC222" i="3"/>
  <c r="AB222" i="3"/>
  <c r="B220" i="3"/>
  <c r="A220" i="3"/>
  <c r="AF220" i="3" l="1"/>
  <c r="AG220" i="3" s="1"/>
  <c r="AC223" i="3"/>
  <c r="AB223" i="3"/>
  <c r="B221" i="3"/>
  <c r="A221" i="3"/>
  <c r="AD220" i="3" l="1"/>
  <c r="AF221" i="3"/>
  <c r="AC224" i="3"/>
  <c r="AB224" i="3"/>
  <c r="B222" i="3"/>
  <c r="A222" i="3"/>
  <c r="AD221" i="3" l="1"/>
  <c r="AE221" i="3" s="1"/>
  <c r="AF222" i="3"/>
  <c r="AB225" i="3"/>
  <c r="AC225" i="3"/>
  <c r="B223" i="3"/>
  <c r="A223" i="3"/>
  <c r="AF223" i="3" l="1"/>
  <c r="AG223" i="3" s="1"/>
  <c r="AC226" i="3"/>
  <c r="AB226" i="3"/>
  <c r="B224" i="3"/>
  <c r="A224" i="3"/>
  <c r="AF224" i="3" l="1"/>
  <c r="AG224" i="3" s="1"/>
  <c r="AB227" i="3"/>
  <c r="AC227" i="3"/>
  <c r="A225" i="3"/>
  <c r="AF225" i="3" s="1"/>
  <c r="B225" i="3"/>
  <c r="AD224" i="3" l="1"/>
  <c r="AD225" i="3"/>
  <c r="AE225" i="3" s="1"/>
  <c r="AC228" i="3"/>
  <c r="AB228" i="3"/>
  <c r="B226" i="3"/>
  <c r="A226" i="3"/>
  <c r="AF226" i="3" s="1"/>
  <c r="AG226" i="3" s="1"/>
  <c r="AC229" i="3" l="1"/>
  <c r="AB229" i="3"/>
  <c r="A227" i="3"/>
  <c r="B227" i="3"/>
  <c r="AF227" i="3" l="1"/>
  <c r="AG227" i="3" s="1"/>
  <c r="AC230" i="3"/>
  <c r="AB230" i="3"/>
  <c r="B228" i="3"/>
  <c r="A228" i="3"/>
  <c r="AF228" i="3" s="1"/>
  <c r="AG228" i="3" s="1"/>
  <c r="AC231" i="3" l="1"/>
  <c r="AB231" i="3"/>
  <c r="B229" i="3"/>
  <c r="A229" i="3"/>
  <c r="AF229" i="3" s="1"/>
  <c r="AG229" i="3" s="1"/>
  <c r="AD229" i="3" l="1"/>
  <c r="AE229" i="3" s="1"/>
  <c r="AC232" i="3"/>
  <c r="AB232" i="3"/>
  <c r="B230" i="3"/>
  <c r="A230" i="3"/>
  <c r="AF230" i="3" s="1"/>
  <c r="AG230" i="3" s="1"/>
  <c r="AC233" i="3" l="1"/>
  <c r="AB233" i="3"/>
  <c r="B231" i="3"/>
  <c r="A231" i="3"/>
  <c r="AF231" i="3" s="1"/>
  <c r="AG231" i="3" s="1"/>
  <c r="AC234" i="3" l="1"/>
  <c r="AB234" i="3"/>
  <c r="B232" i="3"/>
  <c r="A232" i="3"/>
  <c r="AF232" i="3" s="1"/>
  <c r="AG232" i="3" s="1"/>
  <c r="AD232" i="3" l="1"/>
  <c r="AE232" i="3" s="1"/>
  <c r="AB235" i="3"/>
  <c r="AC235" i="3"/>
  <c r="A233" i="3"/>
  <c r="B233" i="3"/>
  <c r="AF233" i="3" l="1"/>
  <c r="AC236" i="3"/>
  <c r="AB236" i="3"/>
  <c r="B234" i="3"/>
  <c r="A234" i="3"/>
  <c r="AF234" i="3" s="1"/>
  <c r="AD233" i="3" l="1"/>
  <c r="AE233" i="3" s="1"/>
  <c r="AC237" i="3"/>
  <c r="AB237" i="3"/>
  <c r="A235" i="3"/>
  <c r="AF235" i="3" s="1"/>
  <c r="AG235" i="3" s="1"/>
  <c r="B235" i="3"/>
  <c r="AC238" i="3" l="1"/>
  <c r="AB238" i="3"/>
  <c r="B236" i="3"/>
  <c r="A236" i="3"/>
  <c r="AF236" i="3" s="1"/>
  <c r="AG236" i="3" s="1"/>
  <c r="AD236" i="3" l="1"/>
  <c r="AE236" i="3" s="1"/>
  <c r="AB239" i="3"/>
  <c r="AC239" i="3"/>
  <c r="B237" i="3"/>
  <c r="A237" i="3"/>
  <c r="AF237" i="3" s="1"/>
  <c r="AD237" i="3" l="1"/>
  <c r="AE237" i="3" s="1"/>
  <c r="AC240" i="3"/>
  <c r="AB240" i="3"/>
  <c r="B238" i="3"/>
  <c r="A238" i="3"/>
  <c r="AF238" i="3" s="1"/>
  <c r="AG238" i="3" s="1"/>
  <c r="AC241" i="3" l="1"/>
  <c r="AB241" i="3"/>
  <c r="B239" i="3"/>
  <c r="A239" i="3"/>
  <c r="AF239" i="3" s="1"/>
  <c r="AG239" i="3" s="1"/>
  <c r="AC242" i="3" l="1"/>
  <c r="AB242" i="3"/>
  <c r="B240" i="3"/>
  <c r="A240" i="3"/>
  <c r="AF240" i="3" s="1"/>
  <c r="AG240" i="3" s="1"/>
  <c r="AB243" i="3" l="1"/>
  <c r="AC243" i="3"/>
  <c r="A241" i="3"/>
  <c r="AF241" i="3" s="1"/>
  <c r="AG241" i="3" s="1"/>
  <c r="B241" i="3"/>
  <c r="AD241" i="3" l="1"/>
  <c r="AE241" i="3" s="1"/>
  <c r="AC244" i="3"/>
  <c r="AB244" i="3"/>
  <c r="B242" i="3"/>
  <c r="A242" i="3"/>
  <c r="AF242" i="3" s="1"/>
  <c r="AG242" i="3" s="1"/>
  <c r="AC245" i="3" l="1"/>
  <c r="AB245" i="3"/>
  <c r="A243" i="3"/>
  <c r="B243" i="3"/>
  <c r="AF243" i="3" l="1"/>
  <c r="AG243" i="3" s="1"/>
  <c r="AC246" i="3"/>
  <c r="AB246" i="3"/>
  <c r="B244" i="3"/>
  <c r="A244" i="3"/>
  <c r="AF244" i="3" s="1"/>
  <c r="AG244" i="3" s="1"/>
  <c r="AD244" i="3" l="1"/>
  <c r="AE244" i="3" s="1"/>
  <c r="AC247" i="3"/>
  <c r="AB247" i="3"/>
  <c r="B245" i="3"/>
  <c r="A245" i="3"/>
  <c r="AF245" i="3" s="1"/>
  <c r="AD245" i="3" l="1"/>
  <c r="AE245" i="3" s="1"/>
  <c r="AC248" i="3"/>
  <c r="AB248" i="3"/>
  <c r="B246" i="3"/>
  <c r="A246" i="3"/>
  <c r="AF246" i="3" s="1"/>
  <c r="AC249" i="3" l="1"/>
  <c r="AB249" i="3"/>
  <c r="B247" i="3"/>
  <c r="A247" i="3"/>
  <c r="AF247" i="3" s="1"/>
  <c r="AG247" i="3" s="1"/>
  <c r="AC250" i="3" l="1"/>
  <c r="AB250" i="3"/>
  <c r="B248" i="3"/>
  <c r="A248" i="3"/>
  <c r="AF248" i="3" s="1"/>
  <c r="AG248" i="3" s="1"/>
  <c r="AD248" i="3" l="1"/>
  <c r="AE248" i="3" s="1"/>
  <c r="AB251" i="3"/>
  <c r="AC251" i="3"/>
  <c r="A249" i="3"/>
  <c r="B249" i="3"/>
  <c r="AF249" i="3" l="1"/>
  <c r="AC252" i="3"/>
  <c r="AB252" i="3"/>
  <c r="B250" i="3"/>
  <c r="A250" i="3"/>
  <c r="AD249" i="3" l="1"/>
  <c r="AE249" i="3" s="1"/>
  <c r="AF250" i="3"/>
  <c r="AG250" i="3" s="1"/>
  <c r="AC253" i="3"/>
  <c r="AB253" i="3"/>
  <c r="A251" i="3"/>
  <c r="AF251" i="3" s="1"/>
  <c r="AG251" i="3" s="1"/>
  <c r="B251" i="3"/>
  <c r="AC254" i="3" l="1"/>
  <c r="AB254" i="3"/>
  <c r="B252" i="3"/>
  <c r="A252" i="3"/>
  <c r="AF252" i="3" s="1"/>
  <c r="AG252" i="3" s="1"/>
  <c r="AC255" i="3" l="1"/>
  <c r="AB255" i="3"/>
  <c r="A253" i="3"/>
  <c r="B253" i="3"/>
  <c r="AF253" i="3" l="1"/>
  <c r="AG253" i="3" s="1"/>
  <c r="AC256" i="3"/>
  <c r="AB256" i="3"/>
  <c r="A254" i="3"/>
  <c r="B254" i="3"/>
  <c r="AF254" i="3" l="1"/>
  <c r="AG254" i="3" s="1"/>
  <c r="AD253" i="3"/>
  <c r="AE253" i="3" s="1"/>
  <c r="AB257" i="3"/>
  <c r="AC257" i="3"/>
  <c r="B255" i="3"/>
  <c r="A255" i="3"/>
  <c r="AF255" i="3" s="1"/>
  <c r="AG255" i="3" l="1"/>
  <c r="AC258" i="3"/>
  <c r="AB258" i="3"/>
  <c r="A256" i="3"/>
  <c r="B256" i="3"/>
  <c r="AF256" i="3" l="1"/>
  <c r="AG256" i="3" s="1"/>
  <c r="AB259" i="3"/>
  <c r="AC259" i="3"/>
  <c r="B257" i="3"/>
  <c r="A257" i="3"/>
  <c r="AD256" i="3" l="1"/>
  <c r="AE256" i="3" s="1"/>
  <c r="AF257" i="3"/>
  <c r="AC260" i="3"/>
  <c r="AB260" i="3"/>
  <c r="B258" i="3"/>
  <c r="A258" i="3"/>
  <c r="AD257" i="3" l="1"/>
  <c r="AE257" i="3" s="1"/>
  <c r="AF258" i="3"/>
  <c r="AC261" i="3"/>
  <c r="AB261" i="3"/>
  <c r="B259" i="3"/>
  <c r="A259" i="3"/>
  <c r="AF259" i="3" l="1"/>
  <c r="AG259" i="3" s="1"/>
  <c r="AC262" i="3"/>
  <c r="AB262" i="3"/>
  <c r="B260" i="3"/>
  <c r="A260" i="3"/>
  <c r="AF260" i="3" l="1"/>
  <c r="AG260" i="3" s="1"/>
  <c r="AC263" i="3"/>
  <c r="AB263" i="3"/>
  <c r="A261" i="3"/>
  <c r="B261" i="3"/>
  <c r="AF261" i="3" l="1"/>
  <c r="AD260" i="3"/>
  <c r="AE260" i="3" s="1"/>
  <c r="AC264" i="3"/>
  <c r="AB264" i="3"/>
  <c r="B262" i="3"/>
  <c r="A262" i="3"/>
  <c r="AF262" i="3" s="1"/>
  <c r="AG262" i="3" s="1"/>
  <c r="AD261" i="3" l="1"/>
  <c r="AE261" i="3" s="1"/>
  <c r="AC265" i="3"/>
  <c r="AB265" i="3"/>
  <c r="B263" i="3"/>
  <c r="A263" i="3"/>
  <c r="AF263" i="3" s="1"/>
  <c r="AG263" i="3" s="1"/>
  <c r="AC266" i="3" l="1"/>
  <c r="AB266" i="3"/>
  <c r="A264" i="3"/>
  <c r="B264" i="3"/>
  <c r="AF264" i="3" l="1"/>
  <c r="AG264" i="3" s="1"/>
  <c r="AB267" i="3"/>
  <c r="AC267" i="3"/>
  <c r="A265" i="3"/>
  <c r="AF265" i="3" s="1"/>
  <c r="B265" i="3"/>
  <c r="AG265" i="3" l="1"/>
  <c r="AD265" i="3"/>
  <c r="AE265" i="3" s="1"/>
  <c r="AC268" i="3"/>
  <c r="AB268" i="3"/>
  <c r="A266" i="3"/>
  <c r="B266" i="3"/>
  <c r="AF266" i="3" l="1"/>
  <c r="AG266" i="3" s="1"/>
  <c r="AC269" i="3"/>
  <c r="AB269" i="3"/>
  <c r="B267" i="3"/>
  <c r="A267" i="3"/>
  <c r="AF267" i="3" s="1"/>
  <c r="AG267" i="3" s="1"/>
  <c r="AC270" i="3" l="1"/>
  <c r="AB270" i="3"/>
  <c r="A268" i="3"/>
  <c r="AF268" i="3" s="1"/>
  <c r="AG268" i="3" s="1"/>
  <c r="B268" i="3"/>
  <c r="AD268" i="3" l="1"/>
  <c r="AE268" i="3" s="1"/>
  <c r="AB271" i="3"/>
  <c r="AC271" i="3"/>
  <c r="B269" i="3"/>
  <c r="A269" i="3"/>
  <c r="AF269" i="3" s="1"/>
  <c r="AC272" i="3" l="1"/>
  <c r="AB272" i="3"/>
  <c r="A270" i="3"/>
  <c r="B270" i="3"/>
  <c r="AF270" i="3" l="1"/>
  <c r="AC273" i="3"/>
  <c r="AB273" i="3"/>
  <c r="A271" i="3"/>
  <c r="B271" i="3"/>
  <c r="AF271" i="3" l="1"/>
  <c r="AG271" i="3" s="1"/>
  <c r="AC274" i="3"/>
  <c r="AB274" i="3"/>
  <c r="A272" i="3"/>
  <c r="B272" i="3"/>
  <c r="AF272" i="3" l="1"/>
  <c r="AG272" i="3" s="1"/>
  <c r="AB275" i="3"/>
  <c r="AC275" i="3"/>
  <c r="B273" i="3"/>
  <c r="A273" i="3"/>
  <c r="AF273" i="3" s="1"/>
  <c r="AD272" i="3" l="1"/>
  <c r="AE272" i="3" s="1"/>
  <c r="AC276" i="3"/>
  <c r="AB276" i="3"/>
  <c r="A274" i="3"/>
  <c r="B274" i="3"/>
  <c r="AF274" i="3" l="1"/>
  <c r="AC277" i="3"/>
  <c r="AB277" i="3"/>
  <c r="A275" i="3"/>
  <c r="AF275" i="3" s="1"/>
  <c r="B275" i="3"/>
  <c r="AC278" i="3" l="1"/>
  <c r="AB278" i="3"/>
  <c r="A276" i="3"/>
  <c r="AF276" i="3" s="1"/>
  <c r="AG276" i="3" s="1"/>
  <c r="B276" i="3"/>
  <c r="AC279" i="3" l="1"/>
  <c r="AB279" i="3"/>
  <c r="B277" i="3"/>
  <c r="A277" i="3"/>
  <c r="AF277" i="3" s="1"/>
  <c r="AC280" i="3" l="1"/>
  <c r="AB280" i="3"/>
  <c r="A278" i="3"/>
  <c r="B278" i="3"/>
  <c r="AF278" i="3" l="1"/>
  <c r="AG278" i="3" s="1"/>
  <c r="AC281" i="3"/>
  <c r="AB281" i="3"/>
  <c r="B279" i="3"/>
  <c r="A279" i="3"/>
  <c r="AF279" i="3" s="1"/>
  <c r="AC282" i="3" l="1"/>
  <c r="AB282" i="3"/>
  <c r="A280" i="3"/>
  <c r="AF280" i="3" s="1"/>
  <c r="AG280" i="3" s="1"/>
  <c r="B280" i="3"/>
  <c r="AB283" i="3" l="1"/>
  <c r="AC283" i="3"/>
  <c r="A281" i="3"/>
  <c r="AF281" i="3" s="1"/>
  <c r="B281" i="3"/>
  <c r="AC284" i="3" l="1"/>
  <c r="AB284" i="3"/>
  <c r="B282" i="3"/>
  <c r="A282" i="3"/>
  <c r="AF282" i="3" s="1"/>
  <c r="AC285" i="3" l="1"/>
  <c r="AB285" i="3"/>
  <c r="A283" i="3"/>
  <c r="B283" i="3"/>
  <c r="AF283" i="3" l="1"/>
  <c r="AC286" i="3"/>
  <c r="AB286" i="3"/>
  <c r="A284" i="3"/>
  <c r="AF284" i="3" s="1"/>
  <c r="B284" i="3"/>
  <c r="AG284" i="3" l="1"/>
  <c r="AC287" i="3"/>
  <c r="AB287" i="3"/>
  <c r="A285" i="3"/>
  <c r="AF285" i="3" s="1"/>
  <c r="B285" i="3"/>
  <c r="AC288" i="3" l="1"/>
  <c r="AB288" i="3"/>
  <c r="A286" i="3"/>
  <c r="AF286" i="3" s="1"/>
  <c r="AG286" i="3" s="1"/>
  <c r="B286" i="3"/>
  <c r="AD286" i="3" l="1"/>
  <c r="AE286" i="3" s="1"/>
  <c r="AB289" i="3"/>
  <c r="AC289" i="3"/>
  <c r="B287" i="3"/>
  <c r="A287" i="3"/>
  <c r="AF287" i="3" s="1"/>
  <c r="AG287" i="3" s="1"/>
  <c r="AD287" i="3" l="1"/>
  <c r="AE287" i="3" s="1"/>
  <c r="AC290" i="3"/>
  <c r="AB290" i="3"/>
  <c r="A288" i="3"/>
  <c r="B288" i="3"/>
  <c r="AF288" i="3" l="1"/>
  <c r="AG288" i="3" s="1"/>
  <c r="AB291" i="3"/>
  <c r="AC291" i="3"/>
  <c r="B289" i="3"/>
  <c r="A289" i="3"/>
  <c r="AF289" i="3" s="1"/>
  <c r="AG289" i="3" s="1"/>
  <c r="AD289" i="3" l="1"/>
  <c r="AE289" i="3" s="1"/>
  <c r="AC292" i="3"/>
  <c r="AB292" i="3"/>
  <c r="A290" i="3"/>
  <c r="B290" i="3"/>
  <c r="AF290" i="3" l="1"/>
  <c r="AG290" i="3" s="1"/>
  <c r="AC293" i="3"/>
  <c r="AB293" i="3"/>
  <c r="A291" i="3"/>
  <c r="B291" i="3"/>
  <c r="AD290" i="3" l="1"/>
  <c r="AE290" i="3" s="1"/>
  <c r="AF291" i="3"/>
  <c r="AG291" i="3" s="1"/>
  <c r="AC294" i="3"/>
  <c r="AB294" i="3"/>
  <c r="B292" i="3"/>
  <c r="A292" i="3"/>
  <c r="AF292" i="3" s="1"/>
  <c r="AG292" i="3" s="1"/>
  <c r="AD291" i="3" l="1"/>
  <c r="AE291" i="3" s="1"/>
  <c r="AD292" i="3"/>
  <c r="AE292" i="3" s="1"/>
  <c r="AC295" i="3"/>
  <c r="AB295" i="3"/>
  <c r="B293" i="3"/>
  <c r="A293" i="3"/>
  <c r="AF293" i="3" s="1"/>
  <c r="AG293" i="3" s="1"/>
  <c r="AD293" i="3" l="1"/>
  <c r="AE293" i="3" s="1"/>
  <c r="AC296" i="3"/>
  <c r="AB296" i="3"/>
  <c r="A294" i="3"/>
  <c r="B294" i="3"/>
  <c r="AF294" i="3" l="1"/>
  <c r="AG294" i="3" s="1"/>
  <c r="AC297" i="3"/>
  <c r="AB297" i="3"/>
  <c r="B295" i="3"/>
  <c r="A295" i="3"/>
  <c r="AD294" i="3" l="1"/>
  <c r="AE294" i="3" s="1"/>
  <c r="AF295" i="3"/>
  <c r="AG295" i="3" s="1"/>
  <c r="AC298" i="3"/>
  <c r="AB298" i="3"/>
  <c r="B296" i="3"/>
  <c r="A296" i="3"/>
  <c r="AD295" i="3" l="1"/>
  <c r="AE295" i="3" s="1"/>
  <c r="AF296" i="3"/>
  <c r="AG296" i="3" s="1"/>
  <c r="AB299" i="3"/>
  <c r="AC299" i="3"/>
  <c r="B297" i="3"/>
  <c r="A297" i="3"/>
  <c r="AD296" i="3" l="1"/>
  <c r="AE296" i="3" s="1"/>
  <c r="AF297" i="3"/>
  <c r="AG297" i="3" s="1"/>
  <c r="AC300" i="3"/>
  <c r="AB300" i="3"/>
  <c r="B298" i="3"/>
  <c r="A298" i="3"/>
  <c r="AD297" i="3" l="1"/>
  <c r="AE297" i="3" s="1"/>
  <c r="AF298" i="3"/>
  <c r="AG298" i="3" s="1"/>
  <c r="AC301" i="3"/>
  <c r="AB301" i="3"/>
  <c r="A299" i="3"/>
  <c r="AF299" i="3" s="1"/>
  <c r="AG299" i="3" s="1"/>
  <c r="B299" i="3"/>
  <c r="AD298" i="3" l="1"/>
  <c r="AE298" i="3" s="1"/>
  <c r="AD299" i="3"/>
  <c r="AE299" i="3" s="1"/>
  <c r="AC302" i="3"/>
  <c r="AB302" i="3"/>
  <c r="A300" i="3"/>
  <c r="AF300" i="3" s="1"/>
  <c r="AG300" i="3" s="1"/>
  <c r="B300" i="3"/>
  <c r="AB303" i="3" l="1"/>
  <c r="AC303" i="3"/>
  <c r="A301" i="3"/>
  <c r="AF301" i="3" s="1"/>
  <c r="AG301" i="3" s="1"/>
  <c r="B301" i="3"/>
  <c r="AD301" i="3" l="1"/>
  <c r="AE301" i="3" s="1"/>
  <c r="AC304" i="3"/>
  <c r="AB304" i="3"/>
  <c r="A302" i="3"/>
  <c r="B302" i="3"/>
  <c r="AF302" i="3" l="1"/>
  <c r="AG302" i="3" s="1"/>
  <c r="AC305" i="3"/>
  <c r="AB305" i="3"/>
  <c r="B303" i="3"/>
  <c r="A303" i="3"/>
  <c r="AF303" i="3" s="1"/>
  <c r="AG303" i="3" s="1"/>
  <c r="AD302" i="3" l="1"/>
  <c r="AD303" i="3"/>
  <c r="AC306" i="3"/>
  <c r="AB306" i="3"/>
  <c r="A304" i="3"/>
  <c r="B304" i="3"/>
  <c r="AF304" i="3" l="1"/>
  <c r="AG304" i="3" s="1"/>
  <c r="AB307" i="3"/>
  <c r="AC307" i="3"/>
  <c r="B305" i="3"/>
  <c r="A305" i="3"/>
  <c r="AF305" i="3" s="1"/>
  <c r="AG305" i="3" s="1"/>
  <c r="AD304" i="3" l="1"/>
  <c r="AD305" i="3"/>
  <c r="AE305" i="3" s="1"/>
  <c r="AC308" i="3"/>
  <c r="AB308" i="3"/>
  <c r="B306" i="3"/>
  <c r="A306" i="3"/>
  <c r="AF306" i="3" s="1"/>
  <c r="AG306" i="3" s="1"/>
  <c r="AD306" i="3" l="1"/>
  <c r="AE306" i="3" s="1"/>
  <c r="AC309" i="3"/>
  <c r="AB309" i="3"/>
  <c r="B307" i="3"/>
  <c r="A307" i="3"/>
  <c r="AF307" i="3" s="1"/>
  <c r="AG307" i="3" s="1"/>
  <c r="AD307" i="3" l="1"/>
  <c r="AE307" i="3" s="1"/>
  <c r="AC310" i="3"/>
  <c r="AB310" i="3"/>
  <c r="B308" i="3"/>
  <c r="A308" i="3"/>
  <c r="AF308" i="3" s="1"/>
  <c r="AG308" i="3" s="1"/>
  <c r="AD308" i="3" l="1"/>
  <c r="AC311" i="3"/>
  <c r="AB311" i="3"/>
  <c r="B309" i="3"/>
  <c r="A309" i="3"/>
  <c r="AF309" i="3" s="1"/>
  <c r="AG309" i="3" s="1"/>
  <c r="AD309" i="3" l="1"/>
  <c r="AE309" i="3" s="1"/>
  <c r="AC312" i="3"/>
  <c r="AB312" i="3"/>
  <c r="A310" i="3"/>
  <c r="B310" i="3"/>
  <c r="AF310" i="3" l="1"/>
  <c r="AG310" i="3" s="1"/>
  <c r="AC313" i="3"/>
  <c r="AB313" i="3"/>
  <c r="B311" i="3"/>
  <c r="A311" i="3"/>
  <c r="AF311" i="3" s="1"/>
  <c r="AG311" i="3" s="1"/>
  <c r="AD310" i="3" l="1"/>
  <c r="AE310" i="3" s="1"/>
  <c r="AD311" i="3"/>
  <c r="AE311" i="3" s="1"/>
  <c r="AC314" i="3"/>
  <c r="AB314" i="3"/>
  <c r="A312" i="3"/>
  <c r="B312" i="3"/>
  <c r="AF312" i="3" l="1"/>
  <c r="AG312" i="3" s="1"/>
  <c r="AB315" i="3"/>
  <c r="AC315" i="3"/>
  <c r="B313" i="3"/>
  <c r="A313" i="3"/>
  <c r="AF313" i="3" s="1"/>
  <c r="AG313" i="3" s="1"/>
  <c r="AD313" i="3" l="1"/>
  <c r="AE313" i="3" s="1"/>
  <c r="AC316" i="3"/>
  <c r="AB316" i="3"/>
  <c r="B314" i="3"/>
  <c r="A314" i="3"/>
  <c r="AF314" i="3" s="1"/>
  <c r="AG314" i="3" s="1"/>
  <c r="AD314" i="3" l="1"/>
  <c r="AE314" i="3" s="1"/>
  <c r="AC317" i="3"/>
  <c r="AB317" i="3"/>
  <c r="A315" i="3"/>
  <c r="B315" i="3"/>
  <c r="AF315" i="3" l="1"/>
  <c r="AG315" i="3" s="1"/>
  <c r="AC318" i="3"/>
  <c r="AB318" i="3"/>
  <c r="B316" i="3"/>
  <c r="A316" i="3"/>
  <c r="AF316" i="3" s="1"/>
  <c r="AG316" i="3" s="1"/>
  <c r="AD315" i="3" l="1"/>
  <c r="AE315" i="3" s="1"/>
  <c r="AD316" i="3"/>
  <c r="AE316" i="3" s="1"/>
  <c r="AC319" i="3"/>
  <c r="AB319" i="3"/>
  <c r="A317" i="3"/>
  <c r="B317" i="3"/>
  <c r="AF317" i="3" l="1"/>
  <c r="AG317" i="3" s="1"/>
  <c r="AC320" i="3"/>
  <c r="AB320" i="3"/>
  <c r="A318" i="3"/>
  <c r="B318" i="3"/>
  <c r="AD317" i="3" l="1"/>
  <c r="AE317" i="3" s="1"/>
  <c r="AF318" i="3"/>
  <c r="AG318" i="3" s="1"/>
  <c r="AB321" i="3"/>
  <c r="AC321" i="3"/>
  <c r="B319" i="3"/>
  <c r="A319" i="3"/>
  <c r="AF319" i="3" s="1"/>
  <c r="AG319" i="3" s="1"/>
  <c r="AD318" i="3" l="1"/>
  <c r="AE318" i="3" s="1"/>
  <c r="AD319" i="3"/>
  <c r="AE319" i="3" s="1"/>
  <c r="AC322" i="3"/>
  <c r="AB322" i="3"/>
  <c r="A320" i="3"/>
  <c r="B320" i="3"/>
  <c r="AF320" i="3" l="1"/>
  <c r="AG320" i="3" s="1"/>
  <c r="AB323" i="3"/>
  <c r="AC323" i="3"/>
  <c r="B321" i="3"/>
  <c r="A321" i="3"/>
  <c r="AF321" i="3" s="1"/>
  <c r="AG321" i="3" s="1"/>
  <c r="AD320" i="3" l="1"/>
  <c r="AE320" i="3" s="1"/>
  <c r="AD321" i="3"/>
  <c r="AE321" i="3" s="1"/>
  <c r="AC324" i="3"/>
  <c r="AB324" i="3"/>
  <c r="B322" i="3"/>
  <c r="A322" i="3"/>
  <c r="AF322" i="3" s="1"/>
  <c r="AG322" i="3" s="1"/>
  <c r="AD322" i="3" l="1"/>
  <c r="AE322" i="3" s="1"/>
  <c r="AC325" i="3"/>
  <c r="AB325" i="3"/>
  <c r="A323" i="3"/>
  <c r="B323" i="3"/>
  <c r="AF323" i="3" l="1"/>
  <c r="AG323" i="3" s="1"/>
  <c r="AC326" i="3"/>
  <c r="AB326" i="3"/>
  <c r="B324" i="3"/>
  <c r="A324" i="3"/>
  <c r="AF324" i="3" s="1"/>
  <c r="AG324" i="3" s="1"/>
  <c r="AD323" i="3" l="1"/>
  <c r="AE323" i="3" s="1"/>
  <c r="AC327" i="3"/>
  <c r="AB327" i="3"/>
  <c r="A325" i="3"/>
  <c r="AF325" i="3" s="1"/>
  <c r="AG325" i="3" s="1"/>
  <c r="B325" i="3"/>
  <c r="AD325" i="3" l="1"/>
  <c r="AE325" i="3" s="1"/>
  <c r="AC328" i="3"/>
  <c r="AB328" i="3"/>
  <c r="B326" i="3"/>
  <c r="A326" i="3"/>
  <c r="AF326" i="3" s="1"/>
  <c r="AG326" i="3" s="1"/>
  <c r="AD326" i="3" l="1"/>
  <c r="AE326" i="3" s="1"/>
  <c r="AC329" i="3"/>
  <c r="AB329" i="3"/>
  <c r="B327" i="3"/>
  <c r="A327" i="3"/>
  <c r="AF327" i="3" s="1"/>
  <c r="AG327" i="3" s="1"/>
  <c r="AD327" i="3" l="1"/>
  <c r="AE327" i="3" s="1"/>
  <c r="AC330" i="3"/>
  <c r="AB330" i="3"/>
  <c r="A328" i="3"/>
  <c r="AF328" i="3" s="1"/>
  <c r="AG328" i="3" s="1"/>
  <c r="B328" i="3"/>
  <c r="AD328" i="3" l="1"/>
  <c r="AE328" i="3" s="1"/>
  <c r="AB331" i="3"/>
  <c r="AC331" i="3"/>
  <c r="B329" i="3"/>
  <c r="A329" i="3"/>
  <c r="AF329" i="3" s="1"/>
  <c r="AG329" i="3" s="1"/>
  <c r="AD329" i="3" l="1"/>
  <c r="AE329" i="3" s="1"/>
  <c r="AC332" i="3"/>
  <c r="AB332" i="3"/>
  <c r="B330" i="3"/>
  <c r="A330" i="3"/>
  <c r="AF330" i="3" s="1"/>
  <c r="AG330" i="3" s="1"/>
  <c r="AD330" i="3" l="1"/>
  <c r="AE330" i="3" s="1"/>
  <c r="AC333" i="3"/>
  <c r="AB333" i="3"/>
  <c r="B331" i="3"/>
  <c r="A331" i="3"/>
  <c r="AF331" i="3" s="1"/>
  <c r="AG331" i="3" s="1"/>
  <c r="AD331" i="3" l="1"/>
  <c r="AE331" i="3" s="1"/>
  <c r="AC334" i="3"/>
  <c r="AB334" i="3"/>
  <c r="A332" i="3"/>
  <c r="B332" i="3"/>
  <c r="AF332" i="3" l="1"/>
  <c r="AG332" i="3" s="1"/>
  <c r="AB335" i="3"/>
  <c r="AC335" i="3"/>
  <c r="B333" i="3"/>
  <c r="A333" i="3"/>
  <c r="AD332" i="3" l="1"/>
  <c r="AE332" i="3" s="1"/>
  <c r="AF333" i="3"/>
  <c r="AG333" i="3" s="1"/>
  <c r="AC336" i="3"/>
  <c r="AB336" i="3"/>
  <c r="B334" i="3"/>
  <c r="A334" i="3"/>
  <c r="AD333" i="3" l="1"/>
  <c r="AE333" i="3" s="1"/>
  <c r="AF334" i="3"/>
  <c r="AG334" i="3" s="1"/>
  <c r="AC337" i="3"/>
  <c r="AB337" i="3"/>
  <c r="B335" i="3"/>
  <c r="A335" i="3"/>
  <c r="AD334" i="3" l="1"/>
  <c r="AE334" i="3" s="1"/>
  <c r="AF335" i="3"/>
  <c r="AG335" i="3" s="1"/>
  <c r="AC338" i="3"/>
  <c r="AB338" i="3"/>
  <c r="A336" i="3"/>
  <c r="AF336" i="3" s="1"/>
  <c r="B336" i="3"/>
  <c r="AG336" i="3" l="1"/>
  <c r="AD335" i="3"/>
  <c r="AE335" i="3" s="1"/>
  <c r="AB339" i="3"/>
  <c r="AC339" i="3"/>
  <c r="B337" i="3"/>
  <c r="A337" i="3"/>
  <c r="AF337" i="3" s="1"/>
  <c r="AG337" i="3" s="1"/>
  <c r="AD337" i="3" l="1"/>
  <c r="AE337" i="3" s="1"/>
  <c r="AC340" i="3"/>
  <c r="AB340" i="3"/>
  <c r="B338" i="3"/>
  <c r="A338" i="3"/>
  <c r="AF338" i="3" s="1"/>
  <c r="AG338" i="3" s="1"/>
  <c r="AC341" i="3" l="1"/>
  <c r="AB341" i="3"/>
  <c r="B339" i="3"/>
  <c r="A339" i="3"/>
  <c r="AF339" i="3" s="1"/>
  <c r="AG339" i="3" s="1"/>
  <c r="AD339" i="3" l="1"/>
  <c r="AE339" i="3" s="1"/>
  <c r="AC342" i="3"/>
  <c r="AB342" i="3"/>
  <c r="B340" i="3"/>
  <c r="A340" i="3"/>
  <c r="AF340" i="3" s="1"/>
  <c r="AG340" i="3" s="1"/>
  <c r="AB343" i="3" l="1"/>
  <c r="AC343" i="3"/>
  <c r="B341" i="3"/>
  <c r="A341" i="3"/>
  <c r="AF341" i="3" s="1"/>
  <c r="AG341" i="3" s="1"/>
  <c r="AC344" i="3" l="1"/>
  <c r="AB344" i="3"/>
  <c r="A342" i="3"/>
  <c r="B342" i="3"/>
  <c r="AF342" i="3" l="1"/>
  <c r="AG342" i="3" s="1"/>
  <c r="AB345" i="3"/>
  <c r="AC345" i="3"/>
  <c r="A343" i="3"/>
  <c r="B343" i="3"/>
  <c r="AD342" i="3" l="1"/>
  <c r="AE342" i="3" s="1"/>
  <c r="AF343" i="3"/>
  <c r="AG343" i="3" s="1"/>
  <c r="AC346" i="3"/>
  <c r="AB346" i="3"/>
  <c r="B344" i="3"/>
  <c r="A344" i="3"/>
  <c r="AF344" i="3" s="1"/>
  <c r="AG344" i="3" s="1"/>
  <c r="AD344" i="3" l="1"/>
  <c r="AE344" i="3" s="1"/>
  <c r="AD343" i="3"/>
  <c r="AE343" i="3" s="1"/>
  <c r="AB347" i="3"/>
  <c r="AC347" i="3"/>
  <c r="B345" i="3"/>
  <c r="A345" i="3"/>
  <c r="AF345" i="3" s="1"/>
  <c r="AG345" i="3" s="1"/>
  <c r="AC348" i="3" l="1"/>
  <c r="AB348" i="3"/>
  <c r="A346" i="3"/>
  <c r="AF346" i="3" s="1"/>
  <c r="AG346" i="3" s="1"/>
  <c r="B346" i="3"/>
  <c r="AB349" i="3" l="1"/>
  <c r="AC349" i="3"/>
  <c r="A347" i="3"/>
  <c r="AF347" i="3" s="1"/>
  <c r="AG347" i="3" s="1"/>
  <c r="B347" i="3"/>
  <c r="AD347" i="3" l="1"/>
  <c r="AE347" i="3" s="1"/>
  <c r="AC350" i="3"/>
  <c r="AB350" i="3"/>
  <c r="A348" i="3"/>
  <c r="B348" i="3"/>
  <c r="AF348" i="3" l="1"/>
  <c r="AG348" i="3" s="1"/>
  <c r="AB351" i="3"/>
  <c r="AC351" i="3"/>
  <c r="A349" i="3"/>
  <c r="AF349" i="3" s="1"/>
  <c r="B349" i="3"/>
  <c r="AG349" i="3" l="1"/>
  <c r="AD349" i="3"/>
  <c r="AE349" i="3" s="1"/>
  <c r="AC352" i="3"/>
  <c r="AB352" i="3"/>
  <c r="B350" i="3"/>
  <c r="A350" i="3"/>
  <c r="AF350" i="3" s="1"/>
  <c r="AG350" i="3" s="1"/>
  <c r="AD350" i="3" l="1"/>
  <c r="AE350" i="3" s="1"/>
  <c r="AB353" i="3"/>
  <c r="AC353" i="3"/>
  <c r="B351" i="3"/>
  <c r="A351" i="3"/>
  <c r="AF351" i="3" s="1"/>
  <c r="AG351" i="3" s="1"/>
  <c r="AD351" i="3" l="1"/>
  <c r="AE351" i="3" s="1"/>
  <c r="AC354" i="3"/>
  <c r="AB354" i="3"/>
  <c r="A352" i="3"/>
  <c r="B352" i="3"/>
  <c r="AF352" i="3" l="1"/>
  <c r="AG352" i="3" s="1"/>
  <c r="AB355" i="3"/>
  <c r="AC355" i="3"/>
  <c r="B353" i="3"/>
  <c r="A353" i="3"/>
  <c r="AD352" i="3" l="1"/>
  <c r="AE352" i="3" s="1"/>
  <c r="AF353" i="3"/>
  <c r="AG353" i="3" s="1"/>
  <c r="AC356" i="3"/>
  <c r="AB356" i="3"/>
  <c r="B354" i="3"/>
  <c r="A354" i="3"/>
  <c r="AD353" i="3" l="1"/>
  <c r="AE353" i="3" s="1"/>
  <c r="AF354" i="3"/>
  <c r="AG354" i="3" s="1"/>
  <c r="AB357" i="3"/>
  <c r="AC357" i="3"/>
  <c r="A355" i="3"/>
  <c r="B355" i="3"/>
  <c r="AD354" i="3" l="1"/>
  <c r="AE354" i="3" s="1"/>
  <c r="AF355" i="3"/>
  <c r="AG355" i="3" s="1"/>
  <c r="AC358" i="3"/>
  <c r="AB358" i="3"/>
  <c r="B356" i="3"/>
  <c r="A356" i="3"/>
  <c r="AD355" i="3" l="1"/>
  <c r="AE355" i="3" s="1"/>
  <c r="AF356" i="3"/>
  <c r="AG356" i="3" s="1"/>
  <c r="AB359" i="3"/>
  <c r="AC359" i="3"/>
  <c r="B357" i="3"/>
  <c r="A357" i="3"/>
  <c r="AF357" i="3" s="1"/>
  <c r="AG357" i="3" s="1"/>
  <c r="AD357" i="3" l="1"/>
  <c r="AE357" i="3" s="1"/>
  <c r="AD356" i="3"/>
  <c r="AE356" i="3" s="1"/>
  <c r="AC360" i="3"/>
  <c r="AB360" i="3"/>
  <c r="A358" i="3"/>
  <c r="AF358" i="3" s="1"/>
  <c r="AG358" i="3" s="1"/>
  <c r="B358" i="3"/>
  <c r="AD358" i="3" l="1"/>
  <c r="AE358" i="3" s="1"/>
  <c r="AB361" i="3"/>
  <c r="AC361" i="3"/>
  <c r="B359" i="3"/>
  <c r="A359" i="3"/>
  <c r="AF359" i="3" s="1"/>
  <c r="AG359" i="3" s="1"/>
  <c r="AD359" i="3" l="1"/>
  <c r="AE359" i="3" s="1"/>
  <c r="AC362" i="3"/>
  <c r="AB362" i="3"/>
  <c r="B360" i="3"/>
  <c r="A360" i="3"/>
  <c r="AF360" i="3" s="1"/>
  <c r="AG360" i="3" s="1"/>
  <c r="AB363" i="3" l="1"/>
  <c r="AC363" i="3"/>
  <c r="B361" i="3"/>
  <c r="A361" i="3"/>
  <c r="AF361" i="3" s="1"/>
  <c r="AG361" i="3" s="1"/>
  <c r="AD361" i="3" l="1"/>
  <c r="AE361" i="3" s="1"/>
  <c r="AC364" i="3"/>
  <c r="AB364" i="3"/>
  <c r="A362" i="3"/>
  <c r="B362" i="3"/>
  <c r="AF362" i="3" l="1"/>
  <c r="AG362" i="3" s="1"/>
  <c r="AB365" i="3"/>
  <c r="AC365" i="3"/>
  <c r="B363" i="3"/>
  <c r="A363" i="3"/>
  <c r="AF363" i="3" s="1"/>
  <c r="AG363" i="3" s="1"/>
  <c r="AD362" i="3" l="1"/>
  <c r="AE362" i="3" s="1"/>
  <c r="AD363" i="3"/>
  <c r="AE363" i="3" s="1"/>
  <c r="AC366" i="3"/>
  <c r="AB366" i="3"/>
  <c r="A364" i="3"/>
  <c r="B364" i="3"/>
  <c r="AF364" i="3" l="1"/>
  <c r="AG364" i="3" s="1"/>
  <c r="AB367" i="3"/>
  <c r="AC367" i="3"/>
  <c r="A365" i="3"/>
  <c r="AF365" i="3" s="1"/>
  <c r="B365" i="3"/>
  <c r="AG365" i="3" l="1"/>
  <c r="AD364" i="3"/>
  <c r="AE364" i="3" s="1"/>
  <c r="AD365" i="3"/>
  <c r="AE365" i="3" s="1"/>
  <c r="AC368" i="3"/>
  <c r="AB368" i="3"/>
  <c r="A366" i="3"/>
  <c r="B366" i="3"/>
  <c r="AF366" i="3" l="1"/>
  <c r="AG366" i="3" s="1"/>
  <c r="AB369" i="3"/>
  <c r="AC369" i="3"/>
  <c r="A367" i="3"/>
  <c r="AF367" i="3" s="1"/>
  <c r="B367" i="3"/>
  <c r="AG367" i="3" l="1"/>
  <c r="AD366" i="3"/>
  <c r="AE366" i="3" s="1"/>
  <c r="AD367" i="3"/>
  <c r="AE367" i="3" s="1"/>
  <c r="AC370" i="3"/>
  <c r="AB370" i="3"/>
  <c r="B368" i="3"/>
  <c r="A368" i="3"/>
  <c r="AF368" i="3" s="1"/>
  <c r="AG368" i="3" s="1"/>
  <c r="AD368" i="3" l="1"/>
  <c r="AE368" i="3" s="1"/>
  <c r="AB371" i="3"/>
  <c r="AC371" i="3"/>
  <c r="B369" i="3"/>
  <c r="A369" i="3"/>
  <c r="AF369" i="3" s="1"/>
  <c r="AG369" i="3" s="1"/>
  <c r="AD369" i="3" l="1"/>
  <c r="AE369" i="3" s="1"/>
  <c r="AC372" i="3"/>
  <c r="AB372" i="3"/>
  <c r="A370" i="3"/>
  <c r="B370" i="3"/>
  <c r="AF370" i="3" l="1"/>
  <c r="AG370" i="3" s="1"/>
  <c r="AB373" i="3"/>
  <c r="AC373" i="3"/>
  <c r="A371" i="3"/>
  <c r="B371" i="3"/>
  <c r="AD370" i="3" l="1"/>
  <c r="AE370" i="3" s="1"/>
  <c r="AF371" i="3"/>
  <c r="AG371" i="3" s="1"/>
  <c r="AC374" i="3"/>
  <c r="AB374" i="3"/>
  <c r="B372" i="3"/>
  <c r="A372" i="3"/>
  <c r="AF372" i="3" s="1"/>
  <c r="AG372" i="3" s="1"/>
  <c r="AD371" i="3" l="1"/>
  <c r="AE371" i="3" s="1"/>
  <c r="AB375" i="3"/>
  <c r="AC375" i="3"/>
  <c r="A373" i="3"/>
  <c r="B373" i="3"/>
  <c r="AF373" i="3" l="1"/>
  <c r="AG373" i="3" s="1"/>
  <c r="AC376" i="3"/>
  <c r="AB376" i="3"/>
  <c r="B374" i="3"/>
  <c r="A374" i="3"/>
  <c r="AF374" i="3" s="1"/>
  <c r="AG374" i="3" s="1"/>
  <c r="AD373" i="3" l="1"/>
  <c r="AE373" i="3" s="1"/>
  <c r="AD374" i="3"/>
  <c r="AE374" i="3" s="1"/>
  <c r="AB377" i="3"/>
  <c r="AC377" i="3"/>
  <c r="A375" i="3"/>
  <c r="AF375" i="3" s="1"/>
  <c r="AG375" i="3" s="1"/>
  <c r="B375" i="3"/>
  <c r="AD375" i="3" l="1"/>
  <c r="AE375" i="3" s="1"/>
  <c r="AC378" i="3"/>
  <c r="AB378" i="3"/>
  <c r="A376" i="3"/>
  <c r="B376" i="3"/>
  <c r="AF376" i="3" l="1"/>
  <c r="AG376" i="3" s="1"/>
  <c r="AB379" i="3"/>
  <c r="AC379" i="3"/>
  <c r="A377" i="3"/>
  <c r="B377" i="3"/>
  <c r="AD376" i="3" l="1"/>
  <c r="AE376" i="3" s="1"/>
  <c r="AF377" i="3"/>
  <c r="AG377" i="3" s="1"/>
  <c r="AC380" i="3"/>
  <c r="AB380" i="3"/>
  <c r="B378" i="3"/>
  <c r="A378" i="3"/>
  <c r="AF378" i="3" s="1"/>
  <c r="AG378" i="3" s="1"/>
  <c r="AD377" i="3" l="1"/>
  <c r="AE377" i="3" s="1"/>
  <c r="AD378" i="3"/>
  <c r="AE378" i="3" s="1"/>
  <c r="AB381" i="3"/>
  <c r="AC381" i="3"/>
  <c r="B379" i="3"/>
  <c r="A379" i="3"/>
  <c r="AF379" i="3" s="1"/>
  <c r="AG379" i="3" s="1"/>
  <c r="AD379" i="3" l="1"/>
  <c r="AE379" i="3" s="1"/>
  <c r="AC382" i="3"/>
  <c r="AB382" i="3"/>
  <c r="B380" i="3"/>
  <c r="A380" i="3"/>
  <c r="AF380" i="3" s="1"/>
  <c r="AG380" i="3" s="1"/>
  <c r="AD380" i="3" l="1"/>
  <c r="AE380" i="3" s="1"/>
  <c r="AB383" i="3"/>
  <c r="AC383" i="3"/>
  <c r="A381" i="3"/>
  <c r="AF381" i="3" s="1"/>
  <c r="AG381" i="3" s="1"/>
  <c r="B381" i="3"/>
  <c r="AD381" i="3" l="1"/>
  <c r="AE381" i="3" s="1"/>
  <c r="AC384" i="3"/>
  <c r="AB384" i="3"/>
  <c r="B382" i="3"/>
  <c r="A382" i="3"/>
  <c r="AF382" i="3" s="1"/>
  <c r="AG382" i="3" s="1"/>
  <c r="AD382" i="3" l="1"/>
  <c r="AE382" i="3" s="1"/>
  <c r="AB385" i="3"/>
  <c r="AC385" i="3"/>
  <c r="A383" i="3"/>
  <c r="B383" i="3"/>
  <c r="AF383" i="3" l="1"/>
  <c r="AG383" i="3" s="1"/>
  <c r="AC386" i="3"/>
  <c r="AB386" i="3"/>
  <c r="B384" i="3"/>
  <c r="A384" i="3"/>
  <c r="AF384" i="3" s="1"/>
  <c r="AG384" i="3" s="1"/>
  <c r="AD383" i="3" l="1"/>
  <c r="AE383" i="3" s="1"/>
  <c r="AB387" i="3"/>
  <c r="AC387" i="3"/>
  <c r="B385" i="3"/>
  <c r="A385" i="3"/>
  <c r="AF385" i="3" s="1"/>
  <c r="AG385" i="3" s="1"/>
  <c r="AD385" i="3" l="1"/>
  <c r="AE385" i="3" s="1"/>
  <c r="AC388" i="3"/>
  <c r="AB388" i="3"/>
  <c r="B386" i="3"/>
  <c r="A386" i="3"/>
  <c r="AF386" i="3" s="1"/>
  <c r="AG386" i="3" s="1"/>
  <c r="AD386" i="3" l="1"/>
  <c r="AE386" i="3" s="1"/>
  <c r="AB389" i="3"/>
  <c r="AC389" i="3"/>
  <c r="B387" i="3"/>
  <c r="A387" i="3"/>
  <c r="AF387" i="3" s="1"/>
  <c r="AG387" i="3" s="1"/>
  <c r="AD387" i="3" l="1"/>
  <c r="AE387" i="3" s="1"/>
  <c r="AC390" i="3"/>
  <c r="AB390" i="3"/>
  <c r="A388" i="3"/>
  <c r="B388" i="3"/>
  <c r="AF388" i="3" l="1"/>
  <c r="AG388" i="3" s="1"/>
  <c r="AB391" i="3"/>
  <c r="AC391" i="3"/>
  <c r="A389" i="3"/>
  <c r="AF389" i="3" s="1"/>
  <c r="B389" i="3"/>
  <c r="AG389" i="3" l="1"/>
  <c r="AD388" i="3"/>
  <c r="AE388" i="3" s="1"/>
  <c r="AD389" i="3"/>
  <c r="AE389" i="3" s="1"/>
  <c r="AC392" i="3"/>
  <c r="AB392" i="3"/>
  <c r="B390" i="3"/>
  <c r="A390" i="3"/>
  <c r="AF390" i="3" s="1"/>
  <c r="AG390" i="3" s="1"/>
  <c r="AD390" i="3" l="1"/>
  <c r="AE390" i="3" s="1"/>
  <c r="AB393" i="3"/>
  <c r="AC393" i="3"/>
  <c r="A391" i="3"/>
  <c r="B391" i="3"/>
  <c r="AF391" i="3" l="1"/>
  <c r="AG391" i="3" s="1"/>
  <c r="AC394" i="3"/>
  <c r="AB394" i="3"/>
  <c r="A392" i="3"/>
  <c r="AF392" i="3" s="1"/>
  <c r="B392" i="3"/>
  <c r="AG392" i="3" l="1"/>
  <c r="AD391" i="3"/>
  <c r="AE391" i="3" s="1"/>
  <c r="AD392" i="3"/>
  <c r="AE392" i="3" s="1"/>
  <c r="AB395" i="3"/>
  <c r="AC395" i="3"/>
  <c r="B393" i="3"/>
  <c r="A393" i="3"/>
  <c r="AF393" i="3" s="1"/>
  <c r="AG393" i="3" s="1"/>
  <c r="AD393" i="3" l="1"/>
  <c r="AE393" i="3" s="1"/>
  <c r="AC396" i="3"/>
  <c r="AB396" i="3"/>
  <c r="B394" i="3"/>
  <c r="A394" i="3"/>
  <c r="AF394" i="3" l="1"/>
  <c r="AG394" i="3" s="1"/>
  <c r="AB397" i="3"/>
  <c r="AC397" i="3"/>
  <c r="B395" i="3"/>
  <c r="A395" i="3"/>
  <c r="AF395" i="3" s="1"/>
  <c r="AG395" i="3" s="1"/>
  <c r="AD394" i="3" l="1"/>
  <c r="AE394" i="3" s="1"/>
  <c r="AD395" i="3"/>
  <c r="AE395" i="3" s="1"/>
  <c r="AC398" i="3"/>
  <c r="AB398" i="3"/>
  <c r="A396" i="3"/>
  <c r="B396" i="3"/>
  <c r="AF396" i="3" l="1"/>
  <c r="AG396" i="3" s="1"/>
  <c r="AB399" i="3"/>
  <c r="AC399" i="3"/>
  <c r="A397" i="3"/>
  <c r="AF397" i="3" s="1"/>
  <c r="B397" i="3"/>
  <c r="AG397" i="3" l="1"/>
  <c r="AD397" i="3"/>
  <c r="AE397" i="3" s="1"/>
  <c r="AC400" i="3"/>
  <c r="AB400" i="3"/>
  <c r="B398" i="3"/>
  <c r="A398" i="3"/>
  <c r="AF398" i="3" s="1"/>
  <c r="AG398" i="3" s="1"/>
  <c r="O399" i="3" l="1"/>
  <c r="AB401" i="3"/>
  <c r="AC401" i="3"/>
  <c r="A399" i="3"/>
  <c r="AF399" i="3" s="1"/>
  <c r="AG399" i="3" s="1"/>
  <c r="B399" i="3"/>
  <c r="O400" i="3" l="1"/>
  <c r="AD399" i="3"/>
  <c r="AE399" i="3" s="1"/>
  <c r="AC402" i="3"/>
  <c r="AB402" i="3"/>
  <c r="B400" i="3"/>
  <c r="A400" i="3"/>
  <c r="AF400" i="3" s="1"/>
  <c r="AG400" i="3" s="1"/>
  <c r="O401" i="3" l="1"/>
  <c r="AB403" i="3"/>
  <c r="AC403" i="3"/>
  <c r="A401" i="3"/>
  <c r="AF401" i="3" s="1"/>
  <c r="AG401" i="3" s="1"/>
  <c r="B401" i="3"/>
  <c r="O402" i="3" l="1"/>
  <c r="AD401" i="3"/>
  <c r="AE401" i="3" s="1"/>
  <c r="AC404" i="3"/>
  <c r="AB404" i="3"/>
  <c r="B402" i="3"/>
  <c r="A402" i="3"/>
  <c r="AF402" i="3" s="1"/>
  <c r="AG402" i="3" s="1"/>
  <c r="O403" i="3" l="1"/>
  <c r="AD402" i="3"/>
  <c r="AE402" i="3" s="1"/>
  <c r="AB405" i="3"/>
  <c r="AC405" i="3"/>
  <c r="A403" i="3"/>
  <c r="B403" i="3"/>
  <c r="AF403" i="3" l="1"/>
  <c r="AG403" i="3" s="1"/>
  <c r="AC406" i="3"/>
  <c r="AB406" i="3"/>
  <c r="B404" i="3"/>
  <c r="A404" i="3"/>
  <c r="AF404" i="3" s="1"/>
  <c r="AG404" i="3" s="1"/>
  <c r="O405" i="3" l="1"/>
  <c r="O404" i="3"/>
  <c r="AD403" i="3"/>
  <c r="AE403" i="3" s="1"/>
  <c r="AD404" i="3"/>
  <c r="AE404" i="3" s="1"/>
  <c r="AB407" i="3"/>
  <c r="AC407" i="3"/>
  <c r="A405" i="3"/>
  <c r="B405" i="3"/>
  <c r="AF405" i="3" l="1"/>
  <c r="AG405" i="3" s="1"/>
  <c r="AC408" i="3"/>
  <c r="AB408" i="3"/>
  <c r="B406" i="3"/>
  <c r="A406" i="3"/>
  <c r="AF406" i="3" s="1"/>
  <c r="AG406" i="3" s="1"/>
  <c r="O407" i="3" l="1"/>
  <c r="O406" i="3"/>
  <c r="AD406" i="3"/>
  <c r="AE406" i="3" s="1"/>
  <c r="AD405" i="3"/>
  <c r="AE405" i="3" s="1"/>
  <c r="AB409" i="3"/>
  <c r="AC409" i="3"/>
  <c r="B407" i="3"/>
  <c r="A407" i="3"/>
  <c r="AF407" i="3" s="1"/>
  <c r="AG407" i="3" s="1"/>
  <c r="O408" i="3" l="1"/>
  <c r="AD407" i="3"/>
  <c r="AE407" i="3" s="1"/>
  <c r="AB410" i="3"/>
  <c r="AC410" i="3"/>
  <c r="A408" i="3"/>
  <c r="B408" i="3"/>
  <c r="AF408" i="3" l="1"/>
  <c r="AG408" i="3" s="1"/>
  <c r="AB411" i="3"/>
  <c r="AC411" i="3"/>
  <c r="A409" i="3"/>
  <c r="B409" i="3"/>
  <c r="O409" i="3" l="1"/>
  <c r="AF409" i="3"/>
  <c r="AG409" i="3" s="1"/>
  <c r="AB412" i="3"/>
  <c r="AC412" i="3"/>
  <c r="A410" i="3"/>
  <c r="B410" i="3"/>
  <c r="O410" i="3" l="1"/>
  <c r="AD409" i="3"/>
  <c r="AE409" i="3" s="1"/>
  <c r="AF410" i="3"/>
  <c r="AG410" i="3" s="1"/>
  <c r="AB413" i="3"/>
  <c r="AC413" i="3"/>
  <c r="A411" i="3"/>
  <c r="AF411" i="3" s="1"/>
  <c r="B411" i="3"/>
  <c r="AG411" i="3" l="1"/>
  <c r="O411" i="3"/>
  <c r="O412" i="3"/>
  <c r="AD410" i="3"/>
  <c r="AE410" i="3" s="1"/>
  <c r="AD411" i="3"/>
  <c r="AE411" i="3" s="1"/>
  <c r="AC414" i="3"/>
  <c r="AB414" i="3"/>
  <c r="A412" i="3"/>
  <c r="AF412" i="3" s="1"/>
  <c r="AG412" i="3" s="1"/>
  <c r="B412" i="3"/>
  <c r="O413" i="3" l="1"/>
  <c r="AD412" i="3"/>
  <c r="AE412" i="3" s="1"/>
  <c r="AB415" i="3"/>
  <c r="AC415" i="3"/>
  <c r="B413" i="3"/>
  <c r="A413" i="3"/>
  <c r="AF413" i="3" s="1"/>
  <c r="AG413" i="3" s="1"/>
  <c r="O414" i="3" l="1"/>
  <c r="AD413" i="3"/>
  <c r="AE413" i="3" s="1"/>
  <c r="AC416" i="3"/>
  <c r="AB416" i="3"/>
  <c r="A414" i="3"/>
  <c r="AF414" i="3" s="1"/>
  <c r="AG414" i="3" s="1"/>
  <c r="B414" i="3"/>
  <c r="O415" i="3" l="1"/>
  <c r="AD414" i="3"/>
  <c r="AE414" i="3" s="1"/>
  <c r="AB417" i="3"/>
  <c r="AC417" i="3"/>
  <c r="B415" i="3"/>
  <c r="A415" i="3"/>
  <c r="AF415" i="3" l="1"/>
  <c r="AG415" i="3" s="1"/>
  <c r="AC418" i="3"/>
  <c r="AB418" i="3"/>
  <c r="A416" i="3"/>
  <c r="B416" i="3"/>
  <c r="O416" i="3" l="1"/>
  <c r="AD415" i="3"/>
  <c r="AE415" i="3" s="1"/>
  <c r="AF416" i="3"/>
  <c r="AG416" i="3" s="1"/>
  <c r="AB419" i="3"/>
  <c r="AC419" i="3"/>
  <c r="A417" i="3"/>
  <c r="B417" i="3"/>
  <c r="O417" i="3" l="1"/>
  <c r="AF417" i="3"/>
  <c r="AG417" i="3" s="1"/>
  <c r="AD416" i="3"/>
  <c r="AE416" i="3" s="1"/>
  <c r="AB420" i="3"/>
  <c r="AC420" i="3"/>
  <c r="B418" i="3"/>
  <c r="A418" i="3"/>
  <c r="O418" i="3" l="1"/>
  <c r="AF418" i="3"/>
  <c r="AG418" i="3" s="1"/>
  <c r="AD417" i="3"/>
  <c r="AE417" i="3" s="1"/>
  <c r="AB421" i="3"/>
  <c r="AC421" i="3"/>
  <c r="A419" i="3"/>
  <c r="AF419" i="3" s="1"/>
  <c r="AG419" i="3" s="1"/>
  <c r="B419" i="3"/>
  <c r="O419" i="3" l="1"/>
  <c r="O420" i="3"/>
  <c r="AD418" i="3"/>
  <c r="AE418" i="3" s="1"/>
  <c r="AD419" i="3"/>
  <c r="AE419" i="3" s="1"/>
  <c r="AC422" i="3"/>
  <c r="AB422" i="3"/>
  <c r="A420" i="3"/>
  <c r="B420" i="3"/>
  <c r="AF420" i="3" l="1"/>
  <c r="AG420" i="3" s="1"/>
  <c r="AB423" i="3"/>
  <c r="AC423" i="3"/>
  <c r="B421" i="3"/>
  <c r="A421" i="3"/>
  <c r="AF421" i="3" s="1"/>
  <c r="AG421" i="3" s="1"/>
  <c r="O422" i="3" l="1"/>
  <c r="O421" i="3"/>
  <c r="AD421" i="3"/>
  <c r="AE421" i="3" s="1"/>
  <c r="AC424" i="3"/>
  <c r="AB424" i="3"/>
  <c r="B422" i="3"/>
  <c r="B423" i="3" s="1"/>
  <c r="A422" i="3"/>
  <c r="AF422" i="3" s="1"/>
  <c r="AG422" i="3" s="1"/>
  <c r="O423" i="3" l="1"/>
  <c r="AD422" i="3"/>
  <c r="AE422" i="3" s="1"/>
  <c r="AB425" i="3"/>
  <c r="AC425" i="3"/>
  <c r="A423" i="3"/>
  <c r="AF423" i="3" s="1"/>
  <c r="AG423" i="3" s="1"/>
  <c r="B424" i="3"/>
  <c r="O424" i="3" l="1"/>
  <c r="AD423" i="3"/>
  <c r="AE423" i="3" s="1"/>
  <c r="AB426" i="3"/>
  <c r="AC426" i="3"/>
  <c r="A424" i="3"/>
  <c r="B425" i="3"/>
  <c r="A425" i="3" l="1"/>
  <c r="AF425" i="3" s="1"/>
  <c r="AF424" i="3"/>
  <c r="AG424" i="3" s="1"/>
  <c r="AB427" i="3"/>
  <c r="AC427" i="3"/>
  <c r="A426" i="3"/>
  <c r="B426" i="3"/>
  <c r="AG425" i="3" l="1"/>
  <c r="O425" i="3"/>
  <c r="AF426" i="3"/>
  <c r="AG426" i="3" s="1"/>
  <c r="O426" i="3"/>
  <c r="AD424" i="3"/>
  <c r="AE424" i="3" s="1"/>
  <c r="AD425" i="3"/>
  <c r="AE425" i="3" s="1"/>
  <c r="AB428" i="3"/>
  <c r="AC428" i="3"/>
  <c r="A427" i="3"/>
  <c r="AF427" i="3" s="1"/>
  <c r="B427" i="3"/>
  <c r="AG427" i="3" l="1"/>
  <c r="O427" i="3"/>
  <c r="O428" i="3"/>
  <c r="AD426" i="3"/>
  <c r="AE426" i="3" s="1"/>
  <c r="AD427" i="3"/>
  <c r="AE427" i="3" s="1"/>
  <c r="AB429" i="3"/>
  <c r="AC429" i="3"/>
  <c r="B428" i="3"/>
  <c r="A428" i="3"/>
  <c r="AF428" i="3" s="1"/>
  <c r="AG428" i="3" s="1"/>
  <c r="O429" i="3" l="1"/>
  <c r="AD428" i="3"/>
  <c r="AE428" i="3" s="1"/>
  <c r="AC430" i="3"/>
  <c r="AB430" i="3"/>
  <c r="A429" i="3"/>
  <c r="B429" i="3"/>
  <c r="AF429" i="3" l="1"/>
  <c r="AG429" i="3" s="1"/>
  <c r="AB431" i="3"/>
  <c r="AC431" i="3"/>
  <c r="B430" i="3"/>
  <c r="A430" i="3"/>
  <c r="AF430" i="3" s="1"/>
  <c r="AG430" i="3" s="1"/>
  <c r="O431" i="3" l="1"/>
  <c r="O430" i="3"/>
  <c r="AD429" i="3"/>
  <c r="AE429" i="3" s="1"/>
  <c r="AD430" i="3"/>
  <c r="AE430" i="3" s="1"/>
  <c r="AC432" i="3"/>
  <c r="AB432" i="3"/>
  <c r="A431" i="3"/>
  <c r="AF431" i="3" s="1"/>
  <c r="AG431" i="3" s="1"/>
  <c r="B431" i="3"/>
  <c r="O432" i="3" l="1"/>
  <c r="AD431" i="3"/>
  <c r="AE431" i="3" s="1"/>
  <c r="AB433" i="3"/>
  <c r="AC433" i="3"/>
  <c r="B432" i="3"/>
  <c r="A432" i="3"/>
  <c r="AF432" i="3" s="1"/>
  <c r="AG432" i="3" s="1"/>
  <c r="O433" i="3" l="1"/>
  <c r="AC434" i="3"/>
  <c r="AB434" i="3"/>
  <c r="B433" i="3"/>
  <c r="A433" i="3"/>
  <c r="AF433" i="3" s="1"/>
  <c r="AG433" i="3" s="1"/>
  <c r="O434" i="3" l="1"/>
  <c r="AD433" i="3"/>
  <c r="AE433" i="3" s="1"/>
  <c r="AB435" i="3"/>
  <c r="AC435" i="3"/>
  <c r="A434" i="3"/>
  <c r="B434" i="3"/>
  <c r="AF434" i="3" l="1"/>
  <c r="AG434" i="3" s="1"/>
  <c r="AB436" i="3"/>
  <c r="AC436" i="3"/>
  <c r="B435" i="3"/>
  <c r="A435" i="3"/>
  <c r="AF435" i="3" s="1"/>
  <c r="AG435" i="3" s="1"/>
  <c r="O436" i="3" l="1"/>
  <c r="O435" i="3"/>
  <c r="AD434" i="3"/>
  <c r="AE434" i="3" s="1"/>
  <c r="AD435" i="3"/>
  <c r="AE435" i="3" s="1"/>
  <c r="AB437" i="3"/>
  <c r="AC437" i="3"/>
  <c r="A436" i="3"/>
  <c r="AF436" i="3" s="1"/>
  <c r="AG436" i="3" s="1"/>
  <c r="B436" i="3"/>
  <c r="O437" i="3" l="1"/>
  <c r="AD436" i="3"/>
  <c r="AE436" i="3" s="1"/>
  <c r="AC438" i="3"/>
  <c r="AB438" i="3"/>
  <c r="B437" i="3"/>
  <c r="A437" i="3"/>
  <c r="AF437" i="3" s="1"/>
  <c r="AG437" i="3" s="1"/>
  <c r="O438" i="3" l="1"/>
  <c r="AD437" i="3"/>
  <c r="AE437" i="3" s="1"/>
  <c r="AB439" i="3"/>
  <c r="AC439" i="3"/>
  <c r="A438" i="3"/>
  <c r="B438" i="3"/>
  <c r="AF438" i="3" l="1"/>
  <c r="AG438" i="3" s="1"/>
  <c r="AC440" i="3"/>
  <c r="AB440" i="3"/>
  <c r="B439" i="3"/>
  <c r="A439" i="3"/>
  <c r="AF439" i="3" s="1"/>
  <c r="AG439" i="3" s="1"/>
  <c r="O440" i="3" l="1"/>
  <c r="O439" i="3"/>
  <c r="AD438" i="3"/>
  <c r="AE438" i="3" s="1"/>
  <c r="AD439" i="3"/>
  <c r="AE439" i="3" s="1"/>
  <c r="AB441" i="3"/>
  <c r="AC441" i="3"/>
  <c r="A440" i="3"/>
  <c r="B440" i="3"/>
  <c r="AF440" i="3" l="1"/>
  <c r="AG440" i="3" s="1"/>
  <c r="AC442" i="3"/>
  <c r="AB442" i="3"/>
  <c r="B441" i="3"/>
  <c r="A441" i="3"/>
  <c r="AF441" i="3" s="1"/>
  <c r="AG441" i="3" s="1"/>
  <c r="O442" i="3" l="1"/>
  <c r="O441" i="3"/>
  <c r="AD440" i="3"/>
  <c r="AE440" i="3" s="1"/>
  <c r="AD441" i="3"/>
  <c r="AE441" i="3" s="1"/>
  <c r="AB443" i="3"/>
  <c r="AC443" i="3"/>
  <c r="A442" i="3"/>
  <c r="B442" i="3"/>
  <c r="AF442" i="3" l="1"/>
  <c r="AG442" i="3" s="1"/>
  <c r="AB444" i="3"/>
  <c r="AC444" i="3"/>
  <c r="B443" i="3"/>
  <c r="A443" i="3"/>
  <c r="AF443" i="3" s="1"/>
  <c r="AG443" i="3" s="1"/>
  <c r="O444" i="3" l="1"/>
  <c r="O443" i="3"/>
  <c r="AD442" i="3"/>
  <c r="AE442" i="3" s="1"/>
  <c r="AD443" i="3"/>
  <c r="AE443" i="3" s="1"/>
  <c r="AB445" i="3"/>
  <c r="AC445" i="3"/>
  <c r="A444" i="3"/>
  <c r="B444" i="3"/>
  <c r="AF444" i="3" l="1"/>
  <c r="AG444" i="3" s="1"/>
  <c r="AC446" i="3"/>
  <c r="AB446" i="3"/>
  <c r="B445" i="3"/>
  <c r="A445" i="3"/>
  <c r="AF445" i="3" s="1"/>
  <c r="AG445" i="3" s="1"/>
  <c r="O446" i="3" l="1"/>
  <c r="O445" i="3"/>
  <c r="AD445" i="3"/>
  <c r="AE445" i="3" s="1"/>
  <c r="AB447" i="3"/>
  <c r="AC447" i="3"/>
  <c r="A446" i="3"/>
  <c r="AF446" i="3" s="1"/>
  <c r="AG446" i="3" s="1"/>
  <c r="B446" i="3"/>
  <c r="O447" i="3" l="1"/>
  <c r="AD446" i="3"/>
  <c r="AE446" i="3" s="1"/>
  <c r="AF447" i="3"/>
  <c r="AG447" i="3" s="1"/>
  <c r="AC448" i="3"/>
  <c r="AB448" i="3"/>
  <c r="B447" i="3"/>
  <c r="A447" i="3"/>
  <c r="O448" i="3" l="1"/>
  <c r="AD447" i="3"/>
  <c r="AE447" i="3" s="1"/>
  <c r="AB449" i="3"/>
  <c r="AC449" i="3"/>
  <c r="B448" i="3"/>
  <c r="A448" i="3"/>
  <c r="AF448" i="3" s="1"/>
  <c r="AG448" i="3" s="1"/>
  <c r="O449" i="3" l="1"/>
  <c r="AD448" i="3"/>
  <c r="AE448" i="3" s="1"/>
  <c r="AC450" i="3"/>
  <c r="AB450" i="3"/>
  <c r="A449" i="3"/>
  <c r="AF449" i="3" s="1"/>
  <c r="AG449" i="3" s="1"/>
  <c r="B449" i="3"/>
  <c r="O450" i="3" l="1"/>
  <c r="AD449" i="3"/>
  <c r="AE449" i="3" s="1"/>
  <c r="AB451" i="3"/>
  <c r="AC451" i="3"/>
  <c r="B450" i="3"/>
  <c r="A450" i="3"/>
  <c r="AF450" i="3" s="1"/>
  <c r="AG450" i="3" s="1"/>
  <c r="O451" i="3" l="1"/>
  <c r="AD450" i="3"/>
  <c r="AE450" i="3" s="1"/>
  <c r="AB452" i="3"/>
  <c r="AC452" i="3"/>
  <c r="B451" i="3"/>
  <c r="A451" i="3"/>
  <c r="AF451" i="3" s="1"/>
  <c r="AG451" i="3" s="1"/>
  <c r="O452" i="3" l="1"/>
  <c r="AD451" i="3"/>
  <c r="AE451" i="3" s="1"/>
  <c r="AB453" i="3"/>
  <c r="AC453" i="3"/>
  <c r="B452" i="3"/>
  <c r="A452" i="3"/>
  <c r="AF452" i="3" s="1"/>
  <c r="AG452" i="3" s="1"/>
  <c r="O453" i="3" l="1"/>
  <c r="AD452" i="3"/>
  <c r="AE452" i="3" s="1"/>
  <c r="AC454" i="3"/>
  <c r="AB454" i="3"/>
  <c r="A453" i="3"/>
  <c r="AF453" i="3" s="1"/>
  <c r="AG453" i="3" s="1"/>
  <c r="B453" i="3"/>
  <c r="O454" i="3" l="1"/>
  <c r="AD453" i="3"/>
  <c r="AE453" i="3" s="1"/>
  <c r="AB455" i="3"/>
  <c r="AC455" i="3"/>
  <c r="A454" i="3"/>
  <c r="AF454" i="3" s="1"/>
  <c r="AG454" i="3" s="1"/>
  <c r="B454" i="3"/>
  <c r="O455" i="3" l="1"/>
  <c r="AD454" i="3"/>
  <c r="AE454" i="3" s="1"/>
  <c r="AC456" i="3"/>
  <c r="AB456" i="3"/>
  <c r="B455" i="3"/>
  <c r="A455" i="3"/>
  <c r="AF455" i="3" s="1"/>
  <c r="AG455" i="3" s="1"/>
  <c r="O456" i="3" l="1"/>
  <c r="AD455" i="3"/>
  <c r="AE455" i="3" s="1"/>
  <c r="AB457" i="3"/>
  <c r="AC457" i="3"/>
  <c r="A456" i="3"/>
  <c r="AF456" i="3" s="1"/>
  <c r="AG456" i="3" s="1"/>
  <c r="B456" i="3"/>
  <c r="O457" i="3" l="1"/>
  <c r="AF457" i="3"/>
  <c r="AG457" i="3" s="1"/>
  <c r="AC458" i="3"/>
  <c r="AB458" i="3"/>
  <c r="B457" i="3"/>
  <c r="A457" i="3"/>
  <c r="O458" i="3" l="1"/>
  <c r="AD457" i="3"/>
  <c r="AE457" i="3" s="1"/>
  <c r="AB459" i="3"/>
  <c r="AC459" i="3"/>
  <c r="A458" i="3"/>
  <c r="AF458" i="3" s="1"/>
  <c r="AG458" i="3" s="1"/>
  <c r="B458" i="3"/>
  <c r="O459" i="3" l="1"/>
  <c r="AD458" i="3"/>
  <c r="AE458" i="3" s="1"/>
  <c r="AB460" i="3"/>
  <c r="AC460" i="3"/>
  <c r="B459" i="3"/>
  <c r="A459" i="3"/>
  <c r="AF459" i="3" s="1"/>
  <c r="AG459" i="3" s="1"/>
  <c r="O460" i="3" l="1"/>
  <c r="AD459" i="3"/>
  <c r="AE459" i="3" s="1"/>
  <c r="AB461" i="3"/>
  <c r="AC461" i="3"/>
  <c r="A460" i="3"/>
  <c r="AF460" i="3" s="1"/>
  <c r="AG460" i="3" s="1"/>
  <c r="B460" i="3"/>
  <c r="O461" i="3" l="1"/>
  <c r="AD460" i="3"/>
  <c r="AE460" i="3" s="1"/>
  <c r="AC462" i="3"/>
  <c r="AB462" i="3"/>
  <c r="B461" i="3"/>
  <c r="A461" i="3"/>
  <c r="AF461" i="3" s="1"/>
  <c r="AG461" i="3" s="1"/>
  <c r="O462" i="3" l="1"/>
  <c r="AD461" i="3"/>
  <c r="AE461" i="3" s="1"/>
  <c r="AB463" i="3"/>
  <c r="AC463" i="3"/>
  <c r="A462" i="3"/>
  <c r="AF462" i="3" s="1"/>
  <c r="AG462" i="3" s="1"/>
  <c r="B462" i="3"/>
  <c r="O463" i="3" l="1"/>
  <c r="AD462" i="3"/>
  <c r="AE462" i="3" s="1"/>
  <c r="AC464" i="3"/>
  <c r="AB464" i="3"/>
  <c r="B463" i="3"/>
  <c r="A463" i="3"/>
  <c r="AF463" i="3" s="1"/>
  <c r="AG463" i="3" s="1"/>
  <c r="O464" i="3" l="1"/>
  <c r="AD463" i="3"/>
  <c r="AE463" i="3" s="1"/>
  <c r="AB465" i="3"/>
  <c r="AC465" i="3"/>
  <c r="A464" i="3"/>
  <c r="AF464" i="3" s="1"/>
  <c r="AG464" i="3" s="1"/>
  <c r="B464" i="3"/>
  <c r="O465" i="3" l="1"/>
  <c r="AD464" i="3"/>
  <c r="AE464" i="3" s="1"/>
  <c r="AC466" i="3"/>
  <c r="AB466" i="3"/>
  <c r="B465" i="3"/>
  <c r="A465" i="3"/>
  <c r="AF465" i="3" s="1"/>
  <c r="AG465" i="3" s="1"/>
  <c r="O466" i="3" l="1"/>
  <c r="AD465" i="3"/>
  <c r="AE465" i="3" s="1"/>
  <c r="AB467" i="3"/>
  <c r="AC467" i="3"/>
  <c r="A466" i="3"/>
  <c r="AF466" i="3" s="1"/>
  <c r="AG466" i="3" s="1"/>
  <c r="B466" i="3"/>
  <c r="O467" i="3" l="1"/>
  <c r="AD466" i="3"/>
  <c r="AE466" i="3" s="1"/>
  <c r="AB468" i="3"/>
  <c r="AC468" i="3"/>
  <c r="A467" i="3"/>
  <c r="AF467" i="3" s="1"/>
  <c r="AG467" i="3" s="1"/>
  <c r="B467" i="3"/>
  <c r="O468" i="3" l="1"/>
  <c r="AD467" i="3"/>
  <c r="AE467" i="3" s="1"/>
  <c r="AB469" i="3"/>
  <c r="AC469" i="3"/>
  <c r="B468" i="3"/>
  <c r="A468" i="3"/>
  <c r="AF468" i="3" s="1"/>
  <c r="AG468" i="3" s="1"/>
  <c r="O469" i="3" l="1"/>
  <c r="AF469" i="3"/>
  <c r="AG469" i="3" s="1"/>
  <c r="AC470" i="3"/>
  <c r="AB470" i="3"/>
  <c r="B469" i="3"/>
  <c r="A469" i="3"/>
  <c r="O470" i="3" l="1"/>
  <c r="AD469" i="3"/>
  <c r="AE469" i="3" s="1"/>
  <c r="AB471" i="3"/>
  <c r="AC471" i="3"/>
  <c r="B470" i="3"/>
  <c r="A470" i="3"/>
  <c r="AF470" i="3" s="1"/>
  <c r="AG470" i="3" s="1"/>
  <c r="O471" i="3" l="1"/>
  <c r="AD470" i="3"/>
  <c r="AE470" i="3" s="1"/>
  <c r="AC472" i="3"/>
  <c r="AB472" i="3"/>
  <c r="B471" i="3"/>
  <c r="A471" i="3"/>
  <c r="AF471" i="3" s="1"/>
  <c r="AG471" i="3" s="1"/>
  <c r="O472" i="3" l="1"/>
  <c r="AD471" i="3"/>
  <c r="AE471" i="3" s="1"/>
  <c r="AB473" i="3"/>
  <c r="AC473" i="3"/>
  <c r="B472" i="3"/>
  <c r="A472" i="3"/>
  <c r="AF472" i="3" s="1"/>
  <c r="AG472" i="3" s="1"/>
  <c r="O473" i="3" l="1"/>
  <c r="AD472" i="3"/>
  <c r="AE472" i="3" s="1"/>
  <c r="AC474" i="3"/>
  <c r="AB474" i="3"/>
  <c r="A473" i="3"/>
  <c r="AF473" i="3" s="1"/>
  <c r="AG473" i="3" s="1"/>
  <c r="B473" i="3"/>
  <c r="O474" i="3" l="1"/>
  <c r="AD473" i="3"/>
  <c r="AE473" i="3" s="1"/>
  <c r="AB475" i="3"/>
  <c r="AC475" i="3"/>
  <c r="A474" i="3"/>
  <c r="AF474" i="3" s="1"/>
  <c r="AG474" i="3" s="1"/>
  <c r="B474" i="3"/>
  <c r="O475" i="3" l="1"/>
  <c r="AD474" i="3"/>
  <c r="AE474" i="3" s="1"/>
  <c r="AB476" i="3"/>
  <c r="AC476" i="3"/>
  <c r="B475" i="3"/>
  <c r="A475" i="3"/>
  <c r="AF475" i="3" s="1"/>
  <c r="AG475" i="3" s="1"/>
  <c r="O476" i="3" l="1"/>
  <c r="AD475" i="3"/>
  <c r="AE475" i="3" s="1"/>
  <c r="AB477" i="3"/>
  <c r="AC477" i="3"/>
  <c r="A476" i="3"/>
  <c r="AF476" i="3" s="1"/>
  <c r="AG476" i="3" s="1"/>
  <c r="B476" i="3"/>
  <c r="O477" i="3" l="1"/>
  <c r="AD476" i="3"/>
  <c r="AE476" i="3" s="1"/>
  <c r="AC478" i="3"/>
  <c r="AB478" i="3"/>
  <c r="A477" i="3"/>
  <c r="AF477" i="3" s="1"/>
  <c r="AG477" i="3" s="1"/>
  <c r="B477" i="3"/>
  <c r="O478" i="3" l="1"/>
  <c r="AD477" i="3"/>
  <c r="AE477" i="3" s="1"/>
  <c r="AB479" i="3"/>
  <c r="AC479" i="3"/>
  <c r="B478" i="3"/>
  <c r="A478" i="3"/>
  <c r="AF478" i="3" s="1"/>
  <c r="AG478" i="3" s="1"/>
  <c r="O479" i="3" l="1"/>
  <c r="AD478" i="3"/>
  <c r="AE478" i="3" s="1"/>
  <c r="AC480" i="3"/>
  <c r="AB480" i="3"/>
  <c r="B479" i="3"/>
  <c r="A479" i="3"/>
  <c r="AF479" i="3" s="1"/>
  <c r="AG479" i="3" s="1"/>
  <c r="O480" i="3" l="1"/>
  <c r="AD479" i="3"/>
  <c r="AE479" i="3" s="1"/>
  <c r="AB481" i="3"/>
  <c r="AC481" i="3"/>
  <c r="B480" i="3"/>
  <c r="A480" i="3"/>
  <c r="AF480" i="3" s="1"/>
  <c r="AG480" i="3" s="1"/>
  <c r="O481" i="3" l="1"/>
  <c r="AF481" i="3"/>
  <c r="AG481" i="3" s="1"/>
  <c r="AC482" i="3"/>
  <c r="AB482" i="3"/>
  <c r="B481" i="3"/>
  <c r="A481" i="3"/>
  <c r="O482" i="3" l="1"/>
  <c r="AD481" i="3"/>
  <c r="AE481" i="3" s="1"/>
  <c r="AC483" i="3"/>
  <c r="AB483" i="3"/>
  <c r="B482" i="3"/>
  <c r="A482" i="3"/>
  <c r="AF482" i="3" s="1"/>
  <c r="AG482" i="3" s="1"/>
  <c r="O483" i="3" l="1"/>
  <c r="AD482" i="3"/>
  <c r="AE482" i="3" s="1"/>
  <c r="AC484" i="3"/>
  <c r="AB484" i="3"/>
  <c r="B483" i="3"/>
  <c r="A483" i="3"/>
  <c r="AF483" i="3" s="1"/>
  <c r="AG483" i="3" s="1"/>
  <c r="O484" i="3" l="1"/>
  <c r="AD483" i="3"/>
  <c r="AE483" i="3" s="1"/>
  <c r="AC485" i="3"/>
  <c r="AB485" i="3"/>
  <c r="A484" i="3"/>
  <c r="AF484" i="3" s="1"/>
  <c r="AG484" i="3" s="1"/>
  <c r="B484" i="3"/>
  <c r="O485" i="3" l="1"/>
  <c r="AD484" i="3"/>
  <c r="AE484" i="3" s="1"/>
  <c r="AC486" i="3"/>
  <c r="AB486" i="3"/>
  <c r="A485" i="3"/>
  <c r="AF485" i="3" s="1"/>
  <c r="AG485" i="3" s="1"/>
  <c r="B485" i="3"/>
  <c r="O486" i="3" l="1"/>
  <c r="AD485" i="3"/>
  <c r="AE485" i="3" s="1"/>
  <c r="AC487" i="3"/>
  <c r="AB487" i="3"/>
  <c r="B486" i="3"/>
  <c r="A486" i="3"/>
  <c r="AF486" i="3" s="1"/>
  <c r="AG486" i="3" s="1"/>
  <c r="O487" i="3" l="1"/>
  <c r="AD486" i="3"/>
  <c r="AE486" i="3" s="1"/>
  <c r="AC488" i="3"/>
  <c r="AB488" i="3"/>
  <c r="A487" i="3"/>
  <c r="AF487" i="3" s="1"/>
  <c r="AG487" i="3" s="1"/>
  <c r="B487" i="3"/>
  <c r="O488" i="3" l="1"/>
  <c r="AD487" i="3"/>
  <c r="AE487" i="3" s="1"/>
  <c r="AC489" i="3"/>
  <c r="AB489" i="3"/>
  <c r="A488" i="3"/>
  <c r="AF488" i="3" s="1"/>
  <c r="AG488" i="3" s="1"/>
  <c r="B488" i="3"/>
  <c r="O489" i="3" l="1"/>
  <c r="AD488" i="3"/>
  <c r="AE488" i="3" s="1"/>
  <c r="AC490" i="3"/>
  <c r="AB490" i="3"/>
  <c r="A489" i="3"/>
  <c r="AF489" i="3" s="1"/>
  <c r="AG489" i="3" s="1"/>
  <c r="B489" i="3"/>
  <c r="O490" i="3" l="1"/>
  <c r="AD489" i="3"/>
  <c r="AE489" i="3" s="1"/>
  <c r="AC491" i="3"/>
  <c r="AB491" i="3"/>
  <c r="A490" i="3"/>
  <c r="AF490" i="3" s="1"/>
  <c r="AG490" i="3" s="1"/>
  <c r="B490" i="3"/>
  <c r="O491" i="3" l="1"/>
  <c r="AD490" i="3"/>
  <c r="AE490" i="3" s="1"/>
  <c r="AC492" i="3"/>
  <c r="AB492" i="3"/>
  <c r="B491" i="3"/>
  <c r="A491" i="3"/>
  <c r="AF491" i="3" s="1"/>
  <c r="AG491" i="3" s="1"/>
  <c r="O492" i="3" l="1"/>
  <c r="AD491" i="3"/>
  <c r="AE491" i="3" s="1"/>
  <c r="AC493" i="3"/>
  <c r="AB493" i="3"/>
  <c r="B492" i="3"/>
  <c r="A492" i="3"/>
  <c r="AF492" i="3" s="1"/>
  <c r="AG492" i="3" s="1"/>
  <c r="O493" i="3" l="1"/>
  <c r="AF493" i="3"/>
  <c r="AG493" i="3" s="1"/>
  <c r="AC494" i="3"/>
  <c r="AB494" i="3"/>
  <c r="A493" i="3"/>
  <c r="B493" i="3"/>
  <c r="O494" i="3" l="1"/>
  <c r="AD493" i="3"/>
  <c r="AE493" i="3" s="1"/>
  <c r="AC495" i="3"/>
  <c r="AB495" i="3"/>
  <c r="B494" i="3"/>
  <c r="A494" i="3"/>
  <c r="AF494" i="3" s="1"/>
  <c r="AG494" i="3" s="1"/>
  <c r="O495" i="3" l="1"/>
  <c r="AD494" i="3"/>
  <c r="AE494" i="3" s="1"/>
  <c r="AC496" i="3"/>
  <c r="AB496" i="3"/>
  <c r="A495" i="3"/>
  <c r="AF495" i="3" s="1"/>
  <c r="AG495" i="3" s="1"/>
  <c r="B495" i="3"/>
  <c r="O496" i="3" l="1"/>
  <c r="AD495" i="3"/>
  <c r="AE495" i="3" s="1"/>
  <c r="AC497" i="3"/>
  <c r="AB497" i="3"/>
  <c r="A496" i="3"/>
  <c r="AF496" i="3" s="1"/>
  <c r="AG496" i="3" s="1"/>
  <c r="B496" i="3"/>
  <c r="O497" i="3" l="1"/>
  <c r="AD496" i="3"/>
  <c r="AE496" i="3" s="1"/>
  <c r="AC498" i="3"/>
  <c r="AB498" i="3"/>
  <c r="B497" i="3"/>
  <c r="A497" i="3"/>
  <c r="AF497" i="3" s="1"/>
  <c r="AG497" i="3" s="1"/>
  <c r="O498" i="3" l="1"/>
  <c r="AD497" i="3"/>
  <c r="AE497" i="3" s="1"/>
  <c r="AC499" i="3"/>
  <c r="AB499" i="3"/>
  <c r="A498" i="3"/>
  <c r="AF498" i="3" s="1"/>
  <c r="AG498" i="3" s="1"/>
  <c r="B498" i="3"/>
  <c r="O499" i="3" l="1"/>
  <c r="AD498" i="3"/>
  <c r="AE498" i="3" s="1"/>
  <c r="AC500" i="3"/>
  <c r="AB500" i="3"/>
  <c r="A499" i="3"/>
  <c r="AF499" i="3" s="1"/>
  <c r="AG499" i="3" s="1"/>
  <c r="B499" i="3"/>
  <c r="O500" i="3" l="1"/>
  <c r="AD499" i="3"/>
  <c r="AE499" i="3" s="1"/>
  <c r="AC501" i="3"/>
  <c r="AB501" i="3"/>
  <c r="A500" i="3"/>
  <c r="AF500" i="3" s="1"/>
  <c r="AG500" i="3" s="1"/>
  <c r="B500" i="3"/>
  <c r="O501" i="3" l="1"/>
  <c r="AD500" i="3"/>
  <c r="AE500" i="3" s="1"/>
  <c r="AC502" i="3"/>
  <c r="AB502" i="3"/>
  <c r="B501" i="3"/>
  <c r="A501" i="3"/>
  <c r="AF501" i="3" s="1"/>
  <c r="AG501" i="3" s="1"/>
  <c r="O502" i="3" l="1"/>
  <c r="AD501" i="3"/>
  <c r="AE501" i="3" s="1"/>
  <c r="AC503" i="3"/>
  <c r="AB503" i="3"/>
  <c r="A502" i="3"/>
  <c r="AF502" i="3" s="1"/>
  <c r="AG502" i="3" s="1"/>
  <c r="B502" i="3"/>
  <c r="O503" i="3" l="1"/>
  <c r="AD502" i="3"/>
  <c r="AE502" i="3" s="1"/>
  <c r="AC504" i="3"/>
  <c r="AB504" i="3"/>
  <c r="B503" i="3"/>
  <c r="A503" i="3"/>
  <c r="AF503" i="3" s="1"/>
  <c r="AG503" i="3" s="1"/>
  <c r="O504" i="3" l="1"/>
  <c r="AD503" i="3"/>
  <c r="AE503" i="3" s="1"/>
  <c r="AC505" i="3"/>
  <c r="AB505" i="3"/>
  <c r="A504" i="3"/>
  <c r="AF504" i="3" s="1"/>
  <c r="AG504" i="3" s="1"/>
  <c r="B504" i="3"/>
  <c r="O505" i="3" l="1"/>
  <c r="AF505" i="3"/>
  <c r="AG505" i="3" s="1"/>
  <c r="AC506" i="3"/>
  <c r="AB506" i="3"/>
  <c r="B505" i="3"/>
  <c r="A505" i="3"/>
  <c r="O506" i="3" l="1"/>
  <c r="AD505" i="3"/>
  <c r="AE505" i="3" s="1"/>
  <c r="AC507" i="3"/>
  <c r="AB507" i="3"/>
  <c r="B506" i="3"/>
  <c r="A506" i="3"/>
  <c r="AF506" i="3" s="1"/>
  <c r="AG506" i="3" s="1"/>
  <c r="O507" i="3" l="1"/>
  <c r="AD506" i="3"/>
  <c r="AE506" i="3" s="1"/>
  <c r="AC508" i="3"/>
  <c r="AB508" i="3"/>
  <c r="B507" i="3"/>
  <c r="A507" i="3"/>
  <c r="AF507" i="3" s="1"/>
  <c r="AG507" i="3" s="1"/>
  <c r="O508" i="3" l="1"/>
  <c r="AD507" i="3"/>
  <c r="AE507" i="3" s="1"/>
  <c r="AC509" i="3"/>
  <c r="AB509" i="3"/>
  <c r="B508" i="3"/>
  <c r="A508" i="3"/>
  <c r="AF508" i="3" s="1"/>
  <c r="AG508" i="3" s="1"/>
  <c r="O509" i="3" l="1"/>
  <c r="AD508" i="3"/>
  <c r="AE508" i="3" s="1"/>
  <c r="AC510" i="3"/>
  <c r="AB510" i="3"/>
  <c r="B509" i="3"/>
  <c r="A509" i="3"/>
  <c r="AF509" i="3" s="1"/>
  <c r="AG509" i="3" s="1"/>
  <c r="O510" i="3" l="1"/>
  <c r="AD509" i="3"/>
  <c r="AE509" i="3" s="1"/>
  <c r="AC511" i="3"/>
  <c r="AB511" i="3"/>
  <c r="A510" i="3"/>
  <c r="AF510" i="3" s="1"/>
  <c r="AG510" i="3" s="1"/>
  <c r="B510" i="3"/>
  <c r="O511" i="3" l="1"/>
  <c r="AD510" i="3"/>
  <c r="AE510" i="3" s="1"/>
  <c r="AC512" i="3"/>
  <c r="AB512" i="3"/>
  <c r="A511" i="3"/>
  <c r="AF511" i="3" s="1"/>
  <c r="AG511" i="3" s="1"/>
  <c r="B511" i="3"/>
  <c r="O512" i="3" l="1"/>
  <c r="AD511" i="3"/>
  <c r="AE511" i="3" s="1"/>
  <c r="AC513" i="3"/>
  <c r="AB513" i="3"/>
  <c r="B512" i="3"/>
  <c r="A512" i="3"/>
  <c r="AF512" i="3" s="1"/>
  <c r="AG512" i="3" s="1"/>
  <c r="O513" i="3" l="1"/>
  <c r="AD512" i="3"/>
  <c r="AE512" i="3" s="1"/>
  <c r="AC514" i="3"/>
  <c r="AB514" i="3"/>
  <c r="B513" i="3"/>
  <c r="A513" i="3"/>
  <c r="AF513" i="3" s="1"/>
  <c r="AG513" i="3" s="1"/>
  <c r="O514" i="3" l="1"/>
  <c r="AD513" i="3"/>
  <c r="AE513" i="3" s="1"/>
  <c r="AC515" i="3"/>
  <c r="AB515" i="3"/>
  <c r="A514" i="3"/>
  <c r="AF514" i="3" s="1"/>
  <c r="AG514" i="3" s="1"/>
  <c r="B514" i="3"/>
  <c r="O515" i="3" l="1"/>
  <c r="AD514" i="3"/>
  <c r="AE514" i="3" s="1"/>
  <c r="AC516" i="3"/>
  <c r="AB516" i="3"/>
  <c r="A515" i="3"/>
  <c r="AF515" i="3" s="1"/>
  <c r="AG515" i="3" s="1"/>
  <c r="B515" i="3"/>
  <c r="O516" i="3" l="1"/>
  <c r="AD515" i="3"/>
  <c r="AE515" i="3" s="1"/>
  <c r="AC517" i="3"/>
  <c r="AB517" i="3"/>
  <c r="A516" i="3"/>
  <c r="AF516" i="3" s="1"/>
  <c r="AG516" i="3" s="1"/>
  <c r="B516" i="3"/>
  <c r="O517" i="3" l="1"/>
  <c r="AF517" i="3"/>
  <c r="AG517" i="3" s="1"/>
  <c r="AC518" i="3"/>
  <c r="AB518" i="3"/>
  <c r="B517" i="3"/>
  <c r="A517" i="3"/>
  <c r="O518" i="3" l="1"/>
  <c r="AD517" i="3"/>
  <c r="AE517" i="3" s="1"/>
  <c r="AC519" i="3"/>
  <c r="AB519" i="3"/>
  <c r="B518" i="3"/>
  <c r="A518" i="3"/>
  <c r="AF518" i="3" s="1"/>
  <c r="AG518" i="3" s="1"/>
  <c r="O519" i="3" l="1"/>
  <c r="AD518" i="3"/>
  <c r="AE518" i="3" s="1"/>
  <c r="AC520" i="3"/>
  <c r="AB520" i="3"/>
  <c r="B519" i="3"/>
  <c r="A519" i="3"/>
  <c r="AF519" i="3" s="1"/>
  <c r="AG519" i="3" s="1"/>
  <c r="O520" i="3" l="1"/>
  <c r="AD519" i="3"/>
  <c r="AE519" i="3" s="1"/>
  <c r="AC521" i="3"/>
  <c r="AB521" i="3"/>
  <c r="A520" i="3"/>
  <c r="AF520" i="3" s="1"/>
  <c r="AG520" i="3" s="1"/>
  <c r="B520" i="3"/>
  <c r="O521" i="3" l="1"/>
  <c r="AD520" i="3"/>
  <c r="AE520" i="3" s="1"/>
  <c r="AC522" i="3"/>
  <c r="AB522" i="3"/>
  <c r="B521" i="3"/>
  <c r="A521" i="3"/>
  <c r="AF521" i="3" s="1"/>
  <c r="AG521" i="3" s="1"/>
  <c r="O522" i="3" l="1"/>
  <c r="AD521" i="3"/>
  <c r="AE521" i="3" s="1"/>
  <c r="AC523" i="3"/>
  <c r="AB523" i="3"/>
  <c r="B522" i="3"/>
  <c r="A522" i="3"/>
  <c r="AF522" i="3" s="1"/>
  <c r="AG522" i="3" s="1"/>
  <c r="O523" i="3" l="1"/>
  <c r="AD522" i="3"/>
  <c r="AE522" i="3" s="1"/>
  <c r="AC524" i="3"/>
  <c r="AB524" i="3"/>
  <c r="B523" i="3"/>
  <c r="A523" i="3"/>
  <c r="AF523" i="3" s="1"/>
  <c r="AG523" i="3" s="1"/>
  <c r="O524" i="3" l="1"/>
  <c r="AD523" i="3"/>
  <c r="AE523" i="3" s="1"/>
  <c r="AC525" i="3"/>
  <c r="AB525" i="3"/>
  <c r="A524" i="3"/>
  <c r="AF524" i="3" s="1"/>
  <c r="AG524" i="3" s="1"/>
  <c r="B524" i="3"/>
  <c r="O525" i="3" l="1"/>
  <c r="AD524" i="3"/>
  <c r="AE524" i="3" s="1"/>
  <c r="AC526" i="3"/>
  <c r="AB526" i="3"/>
  <c r="A525" i="3"/>
  <c r="AF525" i="3" s="1"/>
  <c r="AG525" i="3" s="1"/>
  <c r="B525" i="3"/>
  <c r="O526" i="3" l="1"/>
  <c r="AD525" i="3"/>
  <c r="AE525" i="3" s="1"/>
  <c r="AC527" i="3"/>
  <c r="AB527" i="3"/>
  <c r="B526" i="3"/>
  <c r="A526" i="3"/>
  <c r="AF526" i="3" s="1"/>
  <c r="AG526" i="3" s="1"/>
  <c r="O527" i="3" l="1"/>
  <c r="AD526" i="3"/>
  <c r="AE526" i="3" s="1"/>
  <c r="AC528" i="3"/>
  <c r="AB528" i="3"/>
  <c r="A527" i="3"/>
  <c r="AF527" i="3" s="1"/>
  <c r="AG527" i="3" s="1"/>
  <c r="B527" i="3"/>
  <c r="O528" i="3" l="1"/>
  <c r="AD527" i="3"/>
  <c r="AE527" i="3" s="1"/>
  <c r="AC529" i="3"/>
  <c r="AB529" i="3"/>
  <c r="B528" i="3"/>
  <c r="A528" i="3"/>
  <c r="AF528" i="3" s="1"/>
  <c r="AG528" i="3" s="1"/>
  <c r="O529" i="3" l="1"/>
  <c r="AF529" i="3"/>
  <c r="AG529" i="3" s="1"/>
  <c r="AC530" i="3"/>
  <c r="AB530" i="3"/>
  <c r="B529" i="3"/>
  <c r="A529" i="3"/>
  <c r="O530" i="3" l="1"/>
  <c r="AD529" i="3"/>
  <c r="AE529" i="3" s="1"/>
  <c r="AC531" i="3"/>
  <c r="AB531" i="3"/>
  <c r="B530" i="3"/>
  <c r="A530" i="3"/>
  <c r="AF530" i="3" s="1"/>
  <c r="AG530" i="3" s="1"/>
  <c r="O531" i="3" l="1"/>
  <c r="AD530" i="3"/>
  <c r="AE530" i="3" s="1"/>
  <c r="AC532" i="3"/>
  <c r="AB532" i="3"/>
  <c r="B531" i="3"/>
  <c r="A531" i="3"/>
  <c r="AF531" i="3" s="1"/>
  <c r="AG531" i="3" s="1"/>
  <c r="O532" i="3" l="1"/>
  <c r="AD531" i="3"/>
  <c r="AE531" i="3" s="1"/>
  <c r="AC533" i="3"/>
  <c r="AB533" i="3"/>
  <c r="A532" i="3"/>
  <c r="AF532" i="3" s="1"/>
  <c r="AG532" i="3" s="1"/>
  <c r="B532" i="3"/>
  <c r="O533" i="3" l="1"/>
  <c r="AD532" i="3"/>
  <c r="AE532" i="3" s="1"/>
  <c r="AC534" i="3"/>
  <c r="AB534" i="3"/>
  <c r="B533" i="3"/>
  <c r="A533" i="3"/>
  <c r="AF533" i="3" s="1"/>
  <c r="AG533" i="3" s="1"/>
  <c r="O534" i="3" l="1"/>
  <c r="AD533" i="3"/>
  <c r="AE533" i="3" s="1"/>
  <c r="AC535" i="3"/>
  <c r="AB535" i="3"/>
  <c r="A534" i="3"/>
  <c r="AF534" i="3" s="1"/>
  <c r="AG534" i="3" s="1"/>
  <c r="B534" i="3"/>
  <c r="O535" i="3" l="1"/>
  <c r="AD534" i="3"/>
  <c r="AE534" i="3" s="1"/>
  <c r="AC536" i="3"/>
  <c r="AB536" i="3"/>
  <c r="A535" i="3"/>
  <c r="AF535" i="3" s="1"/>
  <c r="AG535" i="3" s="1"/>
  <c r="B535" i="3"/>
  <c r="O536" i="3" l="1"/>
  <c r="AD535" i="3"/>
  <c r="AE535" i="3" s="1"/>
  <c r="AC537" i="3"/>
  <c r="AB537" i="3"/>
  <c r="B536" i="3"/>
  <c r="A536" i="3"/>
  <c r="AF536" i="3" s="1"/>
  <c r="AG536" i="3" s="1"/>
  <c r="O537" i="3" l="1"/>
  <c r="AD536" i="3"/>
  <c r="AE536" i="3" s="1"/>
  <c r="AC538" i="3"/>
  <c r="AB538" i="3"/>
  <c r="B537" i="3"/>
  <c r="A537" i="3"/>
  <c r="AF537" i="3" s="1"/>
  <c r="AG537" i="3" s="1"/>
  <c r="O538" i="3" l="1"/>
  <c r="AD537" i="3"/>
  <c r="AE537" i="3" s="1"/>
  <c r="AC539" i="3"/>
  <c r="AB539" i="3"/>
  <c r="A538" i="3"/>
  <c r="AF538" i="3" s="1"/>
  <c r="AG538" i="3" s="1"/>
  <c r="B538" i="3"/>
  <c r="O539" i="3" l="1"/>
  <c r="AD538" i="3"/>
  <c r="AE538" i="3" s="1"/>
  <c r="AC540" i="3"/>
  <c r="AB540" i="3"/>
  <c r="A539" i="3"/>
  <c r="AF539" i="3" s="1"/>
  <c r="AG539" i="3" s="1"/>
  <c r="B539" i="3"/>
  <c r="O540" i="3" l="1"/>
  <c r="AD539" i="3"/>
  <c r="AE539" i="3" s="1"/>
  <c r="AC541" i="3"/>
  <c r="AB541" i="3"/>
  <c r="B540" i="3"/>
  <c r="A540" i="3"/>
  <c r="AF540" i="3" s="1"/>
  <c r="AG540" i="3" s="1"/>
  <c r="O541" i="3" l="1"/>
  <c r="AF541" i="3"/>
  <c r="AG541" i="3" s="1"/>
  <c r="AC542" i="3"/>
  <c r="AB542" i="3"/>
  <c r="A541" i="3"/>
  <c r="B541" i="3"/>
  <c r="O542" i="3" l="1"/>
  <c r="AD541" i="3"/>
  <c r="AE541" i="3" s="1"/>
  <c r="AC543" i="3"/>
  <c r="AB543" i="3"/>
  <c r="A542" i="3"/>
  <c r="AF542" i="3" s="1"/>
  <c r="AG542" i="3" s="1"/>
  <c r="B542" i="3"/>
  <c r="O543" i="3" l="1"/>
  <c r="AD542" i="3"/>
  <c r="AE542" i="3" s="1"/>
  <c r="AC544" i="3"/>
  <c r="AB544" i="3"/>
  <c r="A543" i="3"/>
  <c r="AF543" i="3" s="1"/>
  <c r="AG543" i="3" s="1"/>
  <c r="B543" i="3"/>
  <c r="O544" i="3" l="1"/>
  <c r="AD543" i="3"/>
  <c r="AE543" i="3" s="1"/>
  <c r="AC545" i="3"/>
  <c r="AB545" i="3"/>
  <c r="B544" i="3"/>
  <c r="A544" i="3"/>
  <c r="AF544" i="3" s="1"/>
  <c r="AG544" i="3" s="1"/>
  <c r="O545" i="3" l="1"/>
  <c r="AD544" i="3"/>
  <c r="AE544" i="3" s="1"/>
  <c r="AB546" i="3"/>
  <c r="AC546" i="3"/>
  <c r="B545" i="3"/>
  <c r="A545" i="3"/>
  <c r="AF545" i="3" s="1"/>
  <c r="AG545" i="3" s="1"/>
  <c r="O546" i="3" l="1"/>
  <c r="AD545" i="3"/>
  <c r="AE545" i="3" s="1"/>
  <c r="AC547" i="3"/>
  <c r="AB547" i="3"/>
  <c r="B546" i="3"/>
  <c r="A546" i="3"/>
  <c r="AF546" i="3" s="1"/>
  <c r="AG546" i="3" s="1"/>
  <c r="O547" i="3" l="1"/>
  <c r="AD546" i="3"/>
  <c r="AE546" i="3" s="1"/>
  <c r="AC548" i="3"/>
  <c r="AB548" i="3"/>
  <c r="B547" i="3"/>
  <c r="A547" i="3"/>
  <c r="AF547" i="3" s="1"/>
  <c r="AG547" i="3" s="1"/>
  <c r="O548" i="3" l="1"/>
  <c r="AD547" i="3"/>
  <c r="AE547" i="3" s="1"/>
  <c r="AC549" i="3"/>
  <c r="AB549" i="3"/>
  <c r="A548" i="3"/>
  <c r="AF548" i="3" s="1"/>
  <c r="AG548" i="3" s="1"/>
  <c r="B548" i="3"/>
  <c r="O549" i="3" l="1"/>
  <c r="AD548" i="3"/>
  <c r="AE548" i="3" s="1"/>
  <c r="AC550" i="3"/>
  <c r="AB550" i="3"/>
  <c r="B549" i="3"/>
  <c r="A549" i="3"/>
  <c r="AF549" i="3" s="1"/>
  <c r="AG549" i="3" s="1"/>
  <c r="O550" i="3" l="1"/>
  <c r="AD549" i="3"/>
  <c r="AE549" i="3" s="1"/>
  <c r="AC551" i="3"/>
  <c r="AB551" i="3"/>
  <c r="A550" i="3"/>
  <c r="AF550" i="3" s="1"/>
  <c r="AG550" i="3" s="1"/>
  <c r="B550" i="3"/>
  <c r="O551" i="3" l="1"/>
  <c r="AD550" i="3"/>
  <c r="AE550" i="3" s="1"/>
  <c r="AC552" i="3"/>
  <c r="AB552" i="3"/>
  <c r="A551" i="3"/>
  <c r="AF551" i="3" s="1"/>
  <c r="AG551" i="3" s="1"/>
  <c r="B551" i="3"/>
  <c r="O552" i="3" l="1"/>
  <c r="AD551" i="3"/>
  <c r="AE551" i="3" s="1"/>
  <c r="AC553" i="3"/>
  <c r="AB553" i="3"/>
  <c r="B552" i="3"/>
  <c r="A552" i="3"/>
  <c r="AF552" i="3" s="1"/>
  <c r="AG552" i="3" s="1"/>
  <c r="O553" i="3" l="1"/>
  <c r="AF553" i="3"/>
  <c r="AG553" i="3" s="1"/>
  <c r="AC554" i="3"/>
  <c r="AB554" i="3"/>
  <c r="A553" i="3"/>
  <c r="B553" i="3"/>
  <c r="O554" i="3" l="1"/>
  <c r="AD553" i="3"/>
  <c r="AE553" i="3" s="1"/>
  <c r="AC555" i="3"/>
  <c r="AB555" i="3"/>
  <c r="A554" i="3"/>
  <c r="AF554" i="3" s="1"/>
  <c r="AG554" i="3" s="1"/>
  <c r="B554" i="3"/>
  <c r="O555" i="3" l="1"/>
  <c r="AF555" i="3"/>
  <c r="AG555" i="3" s="1"/>
  <c r="AC556" i="3"/>
  <c r="AB556" i="3"/>
  <c r="B555" i="3"/>
  <c r="A555" i="3"/>
  <c r="O556" i="3" l="1"/>
  <c r="AD555" i="3"/>
  <c r="AE555" i="3" s="1"/>
  <c r="AC557" i="3"/>
  <c r="AB557" i="3"/>
  <c r="A556" i="3"/>
  <c r="AF556" i="3" s="1"/>
  <c r="AG556" i="3" s="1"/>
  <c r="B556" i="3"/>
  <c r="O557" i="3" l="1"/>
  <c r="AD556" i="3"/>
  <c r="AE556" i="3" s="1"/>
  <c r="AC558" i="3"/>
  <c r="AB558" i="3"/>
  <c r="B557" i="3"/>
  <c r="A557" i="3"/>
  <c r="AF557" i="3" s="1"/>
  <c r="AG557" i="3" s="1"/>
  <c r="O558" i="3" l="1"/>
  <c r="AD557" i="3"/>
  <c r="AE557" i="3" s="1"/>
  <c r="AC559" i="3"/>
  <c r="AB559" i="3"/>
  <c r="B558" i="3"/>
  <c r="A558" i="3"/>
  <c r="AF558" i="3" s="1"/>
  <c r="AG558" i="3" s="1"/>
  <c r="O559" i="3" l="1"/>
  <c r="AD558" i="3"/>
  <c r="AE558" i="3" s="1"/>
  <c r="AC560" i="3"/>
  <c r="AB560" i="3"/>
  <c r="B559" i="3"/>
  <c r="A559" i="3"/>
  <c r="AF559" i="3" s="1"/>
  <c r="AG559" i="3" s="1"/>
  <c r="O560" i="3" l="1"/>
  <c r="AD559" i="3"/>
  <c r="AE559" i="3" s="1"/>
  <c r="AC561" i="3"/>
  <c r="AB561" i="3"/>
  <c r="A560" i="3"/>
  <c r="AF560" i="3" s="1"/>
  <c r="AG560" i="3" s="1"/>
  <c r="B560" i="3"/>
  <c r="O561" i="3" l="1"/>
  <c r="AD560" i="3"/>
  <c r="AE560" i="3" s="1"/>
  <c r="AC562" i="3"/>
  <c r="AB562" i="3"/>
  <c r="B561" i="3"/>
  <c r="A561" i="3"/>
  <c r="AF561" i="3" s="1"/>
  <c r="AG561" i="3" s="1"/>
  <c r="O562" i="3" l="1"/>
  <c r="AD561" i="3"/>
  <c r="AE561" i="3" s="1"/>
  <c r="AC563" i="3"/>
  <c r="AB563" i="3"/>
  <c r="A562" i="3"/>
  <c r="AF562" i="3" s="1"/>
  <c r="AG562" i="3" s="1"/>
  <c r="B562" i="3"/>
  <c r="O563" i="3" l="1"/>
  <c r="AD562" i="3"/>
  <c r="AE562" i="3" s="1"/>
  <c r="AC564" i="3"/>
  <c r="AB564" i="3"/>
  <c r="A563" i="3"/>
  <c r="AF563" i="3" s="1"/>
  <c r="AG563" i="3" s="1"/>
  <c r="B563" i="3"/>
  <c r="O564" i="3" l="1"/>
  <c r="AD563" i="3"/>
  <c r="AE563" i="3" s="1"/>
  <c r="AC565" i="3"/>
  <c r="AB565" i="3"/>
  <c r="B564" i="3"/>
  <c r="A564" i="3"/>
  <c r="AF564" i="3" s="1"/>
  <c r="AG564" i="3" s="1"/>
  <c r="O565" i="3" l="1"/>
  <c r="AF565" i="3"/>
  <c r="AG565" i="3" s="1"/>
  <c r="AC566" i="3"/>
  <c r="AB566" i="3"/>
  <c r="A565" i="3"/>
  <c r="B565" i="3"/>
  <c r="O566" i="3" l="1"/>
  <c r="AD565" i="3"/>
  <c r="AE565" i="3" s="1"/>
  <c r="AC567" i="3"/>
  <c r="AB567" i="3"/>
  <c r="B566" i="3"/>
  <c r="A566" i="3"/>
  <c r="AF566" i="3" s="1"/>
  <c r="AG566" i="3" s="1"/>
  <c r="O567" i="3" l="1"/>
  <c r="AC568" i="3"/>
  <c r="AB568" i="3"/>
  <c r="A567" i="3"/>
  <c r="AF567" i="3" s="1"/>
  <c r="AG567" i="3" s="1"/>
  <c r="B567" i="3"/>
  <c r="O568" i="3" l="1"/>
  <c r="AD567" i="3"/>
  <c r="AE567" i="3" s="1"/>
  <c r="AC569" i="3"/>
  <c r="AB569" i="3"/>
  <c r="B568" i="3"/>
  <c r="A568" i="3"/>
  <c r="AF568" i="3" s="1"/>
  <c r="AG568" i="3" s="1"/>
  <c r="O569" i="3" l="1"/>
  <c r="AD568" i="3"/>
  <c r="AE568" i="3" s="1"/>
  <c r="AF569" i="3"/>
  <c r="AG569" i="3" s="1"/>
  <c r="AC570" i="3"/>
  <c r="AB570" i="3"/>
  <c r="B569" i="3"/>
  <c r="A569" i="3"/>
  <c r="O570" i="3" l="1"/>
  <c r="AD569" i="3"/>
  <c r="AE569" i="3" s="1"/>
  <c r="AC571" i="3"/>
  <c r="AB571" i="3"/>
  <c r="B570" i="3"/>
  <c r="A570" i="3"/>
  <c r="AF570" i="3" s="1"/>
  <c r="AG570" i="3" s="1"/>
  <c r="O571" i="3" l="1"/>
  <c r="AD570" i="3"/>
  <c r="AE570" i="3" s="1"/>
  <c r="AC572" i="3"/>
  <c r="AB572" i="3"/>
  <c r="B571" i="3"/>
  <c r="A571" i="3"/>
  <c r="AF571" i="3" s="1"/>
  <c r="AG571" i="3" s="1"/>
  <c r="O572" i="3" l="1"/>
  <c r="AD571" i="3"/>
  <c r="AE571" i="3" s="1"/>
  <c r="AC573" i="3"/>
  <c r="AB573" i="3"/>
  <c r="B572" i="3"/>
  <c r="A572" i="3"/>
  <c r="AF572" i="3" s="1"/>
  <c r="AG572" i="3" s="1"/>
  <c r="O573" i="3" l="1"/>
  <c r="AD572" i="3"/>
  <c r="AE572" i="3" s="1"/>
  <c r="AC574" i="3"/>
  <c r="AB574" i="3"/>
  <c r="A573" i="3"/>
  <c r="AF573" i="3" s="1"/>
  <c r="AG573" i="3" s="1"/>
  <c r="B573" i="3"/>
  <c r="O574" i="3" l="1"/>
  <c r="AD573" i="3"/>
  <c r="AE573" i="3" s="1"/>
  <c r="AC575" i="3"/>
  <c r="AB575" i="3"/>
  <c r="B574" i="3"/>
  <c r="A574" i="3"/>
  <c r="AF574" i="3" s="1"/>
  <c r="AG574" i="3" s="1"/>
  <c r="O575" i="3" l="1"/>
  <c r="AD574" i="3"/>
  <c r="AE574" i="3" s="1"/>
  <c r="AC576" i="3"/>
  <c r="AB576" i="3"/>
  <c r="A575" i="3"/>
  <c r="AF575" i="3" s="1"/>
  <c r="AG575" i="3" s="1"/>
  <c r="B575" i="3"/>
  <c r="O576" i="3" l="1"/>
  <c r="AD575" i="3"/>
  <c r="AE575" i="3" s="1"/>
  <c r="AC577" i="3"/>
  <c r="AB577" i="3"/>
  <c r="AG5" i="3" s="1"/>
  <c r="B576" i="3"/>
  <c r="A576" i="3"/>
  <c r="AF576" i="3" s="1"/>
  <c r="AG576" i="3" s="1"/>
  <c r="AG6" i="3" l="1"/>
  <c r="AG9" i="3"/>
  <c r="O577" i="3"/>
  <c r="AH5" i="3"/>
  <c r="AF577" i="3"/>
  <c r="AG577" i="3" s="1"/>
  <c r="B577" i="3"/>
  <c r="A577" i="3"/>
  <c r="O578" i="3" l="1"/>
  <c r="AH6" i="3"/>
  <c r="AH7" i="3"/>
  <c r="AH8" i="3"/>
  <c r="AH9" i="3"/>
  <c r="AD577" i="3"/>
  <c r="AE577" i="3" s="1"/>
  <c r="A578" i="3"/>
  <c r="B578" i="3"/>
  <c r="G2" i="1" l="1"/>
  <c r="I2" i="1" l="1"/>
  <c r="B8" i="1"/>
  <c r="D4" i="3"/>
  <c r="I14" i="7" l="1"/>
  <c r="G7" i="14" s="1"/>
  <c r="B10" i="1"/>
  <c r="J3" i="3"/>
  <c r="K3" i="3"/>
  <c r="H3" i="3"/>
  <c r="T3" i="3"/>
  <c r="W3" i="3" s="1"/>
  <c r="C5" i="3"/>
  <c r="D5" i="3"/>
  <c r="H4" i="3"/>
  <c r="K4" i="3"/>
  <c r="J4" i="3"/>
  <c r="B18" i="1"/>
  <c r="I27" i="1" l="1"/>
  <c r="I22" i="1"/>
  <c r="A96" i="12"/>
  <c r="F21" i="8"/>
  <c r="I15" i="7"/>
  <c r="B7" i="8" s="1"/>
  <c r="J14" i="7"/>
  <c r="J19" i="1"/>
  <c r="G3" i="3"/>
  <c r="B19" i="1"/>
  <c r="C19" i="1"/>
  <c r="I18" i="1"/>
  <c r="C18" i="1"/>
  <c r="I19" i="1"/>
  <c r="I20" i="1"/>
  <c r="I41" i="3"/>
  <c r="I105" i="3"/>
  <c r="I169" i="3"/>
  <c r="I233" i="3"/>
  <c r="I297" i="3"/>
  <c r="I22" i="3"/>
  <c r="I86" i="3"/>
  <c r="I150" i="3"/>
  <c r="I214" i="3"/>
  <c r="I64" i="3"/>
  <c r="I128" i="3"/>
  <c r="I192" i="3"/>
  <c r="H20" i="1"/>
  <c r="K39" i="7" s="1"/>
  <c r="I243" i="3"/>
  <c r="I326" i="3"/>
  <c r="I390" i="3"/>
  <c r="I454" i="3"/>
  <c r="I518" i="3"/>
  <c r="I135" i="3"/>
  <c r="I29" i="3"/>
  <c r="I93" i="3"/>
  <c r="I157" i="3"/>
  <c r="I221" i="3"/>
  <c r="I285" i="3"/>
  <c r="I10" i="3"/>
  <c r="I74" i="3"/>
  <c r="I138" i="3"/>
  <c r="I202" i="3"/>
  <c r="I52" i="3"/>
  <c r="I116" i="3"/>
  <c r="I180" i="3"/>
  <c r="I244" i="3"/>
  <c r="I195" i="3"/>
  <c r="I314" i="3"/>
  <c r="I378" i="3"/>
  <c r="I442" i="3"/>
  <c r="I506" i="3"/>
  <c r="I570" i="3"/>
  <c r="I87" i="3"/>
  <c r="I17" i="3"/>
  <c r="I81" i="3"/>
  <c r="I145" i="3"/>
  <c r="I209" i="3"/>
  <c r="I273" i="3"/>
  <c r="I62" i="3"/>
  <c r="I126" i="3"/>
  <c r="I190" i="3"/>
  <c r="I40" i="3"/>
  <c r="I104" i="3"/>
  <c r="I168" i="3"/>
  <c r="I232" i="3"/>
  <c r="I147" i="3"/>
  <c r="I300" i="3"/>
  <c r="I366" i="3"/>
  <c r="I430" i="3"/>
  <c r="I494" i="3"/>
  <c r="I558" i="3"/>
  <c r="I39" i="3"/>
  <c r="I133" i="3"/>
  <c r="I50" i="3"/>
  <c r="I28" i="3"/>
  <c r="I99" i="3"/>
  <c r="I482" i="3"/>
  <c r="I247" i="3"/>
  <c r="I327" i="3"/>
  <c r="I391" i="3"/>
  <c r="I455" i="3"/>
  <c r="I519" i="3"/>
  <c r="I175" i="3"/>
  <c r="I309" i="3"/>
  <c r="I373" i="3"/>
  <c r="I437" i="3"/>
  <c r="I501" i="3"/>
  <c r="I308" i="3"/>
  <c r="I544" i="3"/>
  <c r="I271" i="3"/>
  <c r="I535" i="3"/>
  <c r="I219" i="3"/>
  <c r="I512" i="3"/>
  <c r="I85" i="3"/>
  <c r="H19" i="1"/>
  <c r="K38" i="7" s="1"/>
  <c r="I236" i="3"/>
  <c r="I434" i="3"/>
  <c r="I199" i="3"/>
  <c r="I315" i="3"/>
  <c r="I379" i="3"/>
  <c r="I443" i="3"/>
  <c r="I507" i="3"/>
  <c r="I127" i="3"/>
  <c r="I294" i="3"/>
  <c r="I361" i="3"/>
  <c r="I425" i="3"/>
  <c r="I489" i="3"/>
  <c r="I235" i="3"/>
  <c r="I516" i="3"/>
  <c r="I123" i="3"/>
  <c r="I488" i="3"/>
  <c r="I27" i="3"/>
  <c r="I464" i="3"/>
  <c r="I229" i="3"/>
  <c r="I146" i="3"/>
  <c r="I124" i="3"/>
  <c r="I322" i="3"/>
  <c r="I578" i="3"/>
  <c r="I280" i="3"/>
  <c r="I351" i="3"/>
  <c r="I415" i="3"/>
  <c r="I479" i="3"/>
  <c r="I15" i="3"/>
  <c r="I256" i="3"/>
  <c r="I333" i="3"/>
  <c r="I397" i="3"/>
  <c r="I461" i="3"/>
  <c r="I525" i="3"/>
  <c r="I404" i="3"/>
  <c r="I576" i="3"/>
  <c r="I376" i="3"/>
  <c r="I567" i="3"/>
  <c r="I352" i="3"/>
  <c r="I559" i="3"/>
  <c r="I12" i="3"/>
  <c r="I323" i="3"/>
  <c r="I159" i="3"/>
  <c r="I497" i="3"/>
  <c r="I520" i="3"/>
  <c r="I255" i="3"/>
  <c r="I380" i="3"/>
  <c r="I76" i="3"/>
  <c r="I339" i="3"/>
  <c r="I223" i="3"/>
  <c r="I513" i="3"/>
  <c r="I551" i="3"/>
  <c r="I332" i="3"/>
  <c r="I139" i="3"/>
  <c r="I568" i="3"/>
  <c r="I226" i="3"/>
  <c r="I307" i="3"/>
  <c r="I95" i="3"/>
  <c r="I481" i="3"/>
  <c r="I456" i="3"/>
  <c r="I11" i="3"/>
  <c r="I162" i="3"/>
  <c r="I392" i="3"/>
  <c r="I262" i="3"/>
  <c r="I298" i="3"/>
  <c r="C20" i="1"/>
  <c r="I337" i="3"/>
  <c r="I541" i="3"/>
  <c r="I203" i="3"/>
  <c r="I564" i="3"/>
  <c r="C32" i="1"/>
  <c r="I32" i="1" s="1"/>
  <c r="C39" i="1"/>
  <c r="H39" i="1" s="1"/>
  <c r="C44" i="1"/>
  <c r="I44" i="1" s="1"/>
  <c r="C54" i="1"/>
  <c r="C58" i="1"/>
  <c r="I263" i="3"/>
  <c r="I403" i="3"/>
  <c r="I321" i="3"/>
  <c r="I356" i="3"/>
  <c r="I303" i="3"/>
  <c r="I552" i="3"/>
  <c r="I492" i="3"/>
  <c r="I529" i="3"/>
  <c r="I57" i="3"/>
  <c r="I121" i="3"/>
  <c r="I185" i="3"/>
  <c r="I249" i="3"/>
  <c r="I38" i="3"/>
  <c r="I102" i="3"/>
  <c r="I166" i="3"/>
  <c r="I230" i="3"/>
  <c r="I16" i="3"/>
  <c r="I80" i="3"/>
  <c r="I144" i="3"/>
  <c r="I208" i="3"/>
  <c r="I51" i="3"/>
  <c r="I268" i="3"/>
  <c r="I342" i="3"/>
  <c r="I406" i="3"/>
  <c r="I470" i="3"/>
  <c r="I534" i="3"/>
  <c r="I45" i="3"/>
  <c r="I109" i="3"/>
  <c r="I173" i="3"/>
  <c r="I237" i="3"/>
  <c r="I301" i="3"/>
  <c r="I26" i="3"/>
  <c r="I90" i="3"/>
  <c r="I154" i="3"/>
  <c r="I218" i="3"/>
  <c r="I68" i="3"/>
  <c r="I132" i="3"/>
  <c r="I196" i="3"/>
  <c r="H21" i="1"/>
  <c r="K40" i="7" s="1"/>
  <c r="I252" i="3"/>
  <c r="I330" i="3"/>
  <c r="I394" i="3"/>
  <c r="I458" i="3"/>
  <c r="I522" i="3"/>
  <c r="I151" i="3"/>
  <c r="I33" i="3"/>
  <c r="I97" i="3"/>
  <c r="I161" i="3"/>
  <c r="I225" i="3"/>
  <c r="I289" i="3"/>
  <c r="I14" i="3"/>
  <c r="I78" i="3"/>
  <c r="I142" i="3"/>
  <c r="I206" i="3"/>
  <c r="I56" i="3"/>
  <c r="I120" i="3"/>
  <c r="I184" i="3"/>
  <c r="I248" i="3"/>
  <c r="I211" i="3"/>
  <c r="I318" i="3"/>
  <c r="I382" i="3"/>
  <c r="I446" i="3"/>
  <c r="I510" i="3"/>
  <c r="I574" i="3"/>
  <c r="I103" i="3"/>
  <c r="I197" i="3"/>
  <c r="I114" i="3"/>
  <c r="I92" i="3"/>
  <c r="I284" i="3"/>
  <c r="I546" i="3"/>
  <c r="I270" i="3"/>
  <c r="I343" i="3"/>
  <c r="I407" i="3"/>
  <c r="I471" i="3"/>
  <c r="I239" i="3"/>
  <c r="I325" i="3"/>
  <c r="I389" i="3"/>
  <c r="I453" i="3"/>
  <c r="I517" i="3"/>
  <c r="I372" i="3"/>
  <c r="I565" i="3"/>
  <c r="I344" i="3"/>
  <c r="I556" i="3"/>
  <c r="I320" i="3"/>
  <c r="I548" i="3"/>
  <c r="I149" i="3"/>
  <c r="I66" i="3"/>
  <c r="I44" i="3"/>
  <c r="I163" i="3"/>
  <c r="I498" i="3"/>
  <c r="I254" i="3"/>
  <c r="I331" i="3"/>
  <c r="I395" i="3"/>
  <c r="I459" i="3"/>
  <c r="I523" i="3"/>
  <c r="I191" i="3"/>
  <c r="I313" i="3"/>
  <c r="I377" i="3"/>
  <c r="I441" i="3"/>
  <c r="I505" i="3"/>
  <c r="I324" i="3"/>
  <c r="I549" i="3"/>
  <c r="I292" i="3"/>
  <c r="I540" i="3"/>
  <c r="I260" i="3"/>
  <c r="I528" i="3"/>
  <c r="I37" i="3"/>
  <c r="I293" i="3"/>
  <c r="I210" i="3"/>
  <c r="I188" i="3"/>
  <c r="I386" i="3"/>
  <c r="I119" i="3"/>
  <c r="I302" i="3"/>
  <c r="I367" i="3"/>
  <c r="I431" i="3"/>
  <c r="I495" i="3"/>
  <c r="I79" i="3"/>
  <c r="I278" i="3"/>
  <c r="I349" i="3"/>
  <c r="I413" i="3"/>
  <c r="I477" i="3"/>
  <c r="I43" i="3"/>
  <c r="I468" i="3"/>
  <c r="I440" i="3"/>
  <c r="I416" i="3"/>
  <c r="I35" i="3"/>
  <c r="I387" i="3"/>
  <c r="I304" i="3"/>
  <c r="I287" i="3"/>
  <c r="I155" i="3"/>
  <c r="I524" i="3"/>
  <c r="I428" i="3"/>
  <c r="I460" i="3"/>
  <c r="I364" i="3"/>
  <c r="I9" i="3"/>
  <c r="I73" i="3"/>
  <c r="I137" i="3"/>
  <c r="I201" i="3"/>
  <c r="I265" i="3"/>
  <c r="I54" i="3"/>
  <c r="I118" i="3"/>
  <c r="I182" i="3"/>
  <c r="I246" i="3"/>
  <c r="I32" i="3"/>
  <c r="I96" i="3"/>
  <c r="I160" i="3"/>
  <c r="I224" i="3"/>
  <c r="I115" i="3"/>
  <c r="I290" i="3"/>
  <c r="I358" i="3"/>
  <c r="I422" i="3"/>
  <c r="I486" i="3"/>
  <c r="I550" i="3"/>
  <c r="I8" i="3"/>
  <c r="I61" i="3"/>
  <c r="I125" i="3"/>
  <c r="I189" i="3"/>
  <c r="I253" i="3"/>
  <c r="I42" i="3"/>
  <c r="I106" i="3"/>
  <c r="I170" i="3"/>
  <c r="I234" i="3"/>
  <c r="I20" i="3"/>
  <c r="I84" i="3"/>
  <c r="I148" i="3"/>
  <c r="I212" i="3"/>
  <c r="I67" i="3"/>
  <c r="I274" i="3"/>
  <c r="I346" i="3"/>
  <c r="I410" i="3"/>
  <c r="I474" i="3"/>
  <c r="I538" i="3"/>
  <c r="I6" i="3"/>
  <c r="I49" i="3"/>
  <c r="I113" i="3"/>
  <c r="I177" i="3"/>
  <c r="I241" i="3"/>
  <c r="I305" i="3"/>
  <c r="I30" i="3"/>
  <c r="I94" i="3"/>
  <c r="I158" i="3"/>
  <c r="I222" i="3"/>
  <c r="I72" i="3"/>
  <c r="I136" i="3"/>
  <c r="I200" i="3"/>
  <c r="I19" i="3"/>
  <c r="I258" i="3"/>
  <c r="I334" i="3"/>
  <c r="I398" i="3"/>
  <c r="I462" i="3"/>
  <c r="I526" i="3"/>
  <c r="I261" i="3"/>
  <c r="I178" i="3"/>
  <c r="I156" i="3"/>
  <c r="I354" i="3"/>
  <c r="I291" i="3"/>
  <c r="I359" i="3"/>
  <c r="I423" i="3"/>
  <c r="I487" i="3"/>
  <c r="I47" i="3"/>
  <c r="I267" i="3"/>
  <c r="I341" i="3"/>
  <c r="I405" i="3"/>
  <c r="I469" i="3"/>
  <c r="I533" i="3"/>
  <c r="I436" i="3"/>
  <c r="I408" i="3"/>
  <c r="I577" i="3"/>
  <c r="I384" i="3"/>
  <c r="I569" i="3"/>
  <c r="I213" i="3"/>
  <c r="I130" i="3"/>
  <c r="I108" i="3"/>
  <c r="I306" i="3"/>
  <c r="I562" i="3"/>
  <c r="I275" i="3"/>
  <c r="I347" i="3"/>
  <c r="I411" i="3"/>
  <c r="I475" i="3"/>
  <c r="I251" i="3"/>
  <c r="I329" i="3"/>
  <c r="I393" i="3"/>
  <c r="I457" i="3"/>
  <c r="I521" i="3"/>
  <c r="I388" i="3"/>
  <c r="I571" i="3"/>
  <c r="I360" i="3"/>
  <c r="I561" i="3"/>
  <c r="I336" i="3"/>
  <c r="I553" i="3"/>
  <c r="I101" i="3"/>
  <c r="I18" i="3"/>
  <c r="I4" i="3"/>
  <c r="R4" i="3" s="1"/>
  <c r="I450" i="3"/>
  <c r="I215" i="3"/>
  <c r="I319" i="3"/>
  <c r="I383" i="3"/>
  <c r="I447" i="3"/>
  <c r="I511" i="3"/>
  <c r="I143" i="3"/>
  <c r="I299" i="3"/>
  <c r="I365" i="3"/>
  <c r="I429" i="3"/>
  <c r="I493" i="3"/>
  <c r="I266" i="3"/>
  <c r="I532" i="3"/>
  <c r="I187" i="3"/>
  <c r="I504" i="3"/>
  <c r="I91" i="3"/>
  <c r="I480" i="3"/>
  <c r="I117" i="3"/>
  <c r="I466" i="3"/>
  <c r="I451" i="3"/>
  <c r="I369" i="3"/>
  <c r="I539" i="3"/>
  <c r="I496" i="3"/>
  <c r="I75" i="3"/>
  <c r="I181" i="3"/>
  <c r="I530" i="3"/>
  <c r="I467" i="3"/>
  <c r="I385" i="3"/>
  <c r="I560" i="3"/>
  <c r="I543" i="3"/>
  <c r="I276" i="3"/>
  <c r="I53" i="3"/>
  <c r="I402" i="3"/>
  <c r="I435" i="3"/>
  <c r="I353" i="3"/>
  <c r="I484" i="3"/>
  <c r="I432" i="3"/>
  <c r="I563" i="3"/>
  <c r="I31" i="3"/>
  <c r="I557" i="3"/>
  <c r="I140" i="3"/>
  <c r="I572" i="3"/>
  <c r="I338" i="3"/>
  <c r="I368" i="3"/>
  <c r="I348" i="3"/>
  <c r="C26" i="1"/>
  <c r="I26" i="1" s="1"/>
  <c r="I245" i="3"/>
  <c r="C30" i="1"/>
  <c r="H30" i="1" s="1"/>
  <c r="K49" i="7" s="1"/>
  <c r="C34" i="1"/>
  <c r="I34" i="1" s="1"/>
  <c r="C35" i="1"/>
  <c r="I35" i="1" s="1"/>
  <c r="C48" i="1"/>
  <c r="I48" i="1" s="1"/>
  <c r="C53" i="1"/>
  <c r="C57" i="1"/>
  <c r="C52" i="1"/>
  <c r="I25" i="3"/>
  <c r="I89" i="3"/>
  <c r="I153" i="3"/>
  <c r="I217" i="3"/>
  <c r="I281" i="3"/>
  <c r="I70" i="3"/>
  <c r="I134" i="3"/>
  <c r="I198" i="3"/>
  <c r="I7" i="3"/>
  <c r="I48" i="3"/>
  <c r="I112" i="3"/>
  <c r="I176" i="3"/>
  <c r="I240" i="3"/>
  <c r="I179" i="3"/>
  <c r="I310" i="3"/>
  <c r="I374" i="3"/>
  <c r="I438" i="3"/>
  <c r="I502" i="3"/>
  <c r="I566" i="3"/>
  <c r="I71" i="3"/>
  <c r="I13" i="3"/>
  <c r="I77" i="3"/>
  <c r="I141" i="3"/>
  <c r="I205" i="3"/>
  <c r="I269" i="3"/>
  <c r="I58" i="3"/>
  <c r="I122" i="3"/>
  <c r="I186" i="3"/>
  <c r="I5" i="3"/>
  <c r="I36" i="3"/>
  <c r="I100" i="3"/>
  <c r="I164" i="3"/>
  <c r="I228" i="3"/>
  <c r="I131" i="3"/>
  <c r="I295" i="3"/>
  <c r="I362" i="3"/>
  <c r="I426" i="3"/>
  <c r="I490" i="3"/>
  <c r="I554" i="3"/>
  <c r="I23" i="3"/>
  <c r="I65" i="3"/>
  <c r="I129" i="3"/>
  <c r="I193" i="3"/>
  <c r="I257" i="3"/>
  <c r="I46" i="3"/>
  <c r="I110" i="3"/>
  <c r="I174" i="3"/>
  <c r="I238" i="3"/>
  <c r="I24" i="3"/>
  <c r="I88" i="3"/>
  <c r="I152" i="3"/>
  <c r="I216" i="3"/>
  <c r="I83" i="3"/>
  <c r="I279" i="3"/>
  <c r="I350" i="3"/>
  <c r="I414" i="3"/>
  <c r="I478" i="3"/>
  <c r="I542" i="3"/>
  <c r="I69" i="3"/>
  <c r="H18" i="1"/>
  <c r="K37" i="7" s="1"/>
  <c r="I242" i="3"/>
  <c r="I220" i="3"/>
  <c r="I418" i="3"/>
  <c r="I183" i="3"/>
  <c r="I311" i="3"/>
  <c r="I375" i="3"/>
  <c r="I439" i="3"/>
  <c r="I503" i="3"/>
  <c r="I111" i="3"/>
  <c r="I288" i="3"/>
  <c r="I357" i="3"/>
  <c r="I421" i="3"/>
  <c r="I485" i="3"/>
  <c r="I171" i="3"/>
  <c r="I500" i="3"/>
  <c r="I59" i="3"/>
  <c r="I472" i="3"/>
  <c r="I448" i="3"/>
  <c r="I21" i="3"/>
  <c r="I277" i="3"/>
  <c r="I194" i="3"/>
  <c r="I172" i="3"/>
  <c r="I370" i="3"/>
  <c r="I55" i="3"/>
  <c r="I296" i="3"/>
  <c r="I363" i="3"/>
  <c r="I427" i="3"/>
  <c r="I491" i="3"/>
  <c r="I63" i="3"/>
  <c r="I272" i="3"/>
  <c r="I345" i="3"/>
  <c r="I409" i="3"/>
  <c r="I473" i="3"/>
  <c r="I452" i="3"/>
  <c r="I424" i="3"/>
  <c r="I400" i="3"/>
  <c r="I575" i="3"/>
  <c r="I165" i="3"/>
  <c r="I82" i="3"/>
  <c r="I60" i="3"/>
  <c r="I227" i="3"/>
  <c r="I514" i="3"/>
  <c r="I259" i="3"/>
  <c r="I335" i="3"/>
  <c r="I399" i="3"/>
  <c r="I463" i="3"/>
  <c r="I527" i="3"/>
  <c r="I207" i="3"/>
  <c r="I317" i="3"/>
  <c r="I381" i="3"/>
  <c r="I445" i="3"/>
  <c r="I509" i="3"/>
  <c r="I340" i="3"/>
  <c r="I555" i="3"/>
  <c r="I312" i="3"/>
  <c r="I545" i="3"/>
  <c r="I282" i="3"/>
  <c r="I537" i="3"/>
  <c r="I34" i="3"/>
  <c r="I231" i="3"/>
  <c r="I515" i="3"/>
  <c r="I433" i="3"/>
  <c r="I250" i="3"/>
  <c r="I476" i="3"/>
  <c r="I316" i="3"/>
  <c r="I98" i="3"/>
  <c r="I264" i="3"/>
  <c r="I531" i="3"/>
  <c r="I449" i="3"/>
  <c r="I328" i="3"/>
  <c r="I536" i="3"/>
  <c r="I547" i="3"/>
  <c r="I3" i="3"/>
  <c r="R3" i="3" s="1"/>
  <c r="U3" i="3" s="1"/>
  <c r="I167" i="3"/>
  <c r="I499" i="3"/>
  <c r="I417" i="3"/>
  <c r="I412" i="3"/>
  <c r="I508" i="3"/>
  <c r="I465" i="3"/>
  <c r="I444" i="3"/>
  <c r="I355" i="3"/>
  <c r="I396" i="3"/>
  <c r="I419" i="3"/>
  <c r="I573" i="3"/>
  <c r="I401" i="3"/>
  <c r="C24" i="1"/>
  <c r="I24" i="1" s="1"/>
  <c r="C23" i="1"/>
  <c r="I23" i="1" s="1"/>
  <c r="C36" i="1"/>
  <c r="H36" i="1" s="1"/>
  <c r="C38" i="1"/>
  <c r="I38" i="1" s="1"/>
  <c r="C42" i="1"/>
  <c r="I42" i="1" s="1"/>
  <c r="C45" i="1"/>
  <c r="C49" i="1"/>
  <c r="C60" i="1"/>
  <c r="C59" i="1"/>
  <c r="C62" i="1"/>
  <c r="I204" i="3"/>
  <c r="I371" i="3"/>
  <c r="I283" i="3"/>
  <c r="I107" i="3"/>
  <c r="I286" i="3"/>
  <c r="I420" i="3"/>
  <c r="I483" i="3"/>
  <c r="C21" i="1"/>
  <c r="I21" i="1" s="1"/>
  <c r="C27" i="1"/>
  <c r="H27" i="1" s="1"/>
  <c r="C25" i="1"/>
  <c r="H25" i="1" s="1"/>
  <c r="K44" i="7" s="1"/>
  <c r="C29" i="1"/>
  <c r="I29" i="1" s="1"/>
  <c r="C33" i="1"/>
  <c r="H33" i="1" s="1"/>
  <c r="C37" i="1"/>
  <c r="H37" i="1" s="1"/>
  <c r="C47" i="1"/>
  <c r="I47" i="1" s="1"/>
  <c r="C55" i="1"/>
  <c r="C56" i="1" s="1"/>
  <c r="C61" i="1"/>
  <c r="C63" i="1"/>
  <c r="C64" i="1" s="1"/>
  <c r="C6" i="3"/>
  <c r="D6" i="3"/>
  <c r="J5" i="3"/>
  <c r="K5" i="3"/>
  <c r="H5" i="3"/>
  <c r="G6" i="3"/>
  <c r="AA6" i="3" s="1"/>
  <c r="G8" i="3"/>
  <c r="AA8" i="3" s="1"/>
  <c r="G12" i="3"/>
  <c r="AA12" i="3" s="1"/>
  <c r="G9" i="3"/>
  <c r="AA9" i="3" s="1"/>
  <c r="G4" i="3"/>
  <c r="AA4" i="3" s="1"/>
  <c r="G7" i="3"/>
  <c r="AA7" i="3" s="1"/>
  <c r="G10" i="3"/>
  <c r="AA10" i="3" s="1"/>
  <c r="G11" i="3"/>
  <c r="AA11" i="3" s="1"/>
  <c r="G5" i="3"/>
  <c r="AA5" i="3" s="1"/>
  <c r="G13" i="3"/>
  <c r="G14" i="3"/>
  <c r="AA14" i="3" s="1"/>
  <c r="S3" i="3"/>
  <c r="V3" i="3" s="1"/>
  <c r="P3" i="3" s="1"/>
  <c r="P4" i="3" s="1"/>
  <c r="P5" i="3" s="1"/>
  <c r="C40" i="1" l="1"/>
  <c r="I40" i="1" s="1"/>
  <c r="X3" i="3"/>
  <c r="X4" i="3" s="1"/>
  <c r="X5" i="3" s="1"/>
  <c r="N3" i="3"/>
  <c r="L96" i="12"/>
  <c r="G13" i="14"/>
  <c r="H45" i="1"/>
  <c r="J20" i="1"/>
  <c r="F14" i="9"/>
  <c r="K46" i="7"/>
  <c r="F9" i="9"/>
  <c r="C46" i="1"/>
  <c r="I46" i="1" s="1"/>
  <c r="C41" i="1"/>
  <c r="I41" i="1" s="1"/>
  <c r="K578" i="3"/>
  <c r="C22" i="1"/>
  <c r="H24" i="1"/>
  <c r="K43" i="7" s="1"/>
  <c r="H23" i="1"/>
  <c r="K42" i="7" s="1"/>
  <c r="I25" i="1"/>
  <c r="C65" i="1"/>
  <c r="C43" i="1"/>
  <c r="I43" i="1" s="1"/>
  <c r="AA13" i="3"/>
  <c r="AD15" i="3" s="1"/>
  <c r="AE15" i="3" s="1"/>
  <c r="AA3" i="3"/>
  <c r="AD10" i="3" s="1"/>
  <c r="AE10" i="3" s="1"/>
  <c r="D37" i="7"/>
  <c r="H40" i="1"/>
  <c r="C31" i="1"/>
  <c r="H31" i="1" s="1"/>
  <c r="K50" i="7" s="1"/>
  <c r="H44" i="1"/>
  <c r="H32" i="1"/>
  <c r="H26" i="1"/>
  <c r="K45" i="7" s="1"/>
  <c r="H38" i="1"/>
  <c r="K57" i="7" s="1"/>
  <c r="H34" i="1"/>
  <c r="H47" i="1"/>
  <c r="H42" i="1"/>
  <c r="I37" i="1"/>
  <c r="I30" i="1"/>
  <c r="I39" i="1"/>
  <c r="I36" i="1"/>
  <c r="I45" i="1"/>
  <c r="H48" i="1"/>
  <c r="H35" i="1"/>
  <c r="K54" i="7" s="1"/>
  <c r="C28" i="1"/>
  <c r="H29" i="1"/>
  <c r="K48" i="7" s="1"/>
  <c r="I33" i="1"/>
  <c r="I61" i="1"/>
  <c r="I60" i="1"/>
  <c r="I57" i="1"/>
  <c r="I63" i="1"/>
  <c r="I55" i="1"/>
  <c r="I49" i="1"/>
  <c r="I53" i="1"/>
  <c r="I59" i="1"/>
  <c r="I64" i="1"/>
  <c r="I56" i="1"/>
  <c r="I62" i="1"/>
  <c r="I52" i="1"/>
  <c r="I54" i="1"/>
  <c r="I58" i="1"/>
  <c r="B20" i="1"/>
  <c r="H59" i="1"/>
  <c r="G25" i="3"/>
  <c r="G20" i="3"/>
  <c r="AA20" i="3" s="1"/>
  <c r="G23" i="3"/>
  <c r="AA23" i="3" s="1"/>
  <c r="G18" i="3"/>
  <c r="AA18" i="3" s="1"/>
  <c r="G24" i="3"/>
  <c r="AA24" i="3" s="1"/>
  <c r="G21" i="3"/>
  <c r="AA21" i="3" s="1"/>
  <c r="G16" i="3"/>
  <c r="AA16" i="3" s="1"/>
  <c r="G19" i="3"/>
  <c r="AA19" i="3" s="1"/>
  <c r="G15" i="3"/>
  <c r="AA15" i="3" s="1"/>
  <c r="G17" i="3"/>
  <c r="AA17" i="3" s="1"/>
  <c r="G26" i="3"/>
  <c r="G22" i="3"/>
  <c r="AA22" i="3" s="1"/>
  <c r="R5" i="3"/>
  <c r="H61" i="1"/>
  <c r="H49" i="1"/>
  <c r="H53" i="1"/>
  <c r="C7" i="3"/>
  <c r="D7" i="3"/>
  <c r="H63" i="1"/>
  <c r="H55" i="1"/>
  <c r="H62" i="1"/>
  <c r="H52" i="1"/>
  <c r="H58" i="1"/>
  <c r="H6" i="3"/>
  <c r="J6" i="3"/>
  <c r="K6" i="3"/>
  <c r="H54" i="1"/>
  <c r="H64" i="1"/>
  <c r="H56" i="1"/>
  <c r="L5" i="3"/>
  <c r="M5" i="3" s="1"/>
  <c r="L4" i="3"/>
  <c r="M4" i="3" s="1"/>
  <c r="L6" i="3"/>
  <c r="L3" i="3"/>
  <c r="M3" i="3" s="1"/>
  <c r="S4" i="3"/>
  <c r="V4" i="3" s="1"/>
  <c r="U4" i="3"/>
  <c r="H60" i="1"/>
  <c r="H57" i="1"/>
  <c r="C50" i="1"/>
  <c r="G9" i="14" l="1"/>
  <c r="AD22" i="3"/>
  <c r="AE22" i="3" s="1"/>
  <c r="AD7" i="3"/>
  <c r="AE7" i="3" s="1"/>
  <c r="AD6" i="3"/>
  <c r="AE6" i="3" s="1"/>
  <c r="AD18" i="3"/>
  <c r="AE18" i="3" s="1"/>
  <c r="AD19" i="3"/>
  <c r="AE19" i="3" s="1"/>
  <c r="AD3" i="3"/>
  <c r="AE3" i="3" s="1"/>
  <c r="AD14" i="3"/>
  <c r="AE14" i="3" s="1"/>
  <c r="N4" i="3"/>
  <c r="Q3" i="3"/>
  <c r="T4" i="3" s="1"/>
  <c r="W4" i="3" s="1"/>
  <c r="AD23" i="3"/>
  <c r="AE23" i="3" s="1"/>
  <c r="AD12" i="3"/>
  <c r="AE12" i="3" s="1"/>
  <c r="AD11" i="3"/>
  <c r="AE11" i="3" s="1"/>
  <c r="G24" i="14"/>
  <c r="G19" i="14"/>
  <c r="H46" i="1"/>
  <c r="H43" i="1"/>
  <c r="K52" i="7"/>
  <c r="K55" i="7"/>
  <c r="K53" i="7"/>
  <c r="K59" i="7"/>
  <c r="K56" i="7"/>
  <c r="K51" i="7"/>
  <c r="K58" i="7"/>
  <c r="H41" i="1"/>
  <c r="AD24" i="3"/>
  <c r="AE24" i="3" s="1"/>
  <c r="H22" i="1"/>
  <c r="K41" i="7" s="1"/>
  <c r="L578" i="3"/>
  <c r="M578" i="3" s="1"/>
  <c r="H65" i="1"/>
  <c r="I65" i="1"/>
  <c r="AA25" i="3"/>
  <c r="AD27" i="3" s="1"/>
  <c r="AE27" i="3" s="1"/>
  <c r="D38" i="7"/>
  <c r="AA26" i="3"/>
  <c r="C37" i="7"/>
  <c r="I31" i="1"/>
  <c r="I28" i="1"/>
  <c r="H28" i="1"/>
  <c r="K47" i="7" s="1"/>
  <c r="C51" i="1"/>
  <c r="J21" i="1"/>
  <c r="I50" i="1"/>
  <c r="B21" i="1"/>
  <c r="C8" i="3"/>
  <c r="D8" i="3"/>
  <c r="H7" i="3"/>
  <c r="J7" i="3"/>
  <c r="K7" i="3"/>
  <c r="H50" i="1"/>
  <c r="U5" i="3"/>
  <c r="L7" i="3"/>
  <c r="M6" i="3"/>
  <c r="R6" i="3"/>
  <c r="G29" i="3"/>
  <c r="AA29" i="3" s="1"/>
  <c r="G32" i="3"/>
  <c r="AA32" i="3" s="1"/>
  <c r="G36" i="3"/>
  <c r="AA36" i="3" s="1"/>
  <c r="G33" i="3"/>
  <c r="AA33" i="3" s="1"/>
  <c r="G28" i="3"/>
  <c r="AA28" i="3" s="1"/>
  <c r="G30" i="3"/>
  <c r="AA30" i="3" s="1"/>
  <c r="G37" i="3"/>
  <c r="G34" i="3"/>
  <c r="AA34" i="3" s="1"/>
  <c r="G35" i="3"/>
  <c r="AA35" i="3" s="1"/>
  <c r="G27" i="3"/>
  <c r="AA27" i="3" s="1"/>
  <c r="G38" i="3"/>
  <c r="G31" i="3"/>
  <c r="AA31" i="3" s="1"/>
  <c r="AG29" i="3" l="1"/>
  <c r="AG17" i="3"/>
  <c r="AG21" i="3"/>
  <c r="AG30" i="3"/>
  <c r="AG18" i="3"/>
  <c r="O5" i="3"/>
  <c r="AD34" i="3"/>
  <c r="AE34" i="3" s="1"/>
  <c r="AH13" i="3"/>
  <c r="AD42" i="3"/>
  <c r="AE42" i="3" s="1"/>
  <c r="AD30" i="3"/>
  <c r="AE30" i="3" s="1"/>
  <c r="AD31" i="3"/>
  <c r="AE31" i="3" s="1"/>
  <c r="AD26" i="3"/>
  <c r="AE26" i="3" s="1"/>
  <c r="Y3" i="3"/>
  <c r="AH11" i="3"/>
  <c r="AH12" i="3"/>
  <c r="AH10" i="3"/>
  <c r="Q4" i="3"/>
  <c r="N5" i="3"/>
  <c r="AD35" i="3"/>
  <c r="AE35" i="3" s="1"/>
  <c r="K60" i="7"/>
  <c r="K61" i="7"/>
  <c r="K62" i="7"/>
  <c r="K63" i="7"/>
  <c r="K64" i="7"/>
  <c r="K65" i="7"/>
  <c r="K66" i="7"/>
  <c r="K67" i="7"/>
  <c r="K68" i="7"/>
  <c r="K69" i="7"/>
  <c r="AD36" i="3"/>
  <c r="C38" i="7"/>
  <c r="AA37" i="3"/>
  <c r="AD39" i="3" s="1"/>
  <c r="AE39" i="3" s="1"/>
  <c r="D39" i="7"/>
  <c r="AA38" i="3"/>
  <c r="I51" i="1"/>
  <c r="H51" i="1"/>
  <c r="K70" i="7" s="1"/>
  <c r="J22" i="1"/>
  <c r="B22" i="1"/>
  <c r="U6" i="3"/>
  <c r="C9" i="3"/>
  <c r="D9" i="3"/>
  <c r="G39" i="3"/>
  <c r="AA39" i="3" s="1"/>
  <c r="G44" i="3"/>
  <c r="AA44" i="3" s="1"/>
  <c r="G41" i="3"/>
  <c r="AA41" i="3" s="1"/>
  <c r="G47" i="3"/>
  <c r="AA47" i="3" s="1"/>
  <c r="G42" i="3"/>
  <c r="AA42" i="3" s="1"/>
  <c r="G49" i="3"/>
  <c r="G48" i="3"/>
  <c r="AA48" i="3" s="1"/>
  <c r="G46" i="3"/>
  <c r="AA46" i="3" s="1"/>
  <c r="G40" i="3"/>
  <c r="AA40" i="3" s="1"/>
  <c r="G50" i="3"/>
  <c r="G43" i="3"/>
  <c r="AA43" i="3" s="1"/>
  <c r="G45" i="3"/>
  <c r="AA45" i="3" s="1"/>
  <c r="H8" i="3"/>
  <c r="J8" i="3"/>
  <c r="K8" i="3"/>
  <c r="L8" i="3"/>
  <c r="R7" i="3"/>
  <c r="M7" i="3"/>
  <c r="AG41" i="3" l="1"/>
  <c r="AH15" i="3"/>
  <c r="O6" i="3"/>
  <c r="S5" i="3"/>
  <c r="V5" i="3" s="1"/>
  <c r="AD46" i="3"/>
  <c r="AE46" i="3" s="1"/>
  <c r="AH14" i="3"/>
  <c r="AH16" i="3"/>
  <c r="AH17" i="3"/>
  <c r="AD43" i="3"/>
  <c r="AE43" i="3" s="1"/>
  <c r="AD38" i="3"/>
  <c r="AE38" i="3" s="1"/>
  <c r="T5" i="3"/>
  <c r="W5" i="3" s="1"/>
  <c r="Y4" i="3"/>
  <c r="Q5" i="3"/>
  <c r="N6" i="3"/>
  <c r="AH18" i="3"/>
  <c r="AH32" i="3"/>
  <c r="E38" i="7"/>
  <c r="AH25" i="3"/>
  <c r="AH29" i="3"/>
  <c r="AD47" i="3"/>
  <c r="AE47" i="3" s="1"/>
  <c r="AH20" i="3"/>
  <c r="AH27" i="3"/>
  <c r="AH22" i="3"/>
  <c r="AH30" i="3"/>
  <c r="AH28" i="3"/>
  <c r="AH24" i="3"/>
  <c r="AH19" i="3"/>
  <c r="AH26" i="3"/>
  <c r="AH21" i="3"/>
  <c r="AH23" i="3"/>
  <c r="AH31" i="3"/>
  <c r="K82" i="7"/>
  <c r="K78" i="7"/>
  <c r="K74" i="7"/>
  <c r="K80" i="7"/>
  <c r="K76" i="7"/>
  <c r="K72" i="7"/>
  <c r="K83" i="7"/>
  <c r="K79" i="7"/>
  <c r="K75" i="7"/>
  <c r="K71" i="7"/>
  <c r="K81" i="7"/>
  <c r="K77" i="7"/>
  <c r="K73" i="7"/>
  <c r="AD48" i="3"/>
  <c r="AE48" i="3" s="1"/>
  <c r="C39" i="7"/>
  <c r="AA49" i="3"/>
  <c r="AD51" i="3" s="1"/>
  <c r="AE51" i="3" s="1"/>
  <c r="D40" i="7"/>
  <c r="AA50" i="3"/>
  <c r="J23" i="1"/>
  <c r="B23" i="1"/>
  <c r="U7" i="3"/>
  <c r="J9" i="3"/>
  <c r="K9" i="3"/>
  <c r="H9" i="3"/>
  <c r="L9" i="3"/>
  <c r="G59" i="3"/>
  <c r="AA59" i="3" s="1"/>
  <c r="G58" i="3"/>
  <c r="AA58" i="3" s="1"/>
  <c r="G56" i="3"/>
  <c r="AA56" i="3" s="1"/>
  <c r="G52" i="3"/>
  <c r="AA52" i="3" s="1"/>
  <c r="G54" i="3"/>
  <c r="AA54" i="3" s="1"/>
  <c r="G55" i="3"/>
  <c r="AA55" i="3" s="1"/>
  <c r="G53" i="3"/>
  <c r="AA53" i="3" s="1"/>
  <c r="G61" i="3"/>
  <c r="G51" i="3"/>
  <c r="AA51" i="3" s="1"/>
  <c r="G60" i="3"/>
  <c r="AA60" i="3" s="1"/>
  <c r="G62" i="3"/>
  <c r="G57" i="3"/>
  <c r="AA57" i="3" s="1"/>
  <c r="M8" i="3"/>
  <c r="R8" i="3"/>
  <c r="C10" i="3"/>
  <c r="D10" i="3"/>
  <c r="O7" i="3" l="1"/>
  <c r="S6" i="3"/>
  <c r="V6" i="3" s="1"/>
  <c r="P6" i="3" s="1"/>
  <c r="Q6" i="3" s="1"/>
  <c r="AD58" i="3"/>
  <c r="AE58" i="3" s="1"/>
  <c r="AD54" i="3"/>
  <c r="AE54" i="3" s="1"/>
  <c r="AD55" i="3"/>
  <c r="AE55" i="3" s="1"/>
  <c r="AD50" i="3"/>
  <c r="AE50" i="3" s="1"/>
  <c r="N7" i="3"/>
  <c r="T6" i="3"/>
  <c r="W6" i="3" s="1"/>
  <c r="X6" i="3" s="1"/>
  <c r="Y5" i="3"/>
  <c r="AD59" i="3"/>
  <c r="AE59" i="3" s="1"/>
  <c r="AE56" i="3"/>
  <c r="AD60" i="3"/>
  <c r="C40" i="7"/>
  <c r="AA61" i="3"/>
  <c r="D41" i="7"/>
  <c r="AA62" i="3"/>
  <c r="AD63" i="3" s="1"/>
  <c r="AE63" i="3" s="1"/>
  <c r="J24" i="1"/>
  <c r="B24" i="1"/>
  <c r="U8" i="3"/>
  <c r="C11" i="3"/>
  <c r="D11" i="3"/>
  <c r="K10" i="3"/>
  <c r="H10" i="3"/>
  <c r="J10" i="3"/>
  <c r="L10" i="3"/>
  <c r="M9" i="3"/>
  <c r="R9" i="3"/>
  <c r="G64" i="3"/>
  <c r="AA64" i="3" s="1"/>
  <c r="G69" i="3"/>
  <c r="AA69" i="3" s="1"/>
  <c r="G71" i="3"/>
  <c r="AA71" i="3" s="1"/>
  <c r="G65" i="3"/>
  <c r="AA65" i="3" s="1"/>
  <c r="G63" i="3"/>
  <c r="AA63" i="3" s="1"/>
  <c r="G73" i="3"/>
  <c r="G67" i="3"/>
  <c r="AA67" i="3" s="1"/>
  <c r="G66" i="3"/>
  <c r="AA66" i="3" s="1"/>
  <c r="G72" i="3"/>
  <c r="AA72" i="3" s="1"/>
  <c r="G68" i="3"/>
  <c r="AA68" i="3" s="1"/>
  <c r="G70" i="3"/>
  <c r="AA70" i="3" s="1"/>
  <c r="G74" i="3"/>
  <c r="AG65" i="3" l="1"/>
  <c r="AD62" i="3"/>
  <c r="AE62" i="3" s="1"/>
  <c r="O8" i="3"/>
  <c r="S7" i="3"/>
  <c r="V7" i="3" s="1"/>
  <c r="P7" i="3" s="1"/>
  <c r="P8" i="3" s="1"/>
  <c r="AD70" i="3"/>
  <c r="AE70" i="3" s="1"/>
  <c r="AD66" i="3"/>
  <c r="AE66" i="3" s="1"/>
  <c r="AD67" i="3"/>
  <c r="AE67" i="3" s="1"/>
  <c r="Y6" i="3"/>
  <c r="T7" i="3"/>
  <c r="W7" i="3" s="1"/>
  <c r="X7" i="3" s="1"/>
  <c r="X8" i="3" s="1"/>
  <c r="X9" i="3" s="1"/>
  <c r="N8" i="3"/>
  <c r="AD71" i="3"/>
  <c r="AE71" i="3" s="1"/>
  <c r="AD72" i="3"/>
  <c r="AE72" i="3" s="1"/>
  <c r="C41" i="7"/>
  <c r="AA73" i="3"/>
  <c r="AD78" i="3" s="1"/>
  <c r="AE78" i="3" s="1"/>
  <c r="D42" i="7"/>
  <c r="AA74" i="3"/>
  <c r="J25" i="1"/>
  <c r="B25" i="1"/>
  <c r="U9" i="3"/>
  <c r="G82" i="3"/>
  <c r="AA82" i="3" s="1"/>
  <c r="G80" i="3"/>
  <c r="AA80" i="3" s="1"/>
  <c r="G76" i="3"/>
  <c r="AA76" i="3" s="1"/>
  <c r="G79" i="3"/>
  <c r="AA79" i="3" s="1"/>
  <c r="G85" i="3"/>
  <c r="G81" i="3"/>
  <c r="AA81" i="3" s="1"/>
  <c r="G78" i="3"/>
  <c r="AA78" i="3" s="1"/>
  <c r="G75" i="3"/>
  <c r="AA75" i="3" s="1"/>
  <c r="G83" i="3"/>
  <c r="AA83" i="3" s="1"/>
  <c r="G84" i="3"/>
  <c r="AA84" i="3" s="1"/>
  <c r="G77" i="3"/>
  <c r="AA77" i="3" s="1"/>
  <c r="G86" i="3"/>
  <c r="M10" i="3"/>
  <c r="R10" i="3"/>
  <c r="K11" i="3"/>
  <c r="H11" i="3"/>
  <c r="J11" i="3"/>
  <c r="L11" i="3"/>
  <c r="C12" i="3"/>
  <c r="D12" i="3"/>
  <c r="AD74" i="3" l="1"/>
  <c r="AE74" i="3" s="1"/>
  <c r="O9" i="3"/>
  <c r="S8" i="3"/>
  <c r="V8" i="3" s="1"/>
  <c r="Q7" i="3"/>
  <c r="T8" i="3" s="1"/>
  <c r="W8" i="3" s="1"/>
  <c r="AD82" i="3"/>
  <c r="AE82" i="3" s="1"/>
  <c r="AD79" i="3"/>
  <c r="AE79" i="3" s="1"/>
  <c r="AD75" i="3"/>
  <c r="AE75" i="3" s="1"/>
  <c r="Q8" i="3"/>
  <c r="N9" i="3"/>
  <c r="N10" i="3" s="1"/>
  <c r="N11" i="3" s="1"/>
  <c r="AD83" i="3"/>
  <c r="AE83" i="3" s="1"/>
  <c r="AD84" i="3"/>
  <c r="AE84" i="3" s="1"/>
  <c r="C42" i="7"/>
  <c r="AA85" i="3"/>
  <c r="AD87" i="3" s="1"/>
  <c r="AE87" i="3" s="1"/>
  <c r="D43" i="7"/>
  <c r="AA86" i="3"/>
  <c r="J26" i="1"/>
  <c r="B26" i="1"/>
  <c r="U10" i="3"/>
  <c r="C13" i="3"/>
  <c r="D13" i="3"/>
  <c r="H12" i="3"/>
  <c r="K12" i="3"/>
  <c r="J12" i="3"/>
  <c r="L12" i="3"/>
  <c r="M11" i="3"/>
  <c r="R11" i="3"/>
  <c r="G89" i="3"/>
  <c r="AA89" i="3" s="1"/>
  <c r="G91" i="3"/>
  <c r="AA91" i="3" s="1"/>
  <c r="G88" i="3"/>
  <c r="AA88" i="3" s="1"/>
  <c r="G93" i="3"/>
  <c r="AA93" i="3" s="1"/>
  <c r="G95" i="3"/>
  <c r="AA95" i="3" s="1"/>
  <c r="G96" i="3"/>
  <c r="AA96" i="3" s="1"/>
  <c r="G87" i="3"/>
  <c r="AA87" i="3" s="1"/>
  <c r="G94" i="3"/>
  <c r="AA94" i="3" s="1"/>
  <c r="G90" i="3"/>
  <c r="AA90" i="3" s="1"/>
  <c r="G92" i="3"/>
  <c r="AA92" i="3" s="1"/>
  <c r="G97" i="3"/>
  <c r="G98" i="3"/>
  <c r="AG89" i="3" l="1"/>
  <c r="Y7" i="3"/>
  <c r="AD94" i="3"/>
  <c r="AE94" i="3" s="1"/>
  <c r="O10" i="3"/>
  <c r="S9" i="3"/>
  <c r="V9" i="3" s="1"/>
  <c r="P9" i="3" s="1"/>
  <c r="Q9" i="3" s="1"/>
  <c r="T10" i="3" s="1"/>
  <c r="AD90" i="3"/>
  <c r="AE90" i="3" s="1"/>
  <c r="AD91" i="3"/>
  <c r="AE91" i="3" s="1"/>
  <c r="AD86" i="3"/>
  <c r="AE86" i="3" s="1"/>
  <c r="AG93" i="3" s="1"/>
  <c r="AD99" i="3"/>
  <c r="AE99" i="3" s="1"/>
  <c r="T9" i="3"/>
  <c r="W9" i="3" s="1"/>
  <c r="Y8" i="3"/>
  <c r="AD95" i="3"/>
  <c r="AE95" i="3" s="1"/>
  <c r="AD96" i="3"/>
  <c r="C43" i="7"/>
  <c r="AA97" i="3"/>
  <c r="D44" i="7"/>
  <c r="AA98" i="3"/>
  <c r="J27" i="1"/>
  <c r="B27" i="1"/>
  <c r="U11" i="3"/>
  <c r="N12" i="3"/>
  <c r="N13" i="3" s="1"/>
  <c r="G105" i="3"/>
  <c r="AA105" i="3" s="1"/>
  <c r="G100" i="3"/>
  <c r="AA100" i="3" s="1"/>
  <c r="G102" i="3"/>
  <c r="AA102" i="3" s="1"/>
  <c r="G109" i="3"/>
  <c r="G108" i="3"/>
  <c r="AA108" i="3" s="1"/>
  <c r="G101" i="3"/>
  <c r="AA101" i="3" s="1"/>
  <c r="G107" i="3"/>
  <c r="AA107" i="3" s="1"/>
  <c r="G103" i="3"/>
  <c r="AA103" i="3" s="1"/>
  <c r="G104" i="3"/>
  <c r="AA104" i="3" s="1"/>
  <c r="G106" i="3"/>
  <c r="AA106" i="3" s="1"/>
  <c r="G99" i="3"/>
  <c r="AA99" i="3" s="1"/>
  <c r="G110" i="3"/>
  <c r="C14" i="3"/>
  <c r="D14" i="3"/>
  <c r="R12" i="3"/>
  <c r="M12" i="3"/>
  <c r="J13" i="3"/>
  <c r="K13" i="3"/>
  <c r="H13" i="3"/>
  <c r="L13" i="3"/>
  <c r="AG101" i="3" l="1"/>
  <c r="AD98" i="3"/>
  <c r="AE98" i="3" s="1"/>
  <c r="Y9" i="3"/>
  <c r="W10" i="3"/>
  <c r="AD106" i="3"/>
  <c r="AE106" i="3" s="1"/>
  <c r="O11" i="3"/>
  <c r="S10" i="3"/>
  <c r="V10" i="3" s="1"/>
  <c r="AD102" i="3"/>
  <c r="AE102" i="3" s="1"/>
  <c r="AD103" i="3"/>
  <c r="AE103" i="3" s="1"/>
  <c r="AD111" i="3"/>
  <c r="AE111" i="3" s="1"/>
  <c r="AD107" i="3"/>
  <c r="AE107" i="3" s="1"/>
  <c r="AE104" i="3"/>
  <c r="AD108" i="3"/>
  <c r="AE108" i="3" s="1"/>
  <c r="C44" i="7"/>
  <c r="AA109" i="3"/>
  <c r="D45" i="7"/>
  <c r="AA110" i="3"/>
  <c r="J28" i="1"/>
  <c r="U12" i="3"/>
  <c r="B28" i="1"/>
  <c r="G113" i="3"/>
  <c r="AA113" i="3" s="1"/>
  <c r="G118" i="3"/>
  <c r="AA118" i="3" s="1"/>
  <c r="G120" i="3"/>
  <c r="AA120" i="3" s="1"/>
  <c r="G112" i="3"/>
  <c r="AA112" i="3" s="1"/>
  <c r="G111" i="3"/>
  <c r="AA111" i="3" s="1"/>
  <c r="G114" i="3"/>
  <c r="AA114" i="3" s="1"/>
  <c r="G116" i="3"/>
  <c r="AA116" i="3" s="1"/>
  <c r="G117" i="3"/>
  <c r="AA117" i="3" s="1"/>
  <c r="G119" i="3"/>
  <c r="AA119" i="3" s="1"/>
  <c r="G115" i="3"/>
  <c r="AA115" i="3" s="1"/>
  <c r="G121" i="3"/>
  <c r="G122" i="3"/>
  <c r="R13" i="3"/>
  <c r="M13" i="3"/>
  <c r="K14" i="3"/>
  <c r="H14" i="3"/>
  <c r="N14" i="3" s="1"/>
  <c r="G37" i="7" s="1"/>
  <c r="J14" i="3"/>
  <c r="L14" i="3"/>
  <c r="C15" i="3"/>
  <c r="D15" i="3"/>
  <c r="AD110" i="3" l="1"/>
  <c r="AE110" i="3" s="1"/>
  <c r="AG117" i="3" s="1"/>
  <c r="P10" i="3"/>
  <c r="Q10" i="3" s="1"/>
  <c r="T11" i="3" s="1"/>
  <c r="W11" i="3" s="1"/>
  <c r="X10" i="3"/>
  <c r="O12" i="3"/>
  <c r="S11" i="3"/>
  <c r="V11" i="3" s="1"/>
  <c r="AD118" i="3"/>
  <c r="AE118" i="3" s="1"/>
  <c r="AD114" i="3"/>
  <c r="AE114" i="3" s="1"/>
  <c r="AD115" i="3"/>
  <c r="AE115" i="3" s="1"/>
  <c r="AD119" i="3"/>
  <c r="AE119" i="3" s="1"/>
  <c r="AD120" i="3"/>
  <c r="AE120" i="3" s="1"/>
  <c r="U13" i="3"/>
  <c r="C45" i="7"/>
  <c r="AA121" i="3"/>
  <c r="D46" i="7"/>
  <c r="AA122" i="3"/>
  <c r="AD123" i="3" s="1"/>
  <c r="AE123" i="3" s="1"/>
  <c r="J29" i="1"/>
  <c r="B29" i="1"/>
  <c r="J15" i="3"/>
  <c r="H15" i="3"/>
  <c r="N15" i="3" s="1"/>
  <c r="K15" i="3"/>
  <c r="L15" i="3"/>
  <c r="M14" i="3"/>
  <c r="R14" i="3"/>
  <c r="C16" i="3"/>
  <c r="D16" i="3"/>
  <c r="G124" i="3"/>
  <c r="AA124" i="3" s="1"/>
  <c r="G131" i="3"/>
  <c r="AA131" i="3" s="1"/>
  <c r="G133" i="3"/>
  <c r="G130" i="3"/>
  <c r="AA130" i="3" s="1"/>
  <c r="G132" i="3"/>
  <c r="AA132" i="3" s="1"/>
  <c r="G127" i="3"/>
  <c r="AA127" i="3" s="1"/>
  <c r="G125" i="3"/>
  <c r="AA125" i="3" s="1"/>
  <c r="G123" i="3"/>
  <c r="AA123" i="3" s="1"/>
  <c r="G129" i="3"/>
  <c r="AA129" i="3" s="1"/>
  <c r="G128" i="3"/>
  <c r="AA128" i="3" s="1"/>
  <c r="G126" i="3"/>
  <c r="AA126" i="3" s="1"/>
  <c r="G134" i="3"/>
  <c r="AG125" i="3" l="1"/>
  <c r="P11" i="3"/>
  <c r="Q11" i="3" s="1"/>
  <c r="T12" i="3" s="1"/>
  <c r="W12" i="3" s="1"/>
  <c r="O13" i="3"/>
  <c r="S12" i="3"/>
  <c r="V12" i="3" s="1"/>
  <c r="AD130" i="3"/>
  <c r="AE130" i="3" s="1"/>
  <c r="Y10" i="3"/>
  <c r="X11" i="3"/>
  <c r="AD127" i="3"/>
  <c r="AE127" i="3" s="1"/>
  <c r="AD126" i="3"/>
  <c r="AE126" i="3" s="1"/>
  <c r="AD122" i="3"/>
  <c r="AE122" i="3" s="1"/>
  <c r="AD131" i="3"/>
  <c r="AE131" i="3" s="1"/>
  <c r="AD132" i="3"/>
  <c r="AE132" i="3" s="1"/>
  <c r="U14" i="3"/>
  <c r="C46" i="7"/>
  <c r="AA133" i="3"/>
  <c r="AD135" i="3" s="1"/>
  <c r="AE135" i="3" s="1"/>
  <c r="D47" i="7"/>
  <c r="AA134" i="3"/>
  <c r="AD139" i="3" s="1"/>
  <c r="AE139" i="3" s="1"/>
  <c r="J30" i="1"/>
  <c r="B30" i="1"/>
  <c r="G135" i="3"/>
  <c r="AA135" i="3" s="1"/>
  <c r="G145" i="3"/>
  <c r="G142" i="3"/>
  <c r="AA142" i="3" s="1"/>
  <c r="G139" i="3"/>
  <c r="AA139" i="3" s="1"/>
  <c r="G136" i="3"/>
  <c r="AA136" i="3" s="1"/>
  <c r="G144" i="3"/>
  <c r="AA144" i="3" s="1"/>
  <c r="G140" i="3"/>
  <c r="AA140" i="3" s="1"/>
  <c r="G141" i="3"/>
  <c r="AA141" i="3" s="1"/>
  <c r="G137" i="3"/>
  <c r="AA137" i="3" s="1"/>
  <c r="G143" i="3"/>
  <c r="AA143" i="3" s="1"/>
  <c r="G146" i="3"/>
  <c r="G138" i="3"/>
  <c r="AA138" i="3" s="1"/>
  <c r="M15" i="3"/>
  <c r="R15" i="3"/>
  <c r="C17" i="3"/>
  <c r="D17" i="3"/>
  <c r="J16" i="3"/>
  <c r="H16" i="3"/>
  <c r="N16" i="3"/>
  <c r="K16" i="3"/>
  <c r="L16" i="3"/>
  <c r="AG137" i="3" l="1"/>
  <c r="P12" i="3"/>
  <c r="P13" i="3" s="1"/>
  <c r="X12" i="3"/>
  <c r="Y11" i="3"/>
  <c r="O14" i="3"/>
  <c r="S13" i="3"/>
  <c r="V13" i="3" s="1"/>
  <c r="AD142" i="3"/>
  <c r="AE142" i="3" s="1"/>
  <c r="AD138" i="3"/>
  <c r="AE138" i="3" s="1"/>
  <c r="AD134" i="3"/>
  <c r="AE134" i="3" s="1"/>
  <c r="AD147" i="3"/>
  <c r="AE147" i="3" s="1"/>
  <c r="AD143" i="3"/>
  <c r="AE143" i="3" s="1"/>
  <c r="AD144" i="3"/>
  <c r="U15" i="3"/>
  <c r="C47" i="7"/>
  <c r="AA145" i="3"/>
  <c r="D48" i="7"/>
  <c r="AA146" i="3"/>
  <c r="AD150" i="3" s="1"/>
  <c r="AE150" i="3" s="1"/>
  <c r="J31" i="1"/>
  <c r="B31" i="1"/>
  <c r="R16" i="3"/>
  <c r="M16" i="3"/>
  <c r="G153" i="3"/>
  <c r="AA153" i="3" s="1"/>
  <c r="G156" i="3"/>
  <c r="AA156" i="3" s="1"/>
  <c r="G150" i="3"/>
  <c r="AA150" i="3" s="1"/>
  <c r="G149" i="3"/>
  <c r="AA149" i="3" s="1"/>
  <c r="G157" i="3"/>
  <c r="G151" i="3"/>
  <c r="AA151" i="3" s="1"/>
  <c r="G154" i="3"/>
  <c r="AA154" i="3" s="1"/>
  <c r="G152" i="3"/>
  <c r="AA152" i="3" s="1"/>
  <c r="G148" i="3"/>
  <c r="AA148" i="3" s="1"/>
  <c r="G147" i="3"/>
  <c r="AA147" i="3" s="1"/>
  <c r="G158" i="3"/>
  <c r="AA158" i="3" s="1"/>
  <c r="G155" i="3"/>
  <c r="AA155" i="3" s="1"/>
  <c r="C18" i="3"/>
  <c r="D18" i="3"/>
  <c r="H17" i="3"/>
  <c r="J17" i="3"/>
  <c r="K17" i="3"/>
  <c r="N17" i="3"/>
  <c r="L17" i="3"/>
  <c r="AG149" i="3" l="1"/>
  <c r="AD146" i="3"/>
  <c r="AE146" i="3" s="1"/>
  <c r="Q12" i="3"/>
  <c r="T13" i="3" s="1"/>
  <c r="W13" i="3" s="1"/>
  <c r="Q13" i="3"/>
  <c r="T14" i="3" s="1"/>
  <c r="E18" i="1"/>
  <c r="O15" i="3"/>
  <c r="S14" i="3"/>
  <c r="V14" i="3" s="1"/>
  <c r="P14" i="3" s="1"/>
  <c r="AD154" i="3"/>
  <c r="AE154" i="3" s="1"/>
  <c r="X13" i="3"/>
  <c r="AD151" i="3"/>
  <c r="AE151" i="3" s="1"/>
  <c r="AD155" i="3"/>
  <c r="AE155" i="3" s="1"/>
  <c r="AD156" i="3"/>
  <c r="U16" i="3"/>
  <c r="C48" i="7"/>
  <c r="AA157" i="3"/>
  <c r="AD159" i="3" s="1"/>
  <c r="D49" i="7"/>
  <c r="J32" i="1"/>
  <c r="B32" i="1"/>
  <c r="R17" i="3"/>
  <c r="M17" i="3"/>
  <c r="G164" i="3"/>
  <c r="AA164" i="3" s="1"/>
  <c r="G163" i="3"/>
  <c r="AA163" i="3" s="1"/>
  <c r="G165" i="3"/>
  <c r="AA165" i="3" s="1"/>
  <c r="G167" i="3"/>
  <c r="AA167" i="3" s="1"/>
  <c r="G161" i="3"/>
  <c r="AA161" i="3" s="1"/>
  <c r="G160" i="3"/>
  <c r="AA160" i="3" s="1"/>
  <c r="G169" i="3"/>
  <c r="AA169" i="3" s="1"/>
  <c r="G168" i="3"/>
  <c r="AA168" i="3" s="1"/>
  <c r="G166" i="3"/>
  <c r="AA166" i="3" s="1"/>
  <c r="G159" i="3"/>
  <c r="AA159" i="3" s="1"/>
  <c r="G170" i="3"/>
  <c r="AA170" i="3" s="1"/>
  <c r="G162" i="3"/>
  <c r="AA162" i="3" s="1"/>
  <c r="C19" i="3"/>
  <c r="D19" i="3"/>
  <c r="H18" i="3"/>
  <c r="J18" i="3"/>
  <c r="K18" i="3"/>
  <c r="N18" i="3" s="1"/>
  <c r="L18" i="3"/>
  <c r="AD170" i="3" l="1"/>
  <c r="AE170" i="3" s="1"/>
  <c r="Y12" i="3"/>
  <c r="W14" i="3"/>
  <c r="X14" i="3" s="1"/>
  <c r="Y13" i="3"/>
  <c r="H37" i="7"/>
  <c r="I37" i="7" s="1"/>
  <c r="Q14" i="3"/>
  <c r="P15" i="3"/>
  <c r="O16" i="3"/>
  <c r="S15" i="3"/>
  <c r="V15" i="3" s="1"/>
  <c r="AD162" i="3"/>
  <c r="AE162" i="3" s="1"/>
  <c r="AD163" i="3"/>
  <c r="AE163" i="3" s="1"/>
  <c r="AD158" i="3"/>
  <c r="AE158" i="3" s="1"/>
  <c r="AD167" i="3"/>
  <c r="AE167" i="3" s="1"/>
  <c r="AD166" i="3"/>
  <c r="AE166" i="3" s="1"/>
  <c r="AD168" i="3"/>
  <c r="AE168" i="3" s="1"/>
  <c r="U17" i="3"/>
  <c r="AE160" i="3"/>
  <c r="D50" i="7"/>
  <c r="C49" i="7"/>
  <c r="J33" i="1"/>
  <c r="B33" i="1"/>
  <c r="M18" i="3"/>
  <c r="R18" i="3"/>
  <c r="J19" i="3"/>
  <c r="K19" i="3"/>
  <c r="H19" i="3"/>
  <c r="N19" i="3" s="1"/>
  <c r="L19" i="3"/>
  <c r="G175" i="3"/>
  <c r="AA175" i="3" s="1"/>
  <c r="G172" i="3"/>
  <c r="AA172" i="3" s="1"/>
  <c r="G173" i="3"/>
  <c r="AA173" i="3" s="1"/>
  <c r="G179" i="3"/>
  <c r="AA179" i="3" s="1"/>
  <c r="G177" i="3"/>
  <c r="AA177" i="3" s="1"/>
  <c r="G178" i="3"/>
  <c r="AA178" i="3" s="1"/>
  <c r="G176" i="3"/>
  <c r="AA176" i="3" s="1"/>
  <c r="G174" i="3"/>
  <c r="AA174" i="3" s="1"/>
  <c r="G180" i="3"/>
  <c r="AA180" i="3" s="1"/>
  <c r="G171" i="3"/>
  <c r="AA171" i="3" s="1"/>
  <c r="G181" i="3"/>
  <c r="AA181" i="3" s="1"/>
  <c r="G182" i="3"/>
  <c r="C20" i="3"/>
  <c r="D20" i="3"/>
  <c r="AD178" i="3" l="1"/>
  <c r="AE178" i="3" s="1"/>
  <c r="O17" i="3"/>
  <c r="S16" i="3"/>
  <c r="V16" i="3" s="1"/>
  <c r="D18" i="1"/>
  <c r="T15" i="3"/>
  <c r="W15" i="3" s="1"/>
  <c r="X15" i="3" s="1"/>
  <c r="Q15" i="3"/>
  <c r="T16" i="3" s="1"/>
  <c r="P16" i="3"/>
  <c r="Y14" i="3"/>
  <c r="AD175" i="3"/>
  <c r="AE175" i="3" s="1"/>
  <c r="AD174" i="3"/>
  <c r="AE174" i="3" s="1"/>
  <c r="AD171" i="3"/>
  <c r="AE171" i="3" s="1"/>
  <c r="AD179" i="3"/>
  <c r="AE179" i="3" s="1"/>
  <c r="N20" i="3"/>
  <c r="U18" i="3"/>
  <c r="AA182" i="3"/>
  <c r="AD182" i="3" s="1"/>
  <c r="AE182" i="3" s="1"/>
  <c r="D51" i="7"/>
  <c r="C50" i="7"/>
  <c r="J34" i="1"/>
  <c r="B34" i="1"/>
  <c r="C21" i="3"/>
  <c r="D21" i="3"/>
  <c r="J20" i="3"/>
  <c r="H20" i="3"/>
  <c r="K20" i="3"/>
  <c r="L20" i="3"/>
  <c r="G191" i="3"/>
  <c r="AA191" i="3" s="1"/>
  <c r="G192" i="3"/>
  <c r="AA192" i="3" s="1"/>
  <c r="G193" i="3"/>
  <c r="AA193" i="3" s="1"/>
  <c r="G185" i="3"/>
  <c r="AA185" i="3" s="1"/>
  <c r="G184" i="3"/>
  <c r="AA184" i="3" s="1"/>
  <c r="G183" i="3"/>
  <c r="AA183" i="3" s="1"/>
  <c r="AD186" i="3" s="1"/>
  <c r="AE186" i="3" s="1"/>
  <c r="G190" i="3"/>
  <c r="AA190" i="3" s="1"/>
  <c r="G189" i="3"/>
  <c r="AA189" i="3" s="1"/>
  <c r="G187" i="3"/>
  <c r="AA187" i="3" s="1"/>
  <c r="G186" i="3"/>
  <c r="AA186" i="3" s="1"/>
  <c r="G188" i="3"/>
  <c r="AA188" i="3" s="1"/>
  <c r="G194" i="3"/>
  <c r="R19" i="3"/>
  <c r="M19" i="3"/>
  <c r="AG185" i="3" l="1"/>
  <c r="AD190" i="3"/>
  <c r="AE190" i="3" s="1"/>
  <c r="W16" i="3"/>
  <c r="Q16" i="3"/>
  <c r="T17" i="3" s="1"/>
  <c r="P17" i="3"/>
  <c r="Q17" i="3" s="1"/>
  <c r="T18" i="3" s="1"/>
  <c r="X16" i="3"/>
  <c r="Y15" i="3"/>
  <c r="O18" i="3"/>
  <c r="S17" i="3"/>
  <c r="V17" i="3" s="1"/>
  <c r="L18" i="1"/>
  <c r="G18" i="1" s="1"/>
  <c r="J37" i="7" s="1"/>
  <c r="F18" i="1"/>
  <c r="AD187" i="3"/>
  <c r="AE187" i="3" s="1"/>
  <c r="AD198" i="3"/>
  <c r="AE198" i="3" s="1"/>
  <c r="AD183" i="3"/>
  <c r="AE183" i="3" s="1"/>
  <c r="AD191" i="3"/>
  <c r="AE191" i="3" s="1"/>
  <c r="U19" i="3"/>
  <c r="C51" i="7"/>
  <c r="AA194" i="3"/>
  <c r="AD195" i="3" s="1"/>
  <c r="AE195" i="3" s="1"/>
  <c r="D52" i="7"/>
  <c r="J35" i="1"/>
  <c r="B35" i="1"/>
  <c r="H21" i="3"/>
  <c r="K21" i="3"/>
  <c r="J21" i="3"/>
  <c r="L21" i="3"/>
  <c r="R20" i="3"/>
  <c r="M20" i="3"/>
  <c r="C22" i="3"/>
  <c r="D22" i="3"/>
  <c r="G196" i="3"/>
  <c r="AA196" i="3" s="1"/>
  <c r="G201" i="3"/>
  <c r="AA201" i="3" s="1"/>
  <c r="G203" i="3"/>
  <c r="AA203" i="3" s="1"/>
  <c r="G200" i="3"/>
  <c r="AA200" i="3" s="1"/>
  <c r="G205" i="3"/>
  <c r="AA205" i="3" s="1"/>
  <c r="G202" i="3"/>
  <c r="AA202" i="3" s="1"/>
  <c r="G204" i="3"/>
  <c r="AA204" i="3" s="1"/>
  <c r="G198" i="3"/>
  <c r="AA198" i="3" s="1"/>
  <c r="G197" i="3"/>
  <c r="AA197" i="3" s="1"/>
  <c r="G195" i="3"/>
  <c r="AA195" i="3" s="1"/>
  <c r="G206" i="3"/>
  <c r="G199" i="3"/>
  <c r="AA199" i="3" s="1"/>
  <c r="AD194" i="3" l="1"/>
  <c r="AE194" i="3" s="1"/>
  <c r="W17" i="3"/>
  <c r="W18" i="3" s="1"/>
  <c r="O19" i="3"/>
  <c r="S18" i="3"/>
  <c r="V18" i="3" s="1"/>
  <c r="P18" i="3" s="1"/>
  <c r="X17" i="3"/>
  <c r="Y17" i="3" s="1"/>
  <c r="Y16" i="3"/>
  <c r="AD202" i="3"/>
  <c r="AE202" i="3" s="1"/>
  <c r="AD199" i="3"/>
  <c r="AE199" i="3" s="1"/>
  <c r="AD203" i="3"/>
  <c r="AE203" i="3" s="1"/>
  <c r="U20" i="3"/>
  <c r="N21" i="3"/>
  <c r="AA206" i="3"/>
  <c r="AD207" i="3" s="1"/>
  <c r="AE207" i="3" s="1"/>
  <c r="D53" i="7"/>
  <c r="C52" i="7"/>
  <c r="J36" i="1"/>
  <c r="B36" i="1"/>
  <c r="C23" i="3"/>
  <c r="D23" i="3"/>
  <c r="M21" i="3"/>
  <c r="R21" i="3"/>
  <c r="G217" i="3"/>
  <c r="AA217" i="3" s="1"/>
  <c r="G212" i="3"/>
  <c r="AA212" i="3" s="1"/>
  <c r="G211" i="3"/>
  <c r="AA211" i="3" s="1"/>
  <c r="G210" i="3"/>
  <c r="AA210" i="3" s="1"/>
  <c r="G216" i="3"/>
  <c r="AA216" i="3" s="1"/>
  <c r="G214" i="3"/>
  <c r="AA214" i="3" s="1"/>
  <c r="G208" i="3"/>
  <c r="AA208" i="3" s="1"/>
  <c r="G209" i="3"/>
  <c r="AA209" i="3" s="1"/>
  <c r="G207" i="3"/>
  <c r="AA207" i="3" s="1"/>
  <c r="G213" i="3"/>
  <c r="AA213" i="3" s="1"/>
  <c r="G215" i="3"/>
  <c r="AA215" i="3" s="1"/>
  <c r="G218" i="3"/>
  <c r="J22" i="3"/>
  <c r="K22" i="3"/>
  <c r="H22" i="3"/>
  <c r="L22" i="3"/>
  <c r="AD206" i="3" l="1"/>
  <c r="AE206" i="3" s="1"/>
  <c r="O20" i="3"/>
  <c r="S19" i="3"/>
  <c r="V19" i="3" s="1"/>
  <c r="AD214" i="3"/>
  <c r="AE214" i="3" s="1"/>
  <c r="P19" i="3"/>
  <c r="Q18" i="3"/>
  <c r="T19" i="3" s="1"/>
  <c r="W19" i="3" s="1"/>
  <c r="N22" i="3"/>
  <c r="X18" i="3"/>
  <c r="AD210" i="3"/>
  <c r="AE210" i="3" s="1"/>
  <c r="AD211" i="3"/>
  <c r="AE211" i="3" s="1"/>
  <c r="AD215" i="3"/>
  <c r="AE215" i="3" s="1"/>
  <c r="U21" i="3"/>
  <c r="C53" i="7"/>
  <c r="AA218" i="3"/>
  <c r="AD218" i="3" s="1"/>
  <c r="AE218" i="3" s="1"/>
  <c r="D54" i="7"/>
  <c r="J37" i="1"/>
  <c r="B37" i="1"/>
  <c r="C24" i="3"/>
  <c r="D24" i="3"/>
  <c r="R22" i="3"/>
  <c r="M22" i="3"/>
  <c r="K23" i="3"/>
  <c r="H23" i="3"/>
  <c r="J23" i="3"/>
  <c r="L23" i="3"/>
  <c r="Y18" i="3" l="1"/>
  <c r="X19" i="3"/>
  <c r="O21" i="3"/>
  <c r="S20" i="3"/>
  <c r="V20" i="3" s="1"/>
  <c r="Q19" i="3"/>
  <c r="T20" i="3" s="1"/>
  <c r="W20" i="3" s="1"/>
  <c r="P20" i="3"/>
  <c r="Q20" i="3" s="1"/>
  <c r="T21" i="3" s="1"/>
  <c r="U22" i="3"/>
  <c r="C54" i="7"/>
  <c r="J38" i="1"/>
  <c r="B38" i="1"/>
  <c r="N23" i="3"/>
  <c r="C25" i="3"/>
  <c r="D25" i="3"/>
  <c r="M23" i="3"/>
  <c r="R23" i="3"/>
  <c r="K24" i="3"/>
  <c r="J24" i="3"/>
  <c r="H24" i="3"/>
  <c r="L24" i="3"/>
  <c r="W21" i="3" l="1"/>
  <c r="O22" i="3"/>
  <c r="S21" i="3"/>
  <c r="V21" i="3" s="1"/>
  <c r="P21" i="3" s="1"/>
  <c r="Q21" i="3" s="1"/>
  <c r="T22" i="3" s="1"/>
  <c r="X20" i="3"/>
  <c r="Y19" i="3"/>
  <c r="U23" i="3"/>
  <c r="J39" i="1"/>
  <c r="B39" i="1"/>
  <c r="N24" i="3"/>
  <c r="N25" i="3" s="1"/>
  <c r="C26" i="3"/>
  <c r="D26" i="3"/>
  <c r="M24" i="3"/>
  <c r="R24" i="3"/>
  <c r="H25" i="3"/>
  <c r="K25" i="3"/>
  <c r="J25" i="3"/>
  <c r="L25" i="3"/>
  <c r="W22" i="3" l="1"/>
  <c r="X21" i="3"/>
  <c r="Y21" i="3" s="1"/>
  <c r="Y20" i="3"/>
  <c r="O23" i="3"/>
  <c r="S22" i="3"/>
  <c r="V22" i="3" s="1"/>
  <c r="U24" i="3"/>
  <c r="J40" i="1"/>
  <c r="B40" i="1"/>
  <c r="R25" i="3"/>
  <c r="M25" i="3"/>
  <c r="C27" i="3"/>
  <c r="D27" i="3"/>
  <c r="J26" i="3"/>
  <c r="K26" i="3"/>
  <c r="H26" i="3"/>
  <c r="L26" i="3"/>
  <c r="N26" i="3" l="1"/>
  <c r="G38" i="7" s="1"/>
  <c r="O24" i="3"/>
  <c r="S23" i="3"/>
  <c r="V23" i="3" s="1"/>
  <c r="P22" i="3"/>
  <c r="Q22" i="3" s="1"/>
  <c r="T23" i="3" s="1"/>
  <c r="W23" i="3" s="1"/>
  <c r="X22" i="3"/>
  <c r="U25" i="3"/>
  <c r="J41" i="1"/>
  <c r="B41" i="1"/>
  <c r="M26" i="3"/>
  <c r="R26" i="3"/>
  <c r="C28" i="3"/>
  <c r="D28" i="3"/>
  <c r="K27" i="3"/>
  <c r="J27" i="3"/>
  <c r="H27" i="3"/>
  <c r="L27" i="3"/>
  <c r="N27" i="3" l="1"/>
  <c r="Y22" i="3"/>
  <c r="X23" i="3"/>
  <c r="P23" i="3"/>
  <c r="O25" i="3"/>
  <c r="S24" i="3"/>
  <c r="V24" i="3" s="1"/>
  <c r="U26" i="3"/>
  <c r="J42" i="1"/>
  <c r="B42" i="1"/>
  <c r="H28" i="3"/>
  <c r="J28" i="3"/>
  <c r="K28" i="3"/>
  <c r="N28" i="3"/>
  <c r="L28" i="3"/>
  <c r="M27" i="3"/>
  <c r="R27" i="3"/>
  <c r="C29" i="3"/>
  <c r="D29" i="3"/>
  <c r="O26" i="3" l="1"/>
  <c r="S25" i="3"/>
  <c r="V25" i="3" s="1"/>
  <c r="Q23" i="3"/>
  <c r="T24" i="3" s="1"/>
  <c r="W24" i="3" s="1"/>
  <c r="P24" i="3"/>
  <c r="X24" i="3"/>
  <c r="X25" i="3" s="1"/>
  <c r="U27" i="3"/>
  <c r="J43" i="1"/>
  <c r="B43" i="1"/>
  <c r="C30" i="3"/>
  <c r="D30" i="3"/>
  <c r="M28" i="3"/>
  <c r="R28" i="3"/>
  <c r="H29" i="3"/>
  <c r="K29" i="3"/>
  <c r="N29" i="3"/>
  <c r="J29" i="3"/>
  <c r="L29" i="3"/>
  <c r="P25" i="3" l="1"/>
  <c r="Q25" i="3" s="1"/>
  <c r="Q24" i="3"/>
  <c r="Y23" i="3"/>
  <c r="O27" i="3"/>
  <c r="E19" i="1"/>
  <c r="S26" i="3"/>
  <c r="V26" i="3" s="1"/>
  <c r="U28" i="3"/>
  <c r="J44" i="1"/>
  <c r="B44" i="1"/>
  <c r="R29" i="3"/>
  <c r="M29" i="3"/>
  <c r="C31" i="3"/>
  <c r="D31" i="3"/>
  <c r="J30" i="3"/>
  <c r="H30" i="3"/>
  <c r="N30" i="3" s="1"/>
  <c r="K30" i="3"/>
  <c r="L30" i="3"/>
  <c r="P26" i="3" l="1"/>
  <c r="Q26" i="3" s="1"/>
  <c r="U29" i="3"/>
  <c r="O28" i="3"/>
  <c r="S27" i="3"/>
  <c r="V27" i="3" s="1"/>
  <c r="H38" i="7"/>
  <c r="I38" i="7" s="1"/>
  <c r="T25" i="3"/>
  <c r="W25" i="3" s="1"/>
  <c r="Y24" i="3"/>
  <c r="T26" i="3"/>
  <c r="Y25" i="3"/>
  <c r="J45" i="1"/>
  <c r="B45" i="1"/>
  <c r="G221" i="3"/>
  <c r="AA221" i="3" s="1"/>
  <c r="G228" i="3"/>
  <c r="AA228" i="3" s="1"/>
  <c r="G229" i="3"/>
  <c r="AA229" i="3" s="1"/>
  <c r="G224" i="3"/>
  <c r="AA224" i="3" s="1"/>
  <c r="G227" i="3"/>
  <c r="AA227" i="3" s="1"/>
  <c r="G226" i="3"/>
  <c r="AA226" i="3" s="1"/>
  <c r="G219" i="3"/>
  <c r="AA219" i="3" s="1"/>
  <c r="G222" i="3"/>
  <c r="AA222" i="3" s="1"/>
  <c r="G230" i="3"/>
  <c r="G225" i="3"/>
  <c r="AA225" i="3" s="1"/>
  <c r="G223" i="3"/>
  <c r="AA223" i="3" s="1"/>
  <c r="G220" i="3"/>
  <c r="AA220" i="3" s="1"/>
  <c r="C32" i="3"/>
  <c r="D32" i="3"/>
  <c r="M30" i="3"/>
  <c r="R30" i="3"/>
  <c r="H31" i="3"/>
  <c r="N31" i="3" s="1"/>
  <c r="J31" i="3"/>
  <c r="K31" i="3"/>
  <c r="L31" i="3"/>
  <c r="P27" i="3" l="1"/>
  <c r="Q27" i="3" s="1"/>
  <c r="T28" i="3" s="1"/>
  <c r="W26" i="3"/>
  <c r="X26" i="3" s="1"/>
  <c r="Y26" i="3" s="1"/>
  <c r="U30" i="3"/>
  <c r="D19" i="1"/>
  <c r="T27" i="3"/>
  <c r="O29" i="3"/>
  <c r="S28" i="3"/>
  <c r="V28" i="3" s="1"/>
  <c r="AD223" i="3"/>
  <c r="AE223" i="3" s="1"/>
  <c r="AD222" i="3"/>
  <c r="AE222" i="3" s="1"/>
  <c r="AD219" i="3"/>
  <c r="AE219" i="3" s="1"/>
  <c r="AD230" i="3"/>
  <c r="AE230" i="3" s="1"/>
  <c r="AD227" i="3"/>
  <c r="AE227" i="3" s="1"/>
  <c r="AE220" i="3"/>
  <c r="AD226" i="3"/>
  <c r="AE226" i="3" s="1"/>
  <c r="AE224" i="3"/>
  <c r="AA230" i="3"/>
  <c r="D55" i="7"/>
  <c r="J46" i="1"/>
  <c r="B46" i="1"/>
  <c r="M31" i="3"/>
  <c r="R31" i="3"/>
  <c r="H32" i="3"/>
  <c r="K32" i="3"/>
  <c r="J32" i="3"/>
  <c r="N32" i="3"/>
  <c r="L32" i="3"/>
  <c r="C33" i="3"/>
  <c r="D33" i="3"/>
  <c r="P28" i="3" l="1"/>
  <c r="Q28" i="3" s="1"/>
  <c r="T29" i="3" s="1"/>
  <c r="U31" i="3"/>
  <c r="W27" i="3"/>
  <c r="X27" i="3" s="1"/>
  <c r="X28" i="3" s="1"/>
  <c r="L19" i="1"/>
  <c r="G19" i="1" s="1"/>
  <c r="J38" i="7" s="1"/>
  <c r="F19" i="1"/>
  <c r="O30" i="3"/>
  <c r="S29" i="3"/>
  <c r="V29" i="3" s="1"/>
  <c r="C55" i="7"/>
  <c r="J47" i="1"/>
  <c r="B47" i="1"/>
  <c r="C34" i="3"/>
  <c r="D34" i="3"/>
  <c r="M32" i="3"/>
  <c r="R32" i="3"/>
  <c r="U32" i="3" s="1"/>
  <c r="H33" i="3"/>
  <c r="K33" i="3"/>
  <c r="J33" i="3"/>
  <c r="L33" i="3"/>
  <c r="P29" i="3" l="1"/>
  <c r="Q29" i="3" s="1"/>
  <c r="T30" i="3" s="1"/>
  <c r="W28" i="3"/>
  <c r="W29" i="3" s="1"/>
  <c r="Y27" i="3"/>
  <c r="O31" i="3"/>
  <c r="S30" i="3"/>
  <c r="V30" i="3" s="1"/>
  <c r="X29" i="3"/>
  <c r="Y28" i="3"/>
  <c r="N33" i="3"/>
  <c r="J48" i="1"/>
  <c r="B48" i="1"/>
  <c r="M33" i="3"/>
  <c r="R33" i="3"/>
  <c r="U33" i="3" s="1"/>
  <c r="J34" i="3"/>
  <c r="H34" i="3"/>
  <c r="K34" i="3"/>
  <c r="L34" i="3"/>
  <c r="C35" i="3"/>
  <c r="D35" i="3"/>
  <c r="P30" i="3" l="1"/>
  <c r="Q30" i="3" s="1"/>
  <c r="T31" i="3" s="1"/>
  <c r="W30" i="3"/>
  <c r="X30" i="3" s="1"/>
  <c r="Y29" i="3"/>
  <c r="N34" i="3"/>
  <c r="O32" i="3"/>
  <c r="S31" i="3"/>
  <c r="V31" i="3" s="1"/>
  <c r="J49" i="1"/>
  <c r="B49" i="1"/>
  <c r="R34" i="3"/>
  <c r="U34" i="3" s="1"/>
  <c r="M34" i="3"/>
  <c r="K35" i="3"/>
  <c r="H35" i="3"/>
  <c r="J35" i="3"/>
  <c r="L35" i="3"/>
  <c r="C36" i="3"/>
  <c r="D36" i="3"/>
  <c r="Y30" i="3" l="1"/>
  <c r="P31" i="3"/>
  <c r="Q31" i="3" s="1"/>
  <c r="T32" i="3" s="1"/>
  <c r="W31" i="3"/>
  <c r="O33" i="3"/>
  <c r="S32" i="3"/>
  <c r="V32" i="3" s="1"/>
  <c r="N35" i="3"/>
  <c r="B50" i="1"/>
  <c r="J50" i="1"/>
  <c r="F4" i="9"/>
  <c r="C37" i="3"/>
  <c r="D37" i="3"/>
  <c r="M35" i="3"/>
  <c r="R35" i="3"/>
  <c r="U35" i="3" s="1"/>
  <c r="H36" i="3"/>
  <c r="K36" i="3"/>
  <c r="J36" i="3"/>
  <c r="L36" i="3"/>
  <c r="P32" i="3" l="1"/>
  <c r="Q32" i="3" s="1"/>
  <c r="T33" i="3" s="1"/>
  <c r="O34" i="3"/>
  <c r="S33" i="3"/>
  <c r="V33" i="3" s="1"/>
  <c r="X31" i="3"/>
  <c r="W32" i="3"/>
  <c r="G394" i="3"/>
  <c r="AA394" i="3" s="1"/>
  <c r="B51" i="1"/>
  <c r="G395" i="3"/>
  <c r="AA395" i="3" s="1"/>
  <c r="G390" i="3"/>
  <c r="AA390" i="3" s="1"/>
  <c r="G388" i="3"/>
  <c r="AA388" i="3" s="1"/>
  <c r="J51" i="1"/>
  <c r="G396" i="3"/>
  <c r="AA396" i="3" s="1"/>
  <c r="G392" i="3"/>
  <c r="AA392" i="3" s="1"/>
  <c r="G397" i="3"/>
  <c r="AA397" i="3" s="1"/>
  <c r="G398" i="3"/>
  <c r="G387" i="3"/>
  <c r="AA387" i="3" s="1"/>
  <c r="G391" i="3"/>
  <c r="AA391" i="3" s="1"/>
  <c r="G389" i="3"/>
  <c r="AA389" i="3" s="1"/>
  <c r="G393" i="3"/>
  <c r="AA393" i="3" s="1"/>
  <c r="F8" i="9"/>
  <c r="F13" i="9" s="1"/>
  <c r="N36" i="3"/>
  <c r="N37" i="3" s="1"/>
  <c r="C38" i="3"/>
  <c r="D38" i="3"/>
  <c r="M36" i="3"/>
  <c r="R36" i="3"/>
  <c r="U36" i="3" s="1"/>
  <c r="J37" i="3"/>
  <c r="K37" i="3"/>
  <c r="H37" i="3"/>
  <c r="L37" i="3"/>
  <c r="P33" i="3" l="1"/>
  <c r="Q33" i="3" s="1"/>
  <c r="T34" i="3" s="1"/>
  <c r="W33" i="3"/>
  <c r="X32" i="3"/>
  <c r="Y31" i="3"/>
  <c r="O35" i="3"/>
  <c r="S34" i="3"/>
  <c r="V34" i="3" s="1"/>
  <c r="J52" i="1"/>
  <c r="B52" i="1"/>
  <c r="G406" i="3"/>
  <c r="AA406" i="3" s="1"/>
  <c r="G403" i="3"/>
  <c r="AA403" i="3" s="1"/>
  <c r="G409" i="3"/>
  <c r="AA409" i="3" s="1"/>
  <c r="G402" i="3"/>
  <c r="AA402" i="3" s="1"/>
  <c r="G410" i="3"/>
  <c r="G405" i="3"/>
  <c r="AA405" i="3" s="1"/>
  <c r="G400" i="3"/>
  <c r="AA400" i="3" s="1"/>
  <c r="G399" i="3"/>
  <c r="AA399" i="3" s="1"/>
  <c r="G404" i="3"/>
  <c r="AA404" i="3" s="1"/>
  <c r="G401" i="3"/>
  <c r="AA401" i="3" s="1"/>
  <c r="G407" i="3"/>
  <c r="AA407" i="3" s="1"/>
  <c r="G408" i="3"/>
  <c r="AA408" i="3" s="1"/>
  <c r="AA398" i="3"/>
  <c r="AD400" i="3" s="1"/>
  <c r="AE400" i="3" s="1"/>
  <c r="AE36" i="3"/>
  <c r="AE60" i="3"/>
  <c r="AE96" i="3"/>
  <c r="AE144" i="3"/>
  <c r="AG161" i="3" s="1"/>
  <c r="AE156" i="3"/>
  <c r="AE159" i="3"/>
  <c r="AG177" i="3" s="1"/>
  <c r="C39" i="3"/>
  <c r="D39" i="3"/>
  <c r="H38" i="3"/>
  <c r="J38" i="3"/>
  <c r="K38" i="3"/>
  <c r="L38" i="3"/>
  <c r="M37" i="3"/>
  <c r="R37" i="3"/>
  <c r="U37" i="3" s="1"/>
  <c r="W34" i="3" l="1"/>
  <c r="AG114" i="3"/>
  <c r="AG113" i="3"/>
  <c r="AG78" i="3"/>
  <c r="AG77" i="3"/>
  <c r="AG165" i="3"/>
  <c r="AG173" i="3"/>
  <c r="AG54" i="3"/>
  <c r="AG53" i="3"/>
  <c r="N38" i="3"/>
  <c r="G39" i="7" s="1"/>
  <c r="AG162" i="3"/>
  <c r="AG153" i="3"/>
  <c r="AG174" i="3"/>
  <c r="O36" i="3"/>
  <c r="S36" i="3" s="1"/>
  <c r="S35" i="3"/>
  <c r="V35" i="3" s="1"/>
  <c r="X33" i="3"/>
  <c r="Y33" i="3" s="1"/>
  <c r="Y32" i="3"/>
  <c r="P34" i="3"/>
  <c r="Q34" i="3" s="1"/>
  <c r="T35" i="3" s="1"/>
  <c r="AD398" i="3"/>
  <c r="AE398" i="3" s="1"/>
  <c r="AD408" i="3"/>
  <c r="AE408" i="3" s="1"/>
  <c r="AA410" i="3"/>
  <c r="B53" i="1"/>
  <c r="G415" i="3"/>
  <c r="AA415" i="3" s="1"/>
  <c r="G422" i="3"/>
  <c r="G411" i="3"/>
  <c r="AA411" i="3" s="1"/>
  <c r="G421" i="3"/>
  <c r="AA421" i="3" s="1"/>
  <c r="G413" i="3"/>
  <c r="AA413" i="3" s="1"/>
  <c r="G414" i="3"/>
  <c r="AA414" i="3" s="1"/>
  <c r="G420" i="3"/>
  <c r="AA420" i="3" s="1"/>
  <c r="G418" i="3"/>
  <c r="AA418" i="3" s="1"/>
  <c r="G419" i="3"/>
  <c r="AA419" i="3" s="1"/>
  <c r="G416" i="3"/>
  <c r="AA416" i="3" s="1"/>
  <c r="G412" i="3"/>
  <c r="AA412" i="3" s="1"/>
  <c r="G417" i="3"/>
  <c r="AA417" i="3" s="1"/>
  <c r="J53" i="1"/>
  <c r="R38" i="3"/>
  <c r="U38" i="3" s="1"/>
  <c r="M38" i="3"/>
  <c r="C40" i="3"/>
  <c r="D40" i="3"/>
  <c r="J39" i="3"/>
  <c r="H39" i="3"/>
  <c r="K39" i="3"/>
  <c r="L39" i="3"/>
  <c r="W35" i="3" l="1"/>
  <c r="N39" i="3"/>
  <c r="N40" i="3" s="1"/>
  <c r="E46" i="7"/>
  <c r="O37" i="3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O63" i="3" s="1"/>
  <c r="O64" i="3" s="1"/>
  <c r="O65" i="3" s="1"/>
  <c r="O66" i="3" s="1"/>
  <c r="O67" i="3" s="1"/>
  <c r="O68" i="3" s="1"/>
  <c r="O69" i="3" s="1"/>
  <c r="O70" i="3" s="1"/>
  <c r="O71" i="3" s="1"/>
  <c r="O72" i="3" s="1"/>
  <c r="O73" i="3" s="1"/>
  <c r="O74" i="3" s="1"/>
  <c r="O75" i="3" s="1"/>
  <c r="O76" i="3" s="1"/>
  <c r="O77" i="3" s="1"/>
  <c r="O78" i="3" s="1"/>
  <c r="O79" i="3" s="1"/>
  <c r="O80" i="3" s="1"/>
  <c r="O81" i="3" s="1"/>
  <c r="O82" i="3" s="1"/>
  <c r="O83" i="3" s="1"/>
  <c r="O84" i="3" s="1"/>
  <c r="O85" i="3" s="1"/>
  <c r="O86" i="3" s="1"/>
  <c r="O87" i="3" s="1"/>
  <c r="O88" i="3" s="1"/>
  <c r="O89" i="3" s="1"/>
  <c r="O90" i="3" s="1"/>
  <c r="O91" i="3" s="1"/>
  <c r="O92" i="3" s="1"/>
  <c r="O93" i="3" s="1"/>
  <c r="O94" i="3" s="1"/>
  <c r="O95" i="3" s="1"/>
  <c r="O96" i="3" s="1"/>
  <c r="O97" i="3" s="1"/>
  <c r="O98" i="3" s="1"/>
  <c r="O99" i="3" s="1"/>
  <c r="O100" i="3" s="1"/>
  <c r="O101" i="3" s="1"/>
  <c r="O102" i="3" s="1"/>
  <c r="O103" i="3" s="1"/>
  <c r="O104" i="3" s="1"/>
  <c r="O105" i="3" s="1"/>
  <c r="O106" i="3" s="1"/>
  <c r="O107" i="3" s="1"/>
  <c r="O108" i="3" s="1"/>
  <c r="O109" i="3" s="1"/>
  <c r="O110" i="3" s="1"/>
  <c r="O111" i="3" s="1"/>
  <c r="O112" i="3" s="1"/>
  <c r="O113" i="3" s="1"/>
  <c r="O114" i="3" s="1"/>
  <c r="O115" i="3" s="1"/>
  <c r="O116" i="3" s="1"/>
  <c r="O117" i="3" s="1"/>
  <c r="O118" i="3" s="1"/>
  <c r="O119" i="3" s="1"/>
  <c r="O120" i="3" s="1"/>
  <c r="O121" i="3" s="1"/>
  <c r="O122" i="3" s="1"/>
  <c r="O123" i="3" s="1"/>
  <c r="O124" i="3" s="1"/>
  <c r="O125" i="3" s="1"/>
  <c r="O126" i="3" s="1"/>
  <c r="O127" i="3" s="1"/>
  <c r="O128" i="3" s="1"/>
  <c r="O129" i="3" s="1"/>
  <c r="O130" i="3" s="1"/>
  <c r="O131" i="3" s="1"/>
  <c r="O132" i="3" s="1"/>
  <c r="O133" i="3" s="1"/>
  <c r="O134" i="3" s="1"/>
  <c r="O135" i="3" s="1"/>
  <c r="O136" i="3" s="1"/>
  <c r="O137" i="3" s="1"/>
  <c r="O138" i="3" s="1"/>
  <c r="O139" i="3" s="1"/>
  <c r="O140" i="3" s="1"/>
  <c r="O141" i="3" s="1"/>
  <c r="O142" i="3" s="1"/>
  <c r="O143" i="3" s="1"/>
  <c r="O144" i="3" s="1"/>
  <c r="O145" i="3" s="1"/>
  <c r="O146" i="3" s="1"/>
  <c r="O147" i="3" s="1"/>
  <c r="O148" i="3" s="1"/>
  <c r="O149" i="3" s="1"/>
  <c r="O150" i="3" s="1"/>
  <c r="O151" i="3" s="1"/>
  <c r="O152" i="3" s="1"/>
  <c r="O153" i="3" s="1"/>
  <c r="O154" i="3" s="1"/>
  <c r="O155" i="3" s="1"/>
  <c r="O156" i="3" s="1"/>
  <c r="O157" i="3" s="1"/>
  <c r="O158" i="3" s="1"/>
  <c r="O159" i="3" s="1"/>
  <c r="O160" i="3" s="1"/>
  <c r="O161" i="3" s="1"/>
  <c r="O162" i="3" s="1"/>
  <c r="O163" i="3" s="1"/>
  <c r="O164" i="3" s="1"/>
  <c r="O165" i="3" s="1"/>
  <c r="O166" i="3" s="1"/>
  <c r="O167" i="3" s="1"/>
  <c r="O168" i="3" s="1"/>
  <c r="O169" i="3" s="1"/>
  <c r="O170" i="3" s="1"/>
  <c r="O171" i="3" s="1"/>
  <c r="O172" i="3" s="1"/>
  <c r="O173" i="3" s="1"/>
  <c r="O174" i="3" s="1"/>
  <c r="O175" i="3" s="1"/>
  <c r="O176" i="3" s="1"/>
  <c r="O177" i="3" s="1"/>
  <c r="O178" i="3" s="1"/>
  <c r="O179" i="3" s="1"/>
  <c r="O180" i="3" s="1"/>
  <c r="P35" i="3"/>
  <c r="Q35" i="3" s="1"/>
  <c r="T36" i="3" s="1"/>
  <c r="W36" i="3" s="1"/>
  <c r="V36" i="3"/>
  <c r="X34" i="3"/>
  <c r="E51" i="7"/>
  <c r="E50" i="7"/>
  <c r="AD420" i="3"/>
  <c r="AE420" i="3" s="1"/>
  <c r="J54" i="1"/>
  <c r="AA422" i="3"/>
  <c r="B54" i="1"/>
  <c r="G430" i="3"/>
  <c r="AA430" i="3" s="1"/>
  <c r="G425" i="3"/>
  <c r="AA425" i="3" s="1"/>
  <c r="G424" i="3"/>
  <c r="AA424" i="3" s="1"/>
  <c r="G433" i="3"/>
  <c r="AA433" i="3" s="1"/>
  <c r="G427" i="3"/>
  <c r="AA427" i="3" s="1"/>
  <c r="G428" i="3"/>
  <c r="AA428" i="3" s="1"/>
  <c r="G431" i="3"/>
  <c r="AA431" i="3" s="1"/>
  <c r="G423" i="3"/>
  <c r="AA423" i="3" s="1"/>
  <c r="G426" i="3"/>
  <c r="AA426" i="3" s="1"/>
  <c r="G429" i="3"/>
  <c r="AA429" i="3" s="1"/>
  <c r="G432" i="3"/>
  <c r="AA432" i="3" s="1"/>
  <c r="G434" i="3"/>
  <c r="R39" i="3"/>
  <c r="U39" i="3" s="1"/>
  <c r="M39" i="3"/>
  <c r="C41" i="3"/>
  <c r="D41" i="3"/>
  <c r="J40" i="3"/>
  <c r="H40" i="3"/>
  <c r="K40" i="3"/>
  <c r="L40" i="3"/>
  <c r="S38" i="3" l="1"/>
  <c r="E20" i="1"/>
  <c r="S37" i="3"/>
  <c r="V37" i="3" s="1"/>
  <c r="P36" i="3"/>
  <c r="Q36" i="3" s="1"/>
  <c r="T37" i="3" s="1"/>
  <c r="W37" i="3" s="1"/>
  <c r="Y34" i="3"/>
  <c r="X35" i="3"/>
  <c r="E28" i="1"/>
  <c r="AD432" i="3"/>
  <c r="AE432" i="3" s="1"/>
  <c r="AA434" i="3"/>
  <c r="B55" i="1"/>
  <c r="G444" i="3"/>
  <c r="AA444" i="3" s="1"/>
  <c r="G443" i="3"/>
  <c r="AA443" i="3" s="1"/>
  <c r="G445" i="3"/>
  <c r="AA445" i="3" s="1"/>
  <c r="G440" i="3"/>
  <c r="AA440" i="3" s="1"/>
  <c r="G435" i="3"/>
  <c r="AA435" i="3" s="1"/>
  <c r="G439" i="3"/>
  <c r="AA439" i="3" s="1"/>
  <c r="G442" i="3"/>
  <c r="AA442" i="3" s="1"/>
  <c r="G441" i="3"/>
  <c r="AA441" i="3" s="1"/>
  <c r="G437" i="3"/>
  <c r="AA437" i="3" s="1"/>
  <c r="G446" i="3"/>
  <c r="G436" i="3"/>
  <c r="AA436" i="3" s="1"/>
  <c r="G438" i="3"/>
  <c r="AA438" i="3" s="1"/>
  <c r="J55" i="1"/>
  <c r="R40" i="3"/>
  <c r="U40" i="3" s="1"/>
  <c r="M40" i="3"/>
  <c r="K41" i="3"/>
  <c r="J41" i="3"/>
  <c r="H41" i="3"/>
  <c r="N41" i="3"/>
  <c r="L41" i="3"/>
  <c r="S39" i="3"/>
  <c r="C42" i="3"/>
  <c r="D42" i="3"/>
  <c r="V38" i="3" l="1"/>
  <c r="V39" i="3" s="1"/>
  <c r="P37" i="3"/>
  <c r="Q37" i="3" s="1"/>
  <c r="T38" i="3" s="1"/>
  <c r="W38" i="3" s="1"/>
  <c r="Y35" i="3"/>
  <c r="X36" i="3"/>
  <c r="AD444" i="3"/>
  <c r="AE444" i="3" s="1"/>
  <c r="J56" i="1"/>
  <c r="AA446" i="3"/>
  <c r="B56" i="1"/>
  <c r="G455" i="3"/>
  <c r="AA455" i="3" s="1"/>
  <c r="G451" i="3"/>
  <c r="AA451" i="3" s="1"/>
  <c r="G448" i="3"/>
  <c r="AA448" i="3" s="1"/>
  <c r="G454" i="3"/>
  <c r="AA454" i="3" s="1"/>
  <c r="G453" i="3"/>
  <c r="AA453" i="3" s="1"/>
  <c r="G450" i="3"/>
  <c r="AA450" i="3" s="1"/>
  <c r="G452" i="3"/>
  <c r="AA452" i="3" s="1"/>
  <c r="G457" i="3"/>
  <c r="AA457" i="3" s="1"/>
  <c r="G449" i="3"/>
  <c r="AA449" i="3" s="1"/>
  <c r="G447" i="3"/>
  <c r="AA447" i="3" s="1"/>
  <c r="G456" i="3"/>
  <c r="AA456" i="3" s="1"/>
  <c r="G458" i="3"/>
  <c r="J42" i="3"/>
  <c r="K42" i="3"/>
  <c r="H42" i="3"/>
  <c r="N42" i="3"/>
  <c r="L42" i="3"/>
  <c r="C43" i="3"/>
  <c r="D43" i="3"/>
  <c r="S40" i="3"/>
  <c r="M41" i="3"/>
  <c r="R41" i="3"/>
  <c r="U41" i="3" s="1"/>
  <c r="V40" i="3" l="1"/>
  <c r="P38" i="3"/>
  <c r="X37" i="3"/>
  <c r="Y36" i="3"/>
  <c r="AD456" i="3"/>
  <c r="AE456" i="3" s="1"/>
  <c r="AA458" i="3"/>
  <c r="B57" i="1"/>
  <c r="G465" i="3"/>
  <c r="AA465" i="3" s="1"/>
  <c r="G461" i="3"/>
  <c r="AA461" i="3" s="1"/>
  <c r="G459" i="3"/>
  <c r="AA459" i="3" s="1"/>
  <c r="G466" i="3"/>
  <c r="AA466" i="3" s="1"/>
  <c r="G468" i="3"/>
  <c r="AA468" i="3" s="1"/>
  <c r="G464" i="3"/>
  <c r="AA464" i="3" s="1"/>
  <c r="G460" i="3"/>
  <c r="AA460" i="3" s="1"/>
  <c r="G469" i="3"/>
  <c r="AA469" i="3" s="1"/>
  <c r="G467" i="3"/>
  <c r="AA467" i="3" s="1"/>
  <c r="G462" i="3"/>
  <c r="AA462" i="3" s="1"/>
  <c r="G463" i="3"/>
  <c r="AA463" i="3" s="1"/>
  <c r="G470" i="3"/>
  <c r="J57" i="1"/>
  <c r="R42" i="3"/>
  <c r="U42" i="3" s="1"/>
  <c r="M42" i="3"/>
  <c r="C44" i="3"/>
  <c r="D44" i="3"/>
  <c r="J43" i="3"/>
  <c r="N43" i="3" s="1"/>
  <c r="K43" i="3"/>
  <c r="H43" i="3"/>
  <c r="L43" i="3"/>
  <c r="S41" i="3"/>
  <c r="V41" i="3" s="1"/>
  <c r="P39" i="3" l="1"/>
  <c r="Q38" i="3"/>
  <c r="H39" i="7"/>
  <c r="I39" i="7" s="1"/>
  <c r="X38" i="3"/>
  <c r="Y37" i="3"/>
  <c r="AD468" i="3"/>
  <c r="AE468" i="3" s="1"/>
  <c r="J58" i="1"/>
  <c r="AA470" i="3"/>
  <c r="B58" i="1"/>
  <c r="G476" i="3"/>
  <c r="AA476" i="3" s="1"/>
  <c r="G478" i="3"/>
  <c r="AA478" i="3" s="1"/>
  <c r="G473" i="3"/>
  <c r="AA473" i="3" s="1"/>
  <c r="G482" i="3"/>
  <c r="G481" i="3"/>
  <c r="AA481" i="3" s="1"/>
  <c r="G474" i="3"/>
  <c r="AA474" i="3" s="1"/>
  <c r="G471" i="3"/>
  <c r="AA471" i="3" s="1"/>
  <c r="G480" i="3"/>
  <c r="AA480" i="3" s="1"/>
  <c r="G472" i="3"/>
  <c r="AA472" i="3" s="1"/>
  <c r="G477" i="3"/>
  <c r="AA477" i="3" s="1"/>
  <c r="G475" i="3"/>
  <c r="AA475" i="3" s="1"/>
  <c r="G479" i="3"/>
  <c r="AA479" i="3" s="1"/>
  <c r="G238" i="3"/>
  <c r="AA238" i="3" s="1"/>
  <c r="G235" i="3"/>
  <c r="AA235" i="3" s="1"/>
  <c r="G241" i="3"/>
  <c r="AA241" i="3" s="1"/>
  <c r="G234" i="3"/>
  <c r="AA234" i="3" s="1"/>
  <c r="G231" i="3"/>
  <c r="AA231" i="3" s="1"/>
  <c r="G240" i="3"/>
  <c r="AA240" i="3" s="1"/>
  <c r="G239" i="3"/>
  <c r="AA239" i="3" s="1"/>
  <c r="G232" i="3"/>
  <c r="AA232" i="3" s="1"/>
  <c r="G233" i="3"/>
  <c r="AA233" i="3" s="1"/>
  <c r="G236" i="3"/>
  <c r="AA236" i="3" s="1"/>
  <c r="G237" i="3"/>
  <c r="AA237" i="3" s="1"/>
  <c r="G242" i="3"/>
  <c r="N44" i="3"/>
  <c r="K44" i="3"/>
  <c r="J44" i="3"/>
  <c r="H44" i="3"/>
  <c r="L44" i="3"/>
  <c r="M43" i="3"/>
  <c r="R43" i="3"/>
  <c r="U43" i="3" s="1"/>
  <c r="C45" i="3"/>
  <c r="D45" i="3"/>
  <c r="S42" i="3"/>
  <c r="V42" i="3" s="1"/>
  <c r="D20" i="1" l="1"/>
  <c r="T39" i="3"/>
  <c r="W39" i="3" s="1"/>
  <c r="Q39" i="3"/>
  <c r="T40" i="3" s="1"/>
  <c r="P40" i="3"/>
  <c r="AD238" i="3"/>
  <c r="AE238" i="3" s="1"/>
  <c r="Y38" i="3"/>
  <c r="X39" i="3"/>
  <c r="AD235" i="3"/>
  <c r="AE235" i="3" s="1"/>
  <c r="AD234" i="3"/>
  <c r="AE234" i="3" s="1"/>
  <c r="AD231" i="3"/>
  <c r="AE231" i="3" s="1"/>
  <c r="AD239" i="3"/>
  <c r="AE239" i="3" s="1"/>
  <c r="AD480" i="3"/>
  <c r="AE480" i="3" s="1"/>
  <c r="AA482" i="3"/>
  <c r="B59" i="1"/>
  <c r="G483" i="3"/>
  <c r="AA483" i="3" s="1"/>
  <c r="G490" i="3"/>
  <c r="AA490" i="3" s="1"/>
  <c r="G493" i="3"/>
  <c r="AA493" i="3" s="1"/>
  <c r="G488" i="3"/>
  <c r="AA488" i="3" s="1"/>
  <c r="G485" i="3"/>
  <c r="AA485" i="3" s="1"/>
  <c r="G486" i="3"/>
  <c r="AA486" i="3" s="1"/>
  <c r="G492" i="3"/>
  <c r="AA492" i="3" s="1"/>
  <c r="G484" i="3"/>
  <c r="AA484" i="3" s="1"/>
  <c r="G491" i="3"/>
  <c r="AA491" i="3" s="1"/>
  <c r="G487" i="3"/>
  <c r="AA487" i="3" s="1"/>
  <c r="G494" i="3"/>
  <c r="G489" i="3"/>
  <c r="AA489" i="3" s="1"/>
  <c r="J59" i="1"/>
  <c r="AA242" i="3"/>
  <c r="AD242" i="3" s="1"/>
  <c r="AE242" i="3" s="1"/>
  <c r="D56" i="7"/>
  <c r="C46" i="3"/>
  <c r="D46" i="3"/>
  <c r="R44" i="3"/>
  <c r="U44" i="3" s="1"/>
  <c r="M44" i="3"/>
  <c r="S43" i="3"/>
  <c r="V43" i="3" s="1"/>
  <c r="J45" i="3"/>
  <c r="K45" i="3"/>
  <c r="H45" i="3"/>
  <c r="L45" i="3"/>
  <c r="P41" i="3" l="1"/>
  <c r="Q40" i="3"/>
  <c r="T41" i="3" s="1"/>
  <c r="W40" i="3"/>
  <c r="F20" i="1"/>
  <c r="L20" i="1"/>
  <c r="G20" i="1" s="1"/>
  <c r="J39" i="7" s="1"/>
  <c r="Y39" i="3"/>
  <c r="X40" i="3"/>
  <c r="AD492" i="3"/>
  <c r="AE492" i="3" s="1"/>
  <c r="N45" i="3"/>
  <c r="J60" i="1"/>
  <c r="AA494" i="3"/>
  <c r="B60" i="1"/>
  <c r="G505" i="3"/>
  <c r="AA505" i="3" s="1"/>
  <c r="G503" i="3"/>
  <c r="AA503" i="3" s="1"/>
  <c r="G502" i="3"/>
  <c r="AA502" i="3" s="1"/>
  <c r="G501" i="3"/>
  <c r="AA501" i="3" s="1"/>
  <c r="G499" i="3"/>
  <c r="AA499" i="3" s="1"/>
  <c r="G500" i="3"/>
  <c r="AA500" i="3" s="1"/>
  <c r="G506" i="3"/>
  <c r="G498" i="3"/>
  <c r="AA498" i="3" s="1"/>
  <c r="G495" i="3"/>
  <c r="AA495" i="3" s="1"/>
  <c r="G504" i="3"/>
  <c r="AA504" i="3" s="1"/>
  <c r="G496" i="3"/>
  <c r="AA496" i="3" s="1"/>
  <c r="G497" i="3"/>
  <c r="AA497" i="3" s="1"/>
  <c r="C56" i="7"/>
  <c r="C47" i="3"/>
  <c r="D47" i="3"/>
  <c r="K46" i="3"/>
  <c r="J46" i="3"/>
  <c r="H46" i="3"/>
  <c r="L46" i="3"/>
  <c r="R45" i="3"/>
  <c r="U45" i="3" s="1"/>
  <c r="M45" i="3"/>
  <c r="S44" i="3"/>
  <c r="V44" i="3" s="1"/>
  <c r="W41" i="3" l="1"/>
  <c r="P42" i="3"/>
  <c r="Q41" i="3"/>
  <c r="T42" i="3" s="1"/>
  <c r="X41" i="3"/>
  <c r="Y40" i="3"/>
  <c r="N46" i="3"/>
  <c r="AD504" i="3"/>
  <c r="AE504" i="3" s="1"/>
  <c r="AA506" i="3"/>
  <c r="B61" i="1"/>
  <c r="G516" i="3"/>
  <c r="AA516" i="3" s="1"/>
  <c r="G514" i="3"/>
  <c r="AA514" i="3" s="1"/>
  <c r="G510" i="3"/>
  <c r="AA510" i="3" s="1"/>
  <c r="G512" i="3"/>
  <c r="AA512" i="3" s="1"/>
  <c r="G513" i="3"/>
  <c r="AA513" i="3" s="1"/>
  <c r="G515" i="3"/>
  <c r="AA515" i="3" s="1"/>
  <c r="G511" i="3"/>
  <c r="AA511" i="3" s="1"/>
  <c r="G518" i="3"/>
  <c r="G509" i="3"/>
  <c r="AA509" i="3" s="1"/>
  <c r="G507" i="3"/>
  <c r="AA507" i="3" s="1"/>
  <c r="G508" i="3"/>
  <c r="AA508" i="3" s="1"/>
  <c r="G517" i="3"/>
  <c r="AA517" i="3" s="1"/>
  <c r="J61" i="1"/>
  <c r="S45" i="3"/>
  <c r="V45" i="3" s="1"/>
  <c r="H47" i="3"/>
  <c r="K47" i="3"/>
  <c r="J47" i="3"/>
  <c r="L47" i="3"/>
  <c r="M46" i="3"/>
  <c r="R46" i="3"/>
  <c r="U46" i="3" s="1"/>
  <c r="C48" i="3"/>
  <c r="D48" i="3"/>
  <c r="W42" i="3" l="1"/>
  <c r="Q42" i="3"/>
  <c r="T43" i="3" s="1"/>
  <c r="P43" i="3"/>
  <c r="Y41" i="3"/>
  <c r="X42" i="3"/>
  <c r="N47" i="3"/>
  <c r="AD516" i="3"/>
  <c r="AE516" i="3" s="1"/>
  <c r="J62" i="1"/>
  <c r="AA518" i="3"/>
  <c r="B62" i="1"/>
  <c r="G524" i="3"/>
  <c r="AA524" i="3" s="1"/>
  <c r="G521" i="3"/>
  <c r="AA521" i="3" s="1"/>
  <c r="G522" i="3"/>
  <c r="AA522" i="3" s="1"/>
  <c r="G526" i="3"/>
  <c r="AA526" i="3" s="1"/>
  <c r="G528" i="3"/>
  <c r="AA528" i="3" s="1"/>
  <c r="G520" i="3"/>
  <c r="AA520" i="3" s="1"/>
  <c r="G527" i="3"/>
  <c r="AA527" i="3" s="1"/>
  <c r="G529" i="3"/>
  <c r="AA529" i="3" s="1"/>
  <c r="G519" i="3"/>
  <c r="AA519" i="3" s="1"/>
  <c r="G530" i="3"/>
  <c r="G523" i="3"/>
  <c r="AA523" i="3" s="1"/>
  <c r="G525" i="3"/>
  <c r="AA525" i="3" s="1"/>
  <c r="C49" i="3"/>
  <c r="D49" i="3"/>
  <c r="M47" i="3"/>
  <c r="R47" i="3"/>
  <c r="U47" i="3" s="1"/>
  <c r="J48" i="3"/>
  <c r="K48" i="3"/>
  <c r="H48" i="3"/>
  <c r="L48" i="3"/>
  <c r="S46" i="3"/>
  <c r="V46" i="3" s="1"/>
  <c r="W43" i="3" l="1"/>
  <c r="P44" i="3"/>
  <c r="Q43" i="3"/>
  <c r="T44" i="3" s="1"/>
  <c r="X43" i="3"/>
  <c r="Y42" i="3"/>
  <c r="AD528" i="3"/>
  <c r="AE528" i="3" s="1"/>
  <c r="AA530" i="3"/>
  <c r="B63" i="1"/>
  <c r="G531" i="3"/>
  <c r="AA531" i="3" s="1"/>
  <c r="G540" i="3"/>
  <c r="AA540" i="3" s="1"/>
  <c r="G534" i="3"/>
  <c r="AA534" i="3" s="1"/>
  <c r="G538" i="3"/>
  <c r="AA538" i="3" s="1"/>
  <c r="G539" i="3"/>
  <c r="AA539" i="3" s="1"/>
  <c r="G537" i="3"/>
  <c r="AA537" i="3" s="1"/>
  <c r="G535" i="3"/>
  <c r="AA535" i="3" s="1"/>
  <c r="G533" i="3"/>
  <c r="AA533" i="3" s="1"/>
  <c r="G532" i="3"/>
  <c r="AA532" i="3" s="1"/>
  <c r="G542" i="3"/>
  <c r="G536" i="3"/>
  <c r="AA536" i="3" s="1"/>
  <c r="G541" i="3"/>
  <c r="AA541" i="3" s="1"/>
  <c r="J63" i="1"/>
  <c r="N48" i="3"/>
  <c r="N49" i="3" s="1"/>
  <c r="J49" i="3"/>
  <c r="H49" i="3"/>
  <c r="K49" i="3"/>
  <c r="L49" i="3"/>
  <c r="M48" i="3"/>
  <c r="R48" i="3"/>
  <c r="U48" i="3" s="1"/>
  <c r="C50" i="3"/>
  <c r="D50" i="3"/>
  <c r="S47" i="3"/>
  <c r="V47" i="3" s="1"/>
  <c r="W44" i="3" l="1"/>
  <c r="Q44" i="3"/>
  <c r="T45" i="3" s="1"/>
  <c r="P45" i="3"/>
  <c r="X44" i="3"/>
  <c r="Y43" i="3"/>
  <c r="AD540" i="3"/>
  <c r="AE540" i="3" s="1"/>
  <c r="J64" i="1"/>
  <c r="AA542" i="3"/>
  <c r="B64" i="1"/>
  <c r="B65" i="1" s="1"/>
  <c r="G6" i="14" s="1"/>
  <c r="G551" i="3"/>
  <c r="AA551" i="3" s="1"/>
  <c r="G549" i="3"/>
  <c r="AA549" i="3" s="1"/>
  <c r="G546" i="3"/>
  <c r="AA546" i="3" s="1"/>
  <c r="G547" i="3"/>
  <c r="AA547" i="3" s="1"/>
  <c r="G554" i="3"/>
  <c r="G545" i="3"/>
  <c r="AA545" i="3" s="1"/>
  <c r="G552" i="3"/>
  <c r="AA552" i="3" s="1"/>
  <c r="G544" i="3"/>
  <c r="AA544" i="3" s="1"/>
  <c r="G550" i="3"/>
  <c r="AA550" i="3" s="1"/>
  <c r="G553" i="3"/>
  <c r="AA553" i="3" s="1"/>
  <c r="G548" i="3"/>
  <c r="AA548" i="3" s="1"/>
  <c r="G543" i="3"/>
  <c r="AA543" i="3" s="1"/>
  <c r="C51" i="3"/>
  <c r="D51" i="3"/>
  <c r="R49" i="3"/>
  <c r="U49" i="3" s="1"/>
  <c r="M49" i="3"/>
  <c r="S48" i="3"/>
  <c r="V48" i="3" s="1"/>
  <c r="H50" i="3"/>
  <c r="K50" i="3"/>
  <c r="J50" i="3"/>
  <c r="L50" i="3"/>
  <c r="N50" i="3" l="1"/>
  <c r="G40" i="7" s="1"/>
  <c r="W45" i="3"/>
  <c r="Q45" i="3"/>
  <c r="T46" i="3" s="1"/>
  <c r="P46" i="3"/>
  <c r="Y44" i="3"/>
  <c r="X45" i="3"/>
  <c r="AD552" i="3"/>
  <c r="AE552" i="3" s="1"/>
  <c r="B16" i="1"/>
  <c r="I19" i="7" s="1"/>
  <c r="G570" i="3"/>
  <c r="AA570" i="3" s="1"/>
  <c r="G568" i="3"/>
  <c r="AA568" i="3" s="1"/>
  <c r="G575" i="3"/>
  <c r="AA575" i="3" s="1"/>
  <c r="G578" i="3"/>
  <c r="G569" i="3"/>
  <c r="AA569" i="3" s="1"/>
  <c r="G573" i="3"/>
  <c r="AA573" i="3" s="1"/>
  <c r="G574" i="3"/>
  <c r="AA574" i="3" s="1"/>
  <c r="G571" i="3"/>
  <c r="AA571" i="3" s="1"/>
  <c r="G577" i="3"/>
  <c r="AA577" i="3" s="1"/>
  <c r="G567" i="3"/>
  <c r="AA567" i="3" s="1"/>
  <c r="G572" i="3"/>
  <c r="AA572" i="3" s="1"/>
  <c r="G576" i="3"/>
  <c r="AA576" i="3" s="1"/>
  <c r="AA554" i="3"/>
  <c r="G564" i="3"/>
  <c r="AA564" i="3" s="1"/>
  <c r="G562" i="3"/>
  <c r="AA562" i="3" s="1"/>
  <c r="G559" i="3"/>
  <c r="AA559" i="3" s="1"/>
  <c r="G563" i="3"/>
  <c r="AA563" i="3" s="1"/>
  <c r="G555" i="3"/>
  <c r="AA555" i="3" s="1"/>
  <c r="AD554" i="3" s="1"/>
  <c r="AE554" i="3" s="1"/>
  <c r="G557" i="3"/>
  <c r="AA557" i="3" s="1"/>
  <c r="G565" i="3"/>
  <c r="AA565" i="3" s="1"/>
  <c r="G556" i="3"/>
  <c r="AA556" i="3" s="1"/>
  <c r="G566" i="3"/>
  <c r="G561" i="3"/>
  <c r="AA561" i="3" s="1"/>
  <c r="G558" i="3"/>
  <c r="AA558" i="3" s="1"/>
  <c r="G560" i="3"/>
  <c r="AA560" i="3" s="1"/>
  <c r="J65" i="1"/>
  <c r="M50" i="3"/>
  <c r="R50" i="3"/>
  <c r="U50" i="3" s="1"/>
  <c r="S49" i="3"/>
  <c r="V49" i="3" s="1"/>
  <c r="J51" i="3"/>
  <c r="K51" i="3"/>
  <c r="H51" i="3"/>
  <c r="N51" i="3"/>
  <c r="L51" i="3"/>
  <c r="C52" i="3"/>
  <c r="D52" i="3"/>
  <c r="W46" i="3" l="1"/>
  <c r="X46" i="3" s="1"/>
  <c r="Q46" i="3"/>
  <c r="T47" i="3" s="1"/>
  <c r="P47" i="3"/>
  <c r="Y45" i="3"/>
  <c r="N5" i="7"/>
  <c r="F22" i="8"/>
  <c r="AD564" i="3"/>
  <c r="AE564" i="3" s="1"/>
  <c r="D15" i="1"/>
  <c r="AD180" i="3"/>
  <c r="AE180" i="3" s="1"/>
  <c r="AG197" i="3" s="1"/>
  <c r="AD192" i="3"/>
  <c r="AE192" i="3" s="1"/>
  <c r="AG209" i="3" s="1"/>
  <c r="AD204" i="3"/>
  <c r="AE204" i="3" s="1"/>
  <c r="AD216" i="3"/>
  <c r="AE216" i="3" s="1"/>
  <c r="AG233" i="3" s="1"/>
  <c r="AD228" i="3"/>
  <c r="AE228" i="3" s="1"/>
  <c r="AG245" i="3" s="1"/>
  <c r="AD240" i="3"/>
  <c r="AE240" i="3" s="1"/>
  <c r="AA566" i="3"/>
  <c r="AD566" i="3" s="1"/>
  <c r="AE566" i="3" s="1"/>
  <c r="E21" i="1"/>
  <c r="K21" i="1" s="1"/>
  <c r="H52" i="3"/>
  <c r="J52" i="3"/>
  <c r="K52" i="3"/>
  <c r="N52" i="3"/>
  <c r="L52" i="3"/>
  <c r="M51" i="3"/>
  <c r="R51" i="3"/>
  <c r="U51" i="3" s="1"/>
  <c r="S50" i="3"/>
  <c r="V50" i="3" s="1"/>
  <c r="C53" i="3"/>
  <c r="D53" i="3"/>
  <c r="AG222" i="3" l="1"/>
  <c r="AG221" i="3"/>
  <c r="AG249" i="3"/>
  <c r="AG234" i="3"/>
  <c r="AG225" i="3"/>
  <c r="AG210" i="3"/>
  <c r="AG201" i="3"/>
  <c r="AG246" i="3"/>
  <c r="AG237" i="3"/>
  <c r="AG198" i="3"/>
  <c r="AG189" i="3"/>
  <c r="W47" i="3"/>
  <c r="Q47" i="3"/>
  <c r="T48" i="3" s="1"/>
  <c r="P48" i="3"/>
  <c r="Y46" i="3"/>
  <c r="X47" i="3"/>
  <c r="O181" i="3"/>
  <c r="O182" i="3" s="1"/>
  <c r="O183" i="3" s="1"/>
  <c r="O184" i="3" s="1"/>
  <c r="O185" i="3" s="1"/>
  <c r="O186" i="3" s="1"/>
  <c r="O187" i="3" s="1"/>
  <c r="O188" i="3" s="1"/>
  <c r="O189" i="3" s="1"/>
  <c r="O190" i="3" s="1"/>
  <c r="O191" i="3" s="1"/>
  <c r="O192" i="3" s="1"/>
  <c r="O193" i="3" s="1"/>
  <c r="O194" i="3" s="1"/>
  <c r="O195" i="3" s="1"/>
  <c r="O196" i="3" s="1"/>
  <c r="O197" i="3" s="1"/>
  <c r="O198" i="3" s="1"/>
  <c r="O199" i="3" s="1"/>
  <c r="O200" i="3" s="1"/>
  <c r="O201" i="3" s="1"/>
  <c r="O202" i="3" s="1"/>
  <c r="O203" i="3" s="1"/>
  <c r="O204" i="3" s="1"/>
  <c r="O205" i="3" s="1"/>
  <c r="O206" i="3" s="1"/>
  <c r="O207" i="3" s="1"/>
  <c r="O208" i="3" s="1"/>
  <c r="O209" i="3" s="1"/>
  <c r="O210" i="3" s="1"/>
  <c r="O211" i="3" s="1"/>
  <c r="O212" i="3" s="1"/>
  <c r="O213" i="3" s="1"/>
  <c r="O214" i="3" s="1"/>
  <c r="O215" i="3" s="1"/>
  <c r="O216" i="3" s="1"/>
  <c r="O217" i="3" s="1"/>
  <c r="O218" i="3" s="1"/>
  <c r="O219" i="3" s="1"/>
  <c r="O220" i="3" s="1"/>
  <c r="O221" i="3" s="1"/>
  <c r="O222" i="3" s="1"/>
  <c r="O223" i="3" s="1"/>
  <c r="O224" i="3" s="1"/>
  <c r="O225" i="3" s="1"/>
  <c r="O226" i="3" s="1"/>
  <c r="O227" i="3" s="1"/>
  <c r="O228" i="3" s="1"/>
  <c r="O229" i="3" s="1"/>
  <c r="O230" i="3" s="1"/>
  <c r="O231" i="3" s="1"/>
  <c r="O232" i="3" s="1"/>
  <c r="O233" i="3" s="1"/>
  <c r="O234" i="3" s="1"/>
  <c r="O235" i="3" s="1"/>
  <c r="O236" i="3" s="1"/>
  <c r="O237" i="3" s="1"/>
  <c r="O238" i="3" s="1"/>
  <c r="O239" i="3" s="1"/>
  <c r="O240" i="3" s="1"/>
  <c r="O241" i="3" s="1"/>
  <c r="O242" i="3" s="1"/>
  <c r="O243" i="3" s="1"/>
  <c r="O244" i="3" s="1"/>
  <c r="AD576" i="3"/>
  <c r="AE576" i="3" s="1"/>
  <c r="S51" i="3"/>
  <c r="V51" i="3" s="1"/>
  <c r="M52" i="3"/>
  <c r="R52" i="3"/>
  <c r="U52" i="3" s="1"/>
  <c r="C54" i="3"/>
  <c r="D54" i="3"/>
  <c r="H53" i="3"/>
  <c r="N53" i="3"/>
  <c r="K53" i="3"/>
  <c r="J53" i="3"/>
  <c r="L53" i="3"/>
  <c r="W48" i="3" l="1"/>
  <c r="AG33" i="3"/>
  <c r="AG45" i="3"/>
  <c r="AG57" i="3"/>
  <c r="E41" i="7" s="1"/>
  <c r="AG69" i="3"/>
  <c r="AG81" i="3"/>
  <c r="E43" i="7" s="1"/>
  <c r="AG105" i="3"/>
  <c r="AG129" i="3"/>
  <c r="AG141" i="3"/>
  <c r="AG213" i="3"/>
  <c r="AG42" i="3"/>
  <c r="AG66" i="3"/>
  <c r="AG90" i="3"/>
  <c r="E44" i="7" s="1"/>
  <c r="AG102" i="3"/>
  <c r="AG126" i="3"/>
  <c r="AG138" i="3"/>
  <c r="AG150" i="3"/>
  <c r="E49" i="7" s="1"/>
  <c r="AG186" i="3"/>
  <c r="E52" i="7" s="1"/>
  <c r="Q48" i="3"/>
  <c r="T49" i="3" s="1"/>
  <c r="P49" i="3"/>
  <c r="Y47" i="3"/>
  <c r="X48" i="3"/>
  <c r="E55" i="7"/>
  <c r="E53" i="7"/>
  <c r="E56" i="7"/>
  <c r="E54" i="7"/>
  <c r="M53" i="3"/>
  <c r="R53" i="3"/>
  <c r="U53" i="3" s="1"/>
  <c r="H54" i="3"/>
  <c r="J54" i="3"/>
  <c r="N54" i="3"/>
  <c r="K54" i="3"/>
  <c r="L54" i="3"/>
  <c r="C55" i="3"/>
  <c r="D55" i="3"/>
  <c r="S52" i="3"/>
  <c r="V52" i="3" s="1"/>
  <c r="E48" i="7" l="1"/>
  <c r="W49" i="3"/>
  <c r="E45" i="7"/>
  <c r="E47" i="7"/>
  <c r="AH36" i="3"/>
  <c r="AH35" i="3"/>
  <c r="AH33" i="3"/>
  <c r="AH34" i="3"/>
  <c r="AH37" i="3"/>
  <c r="AH40" i="3"/>
  <c r="AH41" i="3"/>
  <c r="E39" i="7"/>
  <c r="AH39" i="3"/>
  <c r="AH38" i="3"/>
  <c r="AH97" i="3"/>
  <c r="AH42" i="3"/>
  <c r="AH45" i="3"/>
  <c r="AH43" i="3"/>
  <c r="AH53" i="3"/>
  <c r="AH57" i="3"/>
  <c r="AH55" i="3"/>
  <c r="AH64" i="3"/>
  <c r="AH52" i="3"/>
  <c r="AH47" i="3"/>
  <c r="AH49" i="3"/>
  <c r="AH63" i="3"/>
  <c r="AH62" i="3"/>
  <c r="AH60" i="3"/>
  <c r="E40" i="7"/>
  <c r="AH46" i="3"/>
  <c r="AH50" i="3"/>
  <c r="AH48" i="3"/>
  <c r="AH61" i="3"/>
  <c r="AH66" i="3"/>
  <c r="AH59" i="3"/>
  <c r="AH54" i="3"/>
  <c r="AH51" i="3"/>
  <c r="AH44" i="3"/>
  <c r="AH65" i="3"/>
  <c r="AH58" i="3"/>
  <c r="AH56" i="3"/>
  <c r="P50" i="3"/>
  <c r="Q49" i="3"/>
  <c r="T50" i="3" s="1"/>
  <c r="W50" i="3" s="1"/>
  <c r="AH84" i="3"/>
  <c r="AH73" i="3"/>
  <c r="AH100" i="3"/>
  <c r="AH74" i="3"/>
  <c r="AH211" i="3"/>
  <c r="AH236" i="3"/>
  <c r="AH151" i="3"/>
  <c r="AH196" i="3"/>
  <c r="AH200" i="3"/>
  <c r="AH212" i="3"/>
  <c r="AH161" i="3"/>
  <c r="AH105" i="3"/>
  <c r="AH229" i="3"/>
  <c r="AH215" i="3"/>
  <c r="AH189" i="3"/>
  <c r="AH112" i="3"/>
  <c r="AH111" i="3"/>
  <c r="AH94" i="3"/>
  <c r="AH137" i="3"/>
  <c r="AH230" i="3"/>
  <c r="AH195" i="3"/>
  <c r="AH240" i="3"/>
  <c r="AH219" i="3"/>
  <c r="AH188" i="3"/>
  <c r="AH237" i="3"/>
  <c r="AH201" i="3"/>
  <c r="AH99" i="3"/>
  <c r="AH130" i="3"/>
  <c r="AH133" i="3"/>
  <c r="AH87" i="3"/>
  <c r="AH222" i="3"/>
  <c r="AH221" i="3"/>
  <c r="AH187" i="3"/>
  <c r="AH246" i="3"/>
  <c r="AH209" i="3"/>
  <c r="AH210" i="3"/>
  <c r="AH179" i="3"/>
  <c r="AH98" i="3"/>
  <c r="AH106" i="3"/>
  <c r="AH81" i="3"/>
  <c r="AH104" i="3"/>
  <c r="AH128" i="3"/>
  <c r="AH80" i="3"/>
  <c r="AH156" i="3"/>
  <c r="AH79" i="3"/>
  <c r="AH102" i="3"/>
  <c r="AH165" i="3"/>
  <c r="AH178" i="3"/>
  <c r="AH95" i="3"/>
  <c r="AH83" i="3"/>
  <c r="AH67" i="3"/>
  <c r="AH75" i="3"/>
  <c r="AH234" i="3"/>
  <c r="Y48" i="3"/>
  <c r="X49" i="3"/>
  <c r="AH197" i="3"/>
  <c r="AH245" i="3"/>
  <c r="AH235" i="3"/>
  <c r="AH204" i="3"/>
  <c r="AH202" i="3"/>
  <c r="AH131" i="3"/>
  <c r="AH82" i="3"/>
  <c r="AH175" i="3"/>
  <c r="AH166" i="3"/>
  <c r="AH177" i="3"/>
  <c r="AH92" i="3"/>
  <c r="AH86" i="3"/>
  <c r="AH176" i="3"/>
  <c r="AH90" i="3"/>
  <c r="AH96" i="3"/>
  <c r="AH158" i="3"/>
  <c r="AH144" i="3"/>
  <c r="AH93" i="3"/>
  <c r="AH69" i="3"/>
  <c r="AH77" i="3"/>
  <c r="AH68" i="3"/>
  <c r="AH119" i="3"/>
  <c r="AH171" i="3"/>
  <c r="AH149" i="3"/>
  <c r="AH159" i="3"/>
  <c r="AH181" i="3"/>
  <c r="AH101" i="3"/>
  <c r="AH88" i="3"/>
  <c r="AH142" i="3"/>
  <c r="AH141" i="3"/>
  <c r="AH89" i="3"/>
  <c r="AH103" i="3"/>
  <c r="AH132" i="3"/>
  <c r="AH85" i="3"/>
  <c r="AH78" i="3"/>
  <c r="AH70" i="3"/>
  <c r="AH249" i="3"/>
  <c r="AH91" i="3"/>
  <c r="AH76" i="3"/>
  <c r="AH71" i="3"/>
  <c r="AH72" i="3"/>
  <c r="E42" i="7"/>
  <c r="AH226" i="3"/>
  <c r="AH214" i="3"/>
  <c r="AH213" i="3"/>
  <c r="AH216" i="3"/>
  <c r="AH193" i="3"/>
  <c r="AH190" i="3"/>
  <c r="AH198" i="3"/>
  <c r="AH241" i="3"/>
  <c r="AH244" i="3"/>
  <c r="AH239" i="3"/>
  <c r="AH217" i="3"/>
  <c r="AH220" i="3"/>
  <c r="AH218" i="3"/>
  <c r="AH194" i="3"/>
  <c r="AH191" i="3"/>
  <c r="AH192" i="3"/>
  <c r="AH242" i="3"/>
  <c r="AH238" i="3"/>
  <c r="AH243" i="3"/>
  <c r="AH207" i="3"/>
  <c r="AH206" i="3"/>
  <c r="AH203" i="3"/>
  <c r="AH135" i="3"/>
  <c r="AH154" i="3"/>
  <c r="AH110" i="3"/>
  <c r="AH162" i="3"/>
  <c r="AH186" i="3"/>
  <c r="AH140" i="3"/>
  <c r="AH126" i="3"/>
  <c r="AH173" i="3"/>
  <c r="AH114" i="3"/>
  <c r="AH115" i="3"/>
  <c r="AH146" i="3"/>
  <c r="AH169" i="3"/>
  <c r="AH160" i="3"/>
  <c r="AH185" i="3"/>
  <c r="AH136" i="3"/>
  <c r="AH116" i="3"/>
  <c r="AH248" i="3"/>
  <c r="AH233" i="3"/>
  <c r="AH208" i="3"/>
  <c r="AH199" i="3"/>
  <c r="AH205" i="3"/>
  <c r="AH184" i="3"/>
  <c r="AH168" i="3"/>
  <c r="AH107" i="3"/>
  <c r="AH127" i="3"/>
  <c r="AH164" i="3"/>
  <c r="AH150" i="3"/>
  <c r="AH124" i="3"/>
  <c r="AH172" i="3"/>
  <c r="AH109" i="3"/>
  <c r="AH138" i="3"/>
  <c r="AH125" i="3"/>
  <c r="AH155" i="3"/>
  <c r="AH108" i="3"/>
  <c r="AH143" i="3"/>
  <c r="AH120" i="3"/>
  <c r="AH223" i="3"/>
  <c r="AH228" i="3"/>
  <c r="AH227" i="3"/>
  <c r="AH231" i="3"/>
  <c r="AH147" i="3"/>
  <c r="AH174" i="3"/>
  <c r="AH157" i="3"/>
  <c r="AH180" i="3"/>
  <c r="AH134" i="3"/>
  <c r="AH167" i="3"/>
  <c r="AH152" i="3"/>
  <c r="AH113" i="3"/>
  <c r="AH148" i="3"/>
  <c r="AH129" i="3"/>
  <c r="AH121" i="3"/>
  <c r="AH163" i="3"/>
  <c r="AH153" i="3"/>
  <c r="AH139" i="3"/>
  <c r="AH118" i="3"/>
  <c r="AH182" i="3"/>
  <c r="AH123" i="3"/>
  <c r="AH170" i="3"/>
  <c r="AH183" i="3"/>
  <c r="AH145" i="3"/>
  <c r="AH117" i="3"/>
  <c r="AH247" i="3"/>
  <c r="AH225" i="3"/>
  <c r="AH224" i="3"/>
  <c r="AH232" i="3"/>
  <c r="AH122" i="3"/>
  <c r="G16" i="14" s="1"/>
  <c r="C56" i="3"/>
  <c r="D56" i="3"/>
  <c r="H55" i="3"/>
  <c r="J55" i="3"/>
  <c r="K55" i="3"/>
  <c r="L55" i="3"/>
  <c r="R54" i="3"/>
  <c r="U54" i="3" s="1"/>
  <c r="M54" i="3"/>
  <c r="S53" i="3"/>
  <c r="V53" i="3" s="1"/>
  <c r="H40" i="7" l="1"/>
  <c r="I40" i="7" s="1"/>
  <c r="Q50" i="3"/>
  <c r="P51" i="3"/>
  <c r="Y49" i="3"/>
  <c r="X50" i="3"/>
  <c r="N55" i="3"/>
  <c r="N56" i="3" s="1"/>
  <c r="G251" i="3"/>
  <c r="AA251" i="3" s="1"/>
  <c r="G246" i="3"/>
  <c r="AA246" i="3" s="1"/>
  <c r="G254" i="3"/>
  <c r="G253" i="3"/>
  <c r="AA253" i="3" s="1"/>
  <c r="G243" i="3"/>
  <c r="AA243" i="3" s="1"/>
  <c r="G245" i="3"/>
  <c r="AA245" i="3" s="1"/>
  <c r="G252" i="3"/>
  <c r="AA252" i="3" s="1"/>
  <c r="G250" i="3"/>
  <c r="AA250" i="3" s="1"/>
  <c r="G247" i="3"/>
  <c r="AA247" i="3" s="1"/>
  <c r="G248" i="3"/>
  <c r="AA248" i="3" s="1"/>
  <c r="G249" i="3"/>
  <c r="AA249" i="3" s="1"/>
  <c r="G244" i="3"/>
  <c r="AA244" i="3" s="1"/>
  <c r="J56" i="3"/>
  <c r="K56" i="3"/>
  <c r="H56" i="3"/>
  <c r="L56" i="3"/>
  <c r="S54" i="3"/>
  <c r="V54" i="3" s="1"/>
  <c r="R55" i="3"/>
  <c r="U55" i="3" s="1"/>
  <c r="M55" i="3"/>
  <c r="C57" i="3"/>
  <c r="D57" i="3"/>
  <c r="Q51" i="3" l="1"/>
  <c r="T52" i="3" s="1"/>
  <c r="P52" i="3"/>
  <c r="D21" i="1"/>
  <c r="T51" i="3"/>
  <c r="W51" i="3" s="1"/>
  <c r="AD250" i="3"/>
  <c r="AE250" i="3" s="1"/>
  <c r="X51" i="3"/>
  <c r="Y50" i="3"/>
  <c r="AD247" i="3"/>
  <c r="AE247" i="3" s="1"/>
  <c r="AD246" i="3"/>
  <c r="AE246" i="3" s="1"/>
  <c r="AD243" i="3"/>
  <c r="AE243" i="3" s="1"/>
  <c r="AD254" i="3"/>
  <c r="AE254" i="3" s="1"/>
  <c r="AD251" i="3"/>
  <c r="AE251" i="3" s="1"/>
  <c r="AD252" i="3"/>
  <c r="AE252" i="3" s="1"/>
  <c r="AA254" i="3"/>
  <c r="D57" i="7"/>
  <c r="C58" i="3"/>
  <c r="D58" i="3"/>
  <c r="H57" i="3"/>
  <c r="J57" i="3"/>
  <c r="K57" i="3"/>
  <c r="L57" i="3"/>
  <c r="S55" i="3"/>
  <c r="V55" i="3" s="1"/>
  <c r="R56" i="3"/>
  <c r="U56" i="3" s="1"/>
  <c r="M56" i="3"/>
  <c r="AG257" i="3" l="1"/>
  <c r="AG261" i="3"/>
  <c r="L21" i="1"/>
  <c r="G21" i="1" s="1"/>
  <c r="J40" i="7" s="1"/>
  <c r="F21" i="1"/>
  <c r="Q52" i="3"/>
  <c r="T53" i="3" s="1"/>
  <c r="P53" i="3"/>
  <c r="W52" i="3"/>
  <c r="O245" i="3"/>
  <c r="O246" i="3" s="1"/>
  <c r="O247" i="3" s="1"/>
  <c r="O248" i="3" s="1"/>
  <c r="O249" i="3" s="1"/>
  <c r="O250" i="3" s="1"/>
  <c r="O251" i="3" s="1"/>
  <c r="O252" i="3" s="1"/>
  <c r="O253" i="3" s="1"/>
  <c r="O254" i="3" s="1"/>
  <c r="O255" i="3" s="1"/>
  <c r="O256" i="3" s="1"/>
  <c r="Y51" i="3"/>
  <c r="X52" i="3"/>
  <c r="AH252" i="3"/>
  <c r="AH251" i="3"/>
  <c r="AH250" i="3"/>
  <c r="C57" i="7"/>
  <c r="S56" i="3"/>
  <c r="V56" i="3" s="1"/>
  <c r="C59" i="3"/>
  <c r="D59" i="3"/>
  <c r="J58" i="3"/>
  <c r="K58" i="3"/>
  <c r="H58" i="3"/>
  <c r="L58" i="3"/>
  <c r="M57" i="3"/>
  <c r="N57" i="3" s="1"/>
  <c r="R57" i="3"/>
  <c r="U57" i="3" s="1"/>
  <c r="W53" i="3" l="1"/>
  <c r="Q53" i="3"/>
  <c r="T54" i="3" s="1"/>
  <c r="P54" i="3"/>
  <c r="E57" i="7"/>
  <c r="N58" i="3"/>
  <c r="X53" i="3"/>
  <c r="Y52" i="3"/>
  <c r="AH254" i="3"/>
  <c r="AH256" i="3"/>
  <c r="AH253" i="3"/>
  <c r="AH255" i="3"/>
  <c r="K59" i="3"/>
  <c r="H59" i="3"/>
  <c r="J59" i="3"/>
  <c r="L59" i="3"/>
  <c r="M58" i="3"/>
  <c r="R58" i="3"/>
  <c r="U58" i="3" s="1"/>
  <c r="S57" i="3"/>
  <c r="V57" i="3" s="1"/>
  <c r="C60" i="3"/>
  <c r="D60" i="3"/>
  <c r="W54" i="3" l="1"/>
  <c r="Q54" i="3"/>
  <c r="T55" i="3" s="1"/>
  <c r="P55" i="3"/>
  <c r="Y53" i="3"/>
  <c r="X54" i="3"/>
  <c r="N59" i="3"/>
  <c r="H60" i="3"/>
  <c r="J60" i="3"/>
  <c r="K60" i="3"/>
  <c r="L60" i="3"/>
  <c r="C61" i="3"/>
  <c r="D61" i="3"/>
  <c r="S58" i="3"/>
  <c r="V58" i="3" s="1"/>
  <c r="R59" i="3"/>
  <c r="U59" i="3" s="1"/>
  <c r="M59" i="3"/>
  <c r="W55" i="3" l="1"/>
  <c r="P56" i="3"/>
  <c r="Q55" i="3"/>
  <c r="T56" i="3" s="1"/>
  <c r="Y54" i="3"/>
  <c r="X55" i="3"/>
  <c r="N60" i="3"/>
  <c r="N61" i="3" s="1"/>
  <c r="R60" i="3"/>
  <c r="U60" i="3" s="1"/>
  <c r="M60" i="3"/>
  <c r="S59" i="3"/>
  <c r="V59" i="3" s="1"/>
  <c r="K61" i="3"/>
  <c r="J61" i="3"/>
  <c r="H61" i="3"/>
  <c r="L61" i="3"/>
  <c r="C62" i="3"/>
  <c r="D62" i="3"/>
  <c r="W56" i="3" l="1"/>
  <c r="Q56" i="3"/>
  <c r="T57" i="3" s="1"/>
  <c r="P57" i="3"/>
  <c r="X56" i="3"/>
  <c r="Y55" i="3"/>
  <c r="C63" i="3"/>
  <c r="D63" i="3"/>
  <c r="R61" i="3"/>
  <c r="U61" i="3" s="1"/>
  <c r="M61" i="3"/>
  <c r="H62" i="3"/>
  <c r="J62" i="3"/>
  <c r="K62" i="3"/>
  <c r="L62" i="3"/>
  <c r="S60" i="3"/>
  <c r="V60" i="3" s="1"/>
  <c r="N62" i="3" l="1"/>
  <c r="G41" i="7" s="1"/>
  <c r="W57" i="3"/>
  <c r="Q57" i="3"/>
  <c r="T58" i="3" s="1"/>
  <c r="P58" i="3"/>
  <c r="Y56" i="3"/>
  <c r="X57" i="3"/>
  <c r="S61" i="3"/>
  <c r="V61" i="3" s="1"/>
  <c r="C64" i="3"/>
  <c r="D64" i="3"/>
  <c r="M62" i="3"/>
  <c r="R62" i="3"/>
  <c r="U62" i="3" s="1"/>
  <c r="J63" i="3"/>
  <c r="K63" i="3"/>
  <c r="N63" i="3" s="1"/>
  <c r="H63" i="3"/>
  <c r="L63" i="3"/>
  <c r="W58" i="3" l="1"/>
  <c r="Q58" i="3"/>
  <c r="T59" i="3" s="1"/>
  <c r="P59" i="3"/>
  <c r="Y57" i="3"/>
  <c r="X58" i="3"/>
  <c r="E22" i="1"/>
  <c r="K22" i="1" s="1"/>
  <c r="C65" i="3"/>
  <c r="D65" i="3"/>
  <c r="S62" i="3"/>
  <c r="V62" i="3" s="1"/>
  <c r="K64" i="3"/>
  <c r="J64" i="3"/>
  <c r="N64" i="3"/>
  <c r="H64" i="3"/>
  <c r="L64" i="3"/>
  <c r="R63" i="3"/>
  <c r="U63" i="3" s="1"/>
  <c r="M63" i="3"/>
  <c r="W59" i="3" l="1"/>
  <c r="Q59" i="3"/>
  <c r="T60" i="3" s="1"/>
  <c r="W60" i="3" s="1"/>
  <c r="P60" i="3"/>
  <c r="Y58" i="3"/>
  <c r="X59" i="3"/>
  <c r="R64" i="3"/>
  <c r="U64" i="3" s="1"/>
  <c r="M64" i="3"/>
  <c r="S63" i="3"/>
  <c r="V63" i="3" s="1"/>
  <c r="C66" i="3"/>
  <c r="D66" i="3"/>
  <c r="J65" i="3"/>
  <c r="K65" i="3"/>
  <c r="H65" i="3"/>
  <c r="N65" i="3"/>
  <c r="L65" i="3"/>
  <c r="Q60" i="3" l="1"/>
  <c r="T61" i="3" s="1"/>
  <c r="W61" i="3" s="1"/>
  <c r="P61" i="3"/>
  <c r="Y59" i="3"/>
  <c r="X60" i="3"/>
  <c r="C67" i="3"/>
  <c r="D67" i="3"/>
  <c r="S64" i="3"/>
  <c r="V64" i="3" s="1"/>
  <c r="H66" i="3"/>
  <c r="K66" i="3"/>
  <c r="N66" i="3" s="1"/>
  <c r="J66" i="3"/>
  <c r="L66" i="3"/>
  <c r="M65" i="3"/>
  <c r="R65" i="3"/>
  <c r="U65" i="3" s="1"/>
  <c r="Q61" i="3" l="1"/>
  <c r="T62" i="3" s="1"/>
  <c r="W62" i="3" s="1"/>
  <c r="P62" i="3"/>
  <c r="Y60" i="3"/>
  <c r="X61" i="3"/>
  <c r="C68" i="3"/>
  <c r="D68" i="3"/>
  <c r="S65" i="3"/>
  <c r="V65" i="3" s="1"/>
  <c r="K67" i="3"/>
  <c r="N67" i="3" s="1"/>
  <c r="J67" i="3"/>
  <c r="H67" i="3"/>
  <c r="L67" i="3"/>
  <c r="M66" i="3"/>
  <c r="R66" i="3"/>
  <c r="U66" i="3" s="1"/>
  <c r="H41" i="7" l="1"/>
  <c r="I41" i="7" s="1"/>
  <c r="P63" i="3"/>
  <c r="Q62" i="3"/>
  <c r="Y61" i="3"/>
  <c r="X62" i="3"/>
  <c r="G256" i="3"/>
  <c r="AA256" i="3" s="1"/>
  <c r="G259" i="3"/>
  <c r="AA259" i="3" s="1"/>
  <c r="G262" i="3"/>
  <c r="AA262" i="3" s="1"/>
  <c r="G263" i="3"/>
  <c r="AA263" i="3" s="1"/>
  <c r="G257" i="3"/>
  <c r="AA257" i="3" s="1"/>
  <c r="G255" i="3"/>
  <c r="AA255" i="3" s="1"/>
  <c r="G266" i="3"/>
  <c r="G261" i="3"/>
  <c r="AA261" i="3" s="1"/>
  <c r="G264" i="3"/>
  <c r="AA264" i="3" s="1"/>
  <c r="G258" i="3"/>
  <c r="AA258" i="3" s="1"/>
  <c r="G260" i="3"/>
  <c r="AA260" i="3" s="1"/>
  <c r="G265" i="3"/>
  <c r="AA265" i="3" s="1"/>
  <c r="H68" i="3"/>
  <c r="K68" i="3"/>
  <c r="J68" i="3"/>
  <c r="N68" i="3"/>
  <c r="L68" i="3"/>
  <c r="S66" i="3"/>
  <c r="V66" i="3" s="1"/>
  <c r="C69" i="3"/>
  <c r="D69" i="3"/>
  <c r="R67" i="3"/>
  <c r="U67" i="3" s="1"/>
  <c r="M67" i="3"/>
  <c r="D22" i="1" l="1"/>
  <c r="T63" i="3"/>
  <c r="W63" i="3" s="1"/>
  <c r="Q63" i="3"/>
  <c r="T64" i="3" s="1"/>
  <c r="P64" i="3"/>
  <c r="AD262" i="3"/>
  <c r="AE262" i="3" s="1"/>
  <c r="Y62" i="3"/>
  <c r="X63" i="3"/>
  <c r="AD259" i="3"/>
  <c r="AE259" i="3" s="1"/>
  <c r="AD258" i="3"/>
  <c r="AE258" i="3" s="1"/>
  <c r="AD255" i="3"/>
  <c r="AE255" i="3" s="1"/>
  <c r="AD266" i="3"/>
  <c r="AE266" i="3" s="1"/>
  <c r="AD263" i="3"/>
  <c r="AE263" i="3" s="1"/>
  <c r="AA266" i="3"/>
  <c r="D58" i="7"/>
  <c r="K69" i="3"/>
  <c r="H69" i="3"/>
  <c r="J69" i="3"/>
  <c r="L69" i="3"/>
  <c r="S67" i="3"/>
  <c r="V67" i="3" s="1"/>
  <c r="R68" i="3"/>
  <c r="U68" i="3" s="1"/>
  <c r="M68" i="3"/>
  <c r="C70" i="3"/>
  <c r="D70" i="3"/>
  <c r="O257" i="3" l="1"/>
  <c r="O258" i="3" s="1"/>
  <c r="O259" i="3" s="1"/>
  <c r="O260" i="3" s="1"/>
  <c r="O261" i="3" s="1"/>
  <c r="O262" i="3" s="1"/>
  <c r="O263" i="3" s="1"/>
  <c r="O264" i="3" s="1"/>
  <c r="W64" i="3"/>
  <c r="L22" i="1"/>
  <c r="G22" i="1" s="1"/>
  <c r="F22" i="1"/>
  <c r="Q64" i="3"/>
  <c r="T65" i="3" s="1"/>
  <c r="P65" i="3"/>
  <c r="X64" i="3"/>
  <c r="Y63" i="3"/>
  <c r="N69" i="3"/>
  <c r="C58" i="7"/>
  <c r="J70" i="3"/>
  <c r="K70" i="3"/>
  <c r="H70" i="3"/>
  <c r="L70" i="3"/>
  <c r="S68" i="3"/>
  <c r="V68" i="3" s="1"/>
  <c r="C71" i="3"/>
  <c r="D71" i="3"/>
  <c r="R69" i="3"/>
  <c r="U69" i="3" s="1"/>
  <c r="M69" i="3"/>
  <c r="W65" i="3" l="1"/>
  <c r="Q65" i="3"/>
  <c r="T66" i="3" s="1"/>
  <c r="P66" i="3"/>
  <c r="J41" i="7"/>
  <c r="N70" i="3"/>
  <c r="X65" i="3"/>
  <c r="Y64" i="3"/>
  <c r="S69" i="3"/>
  <c r="V69" i="3" s="1"/>
  <c r="J71" i="3"/>
  <c r="K71" i="3"/>
  <c r="H71" i="3"/>
  <c r="L71" i="3"/>
  <c r="M70" i="3"/>
  <c r="R70" i="3"/>
  <c r="U70" i="3" s="1"/>
  <c r="C72" i="3"/>
  <c r="D72" i="3"/>
  <c r="W66" i="3" l="1"/>
  <c r="P67" i="3"/>
  <c r="Q66" i="3"/>
  <c r="T67" i="3" s="1"/>
  <c r="Y65" i="3"/>
  <c r="X66" i="3"/>
  <c r="S70" i="3"/>
  <c r="V70" i="3" s="1"/>
  <c r="J72" i="3"/>
  <c r="K72" i="3"/>
  <c r="H72" i="3"/>
  <c r="L72" i="3"/>
  <c r="R71" i="3"/>
  <c r="U71" i="3" s="1"/>
  <c r="M71" i="3"/>
  <c r="C73" i="3"/>
  <c r="D73" i="3"/>
  <c r="N71" i="3"/>
  <c r="W67" i="3" l="1"/>
  <c r="Q67" i="3"/>
  <c r="T68" i="3" s="1"/>
  <c r="P68" i="3"/>
  <c r="Y66" i="3"/>
  <c r="X67" i="3"/>
  <c r="N72" i="3"/>
  <c r="N73" i="3" s="1"/>
  <c r="H73" i="3"/>
  <c r="K73" i="3"/>
  <c r="J73" i="3"/>
  <c r="L73" i="3"/>
  <c r="S71" i="3"/>
  <c r="V71" i="3" s="1"/>
  <c r="M72" i="3"/>
  <c r="R72" i="3"/>
  <c r="U72" i="3" s="1"/>
  <c r="C74" i="3"/>
  <c r="D74" i="3"/>
  <c r="W68" i="3" l="1"/>
  <c r="Q68" i="3"/>
  <c r="T69" i="3" s="1"/>
  <c r="P69" i="3"/>
  <c r="Y67" i="3"/>
  <c r="X68" i="3"/>
  <c r="H74" i="3"/>
  <c r="K74" i="3"/>
  <c r="N74" i="3" s="1"/>
  <c r="G42" i="7" s="1"/>
  <c r="J74" i="3"/>
  <c r="L74" i="3"/>
  <c r="S72" i="3"/>
  <c r="V72" i="3" s="1"/>
  <c r="R73" i="3"/>
  <c r="U73" i="3" s="1"/>
  <c r="M73" i="3"/>
  <c r="C75" i="3"/>
  <c r="D75" i="3"/>
  <c r="W69" i="3" l="1"/>
  <c r="Q69" i="3"/>
  <c r="T70" i="3" s="1"/>
  <c r="P70" i="3"/>
  <c r="X69" i="3"/>
  <c r="Y68" i="3"/>
  <c r="C76" i="3"/>
  <c r="D76" i="3"/>
  <c r="R74" i="3"/>
  <c r="U74" i="3" s="1"/>
  <c r="M74" i="3"/>
  <c r="H75" i="3"/>
  <c r="J75" i="3"/>
  <c r="K75" i="3"/>
  <c r="N75" i="3" s="1"/>
  <c r="L75" i="3"/>
  <c r="S73" i="3"/>
  <c r="V73" i="3" s="1"/>
  <c r="W70" i="3" l="1"/>
  <c r="Q70" i="3"/>
  <c r="T71" i="3" s="1"/>
  <c r="P71" i="3"/>
  <c r="Y69" i="3"/>
  <c r="X70" i="3"/>
  <c r="E23" i="1"/>
  <c r="K23" i="1" s="1"/>
  <c r="C77" i="3"/>
  <c r="D77" i="3"/>
  <c r="S74" i="3"/>
  <c r="V74" i="3" s="1"/>
  <c r="M75" i="3"/>
  <c r="R75" i="3"/>
  <c r="U75" i="3" s="1"/>
  <c r="H76" i="3"/>
  <c r="K76" i="3"/>
  <c r="J76" i="3"/>
  <c r="N76" i="3"/>
  <c r="L76" i="3"/>
  <c r="W71" i="3" l="1"/>
  <c r="Q71" i="3"/>
  <c r="T72" i="3" s="1"/>
  <c r="P72" i="3"/>
  <c r="Y70" i="3"/>
  <c r="X71" i="3"/>
  <c r="M76" i="3"/>
  <c r="R76" i="3"/>
  <c r="U76" i="3" s="1"/>
  <c r="K77" i="3"/>
  <c r="N77" i="3"/>
  <c r="H77" i="3"/>
  <c r="J77" i="3"/>
  <c r="L77" i="3"/>
  <c r="S75" i="3"/>
  <c r="V75" i="3" s="1"/>
  <c r="C78" i="3"/>
  <c r="D78" i="3"/>
  <c r="W72" i="3" l="1"/>
  <c r="Q72" i="3"/>
  <c r="T73" i="3" s="1"/>
  <c r="P73" i="3"/>
  <c r="Y71" i="3"/>
  <c r="X72" i="3"/>
  <c r="S76" i="3"/>
  <c r="V76" i="3" s="1"/>
  <c r="M77" i="3"/>
  <c r="R77" i="3"/>
  <c r="U77" i="3" s="1"/>
  <c r="C79" i="3"/>
  <c r="D79" i="3"/>
  <c r="H78" i="3"/>
  <c r="J78" i="3"/>
  <c r="K78" i="3"/>
  <c r="N78" i="3"/>
  <c r="L78" i="3"/>
  <c r="W73" i="3" l="1"/>
  <c r="Q73" i="3"/>
  <c r="T74" i="3" s="1"/>
  <c r="P74" i="3"/>
  <c r="Y72" i="3"/>
  <c r="X73" i="3"/>
  <c r="C80" i="3"/>
  <c r="D80" i="3"/>
  <c r="R78" i="3"/>
  <c r="U78" i="3" s="1"/>
  <c r="M78" i="3"/>
  <c r="K79" i="3"/>
  <c r="J79" i="3"/>
  <c r="H79" i="3"/>
  <c r="N79" i="3" s="1"/>
  <c r="L79" i="3"/>
  <c r="S77" i="3"/>
  <c r="V77" i="3" s="1"/>
  <c r="W74" i="3" l="1"/>
  <c r="Q74" i="3"/>
  <c r="H42" i="7"/>
  <c r="I42" i="7" s="1"/>
  <c r="P75" i="3"/>
  <c r="Y73" i="3"/>
  <c r="X74" i="3"/>
  <c r="G275" i="3"/>
  <c r="AA275" i="3" s="1"/>
  <c r="G277" i="3"/>
  <c r="AA277" i="3" s="1"/>
  <c r="G276" i="3"/>
  <c r="AA276" i="3" s="1"/>
  <c r="G272" i="3"/>
  <c r="AA272" i="3" s="1"/>
  <c r="G267" i="3"/>
  <c r="AA267" i="3" s="1"/>
  <c r="AD271" i="3" s="1"/>
  <c r="AE271" i="3" s="1"/>
  <c r="G269" i="3"/>
  <c r="AA269" i="3" s="1"/>
  <c r="G268" i="3"/>
  <c r="AA268" i="3" s="1"/>
  <c r="G270" i="3"/>
  <c r="AA270" i="3" s="1"/>
  <c r="G274" i="3"/>
  <c r="AA274" i="3" s="1"/>
  <c r="G273" i="3"/>
  <c r="AA273" i="3" s="1"/>
  <c r="G271" i="3"/>
  <c r="AA271" i="3" s="1"/>
  <c r="G278" i="3"/>
  <c r="C81" i="3"/>
  <c r="D81" i="3"/>
  <c r="S78" i="3"/>
  <c r="V78" i="3" s="1"/>
  <c r="M79" i="3"/>
  <c r="R79" i="3"/>
  <c r="U79" i="3" s="1"/>
  <c r="H80" i="3"/>
  <c r="J80" i="3"/>
  <c r="K80" i="3"/>
  <c r="N80" i="3"/>
  <c r="L80" i="3"/>
  <c r="Q75" i="3" l="1"/>
  <c r="T76" i="3" s="1"/>
  <c r="P76" i="3"/>
  <c r="D23" i="1"/>
  <c r="T75" i="3"/>
  <c r="W75" i="3" s="1"/>
  <c r="Y74" i="3"/>
  <c r="X75" i="3"/>
  <c r="AD267" i="3"/>
  <c r="AE267" i="3" s="1"/>
  <c r="AD269" i="3"/>
  <c r="AE269" i="3" s="1"/>
  <c r="AA278" i="3"/>
  <c r="D59" i="7"/>
  <c r="S79" i="3"/>
  <c r="V79" i="3" s="1"/>
  <c r="R80" i="3"/>
  <c r="U80" i="3" s="1"/>
  <c r="M80" i="3"/>
  <c r="C82" i="3"/>
  <c r="D82" i="3"/>
  <c r="H81" i="3"/>
  <c r="J81" i="3"/>
  <c r="K81" i="3"/>
  <c r="L81" i="3"/>
  <c r="Q76" i="3" l="1"/>
  <c r="T77" i="3" s="1"/>
  <c r="P77" i="3"/>
  <c r="L23" i="1"/>
  <c r="G23" i="1" s="1"/>
  <c r="F23" i="1"/>
  <c r="W76" i="3"/>
  <c r="Y75" i="3"/>
  <c r="X76" i="3"/>
  <c r="N81" i="3"/>
  <c r="C59" i="7"/>
  <c r="C83" i="3"/>
  <c r="D83" i="3"/>
  <c r="S80" i="3"/>
  <c r="V80" i="3" s="1"/>
  <c r="R81" i="3"/>
  <c r="U81" i="3" s="1"/>
  <c r="M81" i="3"/>
  <c r="H82" i="3"/>
  <c r="J82" i="3"/>
  <c r="K82" i="3"/>
  <c r="L82" i="3"/>
  <c r="Q77" i="3" l="1"/>
  <c r="T78" i="3" s="1"/>
  <c r="P78" i="3"/>
  <c r="W77" i="3"/>
  <c r="J42" i="7"/>
  <c r="X77" i="3"/>
  <c r="Y76" i="3"/>
  <c r="N82" i="3"/>
  <c r="S81" i="3"/>
  <c r="V81" i="3" s="1"/>
  <c r="C84" i="3"/>
  <c r="D84" i="3"/>
  <c r="H83" i="3"/>
  <c r="J83" i="3"/>
  <c r="K83" i="3"/>
  <c r="L83" i="3"/>
  <c r="R82" i="3"/>
  <c r="U82" i="3" s="1"/>
  <c r="M82" i="3"/>
  <c r="Q78" i="3" l="1"/>
  <c r="T79" i="3" s="1"/>
  <c r="P79" i="3"/>
  <c r="W78" i="3"/>
  <c r="Y77" i="3"/>
  <c r="X78" i="3"/>
  <c r="R83" i="3"/>
  <c r="U83" i="3" s="1"/>
  <c r="M83" i="3"/>
  <c r="K84" i="3"/>
  <c r="H84" i="3"/>
  <c r="J84" i="3"/>
  <c r="L84" i="3"/>
  <c r="S82" i="3"/>
  <c r="V82" i="3" s="1"/>
  <c r="N83" i="3"/>
  <c r="C85" i="3"/>
  <c r="D85" i="3"/>
  <c r="P80" i="3" l="1"/>
  <c r="Q79" i="3"/>
  <c r="T80" i="3" s="1"/>
  <c r="W79" i="3"/>
  <c r="Y78" i="3"/>
  <c r="X79" i="3"/>
  <c r="C86" i="3"/>
  <c r="D86" i="3"/>
  <c r="S83" i="3"/>
  <c r="V83" i="3" s="1"/>
  <c r="R84" i="3"/>
  <c r="U84" i="3" s="1"/>
  <c r="M84" i="3"/>
  <c r="J85" i="3"/>
  <c r="K85" i="3"/>
  <c r="H85" i="3"/>
  <c r="L85" i="3"/>
  <c r="N84" i="3"/>
  <c r="W80" i="3" l="1"/>
  <c r="Q80" i="3"/>
  <c r="T81" i="3" s="1"/>
  <c r="P81" i="3"/>
  <c r="X80" i="3"/>
  <c r="Y79" i="3"/>
  <c r="N85" i="3"/>
  <c r="C87" i="3"/>
  <c r="D87" i="3"/>
  <c r="R85" i="3"/>
  <c r="U85" i="3" s="1"/>
  <c r="M85" i="3"/>
  <c r="J86" i="3"/>
  <c r="H86" i="3"/>
  <c r="K86" i="3"/>
  <c r="L86" i="3"/>
  <c r="S84" i="3"/>
  <c r="V84" i="3" s="1"/>
  <c r="W81" i="3" l="1"/>
  <c r="Q81" i="3"/>
  <c r="T82" i="3" s="1"/>
  <c r="P82" i="3"/>
  <c r="X81" i="3"/>
  <c r="Y80" i="3"/>
  <c r="N86" i="3"/>
  <c r="G43" i="7" s="1"/>
  <c r="S85" i="3"/>
  <c r="V85" i="3" s="1"/>
  <c r="C88" i="3"/>
  <c r="D88" i="3"/>
  <c r="H87" i="3"/>
  <c r="J87" i="3"/>
  <c r="K87" i="3"/>
  <c r="L87" i="3"/>
  <c r="M86" i="3"/>
  <c r="R86" i="3"/>
  <c r="U86" i="3" s="1"/>
  <c r="W82" i="3" l="1"/>
  <c r="X82" i="3" s="1"/>
  <c r="Q82" i="3"/>
  <c r="T83" i="3" s="1"/>
  <c r="P83" i="3"/>
  <c r="Y81" i="3"/>
  <c r="N87" i="3"/>
  <c r="N88" i="3" s="1"/>
  <c r="E24" i="1"/>
  <c r="K24" i="1" s="1"/>
  <c r="H88" i="3"/>
  <c r="K88" i="3"/>
  <c r="J88" i="3"/>
  <c r="L88" i="3"/>
  <c r="M87" i="3"/>
  <c r="R87" i="3"/>
  <c r="U87" i="3" s="1"/>
  <c r="C89" i="3"/>
  <c r="D89" i="3"/>
  <c r="S86" i="3"/>
  <c r="V86" i="3" s="1"/>
  <c r="W83" i="3" l="1"/>
  <c r="Q83" i="3"/>
  <c r="T84" i="3" s="1"/>
  <c r="P84" i="3"/>
  <c r="Y82" i="3"/>
  <c r="X83" i="3"/>
  <c r="C90" i="3"/>
  <c r="D90" i="3"/>
  <c r="S87" i="3"/>
  <c r="V87" i="3" s="1"/>
  <c r="J89" i="3"/>
  <c r="N89" i="3"/>
  <c r="K89" i="3"/>
  <c r="H89" i="3"/>
  <c r="L89" i="3"/>
  <c r="R88" i="3"/>
  <c r="U88" i="3" s="1"/>
  <c r="M88" i="3"/>
  <c r="W84" i="3" l="1"/>
  <c r="P85" i="3"/>
  <c r="Q84" i="3"/>
  <c r="T85" i="3" s="1"/>
  <c r="X84" i="3"/>
  <c r="Y83" i="3"/>
  <c r="S88" i="3"/>
  <c r="V88" i="3" s="1"/>
  <c r="H90" i="3"/>
  <c r="J90" i="3"/>
  <c r="K90" i="3"/>
  <c r="N90" i="3" s="1"/>
  <c r="L90" i="3"/>
  <c r="C91" i="3"/>
  <c r="D91" i="3"/>
  <c r="M89" i="3"/>
  <c r="R89" i="3"/>
  <c r="U89" i="3" s="1"/>
  <c r="W85" i="3" l="1"/>
  <c r="Q85" i="3"/>
  <c r="T86" i="3" s="1"/>
  <c r="P86" i="3"/>
  <c r="Y84" i="3"/>
  <c r="X85" i="3"/>
  <c r="H91" i="3"/>
  <c r="J91" i="3"/>
  <c r="K91" i="3"/>
  <c r="L91" i="3"/>
  <c r="C92" i="3"/>
  <c r="D92" i="3"/>
  <c r="S89" i="3"/>
  <c r="V89" i="3" s="1"/>
  <c r="R90" i="3"/>
  <c r="U90" i="3" s="1"/>
  <c r="M90" i="3"/>
  <c r="W86" i="3" l="1"/>
  <c r="H43" i="7"/>
  <c r="I43" i="7" s="1"/>
  <c r="Q86" i="3"/>
  <c r="P87" i="3"/>
  <c r="Y85" i="3"/>
  <c r="X86" i="3"/>
  <c r="N91" i="3"/>
  <c r="N92" i="3" s="1"/>
  <c r="G284" i="3"/>
  <c r="AA284" i="3" s="1"/>
  <c r="G280" i="3"/>
  <c r="AA280" i="3" s="1"/>
  <c r="G290" i="3"/>
  <c r="G287" i="3"/>
  <c r="AA287" i="3" s="1"/>
  <c r="G282" i="3"/>
  <c r="AA282" i="3" s="1"/>
  <c r="G281" i="3"/>
  <c r="AA281" i="3" s="1"/>
  <c r="G279" i="3"/>
  <c r="AA279" i="3" s="1"/>
  <c r="AD275" i="3" s="1"/>
  <c r="AE275" i="3" s="1"/>
  <c r="G283" i="3"/>
  <c r="AA283" i="3" s="1"/>
  <c r="G286" i="3"/>
  <c r="AA286" i="3" s="1"/>
  <c r="G288" i="3"/>
  <c r="AA288" i="3" s="1"/>
  <c r="G285" i="3"/>
  <c r="AA285" i="3" s="1"/>
  <c r="G289" i="3"/>
  <c r="AA289" i="3" s="1"/>
  <c r="S90" i="3"/>
  <c r="V90" i="3" s="1"/>
  <c r="J92" i="3"/>
  <c r="H92" i="3"/>
  <c r="K92" i="3"/>
  <c r="L92" i="3"/>
  <c r="C93" i="3"/>
  <c r="D93" i="3"/>
  <c r="R91" i="3"/>
  <c r="U91" i="3" s="1"/>
  <c r="M91" i="3"/>
  <c r="AD282" i="3" l="1"/>
  <c r="AE282" i="3" s="1"/>
  <c r="P88" i="3"/>
  <c r="Q87" i="3"/>
  <c r="T88" i="3" s="1"/>
  <c r="D24" i="1"/>
  <c r="T87" i="3"/>
  <c r="W87" i="3" s="1"/>
  <c r="AD273" i="3"/>
  <c r="AE273" i="3" s="1"/>
  <c r="AD277" i="3"/>
  <c r="AE277" i="3" s="1"/>
  <c r="Y86" i="3"/>
  <c r="X87" i="3"/>
  <c r="AD270" i="3"/>
  <c r="AE270" i="3" s="1"/>
  <c r="AD274" i="3"/>
  <c r="AE274" i="3" s="1"/>
  <c r="AD280" i="3"/>
  <c r="AE280" i="3" s="1"/>
  <c r="AD278" i="3"/>
  <c r="AE278" i="3" s="1"/>
  <c r="AD279" i="3"/>
  <c r="AE279" i="3" s="1"/>
  <c r="AD288" i="3"/>
  <c r="AE288" i="3" s="1"/>
  <c r="AD285" i="3"/>
  <c r="AE285" i="3" s="1"/>
  <c r="AA290" i="3"/>
  <c r="D60" i="7"/>
  <c r="C94" i="3"/>
  <c r="D94" i="3"/>
  <c r="M92" i="3"/>
  <c r="R92" i="3"/>
  <c r="U92" i="3" s="1"/>
  <c r="S91" i="3"/>
  <c r="V91" i="3" s="1"/>
  <c r="H93" i="3"/>
  <c r="K93" i="3"/>
  <c r="J93" i="3"/>
  <c r="L93" i="3"/>
  <c r="W88" i="3" l="1"/>
  <c r="Q88" i="3"/>
  <c r="T89" i="3" s="1"/>
  <c r="P89" i="3"/>
  <c r="L24" i="1"/>
  <c r="G24" i="1" s="1"/>
  <c r="F24" i="1"/>
  <c r="Y87" i="3"/>
  <c r="X88" i="3"/>
  <c r="N93" i="3"/>
  <c r="C60" i="7"/>
  <c r="M93" i="3"/>
  <c r="R93" i="3"/>
  <c r="U93" i="3" s="1"/>
  <c r="S92" i="3"/>
  <c r="V92" i="3" s="1"/>
  <c r="C95" i="3"/>
  <c r="D95" i="3"/>
  <c r="J94" i="3"/>
  <c r="K94" i="3"/>
  <c r="H94" i="3"/>
  <c r="L94" i="3"/>
  <c r="W89" i="3" l="1"/>
  <c r="Q89" i="3"/>
  <c r="T90" i="3" s="1"/>
  <c r="P90" i="3"/>
  <c r="J43" i="7"/>
  <c r="Y88" i="3"/>
  <c r="X89" i="3"/>
  <c r="N94" i="3"/>
  <c r="S93" i="3"/>
  <c r="V93" i="3" s="1"/>
  <c r="C96" i="3"/>
  <c r="D96" i="3"/>
  <c r="M94" i="3"/>
  <c r="R94" i="3"/>
  <c r="U94" i="3" s="1"/>
  <c r="J95" i="3"/>
  <c r="H95" i="3"/>
  <c r="K95" i="3"/>
  <c r="L95" i="3"/>
  <c r="W90" i="3" l="1"/>
  <c r="Q90" i="3"/>
  <c r="T91" i="3" s="1"/>
  <c r="P91" i="3"/>
  <c r="X90" i="3"/>
  <c r="Y89" i="3"/>
  <c r="M95" i="3"/>
  <c r="R95" i="3"/>
  <c r="U95" i="3" s="1"/>
  <c r="C97" i="3"/>
  <c r="D97" i="3"/>
  <c r="S94" i="3"/>
  <c r="V94" i="3" s="1"/>
  <c r="N95" i="3"/>
  <c r="H96" i="3"/>
  <c r="J96" i="3"/>
  <c r="K96" i="3"/>
  <c r="L96" i="3"/>
  <c r="W91" i="3" l="1"/>
  <c r="P92" i="3"/>
  <c r="Q91" i="3"/>
  <c r="T92" i="3" s="1"/>
  <c r="X91" i="3"/>
  <c r="Y90" i="3"/>
  <c r="N96" i="3"/>
  <c r="N97" i="3" s="1"/>
  <c r="H97" i="3"/>
  <c r="J97" i="3"/>
  <c r="K97" i="3"/>
  <c r="L97" i="3"/>
  <c r="S95" i="3"/>
  <c r="V95" i="3" s="1"/>
  <c r="M96" i="3"/>
  <c r="R96" i="3"/>
  <c r="U96" i="3" s="1"/>
  <c r="C98" i="3"/>
  <c r="D98" i="3"/>
  <c r="W92" i="3" l="1"/>
  <c r="Q92" i="3"/>
  <c r="T93" i="3" s="1"/>
  <c r="P93" i="3"/>
  <c r="X92" i="3"/>
  <c r="Y91" i="3"/>
  <c r="R97" i="3"/>
  <c r="U97" i="3" s="1"/>
  <c r="M97" i="3"/>
  <c r="H98" i="3"/>
  <c r="J98" i="3"/>
  <c r="K98" i="3"/>
  <c r="N98" i="3" s="1"/>
  <c r="G44" i="7" s="1"/>
  <c r="L98" i="3"/>
  <c r="C99" i="3"/>
  <c r="D99" i="3"/>
  <c r="S96" i="3"/>
  <c r="V96" i="3" s="1"/>
  <c r="W93" i="3" l="1"/>
  <c r="Q93" i="3"/>
  <c r="T94" i="3" s="1"/>
  <c r="P94" i="3"/>
  <c r="X93" i="3"/>
  <c r="Y92" i="3"/>
  <c r="S97" i="3"/>
  <c r="V97" i="3" s="1"/>
  <c r="J99" i="3"/>
  <c r="K99" i="3"/>
  <c r="H99" i="3"/>
  <c r="N99" i="3"/>
  <c r="L99" i="3"/>
  <c r="R98" i="3"/>
  <c r="U98" i="3" s="1"/>
  <c r="M98" i="3"/>
  <c r="C100" i="3"/>
  <c r="D100" i="3"/>
  <c r="W94" i="3" l="1"/>
  <c r="X94" i="3" s="1"/>
  <c r="Q94" i="3"/>
  <c r="T95" i="3" s="1"/>
  <c r="P95" i="3"/>
  <c r="Y93" i="3"/>
  <c r="E25" i="1"/>
  <c r="K25" i="1" s="1"/>
  <c r="J100" i="3"/>
  <c r="H100" i="3"/>
  <c r="K100" i="3"/>
  <c r="L100" i="3"/>
  <c r="R99" i="3"/>
  <c r="U99" i="3" s="1"/>
  <c r="M99" i="3"/>
  <c r="C101" i="3"/>
  <c r="D101" i="3"/>
  <c r="S98" i="3"/>
  <c r="V98" i="3" s="1"/>
  <c r="W95" i="3" l="1"/>
  <c r="Q95" i="3"/>
  <c r="T96" i="3" s="1"/>
  <c r="P96" i="3"/>
  <c r="Y94" i="3"/>
  <c r="X95" i="3"/>
  <c r="J101" i="3"/>
  <c r="H101" i="3"/>
  <c r="K101" i="3"/>
  <c r="L101" i="3"/>
  <c r="S99" i="3"/>
  <c r="V99" i="3" s="1"/>
  <c r="C102" i="3"/>
  <c r="D102" i="3"/>
  <c r="R100" i="3"/>
  <c r="U100" i="3" s="1"/>
  <c r="M100" i="3"/>
  <c r="N100" i="3" s="1"/>
  <c r="N101" i="3" s="1"/>
  <c r="W96" i="3" l="1"/>
  <c r="Q96" i="3"/>
  <c r="T97" i="3" s="1"/>
  <c r="P97" i="3"/>
  <c r="Y95" i="3"/>
  <c r="X96" i="3"/>
  <c r="J102" i="3"/>
  <c r="H102" i="3"/>
  <c r="K102" i="3"/>
  <c r="N102" i="3" s="1"/>
  <c r="L102" i="3"/>
  <c r="S100" i="3"/>
  <c r="V100" i="3" s="1"/>
  <c r="C103" i="3"/>
  <c r="D103" i="3"/>
  <c r="R101" i="3"/>
  <c r="U101" i="3" s="1"/>
  <c r="M101" i="3"/>
  <c r="W97" i="3" l="1"/>
  <c r="Q97" i="3"/>
  <c r="T98" i="3" s="1"/>
  <c r="P98" i="3"/>
  <c r="X97" i="3"/>
  <c r="Y96" i="3"/>
  <c r="K103" i="3"/>
  <c r="J103" i="3"/>
  <c r="H103" i="3"/>
  <c r="L103" i="3"/>
  <c r="M102" i="3"/>
  <c r="R102" i="3"/>
  <c r="U102" i="3" s="1"/>
  <c r="S101" i="3"/>
  <c r="V101" i="3" s="1"/>
  <c r="C104" i="3"/>
  <c r="D104" i="3"/>
  <c r="W98" i="3" l="1"/>
  <c r="P99" i="3"/>
  <c r="Q98" i="3"/>
  <c r="H44" i="7"/>
  <c r="I44" i="7" s="1"/>
  <c r="Y97" i="3"/>
  <c r="X98" i="3"/>
  <c r="N103" i="3"/>
  <c r="N104" i="3" s="1"/>
  <c r="G301" i="3"/>
  <c r="AA301" i="3" s="1"/>
  <c r="G297" i="3"/>
  <c r="AA297" i="3" s="1"/>
  <c r="G291" i="3"/>
  <c r="AA291" i="3" s="1"/>
  <c r="G295" i="3"/>
  <c r="AA295" i="3" s="1"/>
  <c r="G300" i="3"/>
  <c r="AA300" i="3" s="1"/>
  <c r="G299" i="3"/>
  <c r="AA299" i="3" s="1"/>
  <c r="G302" i="3"/>
  <c r="G294" i="3"/>
  <c r="AA294" i="3" s="1"/>
  <c r="G298" i="3"/>
  <c r="AA298" i="3" s="1"/>
  <c r="G296" i="3"/>
  <c r="AA296" i="3" s="1"/>
  <c r="G292" i="3"/>
  <c r="AA292" i="3" s="1"/>
  <c r="G293" i="3"/>
  <c r="AA293" i="3" s="1"/>
  <c r="C105" i="3"/>
  <c r="D105" i="3"/>
  <c r="S102" i="3"/>
  <c r="V102" i="3" s="1"/>
  <c r="H104" i="3"/>
  <c r="J104" i="3"/>
  <c r="K104" i="3"/>
  <c r="L104" i="3"/>
  <c r="R103" i="3"/>
  <c r="U103" i="3" s="1"/>
  <c r="M103" i="3"/>
  <c r="D25" i="1" l="1"/>
  <c r="T99" i="3"/>
  <c r="W99" i="3" s="1"/>
  <c r="Q99" i="3"/>
  <c r="T100" i="3" s="1"/>
  <c r="P100" i="3"/>
  <c r="Y98" i="3"/>
  <c r="X99" i="3"/>
  <c r="AD300" i="3"/>
  <c r="AA302" i="3"/>
  <c r="D61" i="7"/>
  <c r="C106" i="3"/>
  <c r="D106" i="3"/>
  <c r="H105" i="3"/>
  <c r="K105" i="3"/>
  <c r="J105" i="3"/>
  <c r="L105" i="3"/>
  <c r="R104" i="3"/>
  <c r="U104" i="3" s="1"/>
  <c r="M104" i="3"/>
  <c r="S103" i="3"/>
  <c r="V103" i="3" s="1"/>
  <c r="W100" i="3" l="1"/>
  <c r="P101" i="3"/>
  <c r="Q100" i="3"/>
  <c r="T101" i="3" s="1"/>
  <c r="L25" i="1"/>
  <c r="G25" i="1" s="1"/>
  <c r="J44" i="7" s="1"/>
  <c r="F25" i="1"/>
  <c r="X100" i="3"/>
  <c r="Y99" i="3"/>
  <c r="C61" i="7"/>
  <c r="C107" i="3"/>
  <c r="D107" i="3"/>
  <c r="S104" i="3"/>
  <c r="V104" i="3" s="1"/>
  <c r="M105" i="3"/>
  <c r="N105" i="3" s="1"/>
  <c r="R105" i="3"/>
  <c r="U105" i="3" s="1"/>
  <c r="J106" i="3"/>
  <c r="H106" i="3"/>
  <c r="K106" i="3"/>
  <c r="L106" i="3"/>
  <c r="W101" i="3" l="1"/>
  <c r="Q101" i="3"/>
  <c r="T102" i="3" s="1"/>
  <c r="P102" i="3"/>
  <c r="N106" i="3"/>
  <c r="X101" i="3"/>
  <c r="Y100" i="3"/>
  <c r="S105" i="3"/>
  <c r="V105" i="3" s="1"/>
  <c r="M106" i="3"/>
  <c r="R106" i="3"/>
  <c r="U106" i="3" s="1"/>
  <c r="C108" i="3"/>
  <c r="D108" i="3"/>
  <c r="H107" i="3"/>
  <c r="J107" i="3"/>
  <c r="K107" i="3"/>
  <c r="L107" i="3"/>
  <c r="W102" i="3" l="1"/>
  <c r="Q102" i="3"/>
  <c r="T103" i="3" s="1"/>
  <c r="P103" i="3"/>
  <c r="Y101" i="3"/>
  <c r="X102" i="3"/>
  <c r="N107" i="3"/>
  <c r="J108" i="3"/>
  <c r="H108" i="3"/>
  <c r="K108" i="3"/>
  <c r="L108" i="3"/>
  <c r="S106" i="3"/>
  <c r="V106" i="3" s="1"/>
  <c r="R107" i="3"/>
  <c r="U107" i="3" s="1"/>
  <c r="M107" i="3"/>
  <c r="C109" i="3"/>
  <c r="D109" i="3"/>
  <c r="W103" i="3" l="1"/>
  <c r="P104" i="3"/>
  <c r="Q103" i="3"/>
  <c r="T104" i="3" s="1"/>
  <c r="Y102" i="3"/>
  <c r="X103" i="3"/>
  <c r="N108" i="3"/>
  <c r="N109" i="3" s="1"/>
  <c r="C110" i="3"/>
  <c r="D110" i="3"/>
  <c r="S107" i="3"/>
  <c r="V107" i="3" s="1"/>
  <c r="K109" i="3"/>
  <c r="J109" i="3"/>
  <c r="H109" i="3"/>
  <c r="L109" i="3"/>
  <c r="M108" i="3"/>
  <c r="R108" i="3"/>
  <c r="U108" i="3" s="1"/>
  <c r="W104" i="3" l="1"/>
  <c r="Q104" i="3"/>
  <c r="T105" i="3" s="1"/>
  <c r="P105" i="3"/>
  <c r="X104" i="3"/>
  <c r="Y103" i="3"/>
  <c r="R109" i="3"/>
  <c r="U109" i="3" s="1"/>
  <c r="M109" i="3"/>
  <c r="H110" i="3"/>
  <c r="J110" i="3"/>
  <c r="K110" i="3"/>
  <c r="L110" i="3"/>
  <c r="C111" i="3"/>
  <c r="D111" i="3"/>
  <c r="S108" i="3"/>
  <c r="V108" i="3" s="1"/>
  <c r="W105" i="3" l="1"/>
  <c r="N110" i="3"/>
  <c r="G45" i="7" s="1"/>
  <c r="Q105" i="3"/>
  <c r="T106" i="3" s="1"/>
  <c r="P106" i="3"/>
  <c r="Y104" i="3"/>
  <c r="X105" i="3"/>
  <c r="C112" i="3"/>
  <c r="D112" i="3"/>
  <c r="S109" i="3"/>
  <c r="V109" i="3" s="1"/>
  <c r="H111" i="3"/>
  <c r="K111" i="3"/>
  <c r="J111" i="3"/>
  <c r="L111" i="3"/>
  <c r="R110" i="3"/>
  <c r="U110" i="3" s="1"/>
  <c r="M110" i="3"/>
  <c r="W106" i="3" l="1"/>
  <c r="N111" i="3"/>
  <c r="N112" i="3" s="1"/>
  <c r="Q106" i="3"/>
  <c r="T107" i="3" s="1"/>
  <c r="P107" i="3"/>
  <c r="Y105" i="3"/>
  <c r="X106" i="3"/>
  <c r="E26" i="1"/>
  <c r="K26" i="1" s="1"/>
  <c r="S110" i="3"/>
  <c r="V110" i="3" s="1"/>
  <c r="J112" i="3"/>
  <c r="H112" i="3"/>
  <c r="K112" i="3"/>
  <c r="L112" i="3"/>
  <c r="R111" i="3"/>
  <c r="U111" i="3" s="1"/>
  <c r="M111" i="3"/>
  <c r="C113" i="3"/>
  <c r="D113" i="3"/>
  <c r="W107" i="3" l="1"/>
  <c r="Q107" i="3"/>
  <c r="T108" i="3" s="1"/>
  <c r="W108" i="3" s="1"/>
  <c r="P108" i="3"/>
  <c r="Y106" i="3"/>
  <c r="X107" i="3"/>
  <c r="S111" i="3"/>
  <c r="V111" i="3" s="1"/>
  <c r="R112" i="3"/>
  <c r="U112" i="3" s="1"/>
  <c r="M112" i="3"/>
  <c r="C114" i="3"/>
  <c r="D114" i="3"/>
  <c r="K113" i="3"/>
  <c r="J113" i="3"/>
  <c r="H113" i="3"/>
  <c r="N113" i="3"/>
  <c r="L113" i="3"/>
  <c r="P109" i="3" l="1"/>
  <c r="Q108" i="3"/>
  <c r="T109" i="3" s="1"/>
  <c r="W109" i="3" s="1"/>
  <c r="X108" i="3"/>
  <c r="Y107" i="3"/>
  <c r="M113" i="3"/>
  <c r="R113" i="3"/>
  <c r="U113" i="3" s="1"/>
  <c r="S112" i="3"/>
  <c r="V112" i="3" s="1"/>
  <c r="C115" i="3"/>
  <c r="D115" i="3"/>
  <c r="H114" i="3"/>
  <c r="J114" i="3"/>
  <c r="K114" i="3"/>
  <c r="N114" i="3" s="1"/>
  <c r="L114" i="3"/>
  <c r="Q109" i="3" l="1"/>
  <c r="T110" i="3" s="1"/>
  <c r="W110" i="3" s="1"/>
  <c r="P110" i="3"/>
  <c r="X109" i="3"/>
  <c r="Y108" i="3"/>
  <c r="M114" i="3"/>
  <c r="R114" i="3"/>
  <c r="U114" i="3" s="1"/>
  <c r="H115" i="3"/>
  <c r="J115" i="3"/>
  <c r="K115" i="3"/>
  <c r="L115" i="3"/>
  <c r="S113" i="3"/>
  <c r="V113" i="3" s="1"/>
  <c r="C116" i="3"/>
  <c r="D116" i="3"/>
  <c r="H45" i="7" l="1"/>
  <c r="I45" i="7" s="1"/>
  <c r="P111" i="3"/>
  <c r="Q110" i="3"/>
  <c r="X110" i="3"/>
  <c r="Y109" i="3"/>
  <c r="N115" i="3"/>
  <c r="N116" i="3" s="1"/>
  <c r="G312" i="3"/>
  <c r="AA312" i="3" s="1"/>
  <c r="G309" i="3"/>
  <c r="AA309" i="3" s="1"/>
  <c r="G305" i="3"/>
  <c r="AA305" i="3" s="1"/>
  <c r="G308" i="3"/>
  <c r="AA308" i="3" s="1"/>
  <c r="G310" i="3"/>
  <c r="AA310" i="3" s="1"/>
  <c r="G311" i="3"/>
  <c r="AA311" i="3" s="1"/>
  <c r="G313" i="3"/>
  <c r="AA313" i="3" s="1"/>
  <c r="G303" i="3"/>
  <c r="AA303" i="3" s="1"/>
  <c r="G306" i="3"/>
  <c r="AA306" i="3" s="1"/>
  <c r="G304" i="3"/>
  <c r="AA304" i="3" s="1"/>
  <c r="G314" i="3"/>
  <c r="G307" i="3"/>
  <c r="AA307" i="3" s="1"/>
  <c r="R115" i="3"/>
  <c r="U115" i="3" s="1"/>
  <c r="M115" i="3"/>
  <c r="K116" i="3"/>
  <c r="J116" i="3"/>
  <c r="H116" i="3"/>
  <c r="L116" i="3"/>
  <c r="C117" i="3"/>
  <c r="D117" i="3"/>
  <c r="S114" i="3"/>
  <c r="V114" i="3" s="1"/>
  <c r="D26" i="1" l="1"/>
  <c r="T111" i="3"/>
  <c r="W111" i="3" s="1"/>
  <c r="P112" i="3"/>
  <c r="Q111" i="3"/>
  <c r="T112" i="3" s="1"/>
  <c r="Y110" i="3"/>
  <c r="X111" i="3"/>
  <c r="AD312" i="3"/>
  <c r="AA314" i="3"/>
  <c r="D62" i="7"/>
  <c r="AE304" i="3"/>
  <c r="AE308" i="3"/>
  <c r="AE303" i="3"/>
  <c r="AE302" i="3"/>
  <c r="S115" i="3"/>
  <c r="V115" i="3" s="1"/>
  <c r="M116" i="3"/>
  <c r="R116" i="3"/>
  <c r="U116" i="3" s="1"/>
  <c r="C118" i="3"/>
  <c r="D118" i="3"/>
  <c r="J117" i="3"/>
  <c r="H117" i="3"/>
  <c r="K117" i="3"/>
  <c r="L117" i="3"/>
  <c r="Q112" i="3" l="1"/>
  <c r="T113" i="3" s="1"/>
  <c r="P113" i="3"/>
  <c r="L26" i="1"/>
  <c r="G26" i="1" s="1"/>
  <c r="F26" i="1"/>
  <c r="W112" i="3"/>
  <c r="Y111" i="3"/>
  <c r="X112" i="3"/>
  <c r="N117" i="3"/>
  <c r="C62" i="7"/>
  <c r="C119" i="3"/>
  <c r="D119" i="3"/>
  <c r="M117" i="3"/>
  <c r="R117" i="3"/>
  <c r="U117" i="3" s="1"/>
  <c r="J118" i="3"/>
  <c r="K118" i="3"/>
  <c r="H118" i="3"/>
  <c r="L118" i="3"/>
  <c r="S116" i="3"/>
  <c r="V116" i="3" s="1"/>
  <c r="Q113" i="3" l="1"/>
  <c r="T114" i="3" s="1"/>
  <c r="P114" i="3"/>
  <c r="J45" i="7"/>
  <c r="W113" i="3"/>
  <c r="N118" i="3"/>
  <c r="Y112" i="3"/>
  <c r="X113" i="3"/>
  <c r="S117" i="3"/>
  <c r="V117" i="3" s="1"/>
  <c r="M118" i="3"/>
  <c r="R118" i="3"/>
  <c r="U118" i="3" s="1"/>
  <c r="C120" i="3"/>
  <c r="D120" i="3"/>
  <c r="K119" i="3"/>
  <c r="J119" i="3"/>
  <c r="H119" i="3"/>
  <c r="L119" i="3"/>
  <c r="Q114" i="3" l="1"/>
  <c r="T115" i="3" s="1"/>
  <c r="P115" i="3"/>
  <c r="W114" i="3"/>
  <c r="X114" i="3"/>
  <c r="Y113" i="3"/>
  <c r="N119" i="3"/>
  <c r="C121" i="3"/>
  <c r="D121" i="3"/>
  <c r="H120" i="3"/>
  <c r="J120" i="3"/>
  <c r="K120" i="3"/>
  <c r="L120" i="3"/>
  <c r="S118" i="3"/>
  <c r="V118" i="3" s="1"/>
  <c r="M119" i="3"/>
  <c r="R119" i="3"/>
  <c r="U119" i="3" s="1"/>
  <c r="W115" i="3" l="1"/>
  <c r="P116" i="3"/>
  <c r="Q115" i="3"/>
  <c r="T116" i="3" s="1"/>
  <c r="Y114" i="3"/>
  <c r="X115" i="3"/>
  <c r="N120" i="3"/>
  <c r="N121" i="3" s="1"/>
  <c r="C122" i="3"/>
  <c r="D122" i="3"/>
  <c r="R120" i="3"/>
  <c r="U120" i="3" s="1"/>
  <c r="M120" i="3"/>
  <c r="H121" i="3"/>
  <c r="J121" i="3"/>
  <c r="K121" i="3"/>
  <c r="L121" i="3"/>
  <c r="S119" i="3"/>
  <c r="V119" i="3" s="1"/>
  <c r="W116" i="3" l="1"/>
  <c r="Q116" i="3"/>
  <c r="T117" i="3" s="1"/>
  <c r="P117" i="3"/>
  <c r="Y115" i="3"/>
  <c r="X116" i="3"/>
  <c r="H122" i="3"/>
  <c r="J122" i="3"/>
  <c r="K122" i="3"/>
  <c r="L122" i="3"/>
  <c r="M121" i="3"/>
  <c r="R121" i="3"/>
  <c r="U121" i="3" s="1"/>
  <c r="C123" i="3"/>
  <c r="D123" i="3"/>
  <c r="S120" i="3"/>
  <c r="V120" i="3" s="1"/>
  <c r="N122" i="3" l="1"/>
  <c r="W117" i="3"/>
  <c r="Q117" i="3"/>
  <c r="T118" i="3" s="1"/>
  <c r="P118" i="3"/>
  <c r="X117" i="3"/>
  <c r="Y116" i="3"/>
  <c r="F17" i="9"/>
  <c r="G46" i="7"/>
  <c r="H123" i="3"/>
  <c r="J123" i="3"/>
  <c r="K123" i="3"/>
  <c r="N123" i="3" s="1"/>
  <c r="L123" i="3"/>
  <c r="S121" i="3"/>
  <c r="V121" i="3" s="1"/>
  <c r="M122" i="3"/>
  <c r="R122" i="3"/>
  <c r="U122" i="3" s="1"/>
  <c r="C124" i="3"/>
  <c r="D124" i="3"/>
  <c r="W118" i="3" l="1"/>
  <c r="X118" i="3" s="1"/>
  <c r="Q118" i="3"/>
  <c r="T119" i="3" s="1"/>
  <c r="P119" i="3"/>
  <c r="Y117" i="3"/>
  <c r="E27" i="1"/>
  <c r="K27" i="1" s="1"/>
  <c r="H124" i="3"/>
  <c r="K124" i="3"/>
  <c r="J124" i="3"/>
  <c r="N124" i="3"/>
  <c r="L124" i="3"/>
  <c r="M123" i="3"/>
  <c r="R123" i="3"/>
  <c r="U123" i="3" s="1"/>
  <c r="S122" i="3"/>
  <c r="V122" i="3" s="1"/>
  <c r="C125" i="3"/>
  <c r="D125" i="3"/>
  <c r="W119" i="3" l="1"/>
  <c r="Q119" i="3"/>
  <c r="T120" i="3" s="1"/>
  <c r="W120" i="3" s="1"/>
  <c r="P120" i="3"/>
  <c r="Y118" i="3"/>
  <c r="X119" i="3"/>
  <c r="S123" i="3"/>
  <c r="V123" i="3" s="1"/>
  <c r="M124" i="3"/>
  <c r="R124" i="3"/>
  <c r="U124" i="3" s="1"/>
  <c r="C126" i="3"/>
  <c r="D126" i="3"/>
  <c r="K125" i="3"/>
  <c r="H125" i="3"/>
  <c r="J125" i="3"/>
  <c r="N125" i="3"/>
  <c r="L125" i="3"/>
  <c r="Q120" i="3" l="1"/>
  <c r="T121" i="3" s="1"/>
  <c r="W121" i="3" s="1"/>
  <c r="P121" i="3"/>
  <c r="P122" i="3" s="1"/>
  <c r="X120" i="3"/>
  <c r="Y119" i="3"/>
  <c r="K126" i="3"/>
  <c r="J126" i="3"/>
  <c r="N126" i="3"/>
  <c r="H126" i="3"/>
  <c r="L126" i="3"/>
  <c r="S124" i="3"/>
  <c r="V124" i="3" s="1"/>
  <c r="R125" i="3"/>
  <c r="U125" i="3" s="1"/>
  <c r="M125" i="3"/>
  <c r="C127" i="3"/>
  <c r="D127" i="3"/>
  <c r="Q121" i="3" l="1"/>
  <c r="T122" i="3" s="1"/>
  <c r="W122" i="3" s="1"/>
  <c r="X121" i="3"/>
  <c r="Y120" i="3"/>
  <c r="S125" i="3"/>
  <c r="V125" i="3" s="1"/>
  <c r="C128" i="3"/>
  <c r="D128" i="3"/>
  <c r="J127" i="3"/>
  <c r="K127" i="3"/>
  <c r="N127" i="3" s="1"/>
  <c r="H127" i="3"/>
  <c r="L127" i="3"/>
  <c r="M126" i="3"/>
  <c r="R126" i="3"/>
  <c r="U126" i="3" s="1"/>
  <c r="H46" i="7" l="1"/>
  <c r="I46" i="7" s="1"/>
  <c r="Q122" i="3"/>
  <c r="F19" i="9"/>
  <c r="F23" i="9" s="1"/>
  <c r="P123" i="3"/>
  <c r="Y121" i="3"/>
  <c r="X122" i="3"/>
  <c r="F15" i="9"/>
  <c r="G323" i="3"/>
  <c r="AA323" i="3" s="1"/>
  <c r="G317" i="3"/>
  <c r="AA317" i="3" s="1"/>
  <c r="G316" i="3"/>
  <c r="AA316" i="3" s="1"/>
  <c r="G318" i="3"/>
  <c r="AA318" i="3" s="1"/>
  <c r="G319" i="3"/>
  <c r="AA319" i="3" s="1"/>
  <c r="G322" i="3"/>
  <c r="AA322" i="3" s="1"/>
  <c r="G320" i="3"/>
  <c r="AA320" i="3" s="1"/>
  <c r="G326" i="3"/>
  <c r="G321" i="3"/>
  <c r="AA321" i="3" s="1"/>
  <c r="G325" i="3"/>
  <c r="AA325" i="3" s="1"/>
  <c r="G315" i="3"/>
  <c r="AA315" i="3" s="1"/>
  <c r="G324" i="3"/>
  <c r="AA324" i="3" s="1"/>
  <c r="C129" i="3"/>
  <c r="D129" i="3"/>
  <c r="M127" i="3"/>
  <c r="R127" i="3"/>
  <c r="U127" i="3" s="1"/>
  <c r="J128" i="3"/>
  <c r="H128" i="3"/>
  <c r="K128" i="3"/>
  <c r="N128" i="3"/>
  <c r="L128" i="3"/>
  <c r="S126" i="3"/>
  <c r="V126" i="3" s="1"/>
  <c r="D27" i="1" l="1"/>
  <c r="T123" i="3"/>
  <c r="W123" i="3" s="1"/>
  <c r="F27" i="9"/>
  <c r="P124" i="3"/>
  <c r="Q123" i="3"/>
  <c r="T124" i="3" s="1"/>
  <c r="Y122" i="3"/>
  <c r="X123" i="3"/>
  <c r="AD324" i="3"/>
  <c r="AE324" i="3" s="1"/>
  <c r="AA326" i="3"/>
  <c r="D63" i="7"/>
  <c r="C130" i="3"/>
  <c r="D130" i="3"/>
  <c r="S127" i="3"/>
  <c r="V127" i="3" s="1"/>
  <c r="R128" i="3"/>
  <c r="U128" i="3" s="1"/>
  <c r="M128" i="3"/>
  <c r="J129" i="3"/>
  <c r="K129" i="3"/>
  <c r="H129" i="3"/>
  <c r="L129" i="3"/>
  <c r="P125" i="3" l="1"/>
  <c r="Q124" i="3"/>
  <c r="T125" i="3" s="1"/>
  <c r="W124" i="3"/>
  <c r="L27" i="1"/>
  <c r="G27" i="1" s="1"/>
  <c r="F27" i="1"/>
  <c r="Y123" i="3"/>
  <c r="X124" i="3"/>
  <c r="N129" i="3"/>
  <c r="C63" i="7"/>
  <c r="C131" i="3"/>
  <c r="D131" i="3"/>
  <c r="H130" i="3"/>
  <c r="J130" i="3"/>
  <c r="K130" i="3"/>
  <c r="L130" i="3"/>
  <c r="R129" i="3"/>
  <c r="U129" i="3" s="1"/>
  <c r="M129" i="3"/>
  <c r="S128" i="3"/>
  <c r="V128" i="3" s="1"/>
  <c r="Q125" i="3" l="1"/>
  <c r="T126" i="3" s="1"/>
  <c r="P126" i="3"/>
  <c r="J46" i="7"/>
  <c r="W125" i="3"/>
  <c r="X125" i="3"/>
  <c r="Y124" i="3"/>
  <c r="N130" i="3"/>
  <c r="K131" i="3"/>
  <c r="J131" i="3"/>
  <c r="H131" i="3"/>
  <c r="L131" i="3"/>
  <c r="M130" i="3"/>
  <c r="R130" i="3"/>
  <c r="U130" i="3" s="1"/>
  <c r="C132" i="3"/>
  <c r="D132" i="3"/>
  <c r="S129" i="3"/>
  <c r="V129" i="3" s="1"/>
  <c r="Q126" i="3" l="1"/>
  <c r="T127" i="3" s="1"/>
  <c r="P127" i="3"/>
  <c r="W126" i="3"/>
  <c r="X126" i="3"/>
  <c r="Y125" i="3"/>
  <c r="N131" i="3"/>
  <c r="S130" i="3"/>
  <c r="V130" i="3" s="1"/>
  <c r="C133" i="3"/>
  <c r="D133" i="3"/>
  <c r="J132" i="3"/>
  <c r="H132" i="3"/>
  <c r="K132" i="3"/>
  <c r="L132" i="3"/>
  <c r="R131" i="3"/>
  <c r="U131" i="3" s="1"/>
  <c r="M131" i="3"/>
  <c r="W127" i="3" l="1"/>
  <c r="Q127" i="3"/>
  <c r="T128" i="3" s="1"/>
  <c r="P128" i="3"/>
  <c r="Y126" i="3"/>
  <c r="X127" i="3"/>
  <c r="N132" i="3"/>
  <c r="N133" i="3" s="1"/>
  <c r="C134" i="3"/>
  <c r="D134" i="3"/>
  <c r="S131" i="3"/>
  <c r="V131" i="3" s="1"/>
  <c r="J133" i="3"/>
  <c r="H133" i="3"/>
  <c r="K133" i="3"/>
  <c r="L133" i="3"/>
  <c r="R132" i="3"/>
  <c r="U132" i="3" s="1"/>
  <c r="M132" i="3"/>
  <c r="W128" i="3" l="1"/>
  <c r="Q128" i="3"/>
  <c r="T129" i="3" s="1"/>
  <c r="P129" i="3"/>
  <c r="Y127" i="3"/>
  <c r="X128" i="3"/>
  <c r="C135" i="3"/>
  <c r="D135" i="3"/>
  <c r="H134" i="3"/>
  <c r="J134" i="3"/>
  <c r="K134" i="3"/>
  <c r="L134" i="3"/>
  <c r="M133" i="3"/>
  <c r="R133" i="3"/>
  <c r="U133" i="3" s="1"/>
  <c r="S132" i="3"/>
  <c r="V132" i="3" s="1"/>
  <c r="N134" i="3" l="1"/>
  <c r="G47" i="7" s="1"/>
  <c r="W129" i="3"/>
  <c r="Q129" i="3"/>
  <c r="T130" i="3" s="1"/>
  <c r="P130" i="3"/>
  <c r="X129" i="3"/>
  <c r="Y128" i="3"/>
  <c r="C136" i="3"/>
  <c r="D136" i="3"/>
  <c r="H135" i="3"/>
  <c r="J135" i="3"/>
  <c r="K135" i="3"/>
  <c r="L135" i="3"/>
  <c r="R134" i="3"/>
  <c r="U134" i="3" s="1"/>
  <c r="M134" i="3"/>
  <c r="S133" i="3"/>
  <c r="V133" i="3" s="1"/>
  <c r="N135" i="3" l="1"/>
  <c r="W130" i="3"/>
  <c r="Q130" i="3"/>
  <c r="T131" i="3" s="1"/>
  <c r="P131" i="3"/>
  <c r="Y129" i="3"/>
  <c r="X130" i="3"/>
  <c r="M135" i="3"/>
  <c r="R135" i="3"/>
  <c r="U135" i="3" s="1"/>
  <c r="C137" i="3"/>
  <c r="D137" i="3"/>
  <c r="S134" i="3"/>
  <c r="V134" i="3" s="1"/>
  <c r="H136" i="3"/>
  <c r="K136" i="3"/>
  <c r="J136" i="3"/>
  <c r="L136" i="3"/>
  <c r="W131" i="3" l="1"/>
  <c r="Q131" i="3"/>
  <c r="T132" i="3" s="1"/>
  <c r="W132" i="3" s="1"/>
  <c r="P132" i="3"/>
  <c r="Y130" i="3"/>
  <c r="X131" i="3"/>
  <c r="K28" i="1"/>
  <c r="H137" i="3"/>
  <c r="K137" i="3"/>
  <c r="J137" i="3"/>
  <c r="L137" i="3"/>
  <c r="M136" i="3"/>
  <c r="N136" i="3" s="1"/>
  <c r="N137" i="3" s="1"/>
  <c r="R136" i="3"/>
  <c r="U136" i="3" s="1"/>
  <c r="S135" i="3"/>
  <c r="V135" i="3" s="1"/>
  <c r="C138" i="3"/>
  <c r="D138" i="3"/>
  <c r="P133" i="3" l="1"/>
  <c r="Q132" i="3"/>
  <c r="T133" i="3" s="1"/>
  <c r="W133" i="3" s="1"/>
  <c r="X132" i="3"/>
  <c r="Y131" i="3"/>
  <c r="J138" i="3"/>
  <c r="K138" i="3"/>
  <c r="N138" i="3" s="1"/>
  <c r="H138" i="3"/>
  <c r="L138" i="3"/>
  <c r="S136" i="3"/>
  <c r="V136" i="3" s="1"/>
  <c r="R137" i="3"/>
  <c r="U137" i="3" s="1"/>
  <c r="M137" i="3"/>
  <c r="C139" i="3"/>
  <c r="D139" i="3"/>
  <c r="Q133" i="3" l="1"/>
  <c r="T134" i="3" s="1"/>
  <c r="W134" i="3" s="1"/>
  <c r="P134" i="3"/>
  <c r="Y132" i="3"/>
  <c r="X133" i="3"/>
  <c r="H139" i="3"/>
  <c r="K139" i="3"/>
  <c r="N139" i="3" s="1"/>
  <c r="J139" i="3"/>
  <c r="L139" i="3"/>
  <c r="S137" i="3"/>
  <c r="V137" i="3" s="1"/>
  <c r="R138" i="3"/>
  <c r="U138" i="3" s="1"/>
  <c r="M138" i="3"/>
  <c r="C140" i="3"/>
  <c r="D140" i="3"/>
  <c r="Q134" i="3" l="1"/>
  <c r="P135" i="3"/>
  <c r="H47" i="7"/>
  <c r="I47" i="7" s="1"/>
  <c r="X134" i="3"/>
  <c r="Y133" i="3"/>
  <c r="G330" i="3"/>
  <c r="AA330" i="3" s="1"/>
  <c r="G332" i="3"/>
  <c r="AA332" i="3" s="1"/>
  <c r="G338" i="3"/>
  <c r="G328" i="3"/>
  <c r="AA328" i="3" s="1"/>
  <c r="G329" i="3"/>
  <c r="AA329" i="3" s="1"/>
  <c r="G337" i="3"/>
  <c r="AA337" i="3" s="1"/>
  <c r="G336" i="3"/>
  <c r="AA336" i="3" s="1"/>
  <c r="G335" i="3"/>
  <c r="AA335" i="3" s="1"/>
  <c r="G331" i="3"/>
  <c r="AA331" i="3" s="1"/>
  <c r="G327" i="3"/>
  <c r="AA327" i="3" s="1"/>
  <c r="G333" i="3"/>
  <c r="AA333" i="3" s="1"/>
  <c r="G334" i="3"/>
  <c r="AA334" i="3" s="1"/>
  <c r="H140" i="3"/>
  <c r="J140" i="3"/>
  <c r="K140" i="3"/>
  <c r="N140" i="3"/>
  <c r="L140" i="3"/>
  <c r="S138" i="3"/>
  <c r="V138" i="3" s="1"/>
  <c r="M139" i="3"/>
  <c r="R139" i="3"/>
  <c r="U139" i="3" s="1"/>
  <c r="C141" i="3"/>
  <c r="D141" i="3"/>
  <c r="Q135" i="3" l="1"/>
  <c r="T136" i="3" s="1"/>
  <c r="P136" i="3"/>
  <c r="D28" i="1"/>
  <c r="T135" i="3"/>
  <c r="W135" i="3" s="1"/>
  <c r="Y134" i="3"/>
  <c r="X135" i="3"/>
  <c r="AD336" i="3"/>
  <c r="AE336" i="3" s="1"/>
  <c r="AA338" i="3"/>
  <c r="D64" i="7"/>
  <c r="C142" i="3"/>
  <c r="D142" i="3"/>
  <c r="S139" i="3"/>
  <c r="V139" i="3" s="1"/>
  <c r="H141" i="3"/>
  <c r="K141" i="3"/>
  <c r="J141" i="3"/>
  <c r="L141" i="3"/>
  <c r="M140" i="3"/>
  <c r="R140" i="3"/>
  <c r="U140" i="3" s="1"/>
  <c r="L28" i="1" l="1"/>
  <c r="G28" i="1" s="1"/>
  <c r="J47" i="7" s="1"/>
  <c r="F28" i="1"/>
  <c r="Q136" i="3"/>
  <c r="T137" i="3" s="1"/>
  <c r="P137" i="3"/>
  <c r="W136" i="3"/>
  <c r="Y135" i="3"/>
  <c r="X136" i="3"/>
  <c r="N141" i="3"/>
  <c r="C64" i="7"/>
  <c r="C143" i="3"/>
  <c r="D143" i="3"/>
  <c r="H142" i="3"/>
  <c r="J142" i="3"/>
  <c r="K142" i="3"/>
  <c r="L142" i="3"/>
  <c r="R141" i="3"/>
  <c r="U141" i="3" s="1"/>
  <c r="M141" i="3"/>
  <c r="S140" i="3"/>
  <c r="V140" i="3" s="1"/>
  <c r="Q137" i="3" l="1"/>
  <c r="T138" i="3" s="1"/>
  <c r="P138" i="3"/>
  <c r="W137" i="3"/>
  <c r="N142" i="3"/>
  <c r="X137" i="3"/>
  <c r="Y136" i="3"/>
  <c r="M142" i="3"/>
  <c r="R142" i="3"/>
  <c r="U142" i="3" s="1"/>
  <c r="S141" i="3"/>
  <c r="V141" i="3" s="1"/>
  <c r="H143" i="3"/>
  <c r="K143" i="3"/>
  <c r="J143" i="3"/>
  <c r="L143" i="3"/>
  <c r="C144" i="3"/>
  <c r="D144" i="3"/>
  <c r="W138" i="3" l="1"/>
  <c r="Q138" i="3"/>
  <c r="T139" i="3" s="1"/>
  <c r="P139" i="3"/>
  <c r="Y137" i="3"/>
  <c r="X138" i="3"/>
  <c r="N143" i="3"/>
  <c r="J144" i="3"/>
  <c r="K144" i="3"/>
  <c r="H144" i="3"/>
  <c r="L144" i="3"/>
  <c r="S142" i="3"/>
  <c r="V142" i="3" s="1"/>
  <c r="M143" i="3"/>
  <c r="R143" i="3"/>
  <c r="U143" i="3" s="1"/>
  <c r="C145" i="3"/>
  <c r="D145" i="3"/>
  <c r="W139" i="3" l="1"/>
  <c r="Q139" i="3"/>
  <c r="T140" i="3" s="1"/>
  <c r="P140" i="3"/>
  <c r="X139" i="3"/>
  <c r="Y138" i="3"/>
  <c r="N144" i="3"/>
  <c r="N145" i="3" s="1"/>
  <c r="S143" i="3"/>
  <c r="V143" i="3" s="1"/>
  <c r="C146" i="3"/>
  <c r="D146" i="3"/>
  <c r="R144" i="3"/>
  <c r="U144" i="3" s="1"/>
  <c r="M144" i="3"/>
  <c r="H145" i="3"/>
  <c r="J145" i="3"/>
  <c r="K145" i="3"/>
  <c r="L145" i="3"/>
  <c r="W140" i="3" l="1"/>
  <c r="Q140" i="3"/>
  <c r="T141" i="3" s="1"/>
  <c r="P141" i="3"/>
  <c r="X140" i="3"/>
  <c r="Y139" i="3"/>
  <c r="C147" i="3"/>
  <c r="D147" i="3"/>
  <c r="S144" i="3"/>
  <c r="V144" i="3" s="1"/>
  <c r="R145" i="3"/>
  <c r="U145" i="3" s="1"/>
  <c r="M145" i="3"/>
  <c r="J146" i="3"/>
  <c r="K146" i="3"/>
  <c r="H146" i="3"/>
  <c r="L146" i="3"/>
  <c r="N146" i="3" l="1"/>
  <c r="W141" i="3"/>
  <c r="Q141" i="3"/>
  <c r="T142" i="3" s="1"/>
  <c r="P142" i="3"/>
  <c r="X141" i="3"/>
  <c r="Y140" i="3"/>
  <c r="S145" i="3"/>
  <c r="V145" i="3" s="1"/>
  <c r="M146" i="3"/>
  <c r="R146" i="3"/>
  <c r="U146" i="3" s="1"/>
  <c r="C148" i="3"/>
  <c r="D148" i="3"/>
  <c r="H147" i="3"/>
  <c r="K147" i="3"/>
  <c r="N147" i="3" s="1"/>
  <c r="J147" i="3"/>
  <c r="L147" i="3"/>
  <c r="G48" i="7" l="1"/>
  <c r="G14" i="14"/>
  <c r="G20" i="14"/>
  <c r="G25" i="14" s="1"/>
  <c r="W142" i="3"/>
  <c r="Q142" i="3"/>
  <c r="T143" i="3" s="1"/>
  <c r="P143" i="3"/>
  <c r="Y141" i="3"/>
  <c r="X142" i="3"/>
  <c r="E29" i="1"/>
  <c r="K29" i="1" s="1"/>
  <c r="J148" i="3"/>
  <c r="K148" i="3"/>
  <c r="H148" i="3"/>
  <c r="N148" i="3"/>
  <c r="L148" i="3"/>
  <c r="M147" i="3"/>
  <c r="R147" i="3"/>
  <c r="U147" i="3" s="1"/>
  <c r="C149" i="3"/>
  <c r="D149" i="3"/>
  <c r="S146" i="3"/>
  <c r="V146" i="3" s="1"/>
  <c r="W143" i="3" l="1"/>
  <c r="Q143" i="3"/>
  <c r="T144" i="3" s="1"/>
  <c r="W144" i="3" s="1"/>
  <c r="P144" i="3"/>
  <c r="Y142" i="3"/>
  <c r="X143" i="3"/>
  <c r="C150" i="3"/>
  <c r="D150" i="3"/>
  <c r="S147" i="3"/>
  <c r="V147" i="3" s="1"/>
  <c r="J149" i="3"/>
  <c r="H149" i="3"/>
  <c r="N149" i="3"/>
  <c r="K149" i="3"/>
  <c r="L149" i="3"/>
  <c r="R148" i="3"/>
  <c r="U148" i="3" s="1"/>
  <c r="M148" i="3"/>
  <c r="Q144" i="3" l="1"/>
  <c r="T145" i="3" s="1"/>
  <c r="W145" i="3" s="1"/>
  <c r="P145" i="3"/>
  <c r="Y143" i="3"/>
  <c r="X144" i="3"/>
  <c r="R149" i="3"/>
  <c r="U149" i="3" s="1"/>
  <c r="M149" i="3"/>
  <c r="C151" i="3"/>
  <c r="D151" i="3"/>
  <c r="S148" i="3"/>
  <c r="V148" i="3" s="1"/>
  <c r="H150" i="3"/>
  <c r="J150" i="3"/>
  <c r="N150" i="3" s="1"/>
  <c r="K150" i="3"/>
  <c r="L150" i="3"/>
  <c r="Q145" i="3" l="1"/>
  <c r="T146" i="3" s="1"/>
  <c r="W146" i="3" s="1"/>
  <c r="P146" i="3"/>
  <c r="X145" i="3"/>
  <c r="Y144" i="3"/>
  <c r="J151" i="3"/>
  <c r="H151" i="3"/>
  <c r="K151" i="3"/>
  <c r="L151" i="3"/>
  <c r="S149" i="3"/>
  <c r="V149" i="3" s="1"/>
  <c r="R150" i="3"/>
  <c r="U150" i="3" s="1"/>
  <c r="M150" i="3"/>
  <c r="C152" i="3"/>
  <c r="D152" i="3"/>
  <c r="G15" i="14" l="1"/>
  <c r="G12" i="14" s="1"/>
  <c r="G11" i="14" s="1"/>
  <c r="G21" i="14"/>
  <c r="P147" i="3"/>
  <c r="Q146" i="3"/>
  <c r="H48" i="7"/>
  <c r="I48" i="7" s="1"/>
  <c r="Y145" i="3"/>
  <c r="X146" i="3"/>
  <c r="N151" i="3"/>
  <c r="N152" i="3" s="1"/>
  <c r="G343" i="3"/>
  <c r="AA343" i="3" s="1"/>
  <c r="G346" i="3"/>
  <c r="AA346" i="3" s="1"/>
  <c r="G347" i="3"/>
  <c r="AA347" i="3" s="1"/>
  <c r="G350" i="3"/>
  <c r="G349" i="3"/>
  <c r="AA349" i="3" s="1"/>
  <c r="G340" i="3"/>
  <c r="AA340" i="3" s="1"/>
  <c r="G345" i="3"/>
  <c r="AA345" i="3" s="1"/>
  <c r="G344" i="3"/>
  <c r="AA344" i="3" s="1"/>
  <c r="G341" i="3"/>
  <c r="AA341" i="3" s="1"/>
  <c r="G339" i="3"/>
  <c r="AA339" i="3" s="1"/>
  <c r="G342" i="3"/>
  <c r="AA342" i="3" s="1"/>
  <c r="G348" i="3"/>
  <c r="AA348" i="3" s="1"/>
  <c r="J152" i="3"/>
  <c r="K152" i="3"/>
  <c r="H152" i="3"/>
  <c r="L152" i="3"/>
  <c r="R151" i="3"/>
  <c r="U151" i="3" s="1"/>
  <c r="M151" i="3"/>
  <c r="C153" i="3"/>
  <c r="D153" i="3"/>
  <c r="S150" i="3"/>
  <c r="V150" i="3" s="1"/>
  <c r="G23" i="14" l="1"/>
  <c r="G18" i="14"/>
  <c r="G26" i="14"/>
  <c r="D29" i="1"/>
  <c r="T147" i="3"/>
  <c r="W147" i="3" s="1"/>
  <c r="P148" i="3"/>
  <c r="Q147" i="3"/>
  <c r="T148" i="3" s="1"/>
  <c r="Y146" i="3"/>
  <c r="X147" i="3"/>
  <c r="AD340" i="3"/>
  <c r="AE340" i="3" s="1"/>
  <c r="AD341" i="3"/>
  <c r="AE341" i="3" s="1"/>
  <c r="AD338" i="3"/>
  <c r="AE338" i="3" s="1"/>
  <c r="AD345" i="3"/>
  <c r="AE345" i="3" s="1"/>
  <c r="AD346" i="3"/>
  <c r="AE346" i="3" s="1"/>
  <c r="D69" i="7"/>
  <c r="D80" i="7"/>
  <c r="D82" i="7"/>
  <c r="D79" i="7"/>
  <c r="D73" i="7"/>
  <c r="D70" i="7"/>
  <c r="D72" i="7"/>
  <c r="D83" i="7"/>
  <c r="D75" i="7"/>
  <c r="D77" i="7"/>
  <c r="D74" i="7"/>
  <c r="D71" i="7"/>
  <c r="D76" i="7"/>
  <c r="D81" i="7"/>
  <c r="D78" i="7"/>
  <c r="AD348" i="3"/>
  <c r="AE348" i="3" s="1"/>
  <c r="AA350" i="3"/>
  <c r="D65" i="7"/>
  <c r="S151" i="3"/>
  <c r="V151" i="3" s="1"/>
  <c r="J153" i="3"/>
  <c r="K153" i="3"/>
  <c r="H153" i="3"/>
  <c r="L153" i="3"/>
  <c r="C154" i="3"/>
  <c r="D154" i="3"/>
  <c r="R152" i="3"/>
  <c r="U152" i="3" s="1"/>
  <c r="M152" i="3"/>
  <c r="Q148" i="3" l="1"/>
  <c r="T149" i="3" s="1"/>
  <c r="P149" i="3"/>
  <c r="W148" i="3"/>
  <c r="L29" i="1"/>
  <c r="G29" i="1" s="1"/>
  <c r="F29" i="1"/>
  <c r="Y147" i="3"/>
  <c r="X148" i="3"/>
  <c r="N153" i="3"/>
  <c r="C65" i="7"/>
  <c r="S152" i="3"/>
  <c r="V152" i="3" s="1"/>
  <c r="C155" i="3"/>
  <c r="D155" i="3"/>
  <c r="J154" i="3"/>
  <c r="K154" i="3"/>
  <c r="H154" i="3"/>
  <c r="L154" i="3"/>
  <c r="R153" i="3"/>
  <c r="U153" i="3" s="1"/>
  <c r="M153" i="3"/>
  <c r="J48" i="7" l="1"/>
  <c r="W149" i="3"/>
  <c r="Q149" i="3"/>
  <c r="T150" i="3" s="1"/>
  <c r="P150" i="3"/>
  <c r="N154" i="3"/>
  <c r="X149" i="3"/>
  <c r="Y148" i="3"/>
  <c r="S153" i="3"/>
  <c r="V153" i="3" s="1"/>
  <c r="C156" i="3"/>
  <c r="D156" i="3"/>
  <c r="H155" i="3"/>
  <c r="J155" i="3"/>
  <c r="K155" i="3"/>
  <c r="L155" i="3"/>
  <c r="M154" i="3"/>
  <c r="R154" i="3"/>
  <c r="U154" i="3" s="1"/>
  <c r="W150" i="3" l="1"/>
  <c r="Q150" i="3"/>
  <c r="T151" i="3" s="1"/>
  <c r="P151" i="3"/>
  <c r="X150" i="3"/>
  <c r="Y149" i="3"/>
  <c r="N155" i="3"/>
  <c r="H156" i="3"/>
  <c r="K156" i="3"/>
  <c r="J156" i="3"/>
  <c r="L156" i="3"/>
  <c r="R155" i="3"/>
  <c r="U155" i="3" s="1"/>
  <c r="M155" i="3"/>
  <c r="C157" i="3"/>
  <c r="D157" i="3"/>
  <c r="S154" i="3"/>
  <c r="V154" i="3" s="1"/>
  <c r="W151" i="3" l="1"/>
  <c r="Q151" i="3"/>
  <c r="T152" i="3" s="1"/>
  <c r="P152" i="3"/>
  <c r="X151" i="3"/>
  <c r="Y150" i="3"/>
  <c r="N156" i="3"/>
  <c r="N157" i="3" s="1"/>
  <c r="C158" i="3"/>
  <c r="D158" i="3"/>
  <c r="R156" i="3"/>
  <c r="U156" i="3" s="1"/>
  <c r="M156" i="3"/>
  <c r="J157" i="3"/>
  <c r="H157" i="3"/>
  <c r="K157" i="3"/>
  <c r="L157" i="3"/>
  <c r="S155" i="3"/>
  <c r="V155" i="3" s="1"/>
  <c r="W152" i="3" l="1"/>
  <c r="Q152" i="3"/>
  <c r="T153" i="3" s="1"/>
  <c r="P153" i="3"/>
  <c r="Y151" i="3"/>
  <c r="X152" i="3"/>
  <c r="S156" i="3"/>
  <c r="V156" i="3" s="1"/>
  <c r="C159" i="3"/>
  <c r="D159" i="3"/>
  <c r="J158" i="3"/>
  <c r="K158" i="3"/>
  <c r="H158" i="3"/>
  <c r="L158" i="3"/>
  <c r="M157" i="3"/>
  <c r="R157" i="3"/>
  <c r="U157" i="3" s="1"/>
  <c r="W153" i="3" l="1"/>
  <c r="N158" i="3"/>
  <c r="G49" i="7" s="1"/>
  <c r="Q153" i="3"/>
  <c r="T154" i="3" s="1"/>
  <c r="P154" i="3"/>
  <c r="X153" i="3"/>
  <c r="Y152" i="3"/>
  <c r="M158" i="3"/>
  <c r="R158" i="3"/>
  <c r="U158" i="3" s="1"/>
  <c r="J159" i="3"/>
  <c r="H159" i="3"/>
  <c r="K159" i="3"/>
  <c r="L159" i="3"/>
  <c r="S157" i="3"/>
  <c r="V157" i="3" s="1"/>
  <c r="C160" i="3"/>
  <c r="D160" i="3"/>
  <c r="N159" i="3" l="1"/>
  <c r="W154" i="3"/>
  <c r="X154" i="3" s="1"/>
  <c r="Q154" i="3"/>
  <c r="T155" i="3" s="1"/>
  <c r="P155" i="3"/>
  <c r="Y153" i="3"/>
  <c r="E30" i="1"/>
  <c r="K30" i="1" s="1"/>
  <c r="J160" i="3"/>
  <c r="K160" i="3"/>
  <c r="H160" i="3"/>
  <c r="L160" i="3"/>
  <c r="M159" i="3"/>
  <c r="R159" i="3"/>
  <c r="U159" i="3" s="1"/>
  <c r="S158" i="3"/>
  <c r="V158" i="3" s="1"/>
  <c r="C161" i="3"/>
  <c r="D161" i="3"/>
  <c r="W155" i="3" l="1"/>
  <c r="Q155" i="3"/>
  <c r="T156" i="3" s="1"/>
  <c r="W156" i="3" s="1"/>
  <c r="P156" i="3"/>
  <c r="Y154" i="3"/>
  <c r="X155" i="3"/>
  <c r="S159" i="3"/>
  <c r="V159" i="3" s="1"/>
  <c r="M160" i="3"/>
  <c r="N160" i="3" s="1"/>
  <c r="N161" i="3" s="1"/>
  <c r="R160" i="3"/>
  <c r="U160" i="3" s="1"/>
  <c r="C162" i="3"/>
  <c r="D162" i="3"/>
  <c r="K161" i="3"/>
  <c r="J161" i="3"/>
  <c r="H161" i="3"/>
  <c r="L161" i="3"/>
  <c r="P157" i="3" l="1"/>
  <c r="Q156" i="3"/>
  <c r="T157" i="3" s="1"/>
  <c r="W157" i="3" s="1"/>
  <c r="Y155" i="3"/>
  <c r="X156" i="3"/>
  <c r="H162" i="3"/>
  <c r="J162" i="3"/>
  <c r="K162" i="3"/>
  <c r="N162" i="3" s="1"/>
  <c r="L162" i="3"/>
  <c r="M161" i="3"/>
  <c r="R161" i="3"/>
  <c r="U161" i="3" s="1"/>
  <c r="C163" i="3"/>
  <c r="D163" i="3"/>
  <c r="S160" i="3"/>
  <c r="V160" i="3" s="1"/>
  <c r="P158" i="3" l="1"/>
  <c r="Q157" i="3"/>
  <c r="T158" i="3" s="1"/>
  <c r="W158" i="3" s="1"/>
  <c r="X157" i="3"/>
  <c r="Y156" i="3"/>
  <c r="G354" i="3"/>
  <c r="AA354" i="3" s="1"/>
  <c r="G356" i="3"/>
  <c r="AA356" i="3" s="1"/>
  <c r="G362" i="3"/>
  <c r="G357" i="3"/>
  <c r="AA357" i="3" s="1"/>
  <c r="G361" i="3"/>
  <c r="AA361" i="3" s="1"/>
  <c r="G359" i="3"/>
  <c r="AA359" i="3" s="1"/>
  <c r="G351" i="3"/>
  <c r="AA351" i="3" s="1"/>
  <c r="G352" i="3"/>
  <c r="AA352" i="3" s="1"/>
  <c r="G355" i="3"/>
  <c r="AA355" i="3" s="1"/>
  <c r="G353" i="3"/>
  <c r="AA353" i="3" s="1"/>
  <c r="G360" i="3"/>
  <c r="AA360" i="3" s="1"/>
  <c r="G358" i="3"/>
  <c r="AA358" i="3" s="1"/>
  <c r="J163" i="3"/>
  <c r="H163" i="3"/>
  <c r="K163" i="3"/>
  <c r="L163" i="3"/>
  <c r="R162" i="3"/>
  <c r="U162" i="3" s="1"/>
  <c r="M162" i="3"/>
  <c r="S161" i="3"/>
  <c r="V161" i="3" s="1"/>
  <c r="C164" i="3"/>
  <c r="D164" i="3"/>
  <c r="H49" i="7" l="1"/>
  <c r="I49" i="7" s="1"/>
  <c r="Q158" i="3"/>
  <c r="P159" i="3"/>
  <c r="X158" i="3"/>
  <c r="Y157" i="3"/>
  <c r="N163" i="3"/>
  <c r="N164" i="3" s="1"/>
  <c r="AD360" i="3"/>
  <c r="AE360" i="3" s="1"/>
  <c r="AA362" i="3"/>
  <c r="D66" i="7"/>
  <c r="C165" i="3"/>
  <c r="D165" i="3"/>
  <c r="R163" i="3"/>
  <c r="U163" i="3" s="1"/>
  <c r="M163" i="3"/>
  <c r="J164" i="3"/>
  <c r="K164" i="3"/>
  <c r="H164" i="3"/>
  <c r="L164" i="3"/>
  <c r="S162" i="3"/>
  <c r="V162" i="3" s="1"/>
  <c r="Q159" i="3" l="1"/>
  <c r="T160" i="3" s="1"/>
  <c r="P160" i="3"/>
  <c r="D30" i="1"/>
  <c r="T159" i="3"/>
  <c r="W159" i="3" s="1"/>
  <c r="Y158" i="3"/>
  <c r="X159" i="3"/>
  <c r="C66" i="7"/>
  <c r="M164" i="3"/>
  <c r="R164" i="3"/>
  <c r="U164" i="3" s="1"/>
  <c r="C166" i="3"/>
  <c r="D166" i="3"/>
  <c r="S163" i="3"/>
  <c r="V163" i="3" s="1"/>
  <c r="H165" i="3"/>
  <c r="J165" i="3"/>
  <c r="K165" i="3"/>
  <c r="L165" i="3"/>
  <c r="P161" i="3" l="1"/>
  <c r="Q160" i="3"/>
  <c r="T161" i="3" s="1"/>
  <c r="L30" i="1"/>
  <c r="G30" i="1" s="1"/>
  <c r="J49" i="7" s="1"/>
  <c r="F30" i="1"/>
  <c r="W160" i="3"/>
  <c r="Y159" i="3"/>
  <c r="X160" i="3"/>
  <c r="N165" i="3"/>
  <c r="S164" i="3"/>
  <c r="V164" i="3" s="1"/>
  <c r="R165" i="3"/>
  <c r="U165" i="3" s="1"/>
  <c r="M165" i="3"/>
  <c r="C167" i="3"/>
  <c r="D167" i="3"/>
  <c r="J166" i="3"/>
  <c r="K166" i="3"/>
  <c r="H166" i="3"/>
  <c r="L166" i="3"/>
  <c r="W161" i="3" l="1"/>
  <c r="P162" i="3"/>
  <c r="Q161" i="3"/>
  <c r="T162" i="3" s="1"/>
  <c r="X161" i="3"/>
  <c r="Y160" i="3"/>
  <c r="R166" i="3"/>
  <c r="U166" i="3" s="1"/>
  <c r="M166" i="3"/>
  <c r="N166" i="3" s="1"/>
  <c r="C168" i="3"/>
  <c r="D168" i="3"/>
  <c r="S165" i="3"/>
  <c r="V165" i="3" s="1"/>
  <c r="J167" i="3"/>
  <c r="K167" i="3"/>
  <c r="H167" i="3"/>
  <c r="L167" i="3"/>
  <c r="W162" i="3" l="1"/>
  <c r="Q162" i="3"/>
  <c r="T163" i="3" s="1"/>
  <c r="P163" i="3"/>
  <c r="Y161" i="3"/>
  <c r="X162" i="3"/>
  <c r="K168" i="3"/>
  <c r="J168" i="3"/>
  <c r="H168" i="3"/>
  <c r="L168" i="3"/>
  <c r="M167" i="3"/>
  <c r="R167" i="3"/>
  <c r="U167" i="3" s="1"/>
  <c r="N167" i="3"/>
  <c r="S166" i="3"/>
  <c r="V166" i="3" s="1"/>
  <c r="C169" i="3"/>
  <c r="D169" i="3"/>
  <c r="W163" i="3" l="1"/>
  <c r="Q163" i="3"/>
  <c r="T164" i="3" s="1"/>
  <c r="P164" i="3"/>
  <c r="Y162" i="3"/>
  <c r="X163" i="3"/>
  <c r="N168" i="3"/>
  <c r="N169" i="3" s="1"/>
  <c r="H169" i="3"/>
  <c r="J169" i="3"/>
  <c r="K169" i="3"/>
  <c r="L169" i="3"/>
  <c r="C170" i="3"/>
  <c r="D170" i="3"/>
  <c r="S167" i="3"/>
  <c r="V167" i="3" s="1"/>
  <c r="M168" i="3"/>
  <c r="R168" i="3"/>
  <c r="U168" i="3" s="1"/>
  <c r="W164" i="3" l="1"/>
  <c r="Q164" i="3"/>
  <c r="T165" i="3" s="1"/>
  <c r="P165" i="3"/>
  <c r="X164" i="3"/>
  <c r="Y163" i="3"/>
  <c r="C171" i="3"/>
  <c r="D171" i="3"/>
  <c r="J170" i="3"/>
  <c r="H170" i="3"/>
  <c r="K170" i="3"/>
  <c r="N170" i="3" s="1"/>
  <c r="G50" i="7" s="1"/>
  <c r="L170" i="3"/>
  <c r="R169" i="3"/>
  <c r="U169" i="3" s="1"/>
  <c r="M169" i="3"/>
  <c r="S168" i="3"/>
  <c r="V168" i="3" s="1"/>
  <c r="W165" i="3" l="1"/>
  <c r="Q165" i="3"/>
  <c r="T166" i="3" s="1"/>
  <c r="P166" i="3"/>
  <c r="X165" i="3"/>
  <c r="Y164" i="3"/>
  <c r="C172" i="3"/>
  <c r="D172" i="3"/>
  <c r="S169" i="3"/>
  <c r="V169" i="3" s="1"/>
  <c r="M170" i="3"/>
  <c r="R170" i="3"/>
  <c r="U170" i="3" s="1"/>
  <c r="H171" i="3"/>
  <c r="J171" i="3"/>
  <c r="N171" i="3"/>
  <c r="K171" i="3"/>
  <c r="L171" i="3"/>
  <c r="W166" i="3" l="1"/>
  <c r="X166" i="3" s="1"/>
  <c r="Q166" i="3"/>
  <c r="T167" i="3" s="1"/>
  <c r="P167" i="3"/>
  <c r="Y165" i="3"/>
  <c r="E31" i="1"/>
  <c r="K31" i="1" s="1"/>
  <c r="J172" i="3"/>
  <c r="K172" i="3"/>
  <c r="N172" i="3"/>
  <c r="H172" i="3"/>
  <c r="L172" i="3"/>
  <c r="R171" i="3"/>
  <c r="U171" i="3" s="1"/>
  <c r="M171" i="3"/>
  <c r="S170" i="3"/>
  <c r="V170" i="3" s="1"/>
  <c r="C173" i="3"/>
  <c r="D173" i="3"/>
  <c r="W167" i="3" l="1"/>
  <c r="Q167" i="3"/>
  <c r="T168" i="3" s="1"/>
  <c r="P168" i="3"/>
  <c r="Y166" i="3"/>
  <c r="X167" i="3"/>
  <c r="C174" i="3"/>
  <c r="D174" i="3"/>
  <c r="J173" i="3"/>
  <c r="H173" i="3"/>
  <c r="N173" i="3"/>
  <c r="K173" i="3"/>
  <c r="L173" i="3"/>
  <c r="M172" i="3"/>
  <c r="R172" i="3"/>
  <c r="U172" i="3" s="1"/>
  <c r="S171" i="3"/>
  <c r="V171" i="3" s="1"/>
  <c r="W168" i="3" l="1"/>
  <c r="P169" i="3"/>
  <c r="Q168" i="3"/>
  <c r="T169" i="3" s="1"/>
  <c r="Y167" i="3"/>
  <c r="X168" i="3"/>
  <c r="S172" i="3"/>
  <c r="V172" i="3" s="1"/>
  <c r="C175" i="3"/>
  <c r="D175" i="3"/>
  <c r="M173" i="3"/>
  <c r="R173" i="3"/>
  <c r="U173" i="3" s="1"/>
  <c r="K174" i="3"/>
  <c r="N174" i="3" s="1"/>
  <c r="H174" i="3"/>
  <c r="J174" i="3"/>
  <c r="L174" i="3"/>
  <c r="W169" i="3" l="1"/>
  <c r="Q169" i="3"/>
  <c r="T170" i="3" s="1"/>
  <c r="P170" i="3"/>
  <c r="Y168" i="3"/>
  <c r="X169" i="3"/>
  <c r="K175" i="3"/>
  <c r="J175" i="3"/>
  <c r="N175" i="3"/>
  <c r="H175" i="3"/>
  <c r="L175" i="3"/>
  <c r="R174" i="3"/>
  <c r="U174" i="3" s="1"/>
  <c r="M174" i="3"/>
  <c r="S173" i="3"/>
  <c r="V173" i="3" s="1"/>
  <c r="C176" i="3"/>
  <c r="D176" i="3"/>
  <c r="W170" i="3" l="1"/>
  <c r="H50" i="7"/>
  <c r="I50" i="7" s="1"/>
  <c r="Q170" i="3"/>
  <c r="P171" i="3"/>
  <c r="X170" i="3"/>
  <c r="Y169" i="3"/>
  <c r="G366" i="3"/>
  <c r="AA366" i="3" s="1"/>
  <c r="G364" i="3"/>
  <c r="AA364" i="3" s="1"/>
  <c r="G368" i="3"/>
  <c r="AA368" i="3" s="1"/>
  <c r="G371" i="3"/>
  <c r="AA371" i="3" s="1"/>
  <c r="G373" i="3"/>
  <c r="AA373" i="3" s="1"/>
  <c r="G363" i="3"/>
  <c r="AA363" i="3" s="1"/>
  <c r="G367" i="3"/>
  <c r="AA367" i="3" s="1"/>
  <c r="G369" i="3"/>
  <c r="AA369" i="3" s="1"/>
  <c r="G365" i="3"/>
  <c r="AA365" i="3" s="1"/>
  <c r="G372" i="3"/>
  <c r="AA372" i="3" s="1"/>
  <c r="G370" i="3"/>
  <c r="AA370" i="3" s="1"/>
  <c r="G374" i="3"/>
  <c r="C177" i="3"/>
  <c r="D177" i="3"/>
  <c r="R175" i="3"/>
  <c r="U175" i="3" s="1"/>
  <c r="M175" i="3"/>
  <c r="S174" i="3"/>
  <c r="V174" i="3" s="1"/>
  <c r="K176" i="3"/>
  <c r="J176" i="3"/>
  <c r="H176" i="3"/>
  <c r="N176" i="3"/>
  <c r="L176" i="3"/>
  <c r="Q171" i="3" l="1"/>
  <c r="T172" i="3" s="1"/>
  <c r="P172" i="3"/>
  <c r="D31" i="1"/>
  <c r="T171" i="3"/>
  <c r="W171" i="3" s="1"/>
  <c r="Y170" i="3"/>
  <c r="X171" i="3"/>
  <c r="AD372" i="3"/>
  <c r="AE372" i="3" s="1"/>
  <c r="AA374" i="3"/>
  <c r="D67" i="7"/>
  <c r="R176" i="3"/>
  <c r="U176" i="3" s="1"/>
  <c r="M176" i="3"/>
  <c r="J177" i="3"/>
  <c r="H177" i="3"/>
  <c r="K177" i="3"/>
  <c r="L177" i="3"/>
  <c r="C178" i="3"/>
  <c r="D178" i="3"/>
  <c r="S175" i="3"/>
  <c r="V175" i="3" s="1"/>
  <c r="W172" i="3" l="1"/>
  <c r="L31" i="1"/>
  <c r="G31" i="1" s="1"/>
  <c r="F31" i="1"/>
  <c r="Q172" i="3"/>
  <c r="T173" i="3" s="1"/>
  <c r="P173" i="3"/>
  <c r="Y171" i="3"/>
  <c r="X172" i="3"/>
  <c r="N177" i="3"/>
  <c r="C67" i="7"/>
  <c r="J178" i="3"/>
  <c r="K178" i="3"/>
  <c r="H178" i="3"/>
  <c r="L178" i="3"/>
  <c r="C179" i="3"/>
  <c r="D179" i="3"/>
  <c r="S176" i="3"/>
  <c r="V176" i="3" s="1"/>
  <c r="M177" i="3"/>
  <c r="R177" i="3"/>
  <c r="U177" i="3" s="1"/>
  <c r="W173" i="3" l="1"/>
  <c r="J50" i="7"/>
  <c r="P174" i="3"/>
  <c r="Q173" i="3"/>
  <c r="T174" i="3" s="1"/>
  <c r="X173" i="3"/>
  <c r="Y172" i="3"/>
  <c r="N178" i="3"/>
  <c r="R178" i="3"/>
  <c r="U178" i="3" s="1"/>
  <c r="M178" i="3"/>
  <c r="C180" i="3"/>
  <c r="D180" i="3"/>
  <c r="S177" i="3"/>
  <c r="V177" i="3" s="1"/>
  <c r="J179" i="3"/>
  <c r="H179" i="3"/>
  <c r="K179" i="3"/>
  <c r="L179" i="3"/>
  <c r="W174" i="3" l="1"/>
  <c r="Q174" i="3"/>
  <c r="T175" i="3" s="1"/>
  <c r="P175" i="3"/>
  <c r="Y173" i="3"/>
  <c r="X174" i="3"/>
  <c r="J180" i="3"/>
  <c r="K180" i="3"/>
  <c r="H180" i="3"/>
  <c r="L180" i="3"/>
  <c r="R179" i="3"/>
  <c r="U179" i="3" s="1"/>
  <c r="M179" i="3"/>
  <c r="N179" i="3"/>
  <c r="S178" i="3"/>
  <c r="V178" i="3" s="1"/>
  <c r="C181" i="3"/>
  <c r="D181" i="3"/>
  <c r="W175" i="3" l="1"/>
  <c r="Q175" i="3"/>
  <c r="T176" i="3" s="1"/>
  <c r="P176" i="3"/>
  <c r="X175" i="3"/>
  <c r="Y174" i="3"/>
  <c r="M180" i="3"/>
  <c r="R180" i="3"/>
  <c r="U180" i="3" s="1"/>
  <c r="S179" i="3"/>
  <c r="V179" i="3" s="1"/>
  <c r="N180" i="3"/>
  <c r="N181" i="3" s="1"/>
  <c r="C182" i="3"/>
  <c r="D182" i="3"/>
  <c r="H181" i="3"/>
  <c r="K181" i="3"/>
  <c r="J181" i="3"/>
  <c r="L181" i="3"/>
  <c r="W176" i="3" l="1"/>
  <c r="Q176" i="3"/>
  <c r="T177" i="3" s="1"/>
  <c r="P177" i="3"/>
  <c r="Y175" i="3"/>
  <c r="X176" i="3"/>
  <c r="C183" i="3"/>
  <c r="D183" i="3"/>
  <c r="M181" i="3"/>
  <c r="R181" i="3"/>
  <c r="U181" i="3" s="1"/>
  <c r="K182" i="3"/>
  <c r="J182" i="3"/>
  <c r="H182" i="3"/>
  <c r="L182" i="3"/>
  <c r="S180" i="3"/>
  <c r="V180" i="3" s="1"/>
  <c r="N182" i="3" l="1"/>
  <c r="G51" i="7" s="1"/>
  <c r="W177" i="3"/>
  <c r="Q177" i="3"/>
  <c r="T178" i="3" s="1"/>
  <c r="P178" i="3"/>
  <c r="Y176" i="3"/>
  <c r="X177" i="3"/>
  <c r="R182" i="3"/>
  <c r="U182" i="3" s="1"/>
  <c r="M182" i="3"/>
  <c r="S181" i="3"/>
  <c r="V181" i="3" s="1"/>
  <c r="C184" i="3"/>
  <c r="D184" i="3"/>
  <c r="J183" i="3"/>
  <c r="K183" i="3"/>
  <c r="N183" i="3" s="1"/>
  <c r="H183" i="3"/>
  <c r="L183" i="3"/>
  <c r="W178" i="3" l="1"/>
  <c r="Q178" i="3"/>
  <c r="T179" i="3" s="1"/>
  <c r="P179" i="3"/>
  <c r="Y177" i="3"/>
  <c r="X178" i="3"/>
  <c r="E32" i="1"/>
  <c r="K32" i="1" s="1"/>
  <c r="S182" i="3"/>
  <c r="V182" i="3" s="1"/>
  <c r="C185" i="3"/>
  <c r="D185" i="3"/>
  <c r="R183" i="3"/>
  <c r="U183" i="3" s="1"/>
  <c r="M183" i="3"/>
  <c r="H184" i="3"/>
  <c r="K184" i="3"/>
  <c r="N184" i="3"/>
  <c r="J184" i="3"/>
  <c r="L184" i="3"/>
  <c r="W179" i="3" l="1"/>
  <c r="X179" i="3" s="1"/>
  <c r="Q179" i="3"/>
  <c r="T180" i="3" s="1"/>
  <c r="W180" i="3" s="1"/>
  <c r="P180" i="3"/>
  <c r="Y178" i="3"/>
  <c r="S183" i="3"/>
  <c r="V183" i="3" s="1"/>
  <c r="M184" i="3"/>
  <c r="R184" i="3"/>
  <c r="U184" i="3" s="1"/>
  <c r="C186" i="3"/>
  <c r="D186" i="3"/>
  <c r="K185" i="3"/>
  <c r="J185" i="3"/>
  <c r="H185" i="3"/>
  <c r="N185" i="3"/>
  <c r="L185" i="3"/>
  <c r="P181" i="3" l="1"/>
  <c r="Q180" i="3"/>
  <c r="T181" i="3" s="1"/>
  <c r="W181" i="3" s="1"/>
  <c r="Y179" i="3"/>
  <c r="X180" i="3"/>
  <c r="C187" i="3"/>
  <c r="D187" i="3"/>
  <c r="R185" i="3"/>
  <c r="U185" i="3" s="1"/>
  <c r="M185" i="3"/>
  <c r="H186" i="3"/>
  <c r="K186" i="3"/>
  <c r="N186" i="3" s="1"/>
  <c r="J186" i="3"/>
  <c r="L186" i="3"/>
  <c r="S184" i="3"/>
  <c r="V184" i="3" s="1"/>
  <c r="Q181" i="3" l="1"/>
  <c r="T182" i="3" s="1"/>
  <c r="W182" i="3" s="1"/>
  <c r="P182" i="3"/>
  <c r="X181" i="3"/>
  <c r="Y180" i="3"/>
  <c r="S185" i="3"/>
  <c r="V185" i="3" s="1"/>
  <c r="M186" i="3"/>
  <c r="R186" i="3"/>
  <c r="U186" i="3" s="1"/>
  <c r="C188" i="3"/>
  <c r="D188" i="3"/>
  <c r="J187" i="3"/>
  <c r="H187" i="3"/>
  <c r="K187" i="3"/>
  <c r="N187" i="3" s="1"/>
  <c r="L187" i="3"/>
  <c r="H51" i="7" l="1"/>
  <c r="I51" i="7" s="1"/>
  <c r="Q182" i="3"/>
  <c r="P183" i="3"/>
  <c r="Y181" i="3"/>
  <c r="X182" i="3"/>
  <c r="G382" i="3"/>
  <c r="AA382" i="3" s="1"/>
  <c r="G376" i="3"/>
  <c r="AA376" i="3" s="1"/>
  <c r="G386" i="3"/>
  <c r="G378" i="3"/>
  <c r="AA378" i="3" s="1"/>
  <c r="G383" i="3"/>
  <c r="AA383" i="3" s="1"/>
  <c r="G381" i="3"/>
  <c r="AA381" i="3" s="1"/>
  <c r="G380" i="3"/>
  <c r="AA380" i="3" s="1"/>
  <c r="G385" i="3"/>
  <c r="AA385" i="3" s="1"/>
  <c r="G379" i="3"/>
  <c r="AA379" i="3" s="1"/>
  <c r="G377" i="3"/>
  <c r="AA377" i="3" s="1"/>
  <c r="G375" i="3"/>
  <c r="AA375" i="3" s="1"/>
  <c r="G384" i="3"/>
  <c r="AA384" i="3" s="1"/>
  <c r="H188" i="3"/>
  <c r="J188" i="3"/>
  <c r="K188" i="3"/>
  <c r="N188" i="3"/>
  <c r="L188" i="3"/>
  <c r="S186" i="3"/>
  <c r="V186" i="3" s="1"/>
  <c r="R187" i="3"/>
  <c r="U187" i="3" s="1"/>
  <c r="M187" i="3"/>
  <c r="C189" i="3"/>
  <c r="D189" i="3"/>
  <c r="Q183" i="3" l="1"/>
  <c r="T184" i="3" s="1"/>
  <c r="P184" i="3"/>
  <c r="D32" i="1"/>
  <c r="T183" i="3"/>
  <c r="W183" i="3" s="1"/>
  <c r="Y182" i="3"/>
  <c r="X183" i="3"/>
  <c r="AD384" i="3"/>
  <c r="AE384" i="3" s="1"/>
  <c r="AA386" i="3"/>
  <c r="D68" i="7"/>
  <c r="AE300" i="3"/>
  <c r="H189" i="3"/>
  <c r="J189" i="3"/>
  <c r="K189" i="3"/>
  <c r="L189" i="3"/>
  <c r="M188" i="3"/>
  <c r="R188" i="3"/>
  <c r="U188" i="3" s="1"/>
  <c r="C190" i="3"/>
  <c r="D190" i="3"/>
  <c r="S187" i="3"/>
  <c r="V187" i="3" s="1"/>
  <c r="AD283" i="3" l="1"/>
  <c r="AE283" i="3" s="1"/>
  <c r="AD284" i="3"/>
  <c r="AE284" i="3" s="1"/>
  <c r="AD281" i="3"/>
  <c r="AE281" i="3" s="1"/>
  <c r="W184" i="3"/>
  <c r="L32" i="1"/>
  <c r="G32" i="1" s="1"/>
  <c r="J51" i="7" s="1"/>
  <c r="F32" i="1"/>
  <c r="P185" i="3"/>
  <c r="Q184" i="3"/>
  <c r="T185" i="3" s="1"/>
  <c r="W185" i="3" s="1"/>
  <c r="Y183" i="3"/>
  <c r="X184" i="3"/>
  <c r="AD396" i="3"/>
  <c r="AE396" i="3" s="1"/>
  <c r="AG274" i="3" s="1"/>
  <c r="AD264" i="3"/>
  <c r="AE264" i="3" s="1"/>
  <c r="AG275" i="3" s="1"/>
  <c r="AD276" i="3"/>
  <c r="AE276" i="3" s="1"/>
  <c r="AE312" i="3"/>
  <c r="N189" i="3"/>
  <c r="C68" i="7"/>
  <c r="C69" i="7" s="1"/>
  <c r="C70" i="7" s="1"/>
  <c r="C71" i="7" s="1"/>
  <c r="C72" i="7" s="1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C83" i="7" s="1"/>
  <c r="R189" i="3"/>
  <c r="U189" i="3" s="1"/>
  <c r="M189" i="3"/>
  <c r="S188" i="3"/>
  <c r="V188" i="3" s="1"/>
  <c r="H190" i="3"/>
  <c r="J190" i="3"/>
  <c r="K190" i="3"/>
  <c r="L190" i="3"/>
  <c r="C191" i="3"/>
  <c r="D191" i="3"/>
  <c r="AG283" i="3" l="1"/>
  <c r="AG285" i="3"/>
  <c r="AG279" i="3"/>
  <c r="AG281" i="3"/>
  <c r="AG269" i="3"/>
  <c r="AG277" i="3"/>
  <c r="AG282" i="3"/>
  <c r="AG273" i="3"/>
  <c r="AG258" i="3"/>
  <c r="AH259" i="3" s="1"/>
  <c r="AG270" i="3"/>
  <c r="P186" i="3"/>
  <c r="Q185" i="3"/>
  <c r="T186" i="3" s="1"/>
  <c r="W186" i="3" s="1"/>
  <c r="N190" i="3"/>
  <c r="X185" i="3"/>
  <c r="Y184" i="3"/>
  <c r="O265" i="3"/>
  <c r="O266" i="3" s="1"/>
  <c r="O267" i="3" s="1"/>
  <c r="O268" i="3" s="1"/>
  <c r="O269" i="3" s="1"/>
  <c r="O270" i="3" s="1"/>
  <c r="O271" i="3" s="1"/>
  <c r="O272" i="3" s="1"/>
  <c r="O273" i="3" s="1"/>
  <c r="O274" i="3" s="1"/>
  <c r="O275" i="3" s="1"/>
  <c r="O276" i="3" s="1"/>
  <c r="O277" i="3" s="1"/>
  <c r="O278" i="3" s="1"/>
  <c r="O279" i="3" s="1"/>
  <c r="O280" i="3" s="1"/>
  <c r="O281" i="3" s="1"/>
  <c r="O282" i="3" s="1"/>
  <c r="O343" i="3"/>
  <c r="O344" i="3" s="1"/>
  <c r="O345" i="3" s="1"/>
  <c r="O346" i="3" s="1"/>
  <c r="O347" i="3" s="1"/>
  <c r="O348" i="3" s="1"/>
  <c r="O349" i="3" s="1"/>
  <c r="O350" i="3" s="1"/>
  <c r="O351" i="3" s="1"/>
  <c r="O352" i="3" s="1"/>
  <c r="O353" i="3" s="1"/>
  <c r="O354" i="3" s="1"/>
  <c r="O355" i="3"/>
  <c r="O356" i="3" s="1"/>
  <c r="O357" i="3" s="1"/>
  <c r="O358" i="3" s="1"/>
  <c r="O359" i="3" s="1"/>
  <c r="O360" i="3" s="1"/>
  <c r="O361" i="3" s="1"/>
  <c r="O362" i="3" s="1"/>
  <c r="O363" i="3" s="1"/>
  <c r="O364" i="3" s="1"/>
  <c r="O365" i="3" s="1"/>
  <c r="O366" i="3" s="1"/>
  <c r="O367" i="3"/>
  <c r="O368" i="3" s="1"/>
  <c r="O369" i="3" s="1"/>
  <c r="O370" i="3" s="1"/>
  <c r="O371" i="3" s="1"/>
  <c r="O372" i="3" s="1"/>
  <c r="O373" i="3" s="1"/>
  <c r="O374" i="3" s="1"/>
  <c r="O375" i="3" s="1"/>
  <c r="O376" i="3" s="1"/>
  <c r="O377" i="3" s="1"/>
  <c r="O378" i="3" s="1"/>
  <c r="O379" i="3"/>
  <c r="O380" i="3" s="1"/>
  <c r="O381" i="3" s="1"/>
  <c r="O382" i="3" s="1"/>
  <c r="O383" i="3" s="1"/>
  <c r="O384" i="3" s="1"/>
  <c r="O385" i="3" s="1"/>
  <c r="O386" i="3" s="1"/>
  <c r="O387" i="3" s="1"/>
  <c r="O388" i="3" s="1"/>
  <c r="O389" i="3" s="1"/>
  <c r="O390" i="3" s="1"/>
  <c r="O391" i="3"/>
  <c r="O392" i="3" s="1"/>
  <c r="O393" i="3" s="1"/>
  <c r="O394" i="3" s="1"/>
  <c r="O395" i="3" s="1"/>
  <c r="O396" i="3" s="1"/>
  <c r="O397" i="3" s="1"/>
  <c r="O398" i="3"/>
  <c r="O319" i="3"/>
  <c r="O320" i="3" s="1"/>
  <c r="O321" i="3" s="1"/>
  <c r="O322" i="3" s="1"/>
  <c r="O323" i="3" s="1"/>
  <c r="O324" i="3" s="1"/>
  <c r="O325" i="3" s="1"/>
  <c r="O326" i="3" s="1"/>
  <c r="O327" i="3" s="1"/>
  <c r="O328" i="3" s="1"/>
  <c r="O329" i="3" s="1"/>
  <c r="O330" i="3" s="1"/>
  <c r="O283" i="3"/>
  <c r="O284" i="3" s="1"/>
  <c r="O285" i="3" s="1"/>
  <c r="O286" i="3" s="1"/>
  <c r="O287" i="3" s="1"/>
  <c r="O288" i="3" s="1"/>
  <c r="O289" i="3" s="1"/>
  <c r="O290" i="3" s="1"/>
  <c r="O291" i="3" s="1"/>
  <c r="O292" i="3" s="1"/>
  <c r="O293" i="3" s="1"/>
  <c r="O294" i="3" s="1"/>
  <c r="O295" i="3"/>
  <c r="O296" i="3" s="1"/>
  <c r="O297" i="3" s="1"/>
  <c r="O298" i="3" s="1"/>
  <c r="O299" i="3" s="1"/>
  <c r="O300" i="3" s="1"/>
  <c r="O301" i="3" s="1"/>
  <c r="O302" i="3" s="1"/>
  <c r="O303" i="3" s="1"/>
  <c r="O304" i="3" s="1"/>
  <c r="O305" i="3" s="1"/>
  <c r="O306" i="3" s="1"/>
  <c r="O307" i="3"/>
  <c r="O308" i="3" s="1"/>
  <c r="O309" i="3" s="1"/>
  <c r="O310" i="3" s="1"/>
  <c r="O311" i="3" s="1"/>
  <c r="O312" i="3" s="1"/>
  <c r="O313" i="3" s="1"/>
  <c r="O314" i="3" s="1"/>
  <c r="O315" i="3" s="1"/>
  <c r="O316" i="3" s="1"/>
  <c r="O317" i="3" s="1"/>
  <c r="O318" i="3" s="1"/>
  <c r="O331" i="3"/>
  <c r="O332" i="3" s="1"/>
  <c r="O333" i="3" s="1"/>
  <c r="O334" i="3" s="1"/>
  <c r="O335" i="3" s="1"/>
  <c r="O336" i="3" s="1"/>
  <c r="O337" i="3" s="1"/>
  <c r="O338" i="3" s="1"/>
  <c r="O339" i="3" s="1"/>
  <c r="O340" i="3" s="1"/>
  <c r="O341" i="3" s="1"/>
  <c r="O342" i="3" s="1"/>
  <c r="F23" i="8"/>
  <c r="C192" i="3"/>
  <c r="D192" i="3"/>
  <c r="R190" i="3"/>
  <c r="U190" i="3" s="1"/>
  <c r="M190" i="3"/>
  <c r="S189" i="3"/>
  <c r="V189" i="3" s="1"/>
  <c r="H191" i="3"/>
  <c r="K191" i="3"/>
  <c r="J191" i="3"/>
  <c r="L191" i="3"/>
  <c r="AH265" i="3" l="1"/>
  <c r="AH261" i="3"/>
  <c r="AH267" i="3"/>
  <c r="AH264" i="3"/>
  <c r="E58" i="7"/>
  <c r="AH268" i="3"/>
  <c r="AH258" i="3"/>
  <c r="AH269" i="3"/>
  <c r="AH266" i="3"/>
  <c r="AH262" i="3"/>
  <c r="AH263" i="3"/>
  <c r="AH257" i="3"/>
  <c r="AH260" i="3"/>
  <c r="Q186" i="3"/>
  <c r="T187" i="3" s="1"/>
  <c r="W187" i="3" s="1"/>
  <c r="P187" i="3"/>
  <c r="Y185" i="3"/>
  <c r="X186" i="3"/>
  <c r="AH270" i="3"/>
  <c r="AH278" i="3"/>
  <c r="AH317" i="3"/>
  <c r="AH279" i="3"/>
  <c r="AH395" i="3"/>
  <c r="AH393" i="3"/>
  <c r="AH314" i="3"/>
  <c r="AH310" i="3"/>
  <c r="AH307" i="3"/>
  <c r="AH297" i="3"/>
  <c r="AH300" i="3"/>
  <c r="AH296" i="3"/>
  <c r="AH302" i="3"/>
  <c r="AH301" i="3"/>
  <c r="AH295" i="3"/>
  <c r="AH305" i="3"/>
  <c r="AH298" i="3"/>
  <c r="AH304" i="3"/>
  <c r="AH306" i="3"/>
  <c r="AH303" i="3"/>
  <c r="AH299" i="3"/>
  <c r="AH394" i="3"/>
  <c r="AH391" i="3"/>
  <c r="AH309" i="3"/>
  <c r="AH313" i="3"/>
  <c r="AH277" i="3"/>
  <c r="AH273" i="3"/>
  <c r="AH271" i="3"/>
  <c r="AH274" i="3"/>
  <c r="AH276" i="3"/>
  <c r="AH275" i="3"/>
  <c r="AH272" i="3"/>
  <c r="AH334" i="3"/>
  <c r="AH337" i="3"/>
  <c r="AH331" i="3"/>
  <c r="AH335" i="3"/>
  <c r="AH333" i="3"/>
  <c r="AH332" i="3"/>
  <c r="AH336" i="3"/>
  <c r="AH350" i="3"/>
  <c r="AH349" i="3"/>
  <c r="AH354" i="3"/>
  <c r="AH345" i="3"/>
  <c r="AH352" i="3"/>
  <c r="AH353" i="3"/>
  <c r="AH346" i="3"/>
  <c r="AH344" i="3"/>
  <c r="AH348" i="3"/>
  <c r="AH347" i="3"/>
  <c r="AH351" i="3"/>
  <c r="AH343" i="3"/>
  <c r="AH341" i="3"/>
  <c r="AH338" i="3"/>
  <c r="AH342" i="3"/>
  <c r="AH339" i="3"/>
  <c r="AH340" i="3"/>
  <c r="AH356" i="3"/>
  <c r="AH355" i="3"/>
  <c r="AH365" i="3"/>
  <c r="AH362" i="3"/>
  <c r="AH364" i="3"/>
  <c r="AH358" i="3"/>
  <c r="AH357" i="3"/>
  <c r="AH360" i="3"/>
  <c r="AH366" i="3"/>
  <c r="AH363" i="3"/>
  <c r="AH359" i="3"/>
  <c r="AH361" i="3"/>
  <c r="AH374" i="3"/>
  <c r="AH378" i="3"/>
  <c r="AH369" i="3"/>
  <c r="AH375" i="3"/>
  <c r="AH368" i="3"/>
  <c r="AH371" i="3"/>
  <c r="AH372" i="3"/>
  <c r="AH370" i="3"/>
  <c r="AH367" i="3"/>
  <c r="AH376" i="3"/>
  <c r="AH377" i="3"/>
  <c r="AH373" i="3"/>
  <c r="AH385" i="3"/>
  <c r="AH383" i="3"/>
  <c r="AH387" i="3"/>
  <c r="AH389" i="3"/>
  <c r="AH379" i="3"/>
  <c r="AH390" i="3"/>
  <c r="AH386" i="3"/>
  <c r="AH380" i="3"/>
  <c r="AH384" i="3"/>
  <c r="AH381" i="3"/>
  <c r="AH382" i="3"/>
  <c r="AH388" i="3"/>
  <c r="AH282" i="3"/>
  <c r="AH281" i="3"/>
  <c r="AH397" i="3"/>
  <c r="AH312" i="3"/>
  <c r="AH311" i="3"/>
  <c r="AH318" i="3"/>
  <c r="AH287" i="3"/>
  <c r="AH289" i="3"/>
  <c r="AH291" i="3"/>
  <c r="AH285" i="3"/>
  <c r="AH292" i="3"/>
  <c r="AH286" i="3"/>
  <c r="AH293" i="3"/>
  <c r="AH284" i="3"/>
  <c r="AH283" i="3"/>
  <c r="AH290" i="3"/>
  <c r="AH294" i="3"/>
  <c r="AH288" i="3"/>
  <c r="AH325" i="3"/>
  <c r="AH319" i="3"/>
  <c r="AH329" i="3"/>
  <c r="AH322" i="3"/>
  <c r="AH327" i="3"/>
  <c r="AH326" i="3"/>
  <c r="AH323" i="3"/>
  <c r="AH328" i="3"/>
  <c r="AH324" i="3"/>
  <c r="AH321" i="3"/>
  <c r="AH330" i="3"/>
  <c r="AH320" i="3"/>
  <c r="AH483" i="3"/>
  <c r="AH407" i="3"/>
  <c r="AH542" i="3"/>
  <c r="AH413" i="3"/>
  <c r="AH400" i="3"/>
  <c r="AH485" i="3"/>
  <c r="AH536" i="3"/>
  <c r="AH450" i="3"/>
  <c r="AH405" i="3"/>
  <c r="AH549" i="3"/>
  <c r="AH517" i="3"/>
  <c r="AH457" i="3"/>
  <c r="AH399" i="3"/>
  <c r="AH474" i="3"/>
  <c r="AH439" i="3"/>
  <c r="AH420" i="3"/>
  <c r="AH513" i="3"/>
  <c r="AH546" i="3"/>
  <c r="AH572" i="3"/>
  <c r="AH564" i="3"/>
  <c r="AH414" i="3"/>
  <c r="AH424" i="3"/>
  <c r="AH548" i="3"/>
  <c r="AH511" i="3"/>
  <c r="AH479" i="3"/>
  <c r="AH481" i="3"/>
  <c r="AH408" i="3"/>
  <c r="AH487" i="3"/>
  <c r="AH516" i="3"/>
  <c r="AH462" i="3"/>
  <c r="AH398" i="3"/>
  <c r="AH464" i="3"/>
  <c r="AH553" i="3"/>
  <c r="AH492" i="3"/>
  <c r="AH441" i="3"/>
  <c r="AH482" i="3"/>
  <c r="AH429" i="3"/>
  <c r="AH443" i="3"/>
  <c r="AH544" i="3"/>
  <c r="AH526" i="3"/>
  <c r="AH495" i="3"/>
  <c r="AH417" i="3"/>
  <c r="AH426" i="3"/>
  <c r="AH415" i="3"/>
  <c r="AH537" i="3"/>
  <c r="AH421" i="3"/>
  <c r="AH410" i="3"/>
  <c r="AH452" i="3"/>
  <c r="AH575" i="3"/>
  <c r="AH568" i="3"/>
  <c r="AH552" i="3"/>
  <c r="AH541" i="3"/>
  <c r="AH458" i="3"/>
  <c r="AH403" i="3"/>
  <c r="AH577" i="3"/>
  <c r="AH503" i="3"/>
  <c r="AH427" i="3"/>
  <c r="AH502" i="3"/>
  <c r="AH440" i="3"/>
  <c r="AH445" i="3"/>
  <c r="AH472" i="3"/>
  <c r="AH476" i="3"/>
  <c r="AH533" i="3"/>
  <c r="AH505" i="3"/>
  <c r="AH467" i="3"/>
  <c r="AH455" i="3"/>
  <c r="AH557" i="3"/>
  <c r="AH556" i="3"/>
  <c r="AH447" i="3"/>
  <c r="AH431" i="3"/>
  <c r="AH514" i="3"/>
  <c r="AH401" i="3"/>
  <c r="AH506" i="3"/>
  <c r="AH444" i="3"/>
  <c r="AH456" i="3"/>
  <c r="AH409" i="3"/>
  <c r="AH468" i="3"/>
  <c r="AH470" i="3"/>
  <c r="AH555" i="3"/>
  <c r="AH539" i="3"/>
  <c r="AH519" i="3"/>
  <c r="AH435" i="3"/>
  <c r="AH500" i="3"/>
  <c r="AH486" i="3"/>
  <c r="AH433" i="3"/>
  <c r="AH418" i="3"/>
  <c r="AH454" i="3"/>
  <c r="AH489" i="3"/>
  <c r="AH531" i="3"/>
  <c r="AH460" i="3"/>
  <c r="AH510" i="3"/>
  <c r="AH512" i="3"/>
  <c r="AH565" i="3"/>
  <c r="AH518" i="3"/>
  <c r="AH559" i="3"/>
  <c r="AH432" i="3"/>
  <c r="AH465" i="3"/>
  <c r="AH558" i="3"/>
  <c r="AH448" i="3"/>
  <c r="AH535" i="3"/>
  <c r="AH419" i="3"/>
  <c r="AH499" i="3"/>
  <c r="AH436" i="3"/>
  <c r="AH494" i="3"/>
  <c r="AH437" i="3"/>
  <c r="AH473" i="3"/>
  <c r="AH406" i="3"/>
  <c r="AH463" i="3"/>
  <c r="AH496" i="3"/>
  <c r="AH560" i="3"/>
  <c r="AH570" i="3"/>
  <c r="AH569" i="3"/>
  <c r="AH491" i="3"/>
  <c r="AH453" i="3"/>
  <c r="AH524" i="3"/>
  <c r="AH477" i="3"/>
  <c r="AH550" i="3"/>
  <c r="AH529" i="3"/>
  <c r="AH488" i="3"/>
  <c r="AH422" i="3"/>
  <c r="AH478" i="3"/>
  <c r="AH497" i="3"/>
  <c r="AH540" i="3"/>
  <c r="AH484" i="3"/>
  <c r="AH449" i="3"/>
  <c r="AH434" i="3"/>
  <c r="AH521" i="3"/>
  <c r="AH404" i="3"/>
  <c r="AH412" i="3"/>
  <c r="AH459" i="3"/>
  <c r="AH567" i="3"/>
  <c r="AH573" i="3"/>
  <c r="AH504" i="3"/>
  <c r="AH574" i="3"/>
  <c r="AH480" i="3"/>
  <c r="AH525" i="3"/>
  <c r="AH566" i="3"/>
  <c r="AH561" i="3"/>
  <c r="AH528" i="3"/>
  <c r="AH527" i="3"/>
  <c r="AH402" i="3"/>
  <c r="AH562" i="3"/>
  <c r="AH493" i="3"/>
  <c r="AH428" i="3"/>
  <c r="AH469" i="3"/>
  <c r="AH466" i="3"/>
  <c r="AH416" i="3"/>
  <c r="AH423" i="3"/>
  <c r="AH523" i="3"/>
  <c r="AH442" i="3"/>
  <c r="AH545" i="3"/>
  <c r="AH451" i="3"/>
  <c r="AH532" i="3"/>
  <c r="AH475" i="3"/>
  <c r="AH538" i="3"/>
  <c r="AH507" i="3"/>
  <c r="AH520" i="3"/>
  <c r="AH438" i="3"/>
  <c r="AH576" i="3"/>
  <c r="AH571" i="3"/>
  <c r="AH501" i="3"/>
  <c r="AH430" i="3"/>
  <c r="AH551" i="3"/>
  <c r="AH411" i="3"/>
  <c r="AH563" i="3"/>
  <c r="AH490" i="3"/>
  <c r="AH530" i="3"/>
  <c r="AH554" i="3"/>
  <c r="AH508" i="3"/>
  <c r="AH547" i="3"/>
  <c r="AH522" i="3"/>
  <c r="AH515" i="3"/>
  <c r="AH498" i="3"/>
  <c r="AH534" i="3"/>
  <c r="AH425" i="3"/>
  <c r="AH446" i="3"/>
  <c r="AH543" i="3"/>
  <c r="AH509" i="3"/>
  <c r="AH471" i="3"/>
  <c r="AH461" i="3"/>
  <c r="AH280" i="3"/>
  <c r="AH392" i="3"/>
  <c r="AH396" i="3"/>
  <c r="AH308" i="3"/>
  <c r="AH315" i="3"/>
  <c r="AH316" i="3"/>
  <c r="E79" i="7"/>
  <c r="E70" i="7"/>
  <c r="E61" i="7"/>
  <c r="E82" i="7"/>
  <c r="E76" i="7"/>
  <c r="E80" i="7"/>
  <c r="E60" i="7"/>
  <c r="E63" i="7"/>
  <c r="E71" i="7"/>
  <c r="E59" i="7"/>
  <c r="E64" i="7"/>
  <c r="E65" i="7"/>
  <c r="E66" i="7"/>
  <c r="E67" i="7"/>
  <c r="E68" i="7"/>
  <c r="E81" i="7"/>
  <c r="E74" i="7"/>
  <c r="E62" i="7"/>
  <c r="E75" i="7"/>
  <c r="E73" i="7"/>
  <c r="E72" i="7"/>
  <c r="E77" i="7"/>
  <c r="E78" i="7"/>
  <c r="E69" i="7"/>
  <c r="E83" i="7"/>
  <c r="N191" i="3"/>
  <c r="J192" i="3"/>
  <c r="H192" i="3"/>
  <c r="K192" i="3"/>
  <c r="L192" i="3"/>
  <c r="M191" i="3"/>
  <c r="R191" i="3"/>
  <c r="U191" i="3" s="1"/>
  <c r="C193" i="3"/>
  <c r="D193" i="3"/>
  <c r="S190" i="3"/>
  <c r="V190" i="3" s="1"/>
  <c r="Q187" i="3" l="1"/>
  <c r="T188" i="3" s="1"/>
  <c r="W188" i="3" s="1"/>
  <c r="P188" i="3"/>
  <c r="Y186" i="3"/>
  <c r="X187" i="3"/>
  <c r="N192" i="3"/>
  <c r="N193" i="3" s="1"/>
  <c r="R192" i="3"/>
  <c r="U192" i="3" s="1"/>
  <c r="M192" i="3"/>
  <c r="C194" i="3"/>
  <c r="D194" i="3"/>
  <c r="S191" i="3"/>
  <c r="V191" i="3" s="1"/>
  <c r="J193" i="3"/>
  <c r="H193" i="3"/>
  <c r="K193" i="3"/>
  <c r="L193" i="3"/>
  <c r="Q188" i="3" l="1"/>
  <c r="T189" i="3" s="1"/>
  <c r="W189" i="3" s="1"/>
  <c r="P189" i="3"/>
  <c r="Y187" i="3"/>
  <c r="X188" i="3"/>
  <c r="C195" i="3"/>
  <c r="D195" i="3"/>
  <c r="S192" i="3"/>
  <c r="V192" i="3" s="1"/>
  <c r="J194" i="3"/>
  <c r="K194" i="3"/>
  <c r="H194" i="3"/>
  <c r="L194" i="3"/>
  <c r="M193" i="3"/>
  <c r="R193" i="3"/>
  <c r="U193" i="3" s="1"/>
  <c r="N194" i="3" l="1"/>
  <c r="G52" i="7" s="1"/>
  <c r="Q189" i="3"/>
  <c r="T190" i="3" s="1"/>
  <c r="W190" i="3" s="1"/>
  <c r="P190" i="3"/>
  <c r="Y188" i="3"/>
  <c r="X189" i="3"/>
  <c r="S193" i="3"/>
  <c r="V193" i="3" s="1"/>
  <c r="H195" i="3"/>
  <c r="K195" i="3"/>
  <c r="J195" i="3"/>
  <c r="N195" i="3" s="1"/>
  <c r="L195" i="3"/>
  <c r="M194" i="3"/>
  <c r="R194" i="3"/>
  <c r="U194" i="3" s="1"/>
  <c r="C196" i="3"/>
  <c r="D196" i="3"/>
  <c r="Q190" i="3" l="1"/>
  <c r="T191" i="3" s="1"/>
  <c r="W191" i="3" s="1"/>
  <c r="P191" i="3"/>
  <c r="X190" i="3"/>
  <c r="Y189" i="3"/>
  <c r="E33" i="1"/>
  <c r="K33" i="1" s="1"/>
  <c r="H196" i="3"/>
  <c r="J196" i="3"/>
  <c r="K196" i="3"/>
  <c r="N196" i="3"/>
  <c r="L196" i="3"/>
  <c r="S194" i="3"/>
  <c r="V194" i="3" s="1"/>
  <c r="C197" i="3"/>
  <c r="D197" i="3"/>
  <c r="R195" i="3"/>
  <c r="U195" i="3" s="1"/>
  <c r="M195" i="3"/>
  <c r="Q191" i="3" l="1"/>
  <c r="T192" i="3" s="1"/>
  <c r="W192" i="3" s="1"/>
  <c r="P192" i="3"/>
  <c r="Y190" i="3"/>
  <c r="X191" i="3"/>
  <c r="C198" i="3"/>
  <c r="D198" i="3"/>
  <c r="H197" i="3"/>
  <c r="N197" i="3"/>
  <c r="J197" i="3"/>
  <c r="K197" i="3"/>
  <c r="L197" i="3"/>
  <c r="S195" i="3"/>
  <c r="V195" i="3" s="1"/>
  <c r="M196" i="3"/>
  <c r="R196" i="3"/>
  <c r="U196" i="3" s="1"/>
  <c r="Q192" i="3" l="1"/>
  <c r="T193" i="3" s="1"/>
  <c r="W193" i="3" s="1"/>
  <c r="P193" i="3"/>
  <c r="Y191" i="3"/>
  <c r="X192" i="3"/>
  <c r="S196" i="3"/>
  <c r="V196" i="3" s="1"/>
  <c r="C199" i="3"/>
  <c r="D199" i="3"/>
  <c r="M197" i="3"/>
  <c r="R197" i="3"/>
  <c r="U197" i="3" s="1"/>
  <c r="J198" i="3"/>
  <c r="H198" i="3"/>
  <c r="K198" i="3"/>
  <c r="N198" i="3" s="1"/>
  <c r="L198" i="3"/>
  <c r="Q193" i="3" l="1"/>
  <c r="T194" i="3" s="1"/>
  <c r="W194" i="3" s="1"/>
  <c r="P194" i="3"/>
  <c r="X193" i="3"/>
  <c r="Y192" i="3"/>
  <c r="C200" i="3"/>
  <c r="D200" i="3"/>
  <c r="K199" i="3"/>
  <c r="J199" i="3"/>
  <c r="H199" i="3"/>
  <c r="L199" i="3"/>
  <c r="M198" i="3"/>
  <c r="R198" i="3"/>
  <c r="U198" i="3" s="1"/>
  <c r="S197" i="3"/>
  <c r="V197" i="3" s="1"/>
  <c r="H52" i="7" l="1"/>
  <c r="I52" i="7" s="1"/>
  <c r="Q194" i="3"/>
  <c r="P195" i="3"/>
  <c r="X194" i="3"/>
  <c r="X195" i="3" s="1"/>
  <c r="Y193" i="3"/>
  <c r="N199" i="3"/>
  <c r="N200" i="3" s="1"/>
  <c r="C201" i="3"/>
  <c r="D201" i="3"/>
  <c r="R199" i="3"/>
  <c r="U199" i="3" s="1"/>
  <c r="M199" i="3"/>
  <c r="H200" i="3"/>
  <c r="K200" i="3"/>
  <c r="J200" i="3"/>
  <c r="L200" i="3"/>
  <c r="S198" i="3"/>
  <c r="V198" i="3" s="1"/>
  <c r="Q195" i="3" l="1"/>
  <c r="T196" i="3" s="1"/>
  <c r="P196" i="3"/>
  <c r="D33" i="1"/>
  <c r="T195" i="3"/>
  <c r="W195" i="3" s="1"/>
  <c r="Y194" i="3"/>
  <c r="X196" i="3"/>
  <c r="X197" i="3" s="1"/>
  <c r="X198" i="3" s="1"/>
  <c r="C202" i="3"/>
  <c r="D202" i="3"/>
  <c r="J201" i="3"/>
  <c r="N201" i="3" s="1"/>
  <c r="K201" i="3"/>
  <c r="H201" i="3"/>
  <c r="L201" i="3"/>
  <c r="S199" i="3"/>
  <c r="V199" i="3" s="1"/>
  <c r="R200" i="3"/>
  <c r="U200" i="3" s="1"/>
  <c r="M200" i="3"/>
  <c r="W196" i="3" l="1"/>
  <c r="L33" i="1"/>
  <c r="G33" i="1" s="1"/>
  <c r="J52" i="7" s="1"/>
  <c r="F33" i="1"/>
  <c r="Y195" i="3"/>
  <c r="P197" i="3"/>
  <c r="Q196" i="3"/>
  <c r="T197" i="3" s="1"/>
  <c r="C203" i="3"/>
  <c r="D203" i="3"/>
  <c r="J202" i="3"/>
  <c r="H202" i="3"/>
  <c r="K202" i="3"/>
  <c r="L202" i="3"/>
  <c r="S200" i="3"/>
  <c r="V200" i="3" s="1"/>
  <c r="R201" i="3"/>
  <c r="U201" i="3" s="1"/>
  <c r="M201" i="3"/>
  <c r="W197" i="3" l="1"/>
  <c r="Y196" i="3"/>
  <c r="Q197" i="3"/>
  <c r="P198" i="3"/>
  <c r="N202" i="3"/>
  <c r="C204" i="3"/>
  <c r="D204" i="3"/>
  <c r="S201" i="3"/>
  <c r="V201" i="3" s="1"/>
  <c r="R202" i="3"/>
  <c r="U202" i="3" s="1"/>
  <c r="M202" i="3"/>
  <c r="H203" i="3"/>
  <c r="J203" i="3"/>
  <c r="K203" i="3"/>
  <c r="L203" i="3"/>
  <c r="Q198" i="3" l="1"/>
  <c r="P199" i="3"/>
  <c r="T198" i="3"/>
  <c r="W198" i="3" s="1"/>
  <c r="Y197" i="3"/>
  <c r="N203" i="3"/>
  <c r="K204" i="3"/>
  <c r="J204" i="3"/>
  <c r="H204" i="3"/>
  <c r="L204" i="3"/>
  <c r="S202" i="3"/>
  <c r="V202" i="3" s="1"/>
  <c r="M203" i="3"/>
  <c r="R203" i="3"/>
  <c r="U203" i="3" s="1"/>
  <c r="C205" i="3"/>
  <c r="D205" i="3"/>
  <c r="Q199" i="3" l="1"/>
  <c r="T200" i="3" s="1"/>
  <c r="P200" i="3"/>
  <c r="T199" i="3"/>
  <c r="W199" i="3" s="1"/>
  <c r="X199" i="3" s="1"/>
  <c r="Y198" i="3"/>
  <c r="N204" i="3"/>
  <c r="N205" i="3" s="1"/>
  <c r="C206" i="3"/>
  <c r="D206" i="3"/>
  <c r="H205" i="3"/>
  <c r="J205" i="3"/>
  <c r="K205" i="3"/>
  <c r="L205" i="3"/>
  <c r="S203" i="3"/>
  <c r="V203" i="3" s="1"/>
  <c r="M204" i="3"/>
  <c r="R204" i="3"/>
  <c r="U204" i="3" s="1"/>
  <c r="W200" i="3" l="1"/>
  <c r="X200" i="3"/>
  <c r="Y199" i="3"/>
  <c r="Q200" i="3"/>
  <c r="T201" i="3" s="1"/>
  <c r="P201" i="3"/>
  <c r="J206" i="3"/>
  <c r="K206" i="3"/>
  <c r="H206" i="3"/>
  <c r="L206" i="3"/>
  <c r="S204" i="3"/>
  <c r="V204" i="3" s="1"/>
  <c r="M205" i="3"/>
  <c r="R205" i="3"/>
  <c r="U205" i="3" s="1"/>
  <c r="C207" i="3"/>
  <c r="D207" i="3"/>
  <c r="N206" i="3" l="1"/>
  <c r="G53" i="7" s="1"/>
  <c r="W201" i="3"/>
  <c r="X201" i="3"/>
  <c r="Y200" i="3"/>
  <c r="Q201" i="3"/>
  <c r="T202" i="3" s="1"/>
  <c r="P202" i="3"/>
  <c r="C208" i="3"/>
  <c r="D208" i="3"/>
  <c r="J207" i="3"/>
  <c r="H207" i="3"/>
  <c r="K207" i="3"/>
  <c r="L207" i="3"/>
  <c r="S205" i="3"/>
  <c r="V205" i="3" s="1"/>
  <c r="M206" i="3"/>
  <c r="R206" i="3"/>
  <c r="U206" i="3" s="1"/>
  <c r="N207" i="3" l="1"/>
  <c r="Y201" i="3"/>
  <c r="W202" i="3"/>
  <c r="X202" i="3" s="1"/>
  <c r="Q202" i="3"/>
  <c r="T203" i="3" s="1"/>
  <c r="P203" i="3"/>
  <c r="E34" i="1"/>
  <c r="K34" i="1" s="1"/>
  <c r="H208" i="3"/>
  <c r="J208" i="3"/>
  <c r="N208" i="3"/>
  <c r="K208" i="3"/>
  <c r="L208" i="3"/>
  <c r="R207" i="3"/>
  <c r="U207" i="3" s="1"/>
  <c r="M207" i="3"/>
  <c r="S206" i="3"/>
  <c r="V206" i="3" s="1"/>
  <c r="C209" i="3"/>
  <c r="D209" i="3"/>
  <c r="W203" i="3" l="1"/>
  <c r="X203" i="3" s="1"/>
  <c r="Y202" i="3"/>
  <c r="Q203" i="3"/>
  <c r="T204" i="3" s="1"/>
  <c r="W204" i="3" s="1"/>
  <c r="P204" i="3"/>
  <c r="C210" i="3"/>
  <c r="D210" i="3"/>
  <c r="J209" i="3"/>
  <c r="H209" i="3"/>
  <c r="K209" i="3"/>
  <c r="N209" i="3"/>
  <c r="L209" i="3"/>
  <c r="S207" i="3"/>
  <c r="V207" i="3" s="1"/>
  <c r="M208" i="3"/>
  <c r="R208" i="3"/>
  <c r="U208" i="3" s="1"/>
  <c r="Y203" i="3" l="1"/>
  <c r="X204" i="3"/>
  <c r="P205" i="3"/>
  <c r="Q204" i="3"/>
  <c r="T205" i="3" s="1"/>
  <c r="W205" i="3" s="1"/>
  <c r="S208" i="3"/>
  <c r="V208" i="3" s="1"/>
  <c r="M209" i="3"/>
  <c r="R209" i="3"/>
  <c r="U209" i="3" s="1"/>
  <c r="J210" i="3"/>
  <c r="K210" i="3"/>
  <c r="H210" i="3"/>
  <c r="N210" i="3"/>
  <c r="L210" i="3"/>
  <c r="C211" i="3"/>
  <c r="D211" i="3"/>
  <c r="X205" i="3" l="1"/>
  <c r="Y204" i="3"/>
  <c r="Q205" i="3"/>
  <c r="T206" i="3" s="1"/>
  <c r="W206" i="3" s="1"/>
  <c r="P206" i="3"/>
  <c r="M210" i="3"/>
  <c r="R210" i="3"/>
  <c r="U210" i="3" s="1"/>
  <c r="H211" i="3"/>
  <c r="K211" i="3"/>
  <c r="J211" i="3"/>
  <c r="L211" i="3"/>
  <c r="C212" i="3"/>
  <c r="D212" i="3"/>
  <c r="S209" i="3"/>
  <c r="V209" i="3" s="1"/>
  <c r="X206" i="3" l="1"/>
  <c r="Y205" i="3"/>
  <c r="H53" i="7"/>
  <c r="I53" i="7" s="1"/>
  <c r="P207" i="3"/>
  <c r="Q206" i="3"/>
  <c r="N211" i="3"/>
  <c r="N212" i="3" s="1"/>
  <c r="R211" i="3"/>
  <c r="U211" i="3" s="1"/>
  <c r="M211" i="3"/>
  <c r="S210" i="3"/>
  <c r="V210" i="3" s="1"/>
  <c r="C213" i="3"/>
  <c r="D213" i="3"/>
  <c r="H212" i="3"/>
  <c r="J212" i="3"/>
  <c r="K212" i="3"/>
  <c r="L212" i="3"/>
  <c r="D34" i="1" l="1"/>
  <c r="T207" i="3"/>
  <c r="W207" i="3" s="1"/>
  <c r="P208" i="3"/>
  <c r="Q207" i="3"/>
  <c r="T208" i="3" s="1"/>
  <c r="X207" i="3"/>
  <c r="Y206" i="3"/>
  <c r="C214" i="3"/>
  <c r="D214" i="3"/>
  <c r="J213" i="3"/>
  <c r="H213" i="3"/>
  <c r="K213" i="3"/>
  <c r="L213" i="3"/>
  <c r="S211" i="3"/>
  <c r="V211" i="3" s="1"/>
  <c r="M212" i="3"/>
  <c r="R212" i="3"/>
  <c r="U212" i="3" s="1"/>
  <c r="L34" i="1" l="1"/>
  <c r="G34" i="1" s="1"/>
  <c r="J53" i="7" s="1"/>
  <c r="F34" i="1"/>
  <c r="W208" i="3"/>
  <c r="P209" i="3"/>
  <c r="Q208" i="3"/>
  <c r="T209" i="3" s="1"/>
  <c r="X208" i="3"/>
  <c r="Y207" i="3"/>
  <c r="N213" i="3"/>
  <c r="R213" i="3"/>
  <c r="U213" i="3" s="1"/>
  <c r="M213" i="3"/>
  <c r="C215" i="3"/>
  <c r="D215" i="3"/>
  <c r="S212" i="3"/>
  <c r="V212" i="3" s="1"/>
  <c r="H214" i="3"/>
  <c r="K214" i="3"/>
  <c r="J214" i="3"/>
  <c r="L214" i="3"/>
  <c r="W209" i="3" l="1"/>
  <c r="X209" i="3"/>
  <c r="Y208" i="3"/>
  <c r="P210" i="3"/>
  <c r="Q209" i="3"/>
  <c r="T210" i="3" s="1"/>
  <c r="N214" i="3"/>
  <c r="J215" i="3"/>
  <c r="K215" i="3"/>
  <c r="H215" i="3"/>
  <c r="L215" i="3"/>
  <c r="R214" i="3"/>
  <c r="U214" i="3" s="1"/>
  <c r="M214" i="3"/>
  <c r="S213" i="3"/>
  <c r="V213" i="3" s="1"/>
  <c r="C216" i="3"/>
  <c r="D216" i="3"/>
  <c r="W210" i="3" l="1"/>
  <c r="Q210" i="3"/>
  <c r="T211" i="3" s="1"/>
  <c r="P211" i="3"/>
  <c r="Y209" i="3"/>
  <c r="X210" i="3"/>
  <c r="N215" i="3"/>
  <c r="C217" i="3"/>
  <c r="D217" i="3"/>
  <c r="J216" i="3"/>
  <c r="H216" i="3"/>
  <c r="K216" i="3"/>
  <c r="L216" i="3"/>
  <c r="S214" i="3"/>
  <c r="V214" i="3" s="1"/>
  <c r="M215" i="3"/>
  <c r="R215" i="3"/>
  <c r="U215" i="3" s="1"/>
  <c r="W211" i="3" l="1"/>
  <c r="P212" i="3"/>
  <c r="Q211" i="3"/>
  <c r="T212" i="3" s="1"/>
  <c r="Y210" i="3"/>
  <c r="X211" i="3"/>
  <c r="N216" i="3"/>
  <c r="N217" i="3" s="1"/>
  <c r="J217" i="3"/>
  <c r="H217" i="3"/>
  <c r="K217" i="3"/>
  <c r="L217" i="3"/>
  <c r="S215" i="3"/>
  <c r="V215" i="3" s="1"/>
  <c r="M216" i="3"/>
  <c r="R216" i="3"/>
  <c r="U216" i="3" s="1"/>
  <c r="C218" i="3"/>
  <c r="D218" i="3"/>
  <c r="W212" i="3" l="1"/>
  <c r="X212" i="3"/>
  <c r="Y211" i="3"/>
  <c r="Q212" i="3"/>
  <c r="T213" i="3" s="1"/>
  <c r="P213" i="3"/>
  <c r="C219" i="3"/>
  <c r="D219" i="3"/>
  <c r="M217" i="3"/>
  <c r="R217" i="3"/>
  <c r="U217" i="3" s="1"/>
  <c r="S216" i="3"/>
  <c r="V216" i="3" s="1"/>
  <c r="H218" i="3"/>
  <c r="J218" i="3"/>
  <c r="K218" i="3"/>
  <c r="L218" i="3"/>
  <c r="N218" i="3" l="1"/>
  <c r="G54" i="7" s="1"/>
  <c r="W213" i="3"/>
  <c r="Q213" i="3"/>
  <c r="T214" i="3" s="1"/>
  <c r="P214" i="3"/>
  <c r="X213" i="3"/>
  <c r="Y212" i="3"/>
  <c r="M218" i="3"/>
  <c r="R218" i="3"/>
  <c r="U218" i="3" s="1"/>
  <c r="S217" i="3"/>
  <c r="V217" i="3" s="1"/>
  <c r="C220" i="3"/>
  <c r="D220" i="3"/>
  <c r="H219" i="3"/>
  <c r="J219" i="3"/>
  <c r="K219" i="3"/>
  <c r="L219" i="3"/>
  <c r="N219" i="3" l="1"/>
  <c r="W214" i="3"/>
  <c r="X214" i="3" s="1"/>
  <c r="Q214" i="3"/>
  <c r="T215" i="3" s="1"/>
  <c r="P215" i="3"/>
  <c r="Y213" i="3"/>
  <c r="E35" i="1"/>
  <c r="K35" i="1" s="1"/>
  <c r="M219" i="3"/>
  <c r="R219" i="3"/>
  <c r="U219" i="3" s="1"/>
  <c r="J220" i="3"/>
  <c r="N220" i="3"/>
  <c r="H220" i="3"/>
  <c r="K220" i="3"/>
  <c r="L220" i="3"/>
  <c r="S218" i="3"/>
  <c r="V218" i="3" s="1"/>
  <c r="C221" i="3"/>
  <c r="D221" i="3"/>
  <c r="W215" i="3" l="1"/>
  <c r="X215" i="3" s="1"/>
  <c r="X216" i="3" s="1"/>
  <c r="Y214" i="3"/>
  <c r="Q215" i="3"/>
  <c r="T216" i="3" s="1"/>
  <c r="P216" i="3"/>
  <c r="S219" i="3"/>
  <c r="V219" i="3" s="1"/>
  <c r="M220" i="3"/>
  <c r="R220" i="3"/>
  <c r="U220" i="3" s="1"/>
  <c r="J221" i="3"/>
  <c r="H221" i="3"/>
  <c r="N221" i="3"/>
  <c r="K221" i="3"/>
  <c r="L221" i="3"/>
  <c r="C222" i="3"/>
  <c r="D222" i="3"/>
  <c r="W216" i="3" l="1"/>
  <c r="Y215" i="3"/>
  <c r="X217" i="3"/>
  <c r="Q216" i="3"/>
  <c r="T217" i="3" s="1"/>
  <c r="P217" i="3"/>
  <c r="C223" i="3"/>
  <c r="D223" i="3"/>
  <c r="M221" i="3"/>
  <c r="R221" i="3"/>
  <c r="U221" i="3" s="1"/>
  <c r="S220" i="3"/>
  <c r="V220" i="3" s="1"/>
  <c r="J222" i="3"/>
  <c r="N222" i="3" s="1"/>
  <c r="K222" i="3"/>
  <c r="H222" i="3"/>
  <c r="L222" i="3"/>
  <c r="W217" i="3" l="1"/>
  <c r="Q217" i="3"/>
  <c r="T218" i="3" s="1"/>
  <c r="P218" i="3"/>
  <c r="Y216" i="3"/>
  <c r="M222" i="3"/>
  <c r="R222" i="3"/>
  <c r="U222" i="3" s="1"/>
  <c r="C224" i="3"/>
  <c r="D224" i="3"/>
  <c r="S221" i="3"/>
  <c r="V221" i="3" s="1"/>
  <c r="J223" i="3"/>
  <c r="K223" i="3"/>
  <c r="H223" i="3"/>
  <c r="N223" i="3" s="1"/>
  <c r="L223" i="3"/>
  <c r="W218" i="3" l="1"/>
  <c r="X218" i="3" s="1"/>
  <c r="X219" i="3" s="1"/>
  <c r="Q218" i="3"/>
  <c r="H54" i="7"/>
  <c r="I54" i="7" s="1"/>
  <c r="P219" i="3"/>
  <c r="Y217" i="3"/>
  <c r="S222" i="3"/>
  <c r="V222" i="3" s="1"/>
  <c r="C225" i="3"/>
  <c r="D225" i="3"/>
  <c r="M223" i="3"/>
  <c r="R223" i="3"/>
  <c r="U223" i="3" s="1"/>
  <c r="H224" i="3"/>
  <c r="K224" i="3"/>
  <c r="N224" i="3"/>
  <c r="J224" i="3"/>
  <c r="L224" i="3"/>
  <c r="D35" i="1" l="1"/>
  <c r="T219" i="3"/>
  <c r="W219" i="3" s="1"/>
  <c r="X220" i="3"/>
  <c r="Q219" i="3"/>
  <c r="T220" i="3" s="1"/>
  <c r="P220" i="3"/>
  <c r="Y218" i="3"/>
  <c r="C226" i="3"/>
  <c r="D226" i="3"/>
  <c r="H225" i="3"/>
  <c r="J225" i="3"/>
  <c r="K225" i="3"/>
  <c r="L225" i="3"/>
  <c r="R224" i="3"/>
  <c r="U224" i="3" s="1"/>
  <c r="M224" i="3"/>
  <c r="S223" i="3"/>
  <c r="V223" i="3" s="1"/>
  <c r="Q220" i="3" l="1"/>
  <c r="T221" i="3" s="1"/>
  <c r="P221" i="3"/>
  <c r="W220" i="3"/>
  <c r="X221" i="3"/>
  <c r="Y219" i="3"/>
  <c r="L35" i="1"/>
  <c r="F35" i="1"/>
  <c r="G35" i="1"/>
  <c r="J54" i="7" s="1"/>
  <c r="R225" i="3"/>
  <c r="U225" i="3" s="1"/>
  <c r="M225" i="3"/>
  <c r="N225" i="3" s="1"/>
  <c r="C227" i="3"/>
  <c r="D227" i="3"/>
  <c r="S224" i="3"/>
  <c r="V224" i="3" s="1"/>
  <c r="H226" i="3"/>
  <c r="K226" i="3"/>
  <c r="J226" i="3"/>
  <c r="L226" i="3"/>
  <c r="Q221" i="3" l="1"/>
  <c r="T222" i="3" s="1"/>
  <c r="P222" i="3"/>
  <c r="Y220" i="3"/>
  <c r="X222" i="3"/>
  <c r="W221" i="3"/>
  <c r="R226" i="3"/>
  <c r="U226" i="3" s="1"/>
  <c r="M226" i="3"/>
  <c r="N226" i="3" s="1"/>
  <c r="S225" i="3"/>
  <c r="V225" i="3" s="1"/>
  <c r="C228" i="3"/>
  <c r="D228" i="3"/>
  <c r="J227" i="3"/>
  <c r="K227" i="3"/>
  <c r="H227" i="3"/>
  <c r="L227" i="3"/>
  <c r="Y221" i="3" l="1"/>
  <c r="Q222" i="3"/>
  <c r="T223" i="3" s="1"/>
  <c r="P223" i="3"/>
  <c r="X223" i="3"/>
  <c r="W222" i="3"/>
  <c r="N227" i="3"/>
  <c r="S226" i="3"/>
  <c r="V226" i="3" s="1"/>
  <c r="K228" i="3"/>
  <c r="H228" i="3"/>
  <c r="J228" i="3"/>
  <c r="L228" i="3"/>
  <c r="M227" i="3"/>
  <c r="R227" i="3"/>
  <c r="U227" i="3" s="1"/>
  <c r="C229" i="3"/>
  <c r="D229" i="3"/>
  <c r="Y222" i="3" l="1"/>
  <c r="P224" i="3"/>
  <c r="Q223" i="3"/>
  <c r="T224" i="3" s="1"/>
  <c r="X224" i="3"/>
  <c r="W223" i="3"/>
  <c r="N228" i="3"/>
  <c r="N229" i="3" s="1"/>
  <c r="M228" i="3"/>
  <c r="R228" i="3"/>
  <c r="U228" i="3" s="1"/>
  <c r="C230" i="3"/>
  <c r="D230" i="3"/>
  <c r="S227" i="3"/>
  <c r="V227" i="3" s="1"/>
  <c r="H229" i="3"/>
  <c r="J229" i="3"/>
  <c r="K229" i="3"/>
  <c r="L229" i="3"/>
  <c r="Y223" i="3" l="1"/>
  <c r="W224" i="3"/>
  <c r="Q224" i="3"/>
  <c r="T225" i="3" s="1"/>
  <c r="P225" i="3"/>
  <c r="X225" i="3"/>
  <c r="R229" i="3"/>
  <c r="U229" i="3" s="1"/>
  <c r="M229" i="3"/>
  <c r="C231" i="3"/>
  <c r="D231" i="3"/>
  <c r="S228" i="3"/>
  <c r="V228" i="3" s="1"/>
  <c r="H230" i="3"/>
  <c r="K230" i="3"/>
  <c r="J230" i="3"/>
  <c r="L230" i="3"/>
  <c r="W225" i="3" l="1"/>
  <c r="N230" i="3"/>
  <c r="G55" i="7" s="1"/>
  <c r="Y224" i="3"/>
  <c r="Q225" i="3"/>
  <c r="T226" i="3" s="1"/>
  <c r="P226" i="3"/>
  <c r="M230" i="3"/>
  <c r="R230" i="3"/>
  <c r="U230" i="3" s="1"/>
  <c r="C232" i="3"/>
  <c r="D232" i="3"/>
  <c r="H231" i="3"/>
  <c r="J231" i="3"/>
  <c r="K231" i="3"/>
  <c r="L231" i="3"/>
  <c r="S229" i="3"/>
  <c r="V229" i="3" s="1"/>
  <c r="N231" i="3" l="1"/>
  <c r="W226" i="3"/>
  <c r="X226" i="3" s="1"/>
  <c r="Y225" i="3"/>
  <c r="Q226" i="3"/>
  <c r="T227" i="3" s="1"/>
  <c r="P227" i="3"/>
  <c r="E36" i="1"/>
  <c r="K36" i="1" s="1"/>
  <c r="R231" i="3"/>
  <c r="U231" i="3" s="1"/>
  <c r="M231" i="3"/>
  <c r="C233" i="3"/>
  <c r="D233" i="3"/>
  <c r="S230" i="3"/>
  <c r="V230" i="3" s="1"/>
  <c r="H232" i="3"/>
  <c r="K232" i="3"/>
  <c r="N232" i="3"/>
  <c r="J232" i="3"/>
  <c r="L232" i="3"/>
  <c r="W227" i="3" l="1"/>
  <c r="X227" i="3" s="1"/>
  <c r="X228" i="3" s="1"/>
  <c r="Y226" i="3"/>
  <c r="Q227" i="3"/>
  <c r="T228" i="3" s="1"/>
  <c r="W228" i="3" s="1"/>
  <c r="P228" i="3"/>
  <c r="C234" i="3"/>
  <c r="D234" i="3"/>
  <c r="J233" i="3"/>
  <c r="H233" i="3"/>
  <c r="N233" i="3"/>
  <c r="K233" i="3"/>
  <c r="L233" i="3"/>
  <c r="R232" i="3"/>
  <c r="U232" i="3" s="1"/>
  <c r="M232" i="3"/>
  <c r="S231" i="3"/>
  <c r="V231" i="3" s="1"/>
  <c r="Y227" i="3" l="1"/>
  <c r="P229" i="3"/>
  <c r="Q228" i="3"/>
  <c r="T229" i="3" s="1"/>
  <c r="W229" i="3" s="1"/>
  <c r="X229" i="3"/>
  <c r="S232" i="3"/>
  <c r="V232" i="3" s="1"/>
  <c r="M233" i="3"/>
  <c r="R233" i="3"/>
  <c r="U233" i="3" s="1"/>
  <c r="C235" i="3"/>
  <c r="D235" i="3"/>
  <c r="J234" i="3"/>
  <c r="K234" i="3"/>
  <c r="N234" i="3" s="1"/>
  <c r="H234" i="3"/>
  <c r="L234" i="3"/>
  <c r="Q229" i="3" l="1"/>
  <c r="T230" i="3" s="1"/>
  <c r="W230" i="3" s="1"/>
  <c r="X230" i="3" s="1"/>
  <c r="P230" i="3"/>
  <c r="Y228" i="3"/>
  <c r="S233" i="3"/>
  <c r="V233" i="3" s="1"/>
  <c r="H235" i="3"/>
  <c r="K235" i="3"/>
  <c r="J235" i="3"/>
  <c r="L235" i="3"/>
  <c r="C236" i="3"/>
  <c r="D236" i="3"/>
  <c r="M234" i="3"/>
  <c r="R234" i="3"/>
  <c r="U234" i="3" s="1"/>
  <c r="Y229" i="3" l="1"/>
  <c r="H55" i="7"/>
  <c r="I55" i="7" s="1"/>
  <c r="Q230" i="3"/>
  <c r="P231" i="3"/>
  <c r="X231" i="3"/>
  <c r="N235" i="3"/>
  <c r="N236" i="3" s="1"/>
  <c r="C237" i="3"/>
  <c r="D237" i="3"/>
  <c r="S234" i="3"/>
  <c r="V234" i="3" s="1"/>
  <c r="H236" i="3"/>
  <c r="K236" i="3"/>
  <c r="J236" i="3"/>
  <c r="L236" i="3"/>
  <c r="M235" i="3"/>
  <c r="R235" i="3"/>
  <c r="U235" i="3" s="1"/>
  <c r="Q231" i="3" l="1"/>
  <c r="T232" i="3" s="1"/>
  <c r="P232" i="3"/>
  <c r="D36" i="1"/>
  <c r="T231" i="3"/>
  <c r="W231" i="3" s="1"/>
  <c r="X232" i="3"/>
  <c r="Y230" i="3"/>
  <c r="M236" i="3"/>
  <c r="R236" i="3"/>
  <c r="U236" i="3" s="1"/>
  <c r="J237" i="3"/>
  <c r="H237" i="3"/>
  <c r="K237" i="3"/>
  <c r="L237" i="3"/>
  <c r="C238" i="3"/>
  <c r="D238" i="3"/>
  <c r="S235" i="3"/>
  <c r="V235" i="3" s="1"/>
  <c r="Y231" i="3" l="1"/>
  <c r="W232" i="3"/>
  <c r="L36" i="1"/>
  <c r="G36" i="1" s="1"/>
  <c r="J55" i="7" s="1"/>
  <c r="F36" i="1"/>
  <c r="Q232" i="3"/>
  <c r="T233" i="3" s="1"/>
  <c r="P233" i="3"/>
  <c r="X233" i="3"/>
  <c r="N237" i="3"/>
  <c r="C239" i="3"/>
  <c r="D239" i="3"/>
  <c r="S236" i="3"/>
  <c r="V236" i="3" s="1"/>
  <c r="H238" i="3"/>
  <c r="J238" i="3"/>
  <c r="K238" i="3"/>
  <c r="L238" i="3"/>
  <c r="M237" i="3"/>
  <c r="R237" i="3"/>
  <c r="U237" i="3" s="1"/>
  <c r="W233" i="3" l="1"/>
  <c r="Y232" i="3"/>
  <c r="X234" i="3"/>
  <c r="Q233" i="3"/>
  <c r="T234" i="3" s="1"/>
  <c r="P234" i="3"/>
  <c r="N238" i="3"/>
  <c r="M238" i="3"/>
  <c r="R238" i="3"/>
  <c r="U238" i="3" s="1"/>
  <c r="S237" i="3"/>
  <c r="V237" i="3" s="1"/>
  <c r="K239" i="3"/>
  <c r="H239" i="3"/>
  <c r="J239" i="3"/>
  <c r="L239" i="3"/>
  <c r="C240" i="3"/>
  <c r="D240" i="3"/>
  <c r="W234" i="3" l="1"/>
  <c r="Q234" i="3"/>
  <c r="T235" i="3" s="1"/>
  <c r="P235" i="3"/>
  <c r="Y233" i="3"/>
  <c r="X235" i="3"/>
  <c r="M239" i="3"/>
  <c r="R239" i="3"/>
  <c r="U239" i="3" s="1"/>
  <c r="C241" i="3"/>
  <c r="D241" i="3"/>
  <c r="S238" i="3"/>
  <c r="V238" i="3" s="1"/>
  <c r="H240" i="3"/>
  <c r="K240" i="3"/>
  <c r="J240" i="3"/>
  <c r="L240" i="3"/>
  <c r="N239" i="3"/>
  <c r="W235" i="3" l="1"/>
  <c r="Y234" i="3"/>
  <c r="X236" i="3"/>
  <c r="P236" i="3"/>
  <c r="Q235" i="3"/>
  <c r="T236" i="3" s="1"/>
  <c r="M240" i="3"/>
  <c r="R240" i="3"/>
  <c r="U240" i="3" s="1"/>
  <c r="J241" i="3"/>
  <c r="H241" i="3"/>
  <c r="K241" i="3"/>
  <c r="L241" i="3"/>
  <c r="S239" i="3"/>
  <c r="V239" i="3" s="1"/>
  <c r="N240" i="3"/>
  <c r="C242" i="3"/>
  <c r="D242" i="3"/>
  <c r="W236" i="3" l="1"/>
  <c r="Q236" i="3"/>
  <c r="T237" i="3" s="1"/>
  <c r="P237" i="3"/>
  <c r="X237" i="3"/>
  <c r="Y235" i="3"/>
  <c r="J242" i="3"/>
  <c r="K242" i="3"/>
  <c r="H242" i="3"/>
  <c r="L242" i="3"/>
  <c r="S240" i="3"/>
  <c r="V240" i="3" s="1"/>
  <c r="R241" i="3"/>
  <c r="U241" i="3" s="1"/>
  <c r="M241" i="3"/>
  <c r="C243" i="3"/>
  <c r="D243" i="3"/>
  <c r="N241" i="3"/>
  <c r="W237" i="3" l="1"/>
  <c r="Q237" i="3"/>
  <c r="T238" i="3" s="1"/>
  <c r="P238" i="3"/>
  <c r="Y236" i="3"/>
  <c r="S241" i="3"/>
  <c r="V241" i="3" s="1"/>
  <c r="N242" i="3"/>
  <c r="G56" i="7" s="1"/>
  <c r="H243" i="3"/>
  <c r="K243" i="3"/>
  <c r="J243" i="3"/>
  <c r="L243" i="3"/>
  <c r="M242" i="3"/>
  <c r="R242" i="3"/>
  <c r="U242" i="3" s="1"/>
  <c r="C244" i="3"/>
  <c r="D244" i="3"/>
  <c r="W238" i="3" l="1"/>
  <c r="X238" i="3" s="1"/>
  <c r="Q238" i="3"/>
  <c r="T239" i="3" s="1"/>
  <c r="P239" i="3"/>
  <c r="Y237" i="3"/>
  <c r="E37" i="1"/>
  <c r="K37" i="1" s="1"/>
  <c r="N243" i="3"/>
  <c r="H244" i="3"/>
  <c r="J244" i="3"/>
  <c r="K244" i="3"/>
  <c r="L244" i="3"/>
  <c r="C245" i="3"/>
  <c r="D245" i="3"/>
  <c r="M243" i="3"/>
  <c r="R243" i="3"/>
  <c r="U243" i="3" s="1"/>
  <c r="S242" i="3"/>
  <c r="V242" i="3" s="1"/>
  <c r="W239" i="3" l="1"/>
  <c r="X239" i="3" s="1"/>
  <c r="X240" i="3" s="1"/>
  <c r="Y238" i="3"/>
  <c r="Q239" i="3"/>
  <c r="T240" i="3" s="1"/>
  <c r="P240" i="3"/>
  <c r="N244" i="3"/>
  <c r="C246" i="3"/>
  <c r="D246" i="3"/>
  <c r="S243" i="3"/>
  <c r="V243" i="3" s="1"/>
  <c r="M244" i="3"/>
  <c r="R244" i="3"/>
  <c r="U244" i="3" s="1"/>
  <c r="K245" i="3"/>
  <c r="H245" i="3"/>
  <c r="J245" i="3"/>
  <c r="L245" i="3"/>
  <c r="W240" i="3" l="1"/>
  <c r="X241" i="3"/>
  <c r="Y239" i="3"/>
  <c r="P241" i="3"/>
  <c r="Q240" i="3"/>
  <c r="T241" i="3" s="1"/>
  <c r="W241" i="3" s="1"/>
  <c r="N245" i="3"/>
  <c r="M245" i="3"/>
  <c r="R245" i="3"/>
  <c r="U245" i="3" s="1"/>
  <c r="C247" i="3"/>
  <c r="D247" i="3"/>
  <c r="K246" i="3"/>
  <c r="J246" i="3"/>
  <c r="H246" i="3"/>
  <c r="L246" i="3"/>
  <c r="S244" i="3"/>
  <c r="V244" i="3" s="1"/>
  <c r="Q241" i="3" l="1"/>
  <c r="T242" i="3" s="1"/>
  <c r="W242" i="3" s="1"/>
  <c r="X242" i="3" s="1"/>
  <c r="P242" i="3"/>
  <c r="Y240" i="3"/>
  <c r="N246" i="3"/>
  <c r="H247" i="3"/>
  <c r="J247" i="3"/>
  <c r="K247" i="3"/>
  <c r="L247" i="3"/>
  <c r="S245" i="3"/>
  <c r="V245" i="3" s="1"/>
  <c r="R246" i="3"/>
  <c r="U246" i="3" s="1"/>
  <c r="M246" i="3"/>
  <c r="C248" i="3"/>
  <c r="D248" i="3"/>
  <c r="Y241" i="3" l="1"/>
  <c r="X243" i="3"/>
  <c r="H56" i="7"/>
  <c r="I56" i="7" s="1"/>
  <c r="Q242" i="3"/>
  <c r="Y242" i="3" s="1"/>
  <c r="P243" i="3"/>
  <c r="N247" i="3"/>
  <c r="N248" i="3" s="1"/>
  <c r="M247" i="3"/>
  <c r="R247" i="3"/>
  <c r="U247" i="3" s="1"/>
  <c r="C249" i="3"/>
  <c r="D249" i="3"/>
  <c r="H248" i="3"/>
  <c r="J248" i="3"/>
  <c r="K248" i="3"/>
  <c r="L248" i="3"/>
  <c r="S246" i="3"/>
  <c r="V246" i="3" s="1"/>
  <c r="P244" i="3" l="1"/>
  <c r="Q243" i="3"/>
  <c r="T244" i="3" s="1"/>
  <c r="D37" i="1"/>
  <c r="T243" i="3"/>
  <c r="W243" i="3" s="1"/>
  <c r="X244" i="3"/>
  <c r="S247" i="3"/>
  <c r="V247" i="3" s="1"/>
  <c r="R248" i="3"/>
  <c r="U248" i="3" s="1"/>
  <c r="M248" i="3"/>
  <c r="H249" i="3"/>
  <c r="K249" i="3"/>
  <c r="J249" i="3"/>
  <c r="L249" i="3"/>
  <c r="C250" i="3"/>
  <c r="D250" i="3"/>
  <c r="Y243" i="3" l="1"/>
  <c r="P245" i="3"/>
  <c r="Q244" i="3"/>
  <c r="T245" i="3" s="1"/>
  <c r="X245" i="3"/>
  <c r="F37" i="1"/>
  <c r="L37" i="1"/>
  <c r="G37" i="1" s="1"/>
  <c r="J56" i="7" s="1"/>
  <c r="W244" i="3"/>
  <c r="N249" i="3"/>
  <c r="J250" i="3"/>
  <c r="H250" i="3"/>
  <c r="K250" i="3"/>
  <c r="L250" i="3"/>
  <c r="M249" i="3"/>
  <c r="R249" i="3"/>
  <c r="U249" i="3" s="1"/>
  <c r="S248" i="3"/>
  <c r="V248" i="3" s="1"/>
  <c r="C251" i="3"/>
  <c r="D251" i="3"/>
  <c r="W245" i="3" l="1"/>
  <c r="Y244" i="3"/>
  <c r="X246" i="3"/>
  <c r="Q245" i="3"/>
  <c r="T246" i="3" s="1"/>
  <c r="P246" i="3"/>
  <c r="N250" i="3"/>
  <c r="S249" i="3"/>
  <c r="V249" i="3" s="1"/>
  <c r="C252" i="3"/>
  <c r="D252" i="3"/>
  <c r="M250" i="3"/>
  <c r="R250" i="3"/>
  <c r="U250" i="3" s="1"/>
  <c r="J251" i="3"/>
  <c r="H251" i="3"/>
  <c r="K251" i="3"/>
  <c r="L251" i="3"/>
  <c r="W246" i="3" l="1"/>
  <c r="Q246" i="3"/>
  <c r="T247" i="3" s="1"/>
  <c r="P247" i="3"/>
  <c r="Y245" i="3"/>
  <c r="X247" i="3"/>
  <c r="N251" i="3"/>
  <c r="J252" i="3"/>
  <c r="K252" i="3"/>
  <c r="H252" i="3"/>
  <c r="L252" i="3"/>
  <c r="R251" i="3"/>
  <c r="U251" i="3" s="1"/>
  <c r="M251" i="3"/>
  <c r="C253" i="3"/>
  <c r="D253" i="3"/>
  <c r="S250" i="3"/>
  <c r="V250" i="3" s="1"/>
  <c r="W247" i="3" l="1"/>
  <c r="Y246" i="3"/>
  <c r="X248" i="3"/>
  <c r="P248" i="3"/>
  <c r="Q247" i="3"/>
  <c r="T248" i="3" s="1"/>
  <c r="W248" i="3" s="1"/>
  <c r="N252" i="3"/>
  <c r="N253" i="3" s="1"/>
  <c r="H253" i="3"/>
  <c r="K253" i="3"/>
  <c r="J253" i="3"/>
  <c r="L253" i="3"/>
  <c r="S251" i="3"/>
  <c r="V251" i="3" s="1"/>
  <c r="R252" i="3"/>
  <c r="U252" i="3" s="1"/>
  <c r="M252" i="3"/>
  <c r="C254" i="3"/>
  <c r="D254" i="3"/>
  <c r="Q248" i="3" l="1"/>
  <c r="T249" i="3" s="1"/>
  <c r="W249" i="3" s="1"/>
  <c r="P249" i="3"/>
  <c r="X249" i="3"/>
  <c r="Y247" i="3"/>
  <c r="H254" i="3"/>
  <c r="J254" i="3"/>
  <c r="K254" i="3"/>
  <c r="L254" i="3"/>
  <c r="C255" i="3"/>
  <c r="D255" i="3"/>
  <c r="S252" i="3"/>
  <c r="V252" i="3" s="1"/>
  <c r="R253" i="3"/>
  <c r="U253" i="3" s="1"/>
  <c r="M253" i="3"/>
  <c r="N254" i="3" l="1"/>
  <c r="G57" i="7" s="1"/>
  <c r="Q249" i="3"/>
  <c r="T250" i="3" s="1"/>
  <c r="W250" i="3" s="1"/>
  <c r="X250" i="3" s="1"/>
  <c r="P250" i="3"/>
  <c r="Y248" i="3"/>
  <c r="C256" i="3"/>
  <c r="D256" i="3"/>
  <c r="R254" i="3"/>
  <c r="U254" i="3" s="1"/>
  <c r="M254" i="3"/>
  <c r="S253" i="3"/>
  <c r="V253" i="3" s="1"/>
  <c r="H255" i="3"/>
  <c r="J255" i="3"/>
  <c r="K255" i="3"/>
  <c r="L255" i="3"/>
  <c r="N255" i="3" l="1"/>
  <c r="N256" i="3" s="1"/>
  <c r="Q250" i="3"/>
  <c r="T251" i="3" s="1"/>
  <c r="W251" i="3" s="1"/>
  <c r="X251" i="3" s="1"/>
  <c r="P251" i="3"/>
  <c r="Y249" i="3"/>
  <c r="E38" i="1"/>
  <c r="S254" i="3"/>
  <c r="V254" i="3" s="1"/>
  <c r="C257" i="3"/>
  <c r="D257" i="3"/>
  <c r="J256" i="3"/>
  <c r="H256" i="3"/>
  <c r="K256" i="3"/>
  <c r="L256" i="3"/>
  <c r="R255" i="3"/>
  <c r="U255" i="3" s="1"/>
  <c r="M255" i="3"/>
  <c r="X252" i="3" l="1"/>
  <c r="Q251" i="3"/>
  <c r="T252" i="3" s="1"/>
  <c r="W252" i="3" s="1"/>
  <c r="P252" i="3"/>
  <c r="Y250" i="3"/>
  <c r="K38" i="1"/>
  <c r="R256" i="3"/>
  <c r="U256" i="3" s="1"/>
  <c r="M256" i="3"/>
  <c r="D258" i="3"/>
  <c r="C258" i="3"/>
  <c r="S255" i="3"/>
  <c r="V255" i="3" s="1"/>
  <c r="N257" i="3"/>
  <c r="K257" i="3"/>
  <c r="H257" i="3"/>
  <c r="J257" i="3"/>
  <c r="L257" i="3"/>
  <c r="X253" i="3" l="1"/>
  <c r="Q252" i="3"/>
  <c r="T253" i="3" s="1"/>
  <c r="W253" i="3" s="1"/>
  <c r="P253" i="3"/>
  <c r="Y251" i="3"/>
  <c r="S256" i="3"/>
  <c r="V256" i="3" s="1"/>
  <c r="M257" i="3"/>
  <c r="R257" i="3"/>
  <c r="U257" i="3" s="1"/>
  <c r="J258" i="3"/>
  <c r="K258" i="3"/>
  <c r="H258" i="3"/>
  <c r="N258" i="3"/>
  <c r="L258" i="3"/>
  <c r="C259" i="3"/>
  <c r="D259" i="3"/>
  <c r="Y252" i="3" l="1"/>
  <c r="P254" i="3"/>
  <c r="Q253" i="3"/>
  <c r="T254" i="3" s="1"/>
  <c r="W254" i="3" s="1"/>
  <c r="X254" i="3" s="1"/>
  <c r="H259" i="3"/>
  <c r="K259" i="3"/>
  <c r="J259" i="3"/>
  <c r="L259" i="3"/>
  <c r="C260" i="3"/>
  <c r="D260" i="3"/>
  <c r="S257" i="3"/>
  <c r="V257" i="3" s="1"/>
  <c r="M258" i="3"/>
  <c r="R258" i="3"/>
  <c r="U258" i="3" s="1"/>
  <c r="X255" i="3" l="1"/>
  <c r="Y253" i="3"/>
  <c r="Q254" i="3"/>
  <c r="H57" i="7"/>
  <c r="I57" i="7" s="1"/>
  <c r="P255" i="3"/>
  <c r="N259" i="3"/>
  <c r="N260" i="3" s="1"/>
  <c r="J260" i="3"/>
  <c r="H260" i="3"/>
  <c r="K260" i="3"/>
  <c r="L260" i="3"/>
  <c r="S258" i="3"/>
  <c r="V258" i="3" s="1"/>
  <c r="R259" i="3"/>
  <c r="U259" i="3" s="1"/>
  <c r="M259" i="3"/>
  <c r="C261" i="3"/>
  <c r="D261" i="3"/>
  <c r="D38" i="1" l="1"/>
  <c r="T255" i="3"/>
  <c r="W255" i="3" s="1"/>
  <c r="P256" i="3"/>
  <c r="Q255" i="3"/>
  <c r="T256" i="3" s="1"/>
  <c r="Y255" i="3"/>
  <c r="X256" i="3"/>
  <c r="Y254" i="3"/>
  <c r="C262" i="3"/>
  <c r="D262" i="3"/>
  <c r="J261" i="3"/>
  <c r="H261" i="3"/>
  <c r="K261" i="3"/>
  <c r="L261" i="3"/>
  <c r="R260" i="3"/>
  <c r="U260" i="3" s="1"/>
  <c r="M260" i="3"/>
  <c r="S259" i="3"/>
  <c r="V259" i="3" s="1"/>
  <c r="L38" i="1" l="1"/>
  <c r="G38" i="1" s="1"/>
  <c r="J57" i="7" s="1"/>
  <c r="F38" i="1"/>
  <c r="W256" i="3"/>
  <c r="Q256" i="3"/>
  <c r="T257" i="3" s="1"/>
  <c r="P257" i="3"/>
  <c r="X257" i="3"/>
  <c r="N261" i="3"/>
  <c r="S260" i="3"/>
  <c r="V260" i="3" s="1"/>
  <c r="R261" i="3"/>
  <c r="U261" i="3" s="1"/>
  <c r="M261" i="3"/>
  <c r="H262" i="3"/>
  <c r="K262" i="3"/>
  <c r="J262" i="3"/>
  <c r="L262" i="3"/>
  <c r="C263" i="3"/>
  <c r="D263" i="3"/>
  <c r="W257" i="3" l="1"/>
  <c r="X258" i="3"/>
  <c r="Y256" i="3"/>
  <c r="P258" i="3"/>
  <c r="Q257" i="3"/>
  <c r="T258" i="3" s="1"/>
  <c r="N262" i="3"/>
  <c r="J263" i="3"/>
  <c r="K263" i="3"/>
  <c r="H263" i="3"/>
  <c r="L263" i="3"/>
  <c r="R262" i="3"/>
  <c r="U262" i="3" s="1"/>
  <c r="M262" i="3"/>
  <c r="C264" i="3"/>
  <c r="D264" i="3"/>
  <c r="S261" i="3"/>
  <c r="V261" i="3" s="1"/>
  <c r="W258" i="3" l="1"/>
  <c r="X259" i="3"/>
  <c r="Y257" i="3"/>
  <c r="Q258" i="3"/>
  <c r="T259" i="3" s="1"/>
  <c r="P259" i="3"/>
  <c r="M263" i="3"/>
  <c r="R263" i="3"/>
  <c r="U263" i="3" s="1"/>
  <c r="C265" i="3"/>
  <c r="D265" i="3"/>
  <c r="H264" i="3"/>
  <c r="K264" i="3"/>
  <c r="J264" i="3"/>
  <c r="L264" i="3"/>
  <c r="S262" i="3"/>
  <c r="V262" i="3" s="1"/>
  <c r="N263" i="3"/>
  <c r="W259" i="3" l="1"/>
  <c r="Y258" i="3"/>
  <c r="P260" i="3"/>
  <c r="Q259" i="3"/>
  <c r="T260" i="3" s="1"/>
  <c r="X260" i="3"/>
  <c r="N264" i="3"/>
  <c r="N265" i="3" s="1"/>
  <c r="S263" i="3"/>
  <c r="V263" i="3" s="1"/>
  <c r="J265" i="3"/>
  <c r="H265" i="3"/>
  <c r="K265" i="3"/>
  <c r="L265" i="3"/>
  <c r="M264" i="3"/>
  <c r="R264" i="3"/>
  <c r="U264" i="3" s="1"/>
  <c r="C266" i="3"/>
  <c r="D266" i="3"/>
  <c r="W260" i="3" l="1"/>
  <c r="Q260" i="3"/>
  <c r="T261" i="3" s="1"/>
  <c r="P261" i="3"/>
  <c r="X261" i="3"/>
  <c r="Y259" i="3"/>
  <c r="R265" i="3"/>
  <c r="U265" i="3" s="1"/>
  <c r="M265" i="3"/>
  <c r="S264" i="3"/>
  <c r="V264" i="3" s="1"/>
  <c r="C267" i="3"/>
  <c r="D267" i="3"/>
  <c r="H266" i="3"/>
  <c r="K266" i="3"/>
  <c r="J266" i="3"/>
  <c r="L266" i="3"/>
  <c r="W261" i="3" l="1"/>
  <c r="N266" i="3"/>
  <c r="G58" i="7" s="1"/>
  <c r="Y260" i="3"/>
  <c r="Q261" i="3"/>
  <c r="T262" i="3" s="1"/>
  <c r="P262" i="3"/>
  <c r="C268" i="3"/>
  <c r="D268" i="3"/>
  <c r="H267" i="3"/>
  <c r="J267" i="3"/>
  <c r="K267" i="3"/>
  <c r="L267" i="3"/>
  <c r="R266" i="3"/>
  <c r="U266" i="3" s="1"/>
  <c r="M266" i="3"/>
  <c r="S265" i="3"/>
  <c r="V265" i="3" s="1"/>
  <c r="W262" i="3" l="1"/>
  <c r="N267" i="3"/>
  <c r="N268" i="3" s="1"/>
  <c r="Y261" i="3"/>
  <c r="X262" i="3"/>
  <c r="Q262" i="3"/>
  <c r="T263" i="3" s="1"/>
  <c r="W263" i="3" s="1"/>
  <c r="P263" i="3"/>
  <c r="E39" i="1"/>
  <c r="K39" i="1" s="1"/>
  <c r="S266" i="3"/>
  <c r="V266" i="3" s="1"/>
  <c r="R267" i="3"/>
  <c r="U267" i="3" s="1"/>
  <c r="M267" i="3"/>
  <c r="C269" i="3"/>
  <c r="D269" i="3"/>
  <c r="J268" i="3"/>
  <c r="H268" i="3"/>
  <c r="K268" i="3"/>
  <c r="L268" i="3"/>
  <c r="Q263" i="3" l="1"/>
  <c r="T264" i="3" s="1"/>
  <c r="W264" i="3" s="1"/>
  <c r="P264" i="3"/>
  <c r="Y262" i="3"/>
  <c r="X263" i="3"/>
  <c r="H269" i="3"/>
  <c r="J269" i="3"/>
  <c r="K269" i="3"/>
  <c r="L269" i="3"/>
  <c r="R268" i="3"/>
  <c r="U268" i="3" s="1"/>
  <c r="M268" i="3"/>
  <c r="C270" i="3"/>
  <c r="D270" i="3"/>
  <c r="S267" i="3"/>
  <c r="V267" i="3" s="1"/>
  <c r="X264" i="3" l="1"/>
  <c r="Y263" i="3"/>
  <c r="Q264" i="3"/>
  <c r="T265" i="3" s="1"/>
  <c r="W265" i="3" s="1"/>
  <c r="P265" i="3"/>
  <c r="S268" i="3"/>
  <c r="V268" i="3" s="1"/>
  <c r="R269" i="3"/>
  <c r="U269" i="3" s="1"/>
  <c r="M269" i="3"/>
  <c r="N269" i="3" s="1"/>
  <c r="C271" i="3"/>
  <c r="D271" i="3"/>
  <c r="J270" i="3"/>
  <c r="K270" i="3"/>
  <c r="H270" i="3"/>
  <c r="L270" i="3"/>
  <c r="X265" i="3" l="1"/>
  <c r="Y264" i="3"/>
  <c r="P266" i="3"/>
  <c r="Q265" i="3"/>
  <c r="T266" i="3" s="1"/>
  <c r="W266" i="3" s="1"/>
  <c r="J271" i="3"/>
  <c r="K271" i="3"/>
  <c r="H271" i="3"/>
  <c r="L271" i="3"/>
  <c r="S269" i="3"/>
  <c r="V269" i="3" s="1"/>
  <c r="R270" i="3"/>
  <c r="U270" i="3" s="1"/>
  <c r="M270" i="3"/>
  <c r="N270" i="3" s="1"/>
  <c r="C272" i="3"/>
  <c r="D272" i="3"/>
  <c r="H58" i="7" l="1"/>
  <c r="I58" i="7" s="1"/>
  <c r="Q266" i="3"/>
  <c r="P267" i="3"/>
  <c r="X266" i="3"/>
  <c r="Y265" i="3"/>
  <c r="N271" i="3"/>
  <c r="N272" i="3" s="1"/>
  <c r="C273" i="3"/>
  <c r="D273" i="3"/>
  <c r="H272" i="3"/>
  <c r="J272" i="3"/>
  <c r="K272" i="3"/>
  <c r="L272" i="3"/>
  <c r="M271" i="3"/>
  <c r="R271" i="3"/>
  <c r="U271" i="3" s="1"/>
  <c r="S270" i="3"/>
  <c r="V270" i="3" s="1"/>
  <c r="Y266" i="3" l="1"/>
  <c r="Q267" i="3"/>
  <c r="T268" i="3" s="1"/>
  <c r="P268" i="3"/>
  <c r="D39" i="1"/>
  <c r="T267" i="3"/>
  <c r="W267" i="3" s="1"/>
  <c r="X267" i="3" s="1"/>
  <c r="S271" i="3"/>
  <c r="V271" i="3" s="1"/>
  <c r="M272" i="3"/>
  <c r="R272" i="3"/>
  <c r="U272" i="3" s="1"/>
  <c r="C274" i="3"/>
  <c r="D274" i="3"/>
  <c r="H273" i="3"/>
  <c r="K273" i="3"/>
  <c r="J273" i="3"/>
  <c r="L273" i="3"/>
  <c r="W268" i="3" l="1"/>
  <c r="X268" i="3"/>
  <c r="Y267" i="3"/>
  <c r="Q268" i="3"/>
  <c r="T269" i="3" s="1"/>
  <c r="P269" i="3"/>
  <c r="F39" i="1"/>
  <c r="L39" i="1"/>
  <c r="M273" i="3"/>
  <c r="N273" i="3" s="1"/>
  <c r="R273" i="3"/>
  <c r="U273" i="3" s="1"/>
  <c r="K274" i="3"/>
  <c r="J274" i="3"/>
  <c r="H274" i="3"/>
  <c r="L274" i="3"/>
  <c r="S272" i="3"/>
  <c r="V272" i="3" s="1"/>
  <c r="C275" i="3"/>
  <c r="D275" i="3"/>
  <c r="G39" i="1" l="1"/>
  <c r="J58" i="7" s="1"/>
  <c r="W269" i="3"/>
  <c r="Y268" i="3"/>
  <c r="Q269" i="3"/>
  <c r="T270" i="3" s="1"/>
  <c r="P270" i="3"/>
  <c r="X269" i="3"/>
  <c r="S273" i="3"/>
  <c r="V273" i="3" s="1"/>
  <c r="C276" i="3"/>
  <c r="D276" i="3"/>
  <c r="K275" i="3"/>
  <c r="H275" i="3"/>
  <c r="J275" i="3"/>
  <c r="L275" i="3"/>
  <c r="M274" i="3"/>
  <c r="N274" i="3" s="1"/>
  <c r="R274" i="3"/>
  <c r="U274" i="3" s="1"/>
  <c r="W270" i="3" l="1"/>
  <c r="X270" i="3" s="1"/>
  <c r="Y269" i="3"/>
  <c r="Q270" i="3"/>
  <c r="T271" i="3" s="1"/>
  <c r="P271" i="3"/>
  <c r="M275" i="3"/>
  <c r="R275" i="3"/>
  <c r="U275" i="3" s="1"/>
  <c r="N275" i="3"/>
  <c r="H276" i="3"/>
  <c r="J276" i="3"/>
  <c r="K276" i="3"/>
  <c r="L276" i="3"/>
  <c r="S274" i="3"/>
  <c r="V274" i="3" s="1"/>
  <c r="C277" i="3"/>
  <c r="D277" i="3"/>
  <c r="W271" i="3" l="1"/>
  <c r="X271" i="3"/>
  <c r="X272" i="3" s="1"/>
  <c r="Y270" i="3"/>
  <c r="P272" i="3"/>
  <c r="Q271" i="3"/>
  <c r="T272" i="3" s="1"/>
  <c r="W272" i="3" s="1"/>
  <c r="N276" i="3"/>
  <c r="S275" i="3"/>
  <c r="V275" i="3" s="1"/>
  <c r="R276" i="3"/>
  <c r="U276" i="3" s="1"/>
  <c r="M276" i="3"/>
  <c r="C278" i="3"/>
  <c r="D278" i="3"/>
  <c r="J277" i="3"/>
  <c r="H277" i="3"/>
  <c r="K277" i="3"/>
  <c r="L277" i="3"/>
  <c r="Y271" i="3" l="1"/>
  <c r="Q272" i="3"/>
  <c r="T273" i="3" s="1"/>
  <c r="W273" i="3" s="1"/>
  <c r="X273" i="3" s="1"/>
  <c r="P273" i="3"/>
  <c r="M277" i="3"/>
  <c r="N277" i="3" s="1"/>
  <c r="R277" i="3"/>
  <c r="U277" i="3" s="1"/>
  <c r="C279" i="3"/>
  <c r="D279" i="3"/>
  <c r="K278" i="3"/>
  <c r="H278" i="3"/>
  <c r="J278" i="3"/>
  <c r="L278" i="3"/>
  <c r="S276" i="3"/>
  <c r="V276" i="3" s="1"/>
  <c r="Y272" i="3" l="1"/>
  <c r="Q273" i="3"/>
  <c r="T274" i="3" s="1"/>
  <c r="W274" i="3" s="1"/>
  <c r="X274" i="3" s="1"/>
  <c r="P274" i="3"/>
  <c r="S277" i="3"/>
  <c r="V277" i="3" s="1"/>
  <c r="M278" i="3"/>
  <c r="N278" i="3" s="1"/>
  <c r="G59" i="7" s="1"/>
  <c r="R278" i="3"/>
  <c r="U278" i="3" s="1"/>
  <c r="J279" i="3"/>
  <c r="H279" i="3"/>
  <c r="K279" i="3"/>
  <c r="L279" i="3"/>
  <c r="C280" i="3"/>
  <c r="D280" i="3"/>
  <c r="Y273" i="3" l="1"/>
  <c r="Q274" i="3"/>
  <c r="T275" i="3" s="1"/>
  <c r="W275" i="3" s="1"/>
  <c r="X275" i="3" s="1"/>
  <c r="X276" i="3" s="1"/>
  <c r="P275" i="3"/>
  <c r="E40" i="1"/>
  <c r="K40" i="1" s="1"/>
  <c r="C281" i="3"/>
  <c r="D281" i="3"/>
  <c r="R279" i="3"/>
  <c r="U279" i="3" s="1"/>
  <c r="M279" i="3"/>
  <c r="N279" i="3" s="1"/>
  <c r="J280" i="3"/>
  <c r="H280" i="3"/>
  <c r="K280" i="3"/>
  <c r="L280" i="3"/>
  <c r="S278" i="3"/>
  <c r="V278" i="3" s="1"/>
  <c r="Q275" i="3" l="1"/>
  <c r="T276" i="3" s="1"/>
  <c r="W276" i="3" s="1"/>
  <c r="P276" i="3"/>
  <c r="Y274" i="3"/>
  <c r="S279" i="3"/>
  <c r="V279" i="3" s="1"/>
  <c r="H281" i="3"/>
  <c r="K281" i="3"/>
  <c r="J281" i="3"/>
  <c r="L281" i="3"/>
  <c r="C282" i="3"/>
  <c r="D282" i="3"/>
  <c r="R280" i="3"/>
  <c r="U280" i="3" s="1"/>
  <c r="M280" i="3"/>
  <c r="N280" i="3" s="1"/>
  <c r="Y275" i="3" l="1"/>
  <c r="Q276" i="3"/>
  <c r="P277" i="3"/>
  <c r="H282" i="3"/>
  <c r="J282" i="3"/>
  <c r="K282" i="3"/>
  <c r="L282" i="3"/>
  <c r="M281" i="3"/>
  <c r="N281" i="3" s="1"/>
  <c r="R281" i="3"/>
  <c r="U281" i="3" s="1"/>
  <c r="C283" i="3"/>
  <c r="D283" i="3"/>
  <c r="S280" i="3"/>
  <c r="V280" i="3" s="1"/>
  <c r="Q277" i="3" l="1"/>
  <c r="T278" i="3" s="1"/>
  <c r="P278" i="3"/>
  <c r="H59" i="7"/>
  <c r="I59" i="7" s="1"/>
  <c r="T277" i="3"/>
  <c r="W277" i="3" s="1"/>
  <c r="X277" i="3" s="1"/>
  <c r="Y276" i="3"/>
  <c r="C284" i="3"/>
  <c r="D284" i="3"/>
  <c r="M282" i="3"/>
  <c r="N282" i="3" s="1"/>
  <c r="R282" i="3"/>
  <c r="U282" i="3" s="1"/>
  <c r="S281" i="3"/>
  <c r="V281" i="3" s="1"/>
  <c r="J283" i="3"/>
  <c r="K283" i="3"/>
  <c r="H283" i="3"/>
  <c r="L283" i="3"/>
  <c r="W278" i="3" l="1"/>
  <c r="Q278" i="3"/>
  <c r="P279" i="3"/>
  <c r="Y277" i="3"/>
  <c r="X278" i="3"/>
  <c r="R283" i="3"/>
  <c r="U283" i="3" s="1"/>
  <c r="M283" i="3"/>
  <c r="N283" i="3" s="1"/>
  <c r="S282" i="3"/>
  <c r="V282" i="3" s="1"/>
  <c r="D285" i="3"/>
  <c r="C285" i="3"/>
  <c r="K284" i="3"/>
  <c r="H284" i="3"/>
  <c r="J284" i="3"/>
  <c r="L284" i="3"/>
  <c r="Y278" i="3" l="1"/>
  <c r="Q279" i="3"/>
  <c r="T280" i="3" s="1"/>
  <c r="P280" i="3"/>
  <c r="D40" i="1"/>
  <c r="T279" i="3"/>
  <c r="W279" i="3" s="1"/>
  <c r="X279" i="3" s="1"/>
  <c r="R284" i="3"/>
  <c r="U284" i="3" s="1"/>
  <c r="M284" i="3"/>
  <c r="N284" i="3" s="1"/>
  <c r="S283" i="3"/>
  <c r="V283" i="3" s="1"/>
  <c r="H285" i="3"/>
  <c r="K285" i="3"/>
  <c r="J285" i="3"/>
  <c r="L285" i="3"/>
  <c r="C286" i="3"/>
  <c r="D286" i="3"/>
  <c r="Y279" i="3" l="1"/>
  <c r="Q280" i="3"/>
  <c r="T281" i="3" s="1"/>
  <c r="P281" i="3"/>
  <c r="L40" i="1"/>
  <c r="F40" i="1"/>
  <c r="G40" i="1" s="1"/>
  <c r="J59" i="7" s="1"/>
  <c r="W280" i="3"/>
  <c r="X280" i="3" s="1"/>
  <c r="Y280" i="3" s="1"/>
  <c r="K286" i="3"/>
  <c r="H286" i="3"/>
  <c r="J286" i="3"/>
  <c r="L286" i="3"/>
  <c r="S284" i="3"/>
  <c r="V284" i="3" s="1"/>
  <c r="C287" i="3"/>
  <c r="D287" i="3"/>
  <c r="M285" i="3"/>
  <c r="N285" i="3" s="1"/>
  <c r="R285" i="3"/>
  <c r="U285" i="3" s="1"/>
  <c r="W281" i="3" l="1"/>
  <c r="X281" i="3" s="1"/>
  <c r="Q281" i="3"/>
  <c r="T282" i="3" s="1"/>
  <c r="P282" i="3"/>
  <c r="N286" i="3"/>
  <c r="C288" i="3"/>
  <c r="D288" i="3"/>
  <c r="R286" i="3"/>
  <c r="U286" i="3" s="1"/>
  <c r="M286" i="3"/>
  <c r="H287" i="3"/>
  <c r="J287" i="3"/>
  <c r="K287" i="3"/>
  <c r="L287" i="3"/>
  <c r="S285" i="3"/>
  <c r="V285" i="3" s="1"/>
  <c r="W282" i="3" l="1"/>
  <c r="X282" i="3" s="1"/>
  <c r="Y281" i="3"/>
  <c r="Q282" i="3"/>
  <c r="T283" i="3" s="1"/>
  <c r="P283" i="3"/>
  <c r="N287" i="3"/>
  <c r="S286" i="3"/>
  <c r="V286" i="3" s="1"/>
  <c r="C289" i="3"/>
  <c r="D289" i="3"/>
  <c r="J288" i="3"/>
  <c r="K288" i="3"/>
  <c r="H288" i="3"/>
  <c r="L288" i="3"/>
  <c r="M287" i="3"/>
  <c r="R287" i="3"/>
  <c r="U287" i="3" s="1"/>
  <c r="W283" i="3" l="1"/>
  <c r="X283" i="3" s="1"/>
  <c r="X284" i="3" s="1"/>
  <c r="Y282" i="3"/>
  <c r="Q283" i="3"/>
  <c r="T284" i="3" s="1"/>
  <c r="P284" i="3"/>
  <c r="N288" i="3"/>
  <c r="N289" i="3" s="1"/>
  <c r="R288" i="3"/>
  <c r="U288" i="3" s="1"/>
  <c r="M288" i="3"/>
  <c r="K289" i="3"/>
  <c r="H289" i="3"/>
  <c r="J289" i="3"/>
  <c r="L289" i="3"/>
  <c r="S287" i="3"/>
  <c r="V287" i="3" s="1"/>
  <c r="C290" i="3"/>
  <c r="D290" i="3"/>
  <c r="W284" i="3" l="1"/>
  <c r="Y283" i="3"/>
  <c r="Q284" i="3"/>
  <c r="T285" i="3" s="1"/>
  <c r="P285" i="3"/>
  <c r="M289" i="3"/>
  <c r="R289" i="3"/>
  <c r="U289" i="3" s="1"/>
  <c r="C291" i="3"/>
  <c r="D291" i="3"/>
  <c r="H290" i="3"/>
  <c r="J290" i="3"/>
  <c r="K290" i="3"/>
  <c r="L290" i="3"/>
  <c r="S288" i="3"/>
  <c r="V288" i="3" s="1"/>
  <c r="N290" i="3" l="1"/>
  <c r="G60" i="7" s="1"/>
  <c r="W285" i="3"/>
  <c r="X285" i="3" s="1"/>
  <c r="Y284" i="3"/>
  <c r="Q285" i="3"/>
  <c r="T286" i="3" s="1"/>
  <c r="P286" i="3"/>
  <c r="C292" i="3"/>
  <c r="D292" i="3"/>
  <c r="S289" i="3"/>
  <c r="V289" i="3" s="1"/>
  <c r="M290" i="3"/>
  <c r="R290" i="3"/>
  <c r="U290" i="3" s="1"/>
  <c r="J291" i="3"/>
  <c r="H291" i="3"/>
  <c r="K291" i="3"/>
  <c r="N291" i="3" s="1"/>
  <c r="L291" i="3"/>
  <c r="W286" i="3" l="1"/>
  <c r="X286" i="3" s="1"/>
  <c r="Q286" i="3"/>
  <c r="T287" i="3" s="1"/>
  <c r="P287" i="3"/>
  <c r="Y285" i="3"/>
  <c r="E41" i="1"/>
  <c r="K41" i="1" s="1"/>
  <c r="H292" i="3"/>
  <c r="J292" i="3"/>
  <c r="K292" i="3"/>
  <c r="N292" i="3"/>
  <c r="L292" i="3"/>
  <c r="M291" i="3"/>
  <c r="R291" i="3"/>
  <c r="U291" i="3" s="1"/>
  <c r="S290" i="3"/>
  <c r="V290" i="3" s="1"/>
  <c r="C293" i="3"/>
  <c r="D293" i="3"/>
  <c r="W287" i="3" l="1"/>
  <c r="X287" i="3" s="1"/>
  <c r="Y286" i="3"/>
  <c r="Q287" i="3"/>
  <c r="T288" i="3" s="1"/>
  <c r="W288" i="3" s="1"/>
  <c r="P288" i="3"/>
  <c r="R292" i="3"/>
  <c r="U292" i="3" s="1"/>
  <c r="M292" i="3"/>
  <c r="S291" i="3"/>
  <c r="V291" i="3" s="1"/>
  <c r="C294" i="3"/>
  <c r="D294" i="3"/>
  <c r="J293" i="3"/>
  <c r="K293" i="3"/>
  <c r="H293" i="3"/>
  <c r="N293" i="3"/>
  <c r="L293" i="3"/>
  <c r="X288" i="3" l="1"/>
  <c r="X289" i="3" s="1"/>
  <c r="Q288" i="3"/>
  <c r="T289" i="3" s="1"/>
  <c r="W289" i="3" s="1"/>
  <c r="P289" i="3"/>
  <c r="Y287" i="3"/>
  <c r="R293" i="3"/>
  <c r="U293" i="3" s="1"/>
  <c r="M293" i="3"/>
  <c r="C295" i="3"/>
  <c r="D295" i="3"/>
  <c r="S292" i="3"/>
  <c r="V292" i="3" s="1"/>
  <c r="J294" i="3"/>
  <c r="H294" i="3"/>
  <c r="N294" i="3"/>
  <c r="K294" i="3"/>
  <c r="L294" i="3"/>
  <c r="Y288" i="3" l="1"/>
  <c r="Q289" i="3"/>
  <c r="T290" i="3" s="1"/>
  <c r="W290" i="3" s="1"/>
  <c r="X290" i="3" s="1"/>
  <c r="X291" i="3" s="1"/>
  <c r="X292" i="3" s="1"/>
  <c r="P290" i="3"/>
  <c r="M294" i="3"/>
  <c r="R294" i="3"/>
  <c r="U294" i="3" s="1"/>
  <c r="J295" i="3"/>
  <c r="H295" i="3"/>
  <c r="K295" i="3"/>
  <c r="N295" i="3"/>
  <c r="L295" i="3"/>
  <c r="S293" i="3"/>
  <c r="V293" i="3" s="1"/>
  <c r="C296" i="3"/>
  <c r="D296" i="3"/>
  <c r="Y289" i="3" l="1"/>
  <c r="H60" i="7"/>
  <c r="I60" i="7" s="1"/>
  <c r="Q290" i="3"/>
  <c r="P291" i="3"/>
  <c r="R295" i="3"/>
  <c r="U295" i="3" s="1"/>
  <c r="M295" i="3"/>
  <c r="S294" i="3"/>
  <c r="V294" i="3" s="1"/>
  <c r="C297" i="3"/>
  <c r="D297" i="3"/>
  <c r="X293" i="3"/>
  <c r="H296" i="3"/>
  <c r="K296" i="3"/>
  <c r="J296" i="3"/>
  <c r="N296" i="3"/>
  <c r="L296" i="3"/>
  <c r="P292" i="3" l="1"/>
  <c r="Q291" i="3"/>
  <c r="D41" i="1"/>
  <c r="Y290" i="3"/>
  <c r="T291" i="3"/>
  <c r="W291" i="3" s="1"/>
  <c r="R296" i="3"/>
  <c r="U296" i="3" s="1"/>
  <c r="M296" i="3"/>
  <c r="C298" i="3"/>
  <c r="D298" i="3"/>
  <c r="S295" i="3"/>
  <c r="V295" i="3" s="1"/>
  <c r="J297" i="3"/>
  <c r="K297" i="3"/>
  <c r="H297" i="3"/>
  <c r="L297" i="3"/>
  <c r="L41" i="1" l="1"/>
  <c r="F41" i="1"/>
  <c r="G41" i="1" s="1"/>
  <c r="J60" i="7" s="1"/>
  <c r="T292" i="3"/>
  <c r="W292" i="3" s="1"/>
  <c r="Y291" i="3"/>
  <c r="P293" i="3"/>
  <c r="Q292" i="3"/>
  <c r="N297" i="3"/>
  <c r="C299" i="3"/>
  <c r="D299" i="3"/>
  <c r="J298" i="3"/>
  <c r="H298" i="3"/>
  <c r="K298" i="3"/>
  <c r="L298" i="3"/>
  <c r="M297" i="3"/>
  <c r="R297" i="3"/>
  <c r="U297" i="3" s="1"/>
  <c r="S296" i="3"/>
  <c r="V296" i="3" s="1"/>
  <c r="T293" i="3" l="1"/>
  <c r="W293" i="3" s="1"/>
  <c r="Y292" i="3"/>
  <c r="Q293" i="3"/>
  <c r="P294" i="3"/>
  <c r="N298" i="3"/>
  <c r="H299" i="3"/>
  <c r="K299" i="3"/>
  <c r="J299" i="3"/>
  <c r="L299" i="3"/>
  <c r="C300" i="3"/>
  <c r="D300" i="3"/>
  <c r="S297" i="3"/>
  <c r="V297" i="3" s="1"/>
  <c r="R298" i="3"/>
  <c r="U298" i="3" s="1"/>
  <c r="M298" i="3"/>
  <c r="Q294" i="3" l="1"/>
  <c r="T295" i="3" s="1"/>
  <c r="P295" i="3"/>
  <c r="T294" i="3"/>
  <c r="W294" i="3" s="1"/>
  <c r="X294" i="3" s="1"/>
  <c r="Y293" i="3"/>
  <c r="N299" i="3"/>
  <c r="K300" i="3"/>
  <c r="J300" i="3"/>
  <c r="H300" i="3"/>
  <c r="L300" i="3"/>
  <c r="R299" i="3"/>
  <c r="U299" i="3" s="1"/>
  <c r="M299" i="3"/>
  <c r="S298" i="3"/>
  <c r="V298" i="3" s="1"/>
  <c r="C301" i="3"/>
  <c r="D301" i="3"/>
  <c r="W295" i="3" l="1"/>
  <c r="P296" i="3"/>
  <c r="Q295" i="3"/>
  <c r="T296" i="3" s="1"/>
  <c r="Y294" i="3"/>
  <c r="X295" i="3"/>
  <c r="N300" i="3"/>
  <c r="N301" i="3" s="1"/>
  <c r="H301" i="3"/>
  <c r="K301" i="3"/>
  <c r="J301" i="3"/>
  <c r="L301" i="3"/>
  <c r="S299" i="3"/>
  <c r="V299" i="3" s="1"/>
  <c r="R300" i="3"/>
  <c r="U300" i="3" s="1"/>
  <c r="M300" i="3"/>
  <c r="C302" i="3"/>
  <c r="D302" i="3"/>
  <c r="W296" i="3" l="1"/>
  <c r="X296" i="3"/>
  <c r="Y295" i="3"/>
  <c r="Q296" i="3"/>
  <c r="T297" i="3" s="1"/>
  <c r="P297" i="3"/>
  <c r="C303" i="3"/>
  <c r="D303" i="3"/>
  <c r="H302" i="3"/>
  <c r="J302" i="3"/>
  <c r="K302" i="3"/>
  <c r="L302" i="3"/>
  <c r="S300" i="3"/>
  <c r="V300" i="3" s="1"/>
  <c r="R301" i="3"/>
  <c r="U301" i="3" s="1"/>
  <c r="M301" i="3"/>
  <c r="N302" i="3" l="1"/>
  <c r="G61" i="7" s="1"/>
  <c r="W297" i="3"/>
  <c r="Q297" i="3"/>
  <c r="T298" i="3" s="1"/>
  <c r="P298" i="3"/>
  <c r="Y296" i="3"/>
  <c r="X297" i="3"/>
  <c r="R302" i="3"/>
  <c r="U302" i="3" s="1"/>
  <c r="M302" i="3"/>
  <c r="C304" i="3"/>
  <c r="D304" i="3"/>
  <c r="S301" i="3"/>
  <c r="V301" i="3" s="1"/>
  <c r="J303" i="3"/>
  <c r="H303" i="3"/>
  <c r="K303" i="3"/>
  <c r="L303" i="3"/>
  <c r="W298" i="3" l="1"/>
  <c r="Y297" i="3"/>
  <c r="Q298" i="3"/>
  <c r="T299" i="3" s="1"/>
  <c r="P299" i="3"/>
  <c r="X298" i="3"/>
  <c r="E42" i="1"/>
  <c r="K42" i="1" s="1"/>
  <c r="C305" i="3"/>
  <c r="D305" i="3"/>
  <c r="S302" i="3"/>
  <c r="V302" i="3" s="1"/>
  <c r="M303" i="3"/>
  <c r="N303" i="3" s="1"/>
  <c r="R303" i="3"/>
  <c r="U303" i="3" s="1"/>
  <c r="J304" i="3"/>
  <c r="H304" i="3"/>
  <c r="K304" i="3"/>
  <c r="L304" i="3"/>
  <c r="W299" i="3" l="1"/>
  <c r="X299" i="3" s="1"/>
  <c r="Y298" i="3"/>
  <c r="Q299" i="3"/>
  <c r="T300" i="3" s="1"/>
  <c r="P300" i="3"/>
  <c r="C306" i="3"/>
  <c r="D306" i="3"/>
  <c r="M304" i="3"/>
  <c r="N304" i="3" s="1"/>
  <c r="R304" i="3"/>
  <c r="U304" i="3" s="1"/>
  <c r="S303" i="3"/>
  <c r="V303" i="3" s="1"/>
  <c r="J305" i="3"/>
  <c r="K305" i="3"/>
  <c r="H305" i="3"/>
  <c r="L305" i="3"/>
  <c r="W300" i="3" l="1"/>
  <c r="X300" i="3"/>
  <c r="Y299" i="3"/>
  <c r="P301" i="3"/>
  <c r="Q300" i="3"/>
  <c r="T301" i="3" s="1"/>
  <c r="W301" i="3" s="1"/>
  <c r="R305" i="3"/>
  <c r="U305" i="3" s="1"/>
  <c r="M305" i="3"/>
  <c r="N305" i="3" s="1"/>
  <c r="H306" i="3"/>
  <c r="K306" i="3"/>
  <c r="J306" i="3"/>
  <c r="L306" i="3"/>
  <c r="S304" i="3"/>
  <c r="V304" i="3" s="1"/>
  <c r="C307" i="3"/>
  <c r="D307" i="3"/>
  <c r="Y300" i="3" l="1"/>
  <c r="X301" i="3"/>
  <c r="Q301" i="3"/>
  <c r="T302" i="3" s="1"/>
  <c r="W302" i="3" s="1"/>
  <c r="P302" i="3"/>
  <c r="N306" i="3"/>
  <c r="C308" i="3"/>
  <c r="D308" i="3"/>
  <c r="H307" i="3"/>
  <c r="J307" i="3"/>
  <c r="N307" i="3" s="1"/>
  <c r="K307" i="3"/>
  <c r="L307" i="3"/>
  <c r="S305" i="3"/>
  <c r="V305" i="3" s="1"/>
  <c r="M306" i="3"/>
  <c r="R306" i="3"/>
  <c r="U306" i="3" s="1"/>
  <c r="H61" i="7" l="1"/>
  <c r="I61" i="7" s="1"/>
  <c r="Q302" i="3"/>
  <c r="P303" i="3"/>
  <c r="Y301" i="3"/>
  <c r="X302" i="3"/>
  <c r="C309" i="3"/>
  <c r="D309" i="3"/>
  <c r="S306" i="3"/>
  <c r="V306" i="3" s="1"/>
  <c r="M307" i="3"/>
  <c r="R307" i="3"/>
  <c r="U307" i="3" s="1"/>
  <c r="H308" i="3"/>
  <c r="J308" i="3"/>
  <c r="K308" i="3"/>
  <c r="N308" i="3"/>
  <c r="L308" i="3"/>
  <c r="Q303" i="3" l="1"/>
  <c r="T304" i="3" s="1"/>
  <c r="P304" i="3"/>
  <c r="X303" i="3"/>
  <c r="Y302" i="3"/>
  <c r="D42" i="1"/>
  <c r="T303" i="3"/>
  <c r="W303" i="3" s="1"/>
  <c r="C310" i="3"/>
  <c r="D310" i="3"/>
  <c r="M308" i="3"/>
  <c r="R308" i="3"/>
  <c r="U308" i="3" s="1"/>
  <c r="S307" i="3"/>
  <c r="V307" i="3" s="1"/>
  <c r="K309" i="3"/>
  <c r="H309" i="3"/>
  <c r="J309" i="3"/>
  <c r="L309" i="3"/>
  <c r="Y303" i="3" l="1"/>
  <c r="X304" i="3"/>
  <c r="Q304" i="3"/>
  <c r="T305" i="3" s="1"/>
  <c r="P305" i="3"/>
  <c r="W304" i="3"/>
  <c r="L42" i="1"/>
  <c r="F42" i="1"/>
  <c r="S308" i="3"/>
  <c r="V308" i="3" s="1"/>
  <c r="D311" i="3"/>
  <c r="C311" i="3"/>
  <c r="R309" i="3"/>
  <c r="U309" i="3" s="1"/>
  <c r="M309" i="3"/>
  <c r="N309" i="3" s="1"/>
  <c r="J310" i="3"/>
  <c r="H310" i="3"/>
  <c r="K310" i="3"/>
  <c r="L310" i="3"/>
  <c r="X305" i="3" l="1"/>
  <c r="Y304" i="3"/>
  <c r="Q305" i="3"/>
  <c r="T306" i="3" s="1"/>
  <c r="P306" i="3"/>
  <c r="J61" i="7"/>
  <c r="G42" i="1"/>
  <c r="W305" i="3"/>
  <c r="N310" i="3"/>
  <c r="H311" i="3"/>
  <c r="J311" i="3"/>
  <c r="K311" i="3"/>
  <c r="L311" i="3"/>
  <c r="R310" i="3"/>
  <c r="U310" i="3" s="1"/>
  <c r="M310" i="3"/>
  <c r="C312" i="3"/>
  <c r="D312" i="3"/>
  <c r="S309" i="3"/>
  <c r="V309" i="3" s="1"/>
  <c r="W306" i="3" l="1"/>
  <c r="Q306" i="3"/>
  <c r="T307" i="3" s="1"/>
  <c r="P307" i="3"/>
  <c r="Y305" i="3"/>
  <c r="X306" i="3"/>
  <c r="N311" i="3"/>
  <c r="S310" i="3"/>
  <c r="V310" i="3" s="1"/>
  <c r="R311" i="3"/>
  <c r="U311" i="3" s="1"/>
  <c r="M311" i="3"/>
  <c r="J312" i="3"/>
  <c r="K312" i="3"/>
  <c r="H312" i="3"/>
  <c r="L312" i="3"/>
  <c r="C313" i="3"/>
  <c r="D313" i="3"/>
  <c r="W307" i="3" l="1"/>
  <c r="X307" i="3" s="1"/>
  <c r="X308" i="3" s="1"/>
  <c r="Q307" i="3"/>
  <c r="T308" i="3" s="1"/>
  <c r="P308" i="3"/>
  <c r="Y306" i="3"/>
  <c r="N312" i="3"/>
  <c r="N313" i="3" s="1"/>
  <c r="S311" i="3"/>
  <c r="V311" i="3" s="1"/>
  <c r="H313" i="3"/>
  <c r="J313" i="3"/>
  <c r="K313" i="3"/>
  <c r="L313" i="3"/>
  <c r="C314" i="3"/>
  <c r="D314" i="3"/>
  <c r="M312" i="3"/>
  <c r="R312" i="3"/>
  <c r="U312" i="3" s="1"/>
  <c r="W308" i="3" l="1"/>
  <c r="Y307" i="3"/>
  <c r="Q308" i="3"/>
  <c r="T309" i="3" s="1"/>
  <c r="P309" i="3"/>
  <c r="X309" i="3"/>
  <c r="C315" i="3"/>
  <c r="D315" i="3"/>
  <c r="M313" i="3"/>
  <c r="R313" i="3"/>
  <c r="U313" i="3" s="1"/>
  <c r="K314" i="3"/>
  <c r="J314" i="3"/>
  <c r="H314" i="3"/>
  <c r="L314" i="3"/>
  <c r="S312" i="3"/>
  <c r="V312" i="3" s="1"/>
  <c r="N314" i="3" l="1"/>
  <c r="G62" i="7" s="1"/>
  <c r="W309" i="3"/>
  <c r="Y308" i="3"/>
  <c r="Q309" i="3"/>
  <c r="T310" i="3" s="1"/>
  <c r="P310" i="3"/>
  <c r="S313" i="3"/>
  <c r="V313" i="3" s="1"/>
  <c r="C316" i="3"/>
  <c r="D316" i="3"/>
  <c r="R314" i="3"/>
  <c r="U314" i="3" s="1"/>
  <c r="M314" i="3"/>
  <c r="J315" i="3"/>
  <c r="K315" i="3"/>
  <c r="H315" i="3"/>
  <c r="L315" i="3"/>
  <c r="N315" i="3" l="1"/>
  <c r="N316" i="3" s="1"/>
  <c r="W310" i="3"/>
  <c r="Y309" i="3"/>
  <c r="Q310" i="3"/>
  <c r="T311" i="3" s="1"/>
  <c r="W311" i="3" s="1"/>
  <c r="P311" i="3"/>
  <c r="X310" i="3"/>
  <c r="E43" i="1"/>
  <c r="K43" i="1" s="1"/>
  <c r="S314" i="3"/>
  <c r="V314" i="3" s="1"/>
  <c r="R315" i="3"/>
  <c r="U315" i="3" s="1"/>
  <c r="M315" i="3"/>
  <c r="D317" i="3"/>
  <c r="C317" i="3"/>
  <c r="J316" i="3"/>
  <c r="H316" i="3"/>
  <c r="K316" i="3"/>
  <c r="L316" i="3"/>
  <c r="Q311" i="3" l="1"/>
  <c r="T312" i="3" s="1"/>
  <c r="W312" i="3" s="1"/>
  <c r="P312" i="3"/>
  <c r="Y310" i="3"/>
  <c r="X311" i="3"/>
  <c r="H62" i="7"/>
  <c r="M316" i="3"/>
  <c r="R316" i="3"/>
  <c r="U316" i="3" s="1"/>
  <c r="J317" i="3"/>
  <c r="K317" i="3"/>
  <c r="H317" i="3"/>
  <c r="N317" i="3"/>
  <c r="L317" i="3"/>
  <c r="C318" i="3"/>
  <c r="D318" i="3"/>
  <c r="S315" i="3"/>
  <c r="V315" i="3" s="1"/>
  <c r="P313" i="3" l="1"/>
  <c r="Q312" i="3"/>
  <c r="T313" i="3" s="1"/>
  <c r="W313" i="3" s="1"/>
  <c r="X312" i="3"/>
  <c r="Y311" i="3"/>
  <c r="I62" i="7"/>
  <c r="M317" i="3"/>
  <c r="R317" i="3"/>
  <c r="U317" i="3" s="1"/>
  <c r="S316" i="3"/>
  <c r="V316" i="3" s="1"/>
  <c r="C319" i="3"/>
  <c r="D319" i="3"/>
  <c r="H318" i="3"/>
  <c r="K318" i="3"/>
  <c r="J318" i="3"/>
  <c r="N318" i="3" s="1"/>
  <c r="L318" i="3"/>
  <c r="P314" i="3" l="1"/>
  <c r="Q313" i="3"/>
  <c r="T314" i="3" s="1"/>
  <c r="W314" i="3" s="1"/>
  <c r="Y312" i="3"/>
  <c r="X313" i="3"/>
  <c r="H319" i="3"/>
  <c r="J319" i="3"/>
  <c r="K319" i="3"/>
  <c r="L319" i="3"/>
  <c r="C320" i="3"/>
  <c r="D320" i="3"/>
  <c r="R318" i="3"/>
  <c r="U318" i="3" s="1"/>
  <c r="M318" i="3"/>
  <c r="S317" i="3"/>
  <c r="V317" i="3" s="1"/>
  <c r="Q314" i="3" l="1"/>
  <c r="P315" i="3"/>
  <c r="X314" i="3"/>
  <c r="Y313" i="3"/>
  <c r="N319" i="3"/>
  <c r="N320" i="3" s="1"/>
  <c r="J62" i="7"/>
  <c r="S318" i="3"/>
  <c r="V318" i="3" s="1"/>
  <c r="C321" i="3"/>
  <c r="D321" i="3"/>
  <c r="M319" i="3"/>
  <c r="R319" i="3"/>
  <c r="U319" i="3" s="1"/>
  <c r="H320" i="3"/>
  <c r="J320" i="3"/>
  <c r="K320" i="3"/>
  <c r="L320" i="3"/>
  <c r="X315" i="3" l="1"/>
  <c r="Y314" i="3"/>
  <c r="P316" i="3"/>
  <c r="Q315" i="3"/>
  <c r="T316" i="3" s="1"/>
  <c r="D43" i="1"/>
  <c r="T315" i="3"/>
  <c r="W315" i="3" s="1"/>
  <c r="S319" i="3"/>
  <c r="V319" i="3" s="1"/>
  <c r="R320" i="3"/>
  <c r="U320" i="3" s="1"/>
  <c r="M320" i="3"/>
  <c r="J321" i="3"/>
  <c r="H321" i="3"/>
  <c r="K321" i="3"/>
  <c r="L321" i="3"/>
  <c r="C322" i="3"/>
  <c r="D322" i="3"/>
  <c r="L43" i="1" l="1"/>
  <c r="F43" i="1"/>
  <c r="G43" i="1" s="1"/>
  <c r="W316" i="3"/>
  <c r="P317" i="3"/>
  <c r="Q316" i="3"/>
  <c r="T317" i="3" s="1"/>
  <c r="Y315" i="3"/>
  <c r="X316" i="3"/>
  <c r="N321" i="3"/>
  <c r="H322" i="3"/>
  <c r="K322" i="3"/>
  <c r="J322" i="3"/>
  <c r="L322" i="3"/>
  <c r="C323" i="3"/>
  <c r="D323" i="3"/>
  <c r="S320" i="3"/>
  <c r="V320" i="3" s="1"/>
  <c r="R321" i="3"/>
  <c r="U321" i="3" s="1"/>
  <c r="M321" i="3"/>
  <c r="Y316" i="3" l="1"/>
  <c r="X317" i="3"/>
  <c r="Q317" i="3"/>
  <c r="T318" i="3" s="1"/>
  <c r="P318" i="3"/>
  <c r="W317" i="3"/>
  <c r="N322" i="3"/>
  <c r="C324" i="3"/>
  <c r="D324" i="3"/>
  <c r="K323" i="3"/>
  <c r="H323" i="3"/>
  <c r="J323" i="3"/>
  <c r="L323" i="3"/>
  <c r="R322" i="3"/>
  <c r="U322" i="3" s="1"/>
  <c r="M322" i="3"/>
  <c r="S321" i="3"/>
  <c r="V321" i="3" s="1"/>
  <c r="W318" i="3" l="1"/>
  <c r="Y317" i="3"/>
  <c r="X318" i="3"/>
  <c r="Q318" i="3"/>
  <c r="T319" i="3" s="1"/>
  <c r="P319" i="3"/>
  <c r="M323" i="3"/>
  <c r="R323" i="3"/>
  <c r="U323" i="3" s="1"/>
  <c r="N323" i="3"/>
  <c r="C325" i="3"/>
  <c r="D325" i="3"/>
  <c r="J324" i="3"/>
  <c r="H324" i="3"/>
  <c r="K324" i="3"/>
  <c r="L324" i="3"/>
  <c r="S322" i="3"/>
  <c r="V322" i="3" s="1"/>
  <c r="W319" i="3" l="1"/>
  <c r="Q319" i="3"/>
  <c r="T320" i="3" s="1"/>
  <c r="P320" i="3"/>
  <c r="X319" i="3"/>
  <c r="Y318" i="3"/>
  <c r="N324" i="3"/>
  <c r="N325" i="3" s="1"/>
  <c r="D326" i="3"/>
  <c r="C326" i="3"/>
  <c r="S323" i="3"/>
  <c r="V323" i="3" s="1"/>
  <c r="M324" i="3"/>
  <c r="R324" i="3"/>
  <c r="U324" i="3" s="1"/>
  <c r="J325" i="3"/>
  <c r="H325" i="3"/>
  <c r="K325" i="3"/>
  <c r="L325" i="3"/>
  <c r="W320" i="3" l="1"/>
  <c r="Y319" i="3"/>
  <c r="X320" i="3"/>
  <c r="Q320" i="3"/>
  <c r="T321" i="3" s="1"/>
  <c r="P321" i="3"/>
  <c r="M325" i="3"/>
  <c r="R325" i="3"/>
  <c r="U325" i="3" s="1"/>
  <c r="J326" i="3"/>
  <c r="K326" i="3"/>
  <c r="H326" i="3"/>
  <c r="L326" i="3"/>
  <c r="S324" i="3"/>
  <c r="V324" i="3" s="1"/>
  <c r="C327" i="3"/>
  <c r="D327" i="3"/>
  <c r="N326" i="3" l="1"/>
  <c r="G63" i="7" s="1"/>
  <c r="W321" i="3"/>
  <c r="Y320" i="3"/>
  <c r="X321" i="3"/>
  <c r="Q321" i="3"/>
  <c r="T322" i="3" s="1"/>
  <c r="P322" i="3"/>
  <c r="R326" i="3"/>
  <c r="U326" i="3" s="1"/>
  <c r="M326" i="3"/>
  <c r="C328" i="3"/>
  <c r="D328" i="3"/>
  <c r="J327" i="3"/>
  <c r="K327" i="3"/>
  <c r="H327" i="3"/>
  <c r="L327" i="3"/>
  <c r="S325" i="3"/>
  <c r="V325" i="3" s="1"/>
  <c r="N327" i="3" l="1"/>
  <c r="N328" i="3" s="1"/>
  <c r="W322" i="3"/>
  <c r="Y321" i="3"/>
  <c r="Q322" i="3"/>
  <c r="T323" i="3" s="1"/>
  <c r="W323" i="3" s="1"/>
  <c r="P323" i="3"/>
  <c r="X322" i="3"/>
  <c r="E44" i="1"/>
  <c r="K44" i="1" s="1"/>
  <c r="C329" i="3"/>
  <c r="D329" i="3"/>
  <c r="S326" i="3"/>
  <c r="V326" i="3" s="1"/>
  <c r="R327" i="3"/>
  <c r="U327" i="3" s="1"/>
  <c r="M327" i="3"/>
  <c r="J328" i="3"/>
  <c r="H328" i="3"/>
  <c r="K328" i="3"/>
  <c r="L328" i="3"/>
  <c r="Y322" i="3" l="1"/>
  <c r="X323" i="3"/>
  <c r="Q323" i="3"/>
  <c r="T324" i="3" s="1"/>
  <c r="W324" i="3" s="1"/>
  <c r="P324" i="3"/>
  <c r="H63" i="7"/>
  <c r="J329" i="3"/>
  <c r="H329" i="3"/>
  <c r="K329" i="3"/>
  <c r="N329" i="3"/>
  <c r="L329" i="3"/>
  <c r="C330" i="3"/>
  <c r="D330" i="3"/>
  <c r="R328" i="3"/>
  <c r="U328" i="3" s="1"/>
  <c r="M328" i="3"/>
  <c r="S327" i="3"/>
  <c r="V327" i="3" s="1"/>
  <c r="Y323" i="3" l="1"/>
  <c r="X324" i="3"/>
  <c r="P325" i="3"/>
  <c r="Q324" i="3"/>
  <c r="T325" i="3" s="1"/>
  <c r="W325" i="3" s="1"/>
  <c r="I63" i="7"/>
  <c r="H330" i="3"/>
  <c r="J330" i="3"/>
  <c r="K330" i="3"/>
  <c r="N330" i="3" s="1"/>
  <c r="L330" i="3"/>
  <c r="S328" i="3"/>
  <c r="V328" i="3" s="1"/>
  <c r="C331" i="3"/>
  <c r="D331" i="3"/>
  <c r="R329" i="3"/>
  <c r="U329" i="3" s="1"/>
  <c r="M329" i="3"/>
  <c r="Q325" i="3" l="1"/>
  <c r="T326" i="3" s="1"/>
  <c r="W326" i="3" s="1"/>
  <c r="P326" i="3"/>
  <c r="Y324" i="3"/>
  <c r="X325" i="3"/>
  <c r="J331" i="3"/>
  <c r="K331" i="3"/>
  <c r="H331" i="3"/>
  <c r="L331" i="3"/>
  <c r="R330" i="3"/>
  <c r="U330" i="3" s="1"/>
  <c r="M330" i="3"/>
  <c r="S329" i="3"/>
  <c r="V329" i="3" s="1"/>
  <c r="C332" i="3"/>
  <c r="D332" i="3"/>
  <c r="X326" i="3" l="1"/>
  <c r="Y325" i="3"/>
  <c r="Q326" i="3"/>
  <c r="P327" i="3"/>
  <c r="N331" i="3"/>
  <c r="N332" i="3" s="1"/>
  <c r="C333" i="3"/>
  <c r="D333" i="3"/>
  <c r="M331" i="3"/>
  <c r="R331" i="3"/>
  <c r="U331" i="3" s="1"/>
  <c r="H332" i="3"/>
  <c r="J332" i="3"/>
  <c r="K332" i="3"/>
  <c r="L332" i="3"/>
  <c r="S330" i="3"/>
  <c r="V330" i="3" s="1"/>
  <c r="D44" i="1" l="1"/>
  <c r="T327" i="3"/>
  <c r="W327" i="3" s="1"/>
  <c r="X327" i="3" s="1"/>
  <c r="Y326" i="3"/>
  <c r="Q327" i="3"/>
  <c r="T328" i="3" s="1"/>
  <c r="P328" i="3"/>
  <c r="S331" i="3"/>
  <c r="V331" i="3" s="1"/>
  <c r="C334" i="3"/>
  <c r="D334" i="3"/>
  <c r="H333" i="3"/>
  <c r="J333" i="3"/>
  <c r="K333" i="3"/>
  <c r="L333" i="3"/>
  <c r="R332" i="3"/>
  <c r="U332" i="3" s="1"/>
  <c r="M332" i="3"/>
  <c r="X328" i="3" l="1"/>
  <c r="Y327" i="3"/>
  <c r="P329" i="3"/>
  <c r="Q328" i="3"/>
  <c r="T329" i="3" s="1"/>
  <c r="W328" i="3"/>
  <c r="L44" i="1"/>
  <c r="F44" i="1"/>
  <c r="G44" i="1" s="1"/>
  <c r="J63" i="7" s="1"/>
  <c r="N333" i="3"/>
  <c r="R333" i="3"/>
  <c r="U333" i="3" s="1"/>
  <c r="M333" i="3"/>
  <c r="S332" i="3"/>
  <c r="V332" i="3" s="1"/>
  <c r="J334" i="3"/>
  <c r="K334" i="3"/>
  <c r="H334" i="3"/>
  <c r="L334" i="3"/>
  <c r="D335" i="3"/>
  <c r="C335" i="3"/>
  <c r="W329" i="3" l="1"/>
  <c r="Q329" i="3"/>
  <c r="T330" i="3" s="1"/>
  <c r="P330" i="3"/>
  <c r="X329" i="3"/>
  <c r="Y328" i="3"/>
  <c r="N334" i="3"/>
  <c r="H335" i="3"/>
  <c r="K335" i="3"/>
  <c r="J335" i="3"/>
  <c r="L335" i="3"/>
  <c r="S333" i="3"/>
  <c r="V333" i="3" s="1"/>
  <c r="C336" i="3"/>
  <c r="D336" i="3"/>
  <c r="M334" i="3"/>
  <c r="R334" i="3"/>
  <c r="U334" i="3" s="1"/>
  <c r="W330" i="3" l="1"/>
  <c r="X330" i="3"/>
  <c r="X331" i="3" s="1"/>
  <c r="Q330" i="3"/>
  <c r="T331" i="3" s="1"/>
  <c r="P331" i="3"/>
  <c r="Y329" i="3"/>
  <c r="J336" i="3"/>
  <c r="K336" i="3"/>
  <c r="H336" i="3"/>
  <c r="L336" i="3"/>
  <c r="R335" i="3"/>
  <c r="U335" i="3" s="1"/>
  <c r="M335" i="3"/>
  <c r="S334" i="3"/>
  <c r="V334" i="3" s="1"/>
  <c r="C337" i="3"/>
  <c r="D337" i="3"/>
  <c r="N335" i="3"/>
  <c r="W331" i="3" l="1"/>
  <c r="P332" i="3"/>
  <c r="Q331" i="3"/>
  <c r="T332" i="3" s="1"/>
  <c r="Y330" i="3"/>
  <c r="X332" i="3"/>
  <c r="N336" i="3"/>
  <c r="N337" i="3" s="1"/>
  <c r="H337" i="3"/>
  <c r="K337" i="3"/>
  <c r="J337" i="3"/>
  <c r="L337" i="3"/>
  <c r="C338" i="3"/>
  <c r="D338" i="3"/>
  <c r="R336" i="3"/>
  <c r="U336" i="3" s="1"/>
  <c r="M336" i="3"/>
  <c r="S335" i="3"/>
  <c r="V335" i="3" s="1"/>
  <c r="W332" i="3" l="1"/>
  <c r="X333" i="3"/>
  <c r="Y331" i="3"/>
  <c r="Q332" i="3"/>
  <c r="T333" i="3" s="1"/>
  <c r="P333" i="3"/>
  <c r="J338" i="3"/>
  <c r="K338" i="3"/>
  <c r="H338" i="3"/>
  <c r="L338" i="3"/>
  <c r="M337" i="3"/>
  <c r="R337" i="3"/>
  <c r="U337" i="3" s="1"/>
  <c r="S336" i="3"/>
  <c r="V336" i="3" s="1"/>
  <c r="C339" i="3"/>
  <c r="D339" i="3"/>
  <c r="W333" i="3" l="1"/>
  <c r="Y332" i="3"/>
  <c r="Q333" i="3"/>
  <c r="T334" i="3" s="1"/>
  <c r="P334" i="3"/>
  <c r="C340" i="3"/>
  <c r="D340" i="3"/>
  <c r="S337" i="3"/>
  <c r="V337" i="3" s="1"/>
  <c r="M338" i="3"/>
  <c r="N338" i="3" s="1"/>
  <c r="G64" i="7" s="1"/>
  <c r="R338" i="3"/>
  <c r="U338" i="3" s="1"/>
  <c r="J339" i="3"/>
  <c r="H339" i="3"/>
  <c r="K339" i="3"/>
  <c r="L339" i="3"/>
  <c r="W334" i="3" l="1"/>
  <c r="X334" i="3" s="1"/>
  <c r="Y333" i="3"/>
  <c r="Q334" i="3"/>
  <c r="T335" i="3" s="1"/>
  <c r="P335" i="3"/>
  <c r="N339" i="3"/>
  <c r="E45" i="1"/>
  <c r="K45" i="1" s="1"/>
  <c r="S338" i="3"/>
  <c r="V338" i="3" s="1"/>
  <c r="R339" i="3"/>
  <c r="U339" i="3" s="1"/>
  <c r="M339" i="3"/>
  <c r="J340" i="3"/>
  <c r="K340" i="3"/>
  <c r="H340" i="3"/>
  <c r="L340" i="3"/>
  <c r="C341" i="3"/>
  <c r="D341" i="3"/>
  <c r="W335" i="3" l="1"/>
  <c r="X335" i="3" s="1"/>
  <c r="X336" i="3" s="1"/>
  <c r="Y334" i="3"/>
  <c r="Q335" i="3"/>
  <c r="T336" i="3" s="1"/>
  <c r="W336" i="3" s="1"/>
  <c r="P336" i="3"/>
  <c r="C342" i="3"/>
  <c r="D342" i="3"/>
  <c r="M340" i="3"/>
  <c r="N340" i="3" s="1"/>
  <c r="R340" i="3"/>
  <c r="U340" i="3" s="1"/>
  <c r="H341" i="3"/>
  <c r="J341" i="3"/>
  <c r="K341" i="3"/>
  <c r="L341" i="3"/>
  <c r="S339" i="3"/>
  <c r="V339" i="3" s="1"/>
  <c r="Y335" i="3" l="1"/>
  <c r="Q336" i="3"/>
  <c r="T337" i="3" s="1"/>
  <c r="W337" i="3" s="1"/>
  <c r="P337" i="3"/>
  <c r="X337" i="3"/>
  <c r="C343" i="3"/>
  <c r="D343" i="3"/>
  <c r="M341" i="3"/>
  <c r="N341" i="3" s="1"/>
  <c r="R341" i="3"/>
  <c r="U341" i="3" s="1"/>
  <c r="J342" i="3"/>
  <c r="K342" i="3"/>
  <c r="H342" i="3"/>
  <c r="L342" i="3"/>
  <c r="S340" i="3"/>
  <c r="V340" i="3" s="1"/>
  <c r="Y336" i="3" l="1"/>
  <c r="Q337" i="3"/>
  <c r="T338" i="3" s="1"/>
  <c r="W338" i="3" s="1"/>
  <c r="X338" i="3" s="1"/>
  <c r="P338" i="3"/>
  <c r="N342" i="3"/>
  <c r="J343" i="3"/>
  <c r="K343" i="3"/>
  <c r="H343" i="3"/>
  <c r="L343" i="3"/>
  <c r="S341" i="3"/>
  <c r="V341" i="3" s="1"/>
  <c r="R342" i="3"/>
  <c r="U342" i="3" s="1"/>
  <c r="M342" i="3"/>
  <c r="C344" i="3"/>
  <c r="D344" i="3"/>
  <c r="Y337" i="3" l="1"/>
  <c r="H64" i="7"/>
  <c r="I64" i="7" s="1"/>
  <c r="Q338" i="3"/>
  <c r="P339" i="3"/>
  <c r="X339" i="3"/>
  <c r="N343" i="3"/>
  <c r="N344" i="3" s="1"/>
  <c r="J64" i="7"/>
  <c r="C345" i="3"/>
  <c r="D345" i="3"/>
  <c r="H344" i="3"/>
  <c r="K344" i="3"/>
  <c r="J344" i="3"/>
  <c r="L344" i="3"/>
  <c r="R343" i="3"/>
  <c r="U343" i="3" s="1"/>
  <c r="M343" i="3"/>
  <c r="S342" i="3"/>
  <c r="V342" i="3" s="1"/>
  <c r="Q339" i="3" l="1"/>
  <c r="T340" i="3" s="1"/>
  <c r="P340" i="3"/>
  <c r="D45" i="1"/>
  <c r="T339" i="3"/>
  <c r="W339" i="3" s="1"/>
  <c r="Y338" i="3"/>
  <c r="X340" i="3"/>
  <c r="C346" i="3"/>
  <c r="D346" i="3"/>
  <c r="S343" i="3"/>
  <c r="V343" i="3" s="1"/>
  <c r="H345" i="3"/>
  <c r="K345" i="3"/>
  <c r="J345" i="3"/>
  <c r="L345" i="3"/>
  <c r="M344" i="3"/>
  <c r="R344" i="3"/>
  <c r="U344" i="3" s="1"/>
  <c r="Y339" i="3" l="1"/>
  <c r="W340" i="3"/>
  <c r="X341" i="3"/>
  <c r="L45" i="1"/>
  <c r="F45" i="1"/>
  <c r="G45" i="1" s="1"/>
  <c r="Q340" i="3"/>
  <c r="T341" i="3" s="1"/>
  <c r="P341" i="3"/>
  <c r="C347" i="3"/>
  <c r="D347" i="3"/>
  <c r="M345" i="3"/>
  <c r="N345" i="3" s="1"/>
  <c r="R345" i="3"/>
  <c r="U345" i="3" s="1"/>
  <c r="S344" i="3"/>
  <c r="V344" i="3" s="1"/>
  <c r="J346" i="3"/>
  <c r="H346" i="3"/>
  <c r="K346" i="3"/>
  <c r="L346" i="3"/>
  <c r="W341" i="3" l="1"/>
  <c r="Q341" i="3"/>
  <c r="T342" i="3" s="1"/>
  <c r="P342" i="3"/>
  <c r="X342" i="3"/>
  <c r="Y340" i="3"/>
  <c r="M346" i="3"/>
  <c r="N346" i="3" s="1"/>
  <c r="R346" i="3"/>
  <c r="U346" i="3" s="1"/>
  <c r="D348" i="3"/>
  <c r="C348" i="3"/>
  <c r="S345" i="3"/>
  <c r="V345" i="3" s="1"/>
  <c r="H347" i="3"/>
  <c r="K347" i="3"/>
  <c r="J347" i="3"/>
  <c r="L347" i="3"/>
  <c r="W342" i="3" l="1"/>
  <c r="Y341" i="3"/>
  <c r="Q342" i="3"/>
  <c r="T343" i="3" s="1"/>
  <c r="P343" i="3"/>
  <c r="N347" i="3"/>
  <c r="C349" i="3"/>
  <c r="D349" i="3"/>
  <c r="M347" i="3"/>
  <c r="R347" i="3"/>
  <c r="U347" i="3" s="1"/>
  <c r="S346" i="3"/>
  <c r="V346" i="3" s="1"/>
  <c r="K348" i="3"/>
  <c r="J348" i="3"/>
  <c r="H348" i="3"/>
  <c r="L348" i="3"/>
  <c r="W343" i="3" l="1"/>
  <c r="X343" i="3" s="1"/>
  <c r="X344" i="3" s="1"/>
  <c r="P344" i="3"/>
  <c r="Q343" i="3"/>
  <c r="T344" i="3" s="1"/>
  <c r="Y342" i="3"/>
  <c r="N348" i="3"/>
  <c r="N349" i="3" s="1"/>
  <c r="S347" i="3"/>
  <c r="V347" i="3" s="1"/>
  <c r="R348" i="3"/>
  <c r="U348" i="3" s="1"/>
  <c r="M348" i="3"/>
  <c r="C350" i="3"/>
  <c r="D350" i="3"/>
  <c r="J349" i="3"/>
  <c r="K349" i="3"/>
  <c r="H349" i="3"/>
  <c r="L349" i="3"/>
  <c r="W344" i="3" l="1"/>
  <c r="Y343" i="3"/>
  <c r="Q344" i="3"/>
  <c r="T345" i="3" s="1"/>
  <c r="P345" i="3"/>
  <c r="X345" i="3"/>
  <c r="C351" i="3"/>
  <c r="D351" i="3"/>
  <c r="J350" i="3"/>
  <c r="H350" i="3"/>
  <c r="K350" i="3"/>
  <c r="L350" i="3"/>
  <c r="S348" i="3"/>
  <c r="V348" i="3" s="1"/>
  <c r="M349" i="3"/>
  <c r="R349" i="3"/>
  <c r="U349" i="3" s="1"/>
  <c r="N350" i="3" l="1"/>
  <c r="G65" i="7" s="1"/>
  <c r="W345" i="3"/>
  <c r="Q345" i="3"/>
  <c r="T346" i="3" s="1"/>
  <c r="P346" i="3"/>
  <c r="Y344" i="3"/>
  <c r="S349" i="3"/>
  <c r="V349" i="3" s="1"/>
  <c r="R350" i="3"/>
  <c r="U350" i="3" s="1"/>
  <c r="M350" i="3"/>
  <c r="C352" i="3"/>
  <c r="D352" i="3"/>
  <c r="K351" i="3"/>
  <c r="H351" i="3"/>
  <c r="J351" i="3"/>
  <c r="L351" i="3"/>
  <c r="N351" i="3" l="1"/>
  <c r="N352" i="3" s="1"/>
  <c r="W346" i="3"/>
  <c r="X346" i="3" s="1"/>
  <c r="Y345" i="3"/>
  <c r="Q346" i="3"/>
  <c r="T347" i="3" s="1"/>
  <c r="W347" i="3" s="1"/>
  <c r="P347" i="3"/>
  <c r="E46" i="1"/>
  <c r="K46" i="1" s="1"/>
  <c r="R351" i="3"/>
  <c r="U351" i="3" s="1"/>
  <c r="M351" i="3"/>
  <c r="C353" i="3"/>
  <c r="D353" i="3"/>
  <c r="S350" i="3"/>
  <c r="V350" i="3" s="1"/>
  <c r="J352" i="3"/>
  <c r="K352" i="3"/>
  <c r="H352" i="3"/>
  <c r="L352" i="3"/>
  <c r="X347" i="3" l="1"/>
  <c r="Y346" i="3"/>
  <c r="Q347" i="3"/>
  <c r="T348" i="3" s="1"/>
  <c r="W348" i="3" s="1"/>
  <c r="P348" i="3"/>
  <c r="H65" i="7"/>
  <c r="J353" i="3"/>
  <c r="K353" i="3"/>
  <c r="N353" i="3"/>
  <c r="H353" i="3"/>
  <c r="L353" i="3"/>
  <c r="R352" i="3"/>
  <c r="U352" i="3" s="1"/>
  <c r="M352" i="3"/>
  <c r="S351" i="3"/>
  <c r="V351" i="3" s="1"/>
  <c r="C354" i="3"/>
  <c r="D354" i="3"/>
  <c r="X348" i="3" l="1"/>
  <c r="X349" i="3" s="1"/>
  <c r="Y347" i="3"/>
  <c r="P349" i="3"/>
  <c r="Q348" i="3"/>
  <c r="T349" i="3" s="1"/>
  <c r="W349" i="3" s="1"/>
  <c r="I65" i="7"/>
  <c r="H354" i="3"/>
  <c r="J354" i="3"/>
  <c r="K354" i="3"/>
  <c r="N354" i="3" s="1"/>
  <c r="L354" i="3"/>
  <c r="S352" i="3"/>
  <c r="V352" i="3" s="1"/>
  <c r="M353" i="3"/>
  <c r="R353" i="3"/>
  <c r="U353" i="3" s="1"/>
  <c r="C355" i="3"/>
  <c r="D355" i="3"/>
  <c r="Y348" i="3" l="1"/>
  <c r="Q349" i="3"/>
  <c r="T350" i="3" s="1"/>
  <c r="W350" i="3" s="1"/>
  <c r="X350" i="3" s="1"/>
  <c r="P350" i="3"/>
  <c r="C356" i="3"/>
  <c r="D356" i="3"/>
  <c r="J355" i="3"/>
  <c r="H355" i="3"/>
  <c r="K355" i="3"/>
  <c r="L355" i="3"/>
  <c r="S353" i="3"/>
  <c r="V353" i="3" s="1"/>
  <c r="R354" i="3"/>
  <c r="U354" i="3" s="1"/>
  <c r="M354" i="3"/>
  <c r="Y349" i="3" l="1"/>
  <c r="Q350" i="3"/>
  <c r="Y350" i="3" s="1"/>
  <c r="P351" i="3"/>
  <c r="X351" i="3"/>
  <c r="N355" i="3"/>
  <c r="N356" i="3" s="1"/>
  <c r="M355" i="3"/>
  <c r="R355" i="3"/>
  <c r="U355" i="3" s="1"/>
  <c r="S354" i="3"/>
  <c r="V354" i="3" s="1"/>
  <c r="C357" i="3"/>
  <c r="D357" i="3"/>
  <c r="H356" i="3"/>
  <c r="J356" i="3"/>
  <c r="K356" i="3"/>
  <c r="L356" i="3"/>
  <c r="Q351" i="3" l="1"/>
  <c r="T352" i="3" s="1"/>
  <c r="P352" i="3"/>
  <c r="X352" i="3"/>
  <c r="D46" i="1"/>
  <c r="T351" i="3"/>
  <c r="W351" i="3" s="1"/>
  <c r="C358" i="3"/>
  <c r="D358" i="3"/>
  <c r="S355" i="3"/>
  <c r="V355" i="3" s="1"/>
  <c r="H357" i="3"/>
  <c r="J357" i="3"/>
  <c r="K357" i="3"/>
  <c r="L357" i="3"/>
  <c r="R356" i="3"/>
  <c r="U356" i="3" s="1"/>
  <c r="M356" i="3"/>
  <c r="Y351" i="3" l="1"/>
  <c r="P353" i="3"/>
  <c r="Q352" i="3"/>
  <c r="T353" i="3" s="1"/>
  <c r="W352" i="3"/>
  <c r="X353" i="3"/>
  <c r="L46" i="1"/>
  <c r="F46" i="1"/>
  <c r="G46" i="1" s="1"/>
  <c r="J65" i="7" s="1"/>
  <c r="N357" i="3"/>
  <c r="H358" i="3"/>
  <c r="J358" i="3"/>
  <c r="K358" i="3"/>
  <c r="L358" i="3"/>
  <c r="C359" i="3"/>
  <c r="D359" i="3"/>
  <c r="S356" i="3"/>
  <c r="V356" i="3" s="1"/>
  <c r="M357" i="3"/>
  <c r="R357" i="3"/>
  <c r="U357" i="3" s="1"/>
  <c r="W353" i="3" l="1"/>
  <c r="Q353" i="3"/>
  <c r="T354" i="3" s="1"/>
  <c r="P354" i="3"/>
  <c r="Y352" i="3"/>
  <c r="N358" i="3"/>
  <c r="S357" i="3"/>
  <c r="V357" i="3" s="1"/>
  <c r="R358" i="3"/>
  <c r="U358" i="3" s="1"/>
  <c r="M358" i="3"/>
  <c r="C360" i="3"/>
  <c r="D360" i="3"/>
  <c r="H359" i="3"/>
  <c r="K359" i="3"/>
  <c r="J359" i="3"/>
  <c r="L359" i="3"/>
  <c r="W354" i="3" l="1"/>
  <c r="X354" i="3" s="1"/>
  <c r="Y353" i="3"/>
  <c r="Q354" i="3"/>
  <c r="T355" i="3" s="1"/>
  <c r="P355" i="3"/>
  <c r="N359" i="3"/>
  <c r="C361" i="3"/>
  <c r="D361" i="3"/>
  <c r="H360" i="3"/>
  <c r="J360" i="3"/>
  <c r="K360" i="3"/>
  <c r="L360" i="3"/>
  <c r="M359" i="3"/>
  <c r="R359" i="3"/>
  <c r="U359" i="3" s="1"/>
  <c r="S358" i="3"/>
  <c r="V358" i="3" s="1"/>
  <c r="W355" i="3" l="1"/>
  <c r="X355" i="3" s="1"/>
  <c r="X356" i="3" s="1"/>
  <c r="Y354" i="3"/>
  <c r="Q355" i="3"/>
  <c r="T356" i="3" s="1"/>
  <c r="P356" i="3"/>
  <c r="N360" i="3"/>
  <c r="N361" i="3" s="1"/>
  <c r="C362" i="3"/>
  <c r="D362" i="3"/>
  <c r="R360" i="3"/>
  <c r="U360" i="3" s="1"/>
  <c r="M360" i="3"/>
  <c r="H361" i="3"/>
  <c r="J361" i="3"/>
  <c r="K361" i="3"/>
  <c r="L361" i="3"/>
  <c r="S359" i="3"/>
  <c r="V359" i="3" s="1"/>
  <c r="W356" i="3" l="1"/>
  <c r="Y355" i="3"/>
  <c r="Q356" i="3"/>
  <c r="T357" i="3" s="1"/>
  <c r="P357" i="3"/>
  <c r="X357" i="3"/>
  <c r="C363" i="3"/>
  <c r="D363" i="3"/>
  <c r="S360" i="3"/>
  <c r="V360" i="3" s="1"/>
  <c r="R361" i="3"/>
  <c r="U361" i="3" s="1"/>
  <c r="M361" i="3"/>
  <c r="J362" i="3"/>
  <c r="H362" i="3"/>
  <c r="K362" i="3"/>
  <c r="L362" i="3"/>
  <c r="N362" i="3" l="1"/>
  <c r="G66" i="7" s="1"/>
  <c r="W357" i="3"/>
  <c r="Y356" i="3"/>
  <c r="Q357" i="3"/>
  <c r="T358" i="3" s="1"/>
  <c r="P358" i="3"/>
  <c r="M362" i="3"/>
  <c r="R362" i="3"/>
  <c r="U362" i="3" s="1"/>
  <c r="C364" i="3"/>
  <c r="D364" i="3"/>
  <c r="S361" i="3"/>
  <c r="V361" i="3" s="1"/>
  <c r="H363" i="3"/>
  <c r="J363" i="3"/>
  <c r="K363" i="3"/>
  <c r="L363" i="3"/>
  <c r="N363" i="3" l="1"/>
  <c r="N364" i="3" s="1"/>
  <c r="W358" i="3"/>
  <c r="X358" i="3" s="1"/>
  <c r="Y357" i="3"/>
  <c r="Q358" i="3"/>
  <c r="T359" i="3" s="1"/>
  <c r="P359" i="3"/>
  <c r="E47" i="1"/>
  <c r="K47" i="1" s="1"/>
  <c r="D365" i="3"/>
  <c r="C365" i="3"/>
  <c r="M363" i="3"/>
  <c r="R363" i="3"/>
  <c r="U363" i="3" s="1"/>
  <c r="S362" i="3"/>
  <c r="V362" i="3" s="1"/>
  <c r="J364" i="3"/>
  <c r="H364" i="3"/>
  <c r="K364" i="3"/>
  <c r="L364" i="3"/>
  <c r="W359" i="3" l="1"/>
  <c r="X359" i="3" s="1"/>
  <c r="Y358" i="3"/>
  <c r="Q359" i="3"/>
  <c r="T360" i="3" s="1"/>
  <c r="P360" i="3"/>
  <c r="H66" i="7"/>
  <c r="M364" i="3"/>
  <c r="R364" i="3"/>
  <c r="U364" i="3" s="1"/>
  <c r="H365" i="3"/>
  <c r="N365" i="3"/>
  <c r="J365" i="3"/>
  <c r="K365" i="3"/>
  <c r="L365" i="3"/>
  <c r="S363" i="3"/>
  <c r="V363" i="3" s="1"/>
  <c r="C366" i="3"/>
  <c r="D366" i="3"/>
  <c r="W360" i="3" l="1"/>
  <c r="P361" i="3"/>
  <c r="Q360" i="3"/>
  <c r="T361" i="3" s="1"/>
  <c r="Y359" i="3"/>
  <c r="X360" i="3"/>
  <c r="I66" i="7"/>
  <c r="M365" i="3"/>
  <c r="R365" i="3"/>
  <c r="U365" i="3" s="1"/>
  <c r="J366" i="3"/>
  <c r="H366" i="3"/>
  <c r="N366" i="3" s="1"/>
  <c r="K366" i="3"/>
  <c r="L366" i="3"/>
  <c r="S364" i="3"/>
  <c r="V364" i="3" s="1"/>
  <c r="C367" i="3"/>
  <c r="D367" i="3"/>
  <c r="W361" i="3" l="1"/>
  <c r="P362" i="3"/>
  <c r="Q361" i="3"/>
  <c r="T362" i="3" s="1"/>
  <c r="X361" i="3"/>
  <c r="Y360" i="3"/>
  <c r="C368" i="3"/>
  <c r="D368" i="3"/>
  <c r="S365" i="3"/>
  <c r="V365" i="3" s="1"/>
  <c r="J367" i="3"/>
  <c r="K367" i="3"/>
  <c r="H367" i="3"/>
  <c r="L367" i="3"/>
  <c r="M366" i="3"/>
  <c r="R366" i="3"/>
  <c r="U366" i="3" s="1"/>
  <c r="W362" i="3" l="1"/>
  <c r="P363" i="3"/>
  <c r="Q362" i="3"/>
  <c r="Y361" i="3"/>
  <c r="X362" i="3"/>
  <c r="N367" i="3"/>
  <c r="N368" i="3" s="1"/>
  <c r="D369" i="3"/>
  <c r="C369" i="3"/>
  <c r="S366" i="3"/>
  <c r="V366" i="3" s="1"/>
  <c r="J368" i="3"/>
  <c r="H368" i="3"/>
  <c r="K368" i="3"/>
  <c r="L368" i="3"/>
  <c r="R367" i="3"/>
  <c r="U367" i="3" s="1"/>
  <c r="M367" i="3"/>
  <c r="Q363" i="3" l="1"/>
  <c r="T364" i="3" s="1"/>
  <c r="P364" i="3"/>
  <c r="Y362" i="3"/>
  <c r="X363" i="3"/>
  <c r="D47" i="1"/>
  <c r="T363" i="3"/>
  <c r="W363" i="3" s="1"/>
  <c r="C370" i="3"/>
  <c r="D370" i="3"/>
  <c r="S367" i="3"/>
  <c r="V367" i="3" s="1"/>
  <c r="M368" i="3"/>
  <c r="R368" i="3"/>
  <c r="U368" i="3" s="1"/>
  <c r="J369" i="3"/>
  <c r="H369" i="3"/>
  <c r="K369" i="3"/>
  <c r="L369" i="3"/>
  <c r="Q364" i="3" l="1"/>
  <c r="T365" i="3" s="1"/>
  <c r="P365" i="3"/>
  <c r="W364" i="3"/>
  <c r="X364" i="3"/>
  <c r="Y363" i="3"/>
  <c r="L47" i="1"/>
  <c r="F47" i="1"/>
  <c r="G47" i="1" s="1"/>
  <c r="J66" i="7" s="1"/>
  <c r="N369" i="3"/>
  <c r="S368" i="3"/>
  <c r="V368" i="3" s="1"/>
  <c r="C371" i="3"/>
  <c r="D371" i="3"/>
  <c r="R369" i="3"/>
  <c r="U369" i="3" s="1"/>
  <c r="M369" i="3"/>
  <c r="H370" i="3"/>
  <c r="J370" i="3"/>
  <c r="K370" i="3"/>
  <c r="L370" i="3"/>
  <c r="X365" i="3" l="1"/>
  <c r="Y364" i="3"/>
  <c r="Q365" i="3"/>
  <c r="T366" i="3" s="1"/>
  <c r="P366" i="3"/>
  <c r="W365" i="3"/>
  <c r="N370" i="3"/>
  <c r="C372" i="3"/>
  <c r="D372" i="3"/>
  <c r="R370" i="3"/>
  <c r="U370" i="3" s="1"/>
  <c r="M370" i="3"/>
  <c r="J371" i="3"/>
  <c r="H371" i="3"/>
  <c r="K371" i="3"/>
  <c r="L371" i="3"/>
  <c r="S369" i="3"/>
  <c r="V369" i="3" s="1"/>
  <c r="W366" i="3" l="1"/>
  <c r="Q366" i="3"/>
  <c r="T367" i="3" s="1"/>
  <c r="P367" i="3"/>
  <c r="Y365" i="3"/>
  <c r="X366" i="3"/>
  <c r="R371" i="3"/>
  <c r="U371" i="3" s="1"/>
  <c r="M371" i="3"/>
  <c r="S370" i="3"/>
  <c r="V370" i="3" s="1"/>
  <c r="N371" i="3"/>
  <c r="C373" i="3"/>
  <c r="D373" i="3"/>
  <c r="H372" i="3"/>
  <c r="J372" i="3"/>
  <c r="K372" i="3"/>
  <c r="L372" i="3"/>
  <c r="W367" i="3" l="1"/>
  <c r="Y366" i="3"/>
  <c r="X367" i="3"/>
  <c r="Q367" i="3"/>
  <c r="T368" i="3" s="1"/>
  <c r="P368" i="3"/>
  <c r="N372" i="3"/>
  <c r="N373" i="3" s="1"/>
  <c r="R372" i="3"/>
  <c r="U372" i="3" s="1"/>
  <c r="M372" i="3"/>
  <c r="C374" i="3"/>
  <c r="D374" i="3"/>
  <c r="J373" i="3"/>
  <c r="K373" i="3"/>
  <c r="H373" i="3"/>
  <c r="L373" i="3"/>
  <c r="S371" i="3"/>
  <c r="V371" i="3" s="1"/>
  <c r="W368" i="3" l="1"/>
  <c r="Y367" i="3"/>
  <c r="X368" i="3"/>
  <c r="Q368" i="3"/>
  <c r="T369" i="3" s="1"/>
  <c r="P369" i="3"/>
  <c r="S372" i="3"/>
  <c r="V372" i="3" s="1"/>
  <c r="K374" i="3"/>
  <c r="H374" i="3"/>
  <c r="J374" i="3"/>
  <c r="L374" i="3"/>
  <c r="M373" i="3"/>
  <c r="R373" i="3"/>
  <c r="U373" i="3" s="1"/>
  <c r="C375" i="3"/>
  <c r="D375" i="3"/>
  <c r="N374" i="3" l="1"/>
  <c r="G67" i="7" s="1"/>
  <c r="W369" i="3"/>
  <c r="Q369" i="3"/>
  <c r="T370" i="3" s="1"/>
  <c r="P370" i="3"/>
  <c r="Y368" i="3"/>
  <c r="X369" i="3"/>
  <c r="R374" i="3"/>
  <c r="U374" i="3" s="1"/>
  <c r="M374" i="3"/>
  <c r="C376" i="3"/>
  <c r="D376" i="3"/>
  <c r="S373" i="3"/>
  <c r="V373" i="3" s="1"/>
  <c r="H375" i="3"/>
  <c r="K375" i="3"/>
  <c r="N375" i="3" s="1"/>
  <c r="J375" i="3"/>
  <c r="L375" i="3"/>
  <c r="W370" i="3" l="1"/>
  <c r="X370" i="3" s="1"/>
  <c r="Y369" i="3"/>
  <c r="Q370" i="3"/>
  <c r="T371" i="3" s="1"/>
  <c r="P371" i="3"/>
  <c r="E48" i="1"/>
  <c r="K48" i="1" s="1"/>
  <c r="R375" i="3"/>
  <c r="U375" i="3" s="1"/>
  <c r="M375" i="3"/>
  <c r="C377" i="3"/>
  <c r="D377" i="3"/>
  <c r="H376" i="3"/>
  <c r="K376" i="3"/>
  <c r="N376" i="3"/>
  <c r="J376" i="3"/>
  <c r="L376" i="3"/>
  <c r="S374" i="3"/>
  <c r="V374" i="3" s="1"/>
  <c r="W371" i="3" l="1"/>
  <c r="Q371" i="3"/>
  <c r="T372" i="3" s="1"/>
  <c r="P372" i="3"/>
  <c r="Y370" i="3"/>
  <c r="X371" i="3"/>
  <c r="H67" i="7"/>
  <c r="R376" i="3"/>
  <c r="U376" i="3" s="1"/>
  <c r="M376" i="3"/>
  <c r="S375" i="3"/>
  <c r="V375" i="3" s="1"/>
  <c r="C378" i="3"/>
  <c r="D378" i="3"/>
  <c r="J377" i="3"/>
  <c r="K377" i="3"/>
  <c r="N377" i="3"/>
  <c r="H377" i="3"/>
  <c r="L377" i="3"/>
  <c r="W372" i="3" l="1"/>
  <c r="Y371" i="3"/>
  <c r="X372" i="3"/>
  <c r="Q372" i="3"/>
  <c r="T373" i="3" s="1"/>
  <c r="P373" i="3"/>
  <c r="I67" i="7"/>
  <c r="D379" i="3"/>
  <c r="C379" i="3"/>
  <c r="M377" i="3"/>
  <c r="R377" i="3"/>
  <c r="U377" i="3" s="1"/>
  <c r="H378" i="3"/>
  <c r="K378" i="3"/>
  <c r="N378" i="3" s="1"/>
  <c r="J378" i="3"/>
  <c r="L378" i="3"/>
  <c r="S376" i="3"/>
  <c r="V376" i="3" s="1"/>
  <c r="W373" i="3" l="1"/>
  <c r="X373" i="3"/>
  <c r="Y372" i="3"/>
  <c r="Q373" i="3"/>
  <c r="T374" i="3" s="1"/>
  <c r="P374" i="3"/>
  <c r="M378" i="3"/>
  <c r="R378" i="3"/>
  <c r="U378" i="3" s="1"/>
  <c r="S377" i="3"/>
  <c r="V377" i="3" s="1"/>
  <c r="H379" i="3"/>
  <c r="J379" i="3"/>
  <c r="K379" i="3"/>
  <c r="L379" i="3"/>
  <c r="C380" i="3"/>
  <c r="D380" i="3"/>
  <c r="W374" i="3" l="1"/>
  <c r="Y373" i="3"/>
  <c r="X374" i="3"/>
  <c r="Q374" i="3"/>
  <c r="P375" i="3"/>
  <c r="N379" i="3"/>
  <c r="N380" i="3" s="1"/>
  <c r="S378" i="3"/>
  <c r="V378" i="3" s="1"/>
  <c r="J380" i="3"/>
  <c r="K380" i="3"/>
  <c r="H380" i="3"/>
  <c r="L380" i="3"/>
  <c r="R379" i="3"/>
  <c r="U379" i="3" s="1"/>
  <c r="M379" i="3"/>
  <c r="C381" i="3"/>
  <c r="D381" i="3"/>
  <c r="D48" i="1" l="1"/>
  <c r="T375" i="3"/>
  <c r="W375" i="3" s="1"/>
  <c r="Y374" i="3"/>
  <c r="X375" i="3"/>
  <c r="Q375" i="3"/>
  <c r="T376" i="3" s="1"/>
  <c r="P376" i="3"/>
  <c r="M380" i="3"/>
  <c r="R380" i="3"/>
  <c r="U380" i="3" s="1"/>
  <c r="C382" i="3"/>
  <c r="D382" i="3"/>
  <c r="S379" i="3"/>
  <c r="V379" i="3" s="1"/>
  <c r="H381" i="3"/>
  <c r="J381" i="3"/>
  <c r="K381" i="3"/>
  <c r="L381" i="3"/>
  <c r="L48" i="1" l="1"/>
  <c r="F48" i="1"/>
  <c r="G48" i="1" s="1"/>
  <c r="J67" i="7" s="1"/>
  <c r="X376" i="3"/>
  <c r="Y375" i="3"/>
  <c r="Q376" i="3"/>
  <c r="T377" i="3" s="1"/>
  <c r="P377" i="3"/>
  <c r="W376" i="3"/>
  <c r="N381" i="3"/>
  <c r="S380" i="3"/>
  <c r="V380" i="3" s="1"/>
  <c r="H382" i="3"/>
  <c r="J382" i="3"/>
  <c r="K382" i="3"/>
  <c r="L382" i="3"/>
  <c r="R381" i="3"/>
  <c r="U381" i="3" s="1"/>
  <c r="M381" i="3"/>
  <c r="C383" i="3"/>
  <c r="D383" i="3"/>
  <c r="W377" i="3" l="1"/>
  <c r="Y376" i="3"/>
  <c r="X377" i="3"/>
  <c r="Q377" i="3"/>
  <c r="T378" i="3" s="1"/>
  <c r="P378" i="3"/>
  <c r="N382" i="3"/>
  <c r="J383" i="3"/>
  <c r="H383" i="3"/>
  <c r="K383" i="3"/>
  <c r="L383" i="3"/>
  <c r="S381" i="3"/>
  <c r="V381" i="3" s="1"/>
  <c r="C384" i="3"/>
  <c r="D384" i="3"/>
  <c r="M382" i="3"/>
  <c r="R382" i="3"/>
  <c r="U382" i="3" s="1"/>
  <c r="W378" i="3" l="1"/>
  <c r="Q378" i="3"/>
  <c r="T379" i="3" s="1"/>
  <c r="P379" i="3"/>
  <c r="Y377" i="3"/>
  <c r="X378" i="3"/>
  <c r="N383" i="3"/>
  <c r="M383" i="3"/>
  <c r="R383" i="3"/>
  <c r="U383" i="3" s="1"/>
  <c r="S382" i="3"/>
  <c r="V382" i="3" s="1"/>
  <c r="C385" i="3"/>
  <c r="D385" i="3"/>
  <c r="J384" i="3"/>
  <c r="K384" i="3"/>
  <c r="H384" i="3"/>
  <c r="L384" i="3"/>
  <c r="W379" i="3" l="1"/>
  <c r="X379" i="3"/>
  <c r="X380" i="3" s="1"/>
  <c r="P380" i="3"/>
  <c r="Q379" i="3"/>
  <c r="T380" i="3" s="1"/>
  <c r="Y378" i="3"/>
  <c r="N384" i="3"/>
  <c r="N385" i="3" s="1"/>
  <c r="M384" i="3"/>
  <c r="R384" i="3"/>
  <c r="U384" i="3" s="1"/>
  <c r="J385" i="3"/>
  <c r="H385" i="3"/>
  <c r="K385" i="3"/>
  <c r="L385" i="3"/>
  <c r="C386" i="3"/>
  <c r="D386" i="3"/>
  <c r="S383" i="3"/>
  <c r="V383" i="3" s="1"/>
  <c r="W380" i="3" l="1"/>
  <c r="Q380" i="3"/>
  <c r="T381" i="3" s="1"/>
  <c r="P381" i="3"/>
  <c r="X381" i="3"/>
  <c r="Y379" i="3"/>
  <c r="C387" i="3"/>
  <c r="D387" i="3"/>
  <c r="S384" i="3"/>
  <c r="V384" i="3" s="1"/>
  <c r="H386" i="3"/>
  <c r="J386" i="3"/>
  <c r="K386" i="3"/>
  <c r="N386" i="3" s="1"/>
  <c r="G68" i="7" s="1"/>
  <c r="L386" i="3"/>
  <c r="R385" i="3"/>
  <c r="U385" i="3" s="1"/>
  <c r="M385" i="3"/>
  <c r="W381" i="3" l="1"/>
  <c r="Y380" i="3"/>
  <c r="Q381" i="3"/>
  <c r="T382" i="3" s="1"/>
  <c r="P382" i="3"/>
  <c r="S385" i="3"/>
  <c r="V385" i="3" s="1"/>
  <c r="C388" i="3"/>
  <c r="D388" i="3"/>
  <c r="H387" i="3"/>
  <c r="K387" i="3"/>
  <c r="N387" i="3" s="1"/>
  <c r="J387" i="3"/>
  <c r="L387" i="3"/>
  <c r="M386" i="3"/>
  <c r="R386" i="3"/>
  <c r="U386" i="3" s="1"/>
  <c r="W382" i="3" l="1"/>
  <c r="X382" i="3" s="1"/>
  <c r="Y381" i="3"/>
  <c r="Q382" i="3"/>
  <c r="T383" i="3" s="1"/>
  <c r="P383" i="3"/>
  <c r="E49" i="1"/>
  <c r="K49" i="1" s="1"/>
  <c r="H388" i="3"/>
  <c r="J388" i="3"/>
  <c r="K388" i="3"/>
  <c r="N388" i="3"/>
  <c r="L388" i="3"/>
  <c r="M387" i="3"/>
  <c r="R387" i="3"/>
  <c r="U387" i="3" s="1"/>
  <c r="S386" i="3"/>
  <c r="V386" i="3" s="1"/>
  <c r="C389" i="3"/>
  <c r="D389" i="3"/>
  <c r="W383" i="3" l="1"/>
  <c r="X383" i="3" s="1"/>
  <c r="Y382" i="3"/>
  <c r="Q383" i="3"/>
  <c r="T384" i="3" s="1"/>
  <c r="W384" i="3" s="1"/>
  <c r="P384" i="3"/>
  <c r="H68" i="7"/>
  <c r="J389" i="3"/>
  <c r="K389" i="3"/>
  <c r="H389" i="3"/>
  <c r="N389" i="3"/>
  <c r="L389" i="3"/>
  <c r="S387" i="3"/>
  <c r="V387" i="3" s="1"/>
  <c r="M388" i="3"/>
  <c r="R388" i="3"/>
  <c r="U388" i="3" s="1"/>
  <c r="D390" i="3"/>
  <c r="C390" i="3"/>
  <c r="X384" i="3" l="1"/>
  <c r="Y383" i="3"/>
  <c r="P385" i="3"/>
  <c r="Q384" i="3"/>
  <c r="T385" i="3" s="1"/>
  <c r="W385" i="3" s="1"/>
  <c r="I68" i="7"/>
  <c r="H390" i="3"/>
  <c r="J390" i="3"/>
  <c r="N390" i="3" s="1"/>
  <c r="K390" i="3"/>
  <c r="L390" i="3"/>
  <c r="C391" i="3"/>
  <c r="D391" i="3"/>
  <c r="M389" i="3"/>
  <c r="R389" i="3"/>
  <c r="U389" i="3" s="1"/>
  <c r="S388" i="3"/>
  <c r="V388" i="3" s="1"/>
  <c r="Y384" i="3" l="1"/>
  <c r="X385" i="3"/>
  <c r="Q385" i="3"/>
  <c r="T386" i="3" s="1"/>
  <c r="W386" i="3" s="1"/>
  <c r="P386" i="3"/>
  <c r="S389" i="3"/>
  <c r="V389" i="3" s="1"/>
  <c r="D392" i="3"/>
  <c r="C392" i="3"/>
  <c r="R390" i="3"/>
  <c r="U390" i="3" s="1"/>
  <c r="M390" i="3"/>
  <c r="K391" i="3"/>
  <c r="J391" i="3"/>
  <c r="H391" i="3"/>
  <c r="L391" i="3"/>
  <c r="X386" i="3" l="1"/>
  <c r="Y385" i="3"/>
  <c r="Q386" i="3"/>
  <c r="P387" i="3"/>
  <c r="N391" i="3"/>
  <c r="N392" i="3" s="1"/>
  <c r="C393" i="3"/>
  <c r="D393" i="3"/>
  <c r="R391" i="3"/>
  <c r="U391" i="3" s="1"/>
  <c r="M391" i="3"/>
  <c r="J392" i="3"/>
  <c r="K392" i="3"/>
  <c r="H392" i="3"/>
  <c r="L392" i="3"/>
  <c r="S390" i="3"/>
  <c r="V390" i="3" s="1"/>
  <c r="D49" i="1" l="1"/>
  <c r="T387" i="3"/>
  <c r="W387" i="3" s="1"/>
  <c r="P388" i="3"/>
  <c r="Q387" i="3"/>
  <c r="T388" i="3" s="1"/>
  <c r="Y386" i="3"/>
  <c r="X387" i="3"/>
  <c r="R392" i="3"/>
  <c r="U392" i="3" s="1"/>
  <c r="M392" i="3"/>
  <c r="C394" i="3"/>
  <c r="D394" i="3"/>
  <c r="H393" i="3"/>
  <c r="K393" i="3"/>
  <c r="J393" i="3"/>
  <c r="L393" i="3"/>
  <c r="S391" i="3"/>
  <c r="V391" i="3" s="1"/>
  <c r="L49" i="1" l="1"/>
  <c r="F49" i="1"/>
  <c r="G49" i="1" s="1"/>
  <c r="J68" i="7" s="1"/>
  <c r="W388" i="3"/>
  <c r="Q388" i="3"/>
  <c r="T389" i="3" s="1"/>
  <c r="P389" i="3"/>
  <c r="Y387" i="3"/>
  <c r="X388" i="3"/>
  <c r="N393" i="3"/>
  <c r="S392" i="3"/>
  <c r="V392" i="3" s="1"/>
  <c r="C395" i="3"/>
  <c r="D395" i="3"/>
  <c r="M393" i="3"/>
  <c r="R393" i="3"/>
  <c r="U393" i="3" s="1"/>
  <c r="H394" i="3"/>
  <c r="K394" i="3"/>
  <c r="J394" i="3"/>
  <c r="L394" i="3"/>
  <c r="X389" i="3" l="1"/>
  <c r="Y388" i="3"/>
  <c r="W389" i="3"/>
  <c r="Q389" i="3"/>
  <c r="T390" i="3" s="1"/>
  <c r="P390" i="3"/>
  <c r="N394" i="3"/>
  <c r="C396" i="3"/>
  <c r="D396" i="3"/>
  <c r="J395" i="3"/>
  <c r="K395" i="3"/>
  <c r="H395" i="3"/>
  <c r="L395" i="3"/>
  <c r="R394" i="3"/>
  <c r="U394" i="3" s="1"/>
  <c r="M394" i="3"/>
  <c r="S393" i="3"/>
  <c r="V393" i="3" s="1"/>
  <c r="Q390" i="3" l="1"/>
  <c r="T391" i="3" s="1"/>
  <c r="P391" i="3"/>
  <c r="W390" i="3"/>
  <c r="Y389" i="3"/>
  <c r="X390" i="3"/>
  <c r="N395" i="3"/>
  <c r="C397" i="3"/>
  <c r="D397" i="3"/>
  <c r="S394" i="3"/>
  <c r="V394" i="3" s="1"/>
  <c r="R395" i="3"/>
  <c r="U395" i="3" s="1"/>
  <c r="M395" i="3"/>
  <c r="J396" i="3"/>
  <c r="H396" i="3"/>
  <c r="K396" i="3"/>
  <c r="L396" i="3"/>
  <c r="Y390" i="3" l="1"/>
  <c r="X391" i="3"/>
  <c r="W391" i="3"/>
  <c r="Q391" i="3"/>
  <c r="T392" i="3" s="1"/>
  <c r="P392" i="3"/>
  <c r="N396" i="3"/>
  <c r="S395" i="3"/>
  <c r="V395" i="3" s="1"/>
  <c r="C398" i="3"/>
  <c r="D398" i="3"/>
  <c r="M396" i="3"/>
  <c r="R396" i="3"/>
  <c r="U396" i="3" s="1"/>
  <c r="J397" i="3"/>
  <c r="H397" i="3"/>
  <c r="K397" i="3"/>
  <c r="L397" i="3"/>
  <c r="Q392" i="3" l="1"/>
  <c r="T393" i="3" s="1"/>
  <c r="P393" i="3"/>
  <c r="W392" i="3"/>
  <c r="Y391" i="3"/>
  <c r="X392" i="3"/>
  <c r="J398" i="3"/>
  <c r="K398" i="3"/>
  <c r="H398" i="3"/>
  <c r="L398" i="3"/>
  <c r="S396" i="3"/>
  <c r="V396" i="3" s="1"/>
  <c r="C399" i="3"/>
  <c r="D399" i="3"/>
  <c r="M397" i="3"/>
  <c r="N397" i="3" s="1"/>
  <c r="R397" i="3"/>
  <c r="U397" i="3" s="1"/>
  <c r="Q393" i="3" l="1"/>
  <c r="T394" i="3" s="1"/>
  <c r="P394" i="3"/>
  <c r="Y392" i="3"/>
  <c r="X393" i="3"/>
  <c r="W393" i="3"/>
  <c r="S397" i="3"/>
  <c r="V397" i="3" s="1"/>
  <c r="D400" i="3"/>
  <c r="C400" i="3"/>
  <c r="M398" i="3"/>
  <c r="N398" i="3" s="1"/>
  <c r="G69" i="7" s="1"/>
  <c r="R398" i="3"/>
  <c r="U398" i="3" s="1"/>
  <c r="J399" i="3"/>
  <c r="K399" i="3"/>
  <c r="H399" i="3"/>
  <c r="L399" i="3"/>
  <c r="Q394" i="3" l="1"/>
  <c r="T395" i="3" s="1"/>
  <c r="P395" i="3"/>
  <c r="W394" i="3"/>
  <c r="X394" i="3" s="1"/>
  <c r="Y393" i="3"/>
  <c r="N399" i="3"/>
  <c r="E50" i="1"/>
  <c r="K50" i="1" s="1"/>
  <c r="C401" i="3"/>
  <c r="D401" i="3"/>
  <c r="S398" i="3"/>
  <c r="V398" i="3" s="1"/>
  <c r="M399" i="3"/>
  <c r="R399" i="3"/>
  <c r="U399" i="3" s="1"/>
  <c r="H400" i="3"/>
  <c r="J400" i="3"/>
  <c r="K400" i="3"/>
  <c r="L400" i="3"/>
  <c r="W395" i="3" l="1"/>
  <c r="X395" i="3" s="1"/>
  <c r="Y394" i="3"/>
  <c r="Q395" i="3"/>
  <c r="T396" i="3" s="1"/>
  <c r="W396" i="3" s="1"/>
  <c r="P396" i="3"/>
  <c r="C402" i="3"/>
  <c r="D402" i="3"/>
  <c r="S399" i="3"/>
  <c r="V399" i="3" s="1"/>
  <c r="H401" i="3"/>
  <c r="K401" i="3"/>
  <c r="J401" i="3"/>
  <c r="L401" i="3"/>
  <c r="M400" i="3"/>
  <c r="N400" i="3" s="1"/>
  <c r="N401" i="3" s="1"/>
  <c r="R400" i="3"/>
  <c r="U400" i="3" s="1"/>
  <c r="Y395" i="3" l="1"/>
  <c r="X396" i="3"/>
  <c r="Q396" i="3"/>
  <c r="T397" i="3" s="1"/>
  <c r="W397" i="3" s="1"/>
  <c r="P397" i="3"/>
  <c r="M401" i="3"/>
  <c r="R401" i="3"/>
  <c r="U401" i="3" s="1"/>
  <c r="C403" i="3"/>
  <c r="D403" i="3"/>
  <c r="H402" i="3"/>
  <c r="K402" i="3"/>
  <c r="N402" i="3" s="1"/>
  <c r="J402" i="3"/>
  <c r="L402" i="3"/>
  <c r="S400" i="3"/>
  <c r="V400" i="3" s="1"/>
  <c r="Y396" i="3" l="1"/>
  <c r="X397" i="3"/>
  <c r="Q397" i="3"/>
  <c r="T398" i="3" s="1"/>
  <c r="W398" i="3" s="1"/>
  <c r="P398" i="3"/>
  <c r="K403" i="3"/>
  <c r="J403" i="3"/>
  <c r="H403" i="3"/>
  <c r="L403" i="3"/>
  <c r="S401" i="3"/>
  <c r="V401" i="3" s="1"/>
  <c r="M402" i="3"/>
  <c r="R402" i="3"/>
  <c r="U402" i="3" s="1"/>
  <c r="D404" i="3"/>
  <c r="C404" i="3"/>
  <c r="H69" i="7" l="1"/>
  <c r="I69" i="7" s="1"/>
  <c r="Q398" i="3"/>
  <c r="P399" i="3"/>
  <c r="X398" i="3"/>
  <c r="Y397" i="3"/>
  <c r="N403" i="3"/>
  <c r="M403" i="3"/>
  <c r="R403" i="3"/>
  <c r="U403" i="3" s="1"/>
  <c r="D405" i="3"/>
  <c r="C405" i="3"/>
  <c r="J404" i="3"/>
  <c r="H404" i="3"/>
  <c r="K404" i="3"/>
  <c r="N404" i="3"/>
  <c r="L404" i="3"/>
  <c r="S402" i="3"/>
  <c r="V402" i="3" s="1"/>
  <c r="X399" i="3" l="1"/>
  <c r="Y398" i="3"/>
  <c r="Q399" i="3"/>
  <c r="T400" i="3" s="1"/>
  <c r="P400" i="3"/>
  <c r="D50" i="1"/>
  <c r="T399" i="3"/>
  <c r="W399" i="3" s="1"/>
  <c r="C406" i="3"/>
  <c r="D406" i="3"/>
  <c r="S403" i="3"/>
  <c r="V403" i="3" s="1"/>
  <c r="M404" i="3"/>
  <c r="R404" i="3"/>
  <c r="U404" i="3" s="1"/>
  <c r="J405" i="3"/>
  <c r="K405" i="3"/>
  <c r="H405" i="3"/>
  <c r="L405" i="3"/>
  <c r="Y399" i="3" l="1"/>
  <c r="W400" i="3"/>
  <c r="X400" i="3" s="1"/>
  <c r="L50" i="1"/>
  <c r="F50" i="1"/>
  <c r="G50" i="1" s="1"/>
  <c r="J69" i="7" s="1"/>
  <c r="Q400" i="3"/>
  <c r="T401" i="3" s="1"/>
  <c r="P401" i="3"/>
  <c r="R405" i="3"/>
  <c r="U405" i="3" s="1"/>
  <c r="M405" i="3"/>
  <c r="N405" i="3" s="1"/>
  <c r="C407" i="3"/>
  <c r="D407" i="3"/>
  <c r="K406" i="3"/>
  <c r="H406" i="3"/>
  <c r="J406" i="3"/>
  <c r="L406" i="3"/>
  <c r="S404" i="3"/>
  <c r="V404" i="3" s="1"/>
  <c r="Y400" i="3" l="1"/>
  <c r="X401" i="3"/>
  <c r="Q401" i="3"/>
  <c r="T402" i="3" s="1"/>
  <c r="P402" i="3"/>
  <c r="W401" i="3"/>
  <c r="N406" i="3"/>
  <c r="C408" i="3"/>
  <c r="D408" i="3"/>
  <c r="H407" i="3"/>
  <c r="K407" i="3"/>
  <c r="J407" i="3"/>
  <c r="L407" i="3"/>
  <c r="R406" i="3"/>
  <c r="U406" i="3" s="1"/>
  <c r="M406" i="3"/>
  <c r="S405" i="3"/>
  <c r="V405" i="3" s="1"/>
  <c r="W402" i="3" l="1"/>
  <c r="X402" i="3"/>
  <c r="Y401" i="3"/>
  <c r="Q402" i="3"/>
  <c r="T403" i="3" s="1"/>
  <c r="W403" i="3" s="1"/>
  <c r="P403" i="3"/>
  <c r="C409" i="3"/>
  <c r="D409" i="3"/>
  <c r="R407" i="3"/>
  <c r="U407" i="3" s="1"/>
  <c r="M407" i="3"/>
  <c r="J408" i="3"/>
  <c r="K408" i="3"/>
  <c r="H408" i="3"/>
  <c r="L408" i="3"/>
  <c r="S406" i="3"/>
  <c r="V406" i="3" s="1"/>
  <c r="N407" i="3"/>
  <c r="Y402" i="3" l="1"/>
  <c r="X403" i="3"/>
  <c r="Q403" i="3"/>
  <c r="T404" i="3" s="1"/>
  <c r="W404" i="3" s="1"/>
  <c r="P404" i="3"/>
  <c r="H409" i="3"/>
  <c r="K409" i="3"/>
  <c r="J409" i="3"/>
  <c r="L409" i="3"/>
  <c r="R408" i="3"/>
  <c r="U408" i="3" s="1"/>
  <c r="M408" i="3"/>
  <c r="C410" i="3"/>
  <c r="D410" i="3"/>
  <c r="S407" i="3"/>
  <c r="V407" i="3" s="1"/>
  <c r="N408" i="3"/>
  <c r="Q404" i="3" l="1"/>
  <c r="T405" i="3" s="1"/>
  <c r="W405" i="3" s="1"/>
  <c r="P405" i="3"/>
  <c r="X404" i="3"/>
  <c r="Y403" i="3"/>
  <c r="R409" i="3"/>
  <c r="U409" i="3" s="1"/>
  <c r="M409" i="3"/>
  <c r="N409" i="3"/>
  <c r="S408" i="3"/>
  <c r="V408" i="3" s="1"/>
  <c r="D411" i="3"/>
  <c r="C411" i="3"/>
  <c r="H410" i="3"/>
  <c r="J410" i="3"/>
  <c r="K410" i="3"/>
  <c r="L410" i="3"/>
  <c r="X405" i="3" l="1"/>
  <c r="Y404" i="3"/>
  <c r="Q405" i="3"/>
  <c r="T406" i="3" s="1"/>
  <c r="W406" i="3" s="1"/>
  <c r="P406" i="3"/>
  <c r="N410" i="3"/>
  <c r="G70" i="7" s="1"/>
  <c r="S409" i="3"/>
  <c r="V409" i="3" s="1"/>
  <c r="J411" i="3"/>
  <c r="K411" i="3"/>
  <c r="H411" i="3"/>
  <c r="L411" i="3"/>
  <c r="M410" i="3"/>
  <c r="R410" i="3"/>
  <c r="U410" i="3" s="1"/>
  <c r="C412" i="3"/>
  <c r="D412" i="3"/>
  <c r="Y405" i="3" l="1"/>
  <c r="X406" i="3"/>
  <c r="Q406" i="3"/>
  <c r="T407" i="3" s="1"/>
  <c r="W407" i="3" s="1"/>
  <c r="P407" i="3"/>
  <c r="N411" i="3"/>
  <c r="H70" i="7"/>
  <c r="E51" i="1"/>
  <c r="K51" i="1" s="1"/>
  <c r="M411" i="3"/>
  <c r="R411" i="3"/>
  <c r="U411" i="3" s="1"/>
  <c r="D413" i="3"/>
  <c r="C413" i="3"/>
  <c r="S410" i="3"/>
  <c r="V410" i="3" s="1"/>
  <c r="K412" i="3"/>
  <c r="H412" i="3"/>
  <c r="J412" i="3"/>
  <c r="L412" i="3"/>
  <c r="Y406" i="3" l="1"/>
  <c r="X407" i="3"/>
  <c r="Q407" i="3"/>
  <c r="T408" i="3" s="1"/>
  <c r="W408" i="3" s="1"/>
  <c r="P408" i="3"/>
  <c r="I70" i="7"/>
  <c r="C414" i="3"/>
  <c r="D414" i="3"/>
  <c r="R412" i="3"/>
  <c r="U412" i="3" s="1"/>
  <c r="M412" i="3"/>
  <c r="N412" i="3" s="1"/>
  <c r="N413" i="3" s="1"/>
  <c r="S411" i="3"/>
  <c r="V411" i="3" s="1"/>
  <c r="H413" i="3"/>
  <c r="J413" i="3"/>
  <c r="K413" i="3"/>
  <c r="L413" i="3"/>
  <c r="Y407" i="3" l="1"/>
  <c r="X408" i="3"/>
  <c r="Q408" i="3"/>
  <c r="T409" i="3" s="1"/>
  <c r="W409" i="3" s="1"/>
  <c r="P409" i="3"/>
  <c r="R413" i="3"/>
  <c r="U413" i="3" s="1"/>
  <c r="M413" i="3"/>
  <c r="D415" i="3"/>
  <c r="C415" i="3"/>
  <c r="S412" i="3"/>
  <c r="V412" i="3" s="1"/>
  <c r="J414" i="3"/>
  <c r="N414" i="3"/>
  <c r="H414" i="3"/>
  <c r="K414" i="3"/>
  <c r="L414" i="3"/>
  <c r="Y408" i="3" l="1"/>
  <c r="X409" i="3"/>
  <c r="Q409" i="3"/>
  <c r="T410" i="3" s="1"/>
  <c r="W410" i="3" s="1"/>
  <c r="P410" i="3"/>
  <c r="S413" i="3"/>
  <c r="V413" i="3" s="1"/>
  <c r="C416" i="3"/>
  <c r="D416" i="3"/>
  <c r="R414" i="3"/>
  <c r="U414" i="3" s="1"/>
  <c r="M414" i="3"/>
  <c r="J415" i="3"/>
  <c r="H415" i="3"/>
  <c r="K415" i="3"/>
  <c r="L415" i="3"/>
  <c r="Q410" i="3" l="1"/>
  <c r="P411" i="3"/>
  <c r="Y409" i="3"/>
  <c r="X410" i="3"/>
  <c r="N415" i="3"/>
  <c r="C417" i="3"/>
  <c r="D417" i="3"/>
  <c r="J416" i="3"/>
  <c r="K416" i="3"/>
  <c r="H416" i="3"/>
  <c r="L416" i="3"/>
  <c r="S414" i="3"/>
  <c r="V414" i="3" s="1"/>
  <c r="R415" i="3"/>
  <c r="U415" i="3" s="1"/>
  <c r="M415" i="3"/>
  <c r="Q411" i="3" l="1"/>
  <c r="T412" i="3" s="1"/>
  <c r="P412" i="3"/>
  <c r="T411" i="3"/>
  <c r="W411" i="3" s="1"/>
  <c r="D51" i="1"/>
  <c r="X411" i="3"/>
  <c r="Y410" i="3"/>
  <c r="C418" i="3"/>
  <c r="D418" i="3"/>
  <c r="S415" i="3"/>
  <c r="V415" i="3" s="1"/>
  <c r="R416" i="3"/>
  <c r="U416" i="3" s="1"/>
  <c r="M416" i="3"/>
  <c r="N416" i="3" s="1"/>
  <c r="K417" i="3"/>
  <c r="H417" i="3"/>
  <c r="J417" i="3"/>
  <c r="L417" i="3"/>
  <c r="L51" i="1" l="1"/>
  <c r="F51" i="1"/>
  <c r="G51" i="1" s="1"/>
  <c r="J70" i="7" s="1"/>
  <c r="Q412" i="3"/>
  <c r="T413" i="3" s="1"/>
  <c r="P413" i="3"/>
  <c r="Y411" i="3"/>
  <c r="X412" i="3"/>
  <c r="W412" i="3"/>
  <c r="N417" i="3"/>
  <c r="S416" i="3"/>
  <c r="V416" i="3" s="1"/>
  <c r="C419" i="3"/>
  <c r="D419" i="3"/>
  <c r="R417" i="3"/>
  <c r="U417" i="3" s="1"/>
  <c r="M417" i="3"/>
  <c r="J418" i="3"/>
  <c r="K418" i="3"/>
  <c r="H418" i="3"/>
  <c r="L418" i="3"/>
  <c r="P414" i="3" l="1"/>
  <c r="Q413" i="3"/>
  <c r="T414" i="3" s="1"/>
  <c r="W413" i="3"/>
  <c r="X413" i="3"/>
  <c r="Y412" i="3"/>
  <c r="N418" i="3"/>
  <c r="R418" i="3"/>
  <c r="U418" i="3" s="1"/>
  <c r="M418" i="3"/>
  <c r="C420" i="3"/>
  <c r="D420" i="3"/>
  <c r="J419" i="3"/>
  <c r="H419" i="3"/>
  <c r="K419" i="3"/>
  <c r="L419" i="3"/>
  <c r="S417" i="3"/>
  <c r="V417" i="3" s="1"/>
  <c r="W414" i="3" l="1"/>
  <c r="Q414" i="3"/>
  <c r="T415" i="3" s="1"/>
  <c r="P415" i="3"/>
  <c r="Y413" i="3"/>
  <c r="X414" i="3"/>
  <c r="N419" i="3"/>
  <c r="H420" i="3"/>
  <c r="J420" i="3"/>
  <c r="K420" i="3"/>
  <c r="L420" i="3"/>
  <c r="S418" i="3"/>
  <c r="V418" i="3" s="1"/>
  <c r="R419" i="3"/>
  <c r="U419" i="3" s="1"/>
  <c r="M419" i="3"/>
  <c r="C421" i="3"/>
  <c r="D421" i="3"/>
  <c r="W415" i="3" l="1"/>
  <c r="Y414" i="3"/>
  <c r="X415" i="3"/>
  <c r="Q415" i="3"/>
  <c r="T416" i="3" s="1"/>
  <c r="P416" i="3"/>
  <c r="N420" i="3"/>
  <c r="N421" i="3" s="1"/>
  <c r="D422" i="3"/>
  <c r="C422" i="3"/>
  <c r="S419" i="3"/>
  <c r="V419" i="3" s="1"/>
  <c r="J421" i="3"/>
  <c r="H421" i="3"/>
  <c r="K421" i="3"/>
  <c r="L421" i="3"/>
  <c r="M420" i="3"/>
  <c r="R420" i="3"/>
  <c r="U420" i="3" s="1"/>
  <c r="W416" i="3" l="1"/>
  <c r="Y415" i="3"/>
  <c r="X416" i="3"/>
  <c r="Q416" i="3"/>
  <c r="T417" i="3" s="1"/>
  <c r="P417" i="3"/>
  <c r="R421" i="3"/>
  <c r="U421" i="3" s="1"/>
  <c r="M421" i="3"/>
  <c r="K422" i="3"/>
  <c r="N422" i="3" s="1"/>
  <c r="G71" i="7" s="1"/>
  <c r="J422" i="3"/>
  <c r="H422" i="3"/>
  <c r="L422" i="3"/>
  <c r="S420" i="3"/>
  <c r="V420" i="3" s="1"/>
  <c r="C423" i="3"/>
  <c r="D423" i="3"/>
  <c r="W417" i="3" l="1"/>
  <c r="Y416" i="3"/>
  <c r="X417" i="3"/>
  <c r="Q417" i="3"/>
  <c r="T418" i="3" s="1"/>
  <c r="P418" i="3"/>
  <c r="S421" i="3"/>
  <c r="V421" i="3" s="1"/>
  <c r="C424" i="3"/>
  <c r="D424" i="3"/>
  <c r="H423" i="3"/>
  <c r="J423" i="3"/>
  <c r="N423" i="3" s="1"/>
  <c r="K423" i="3"/>
  <c r="L423" i="3"/>
  <c r="M422" i="3"/>
  <c r="R422" i="3"/>
  <c r="U422" i="3" s="1"/>
  <c r="W418" i="3" l="1"/>
  <c r="X418" i="3" s="1"/>
  <c r="Y417" i="3"/>
  <c r="Q418" i="3"/>
  <c r="T419" i="3" s="1"/>
  <c r="P419" i="3"/>
  <c r="E52" i="1"/>
  <c r="K52" i="1" s="1"/>
  <c r="C425" i="3"/>
  <c r="D425" i="3"/>
  <c r="M423" i="3"/>
  <c r="R423" i="3"/>
  <c r="U423" i="3" s="1"/>
  <c r="J424" i="3"/>
  <c r="H424" i="3"/>
  <c r="N424" i="3"/>
  <c r="K424" i="3"/>
  <c r="L424" i="3"/>
  <c r="S422" i="3"/>
  <c r="V422" i="3" s="1"/>
  <c r="W419" i="3" l="1"/>
  <c r="Q419" i="3"/>
  <c r="T420" i="3" s="1"/>
  <c r="W420" i="3" s="1"/>
  <c r="P420" i="3"/>
  <c r="Y418" i="3"/>
  <c r="X419" i="3"/>
  <c r="H71" i="7"/>
  <c r="C426" i="3"/>
  <c r="D426" i="3"/>
  <c r="S423" i="3"/>
  <c r="V423" i="3" s="1"/>
  <c r="R424" i="3"/>
  <c r="U424" i="3" s="1"/>
  <c r="M424" i="3"/>
  <c r="K425" i="3"/>
  <c r="J425" i="3"/>
  <c r="H425" i="3"/>
  <c r="N425" i="3"/>
  <c r="L425" i="3"/>
  <c r="Q420" i="3" l="1"/>
  <c r="T421" i="3" s="1"/>
  <c r="W421" i="3" s="1"/>
  <c r="P421" i="3"/>
  <c r="Y419" i="3"/>
  <c r="X420" i="3"/>
  <c r="I71" i="7"/>
  <c r="R425" i="3"/>
  <c r="U425" i="3" s="1"/>
  <c r="M425" i="3"/>
  <c r="C427" i="3"/>
  <c r="D427" i="3"/>
  <c r="H426" i="3"/>
  <c r="J426" i="3"/>
  <c r="K426" i="3"/>
  <c r="N426" i="3" s="1"/>
  <c r="L426" i="3"/>
  <c r="S424" i="3"/>
  <c r="V424" i="3" s="1"/>
  <c r="Y420" i="3" l="1"/>
  <c r="X421" i="3"/>
  <c r="Q421" i="3"/>
  <c r="T422" i="3" s="1"/>
  <c r="W422" i="3" s="1"/>
  <c r="P422" i="3"/>
  <c r="S425" i="3"/>
  <c r="V425" i="3" s="1"/>
  <c r="M426" i="3"/>
  <c r="R426" i="3"/>
  <c r="U426" i="3" s="1"/>
  <c r="C428" i="3"/>
  <c r="D428" i="3"/>
  <c r="H427" i="3"/>
  <c r="J427" i="3"/>
  <c r="K427" i="3"/>
  <c r="L427" i="3"/>
  <c r="P423" i="3" l="1"/>
  <c r="Q422" i="3"/>
  <c r="Y421" i="3"/>
  <c r="X422" i="3"/>
  <c r="N427" i="3"/>
  <c r="N428" i="3" s="1"/>
  <c r="C429" i="3"/>
  <c r="D429" i="3"/>
  <c r="R427" i="3"/>
  <c r="U427" i="3" s="1"/>
  <c r="M427" i="3"/>
  <c r="H428" i="3"/>
  <c r="K428" i="3"/>
  <c r="J428" i="3"/>
  <c r="L428" i="3"/>
  <c r="S426" i="3"/>
  <c r="V426" i="3" s="1"/>
  <c r="D52" i="1" l="1"/>
  <c r="T423" i="3"/>
  <c r="W423" i="3" s="1"/>
  <c r="X423" i="3" s="1"/>
  <c r="Q423" i="3"/>
  <c r="T424" i="3" s="1"/>
  <c r="P424" i="3"/>
  <c r="Y422" i="3"/>
  <c r="M428" i="3"/>
  <c r="R428" i="3"/>
  <c r="U428" i="3" s="1"/>
  <c r="C430" i="3"/>
  <c r="D430" i="3"/>
  <c r="K429" i="3"/>
  <c r="H429" i="3"/>
  <c r="J429" i="3"/>
  <c r="L429" i="3"/>
  <c r="S427" i="3"/>
  <c r="V427" i="3" s="1"/>
  <c r="W424" i="3" l="1"/>
  <c r="F52" i="1"/>
  <c r="G52" i="1" s="1"/>
  <c r="J71" i="7" s="1"/>
  <c r="L52" i="1"/>
  <c r="P425" i="3"/>
  <c r="Q424" i="3"/>
  <c r="T425" i="3" s="1"/>
  <c r="W425" i="3" s="1"/>
  <c r="X424" i="3"/>
  <c r="Y423" i="3"/>
  <c r="N429" i="3"/>
  <c r="J430" i="3"/>
  <c r="K430" i="3"/>
  <c r="H430" i="3"/>
  <c r="L430" i="3"/>
  <c r="S428" i="3"/>
  <c r="V428" i="3" s="1"/>
  <c r="M429" i="3"/>
  <c r="R429" i="3"/>
  <c r="U429" i="3" s="1"/>
  <c r="C431" i="3"/>
  <c r="D431" i="3"/>
  <c r="X425" i="3" l="1"/>
  <c r="Y424" i="3"/>
  <c r="Q425" i="3"/>
  <c r="T426" i="3" s="1"/>
  <c r="W426" i="3" s="1"/>
  <c r="P426" i="3"/>
  <c r="N430" i="3"/>
  <c r="S429" i="3"/>
  <c r="V429" i="3" s="1"/>
  <c r="D432" i="3"/>
  <c r="C432" i="3"/>
  <c r="H431" i="3"/>
  <c r="K431" i="3"/>
  <c r="J431" i="3"/>
  <c r="L431" i="3"/>
  <c r="M430" i="3"/>
  <c r="R430" i="3"/>
  <c r="U430" i="3" s="1"/>
  <c r="Y425" i="3" l="1"/>
  <c r="X426" i="3"/>
  <c r="Q426" i="3"/>
  <c r="T427" i="3" s="1"/>
  <c r="W427" i="3" s="1"/>
  <c r="P427" i="3"/>
  <c r="N431" i="3"/>
  <c r="H432" i="3"/>
  <c r="J432" i="3"/>
  <c r="K432" i="3"/>
  <c r="L432" i="3"/>
  <c r="S430" i="3"/>
  <c r="V430" i="3" s="1"/>
  <c r="R431" i="3"/>
  <c r="U431" i="3" s="1"/>
  <c r="M431" i="3"/>
  <c r="C433" i="3"/>
  <c r="D433" i="3"/>
  <c r="Y426" i="3" l="1"/>
  <c r="X427" i="3"/>
  <c r="Q427" i="3"/>
  <c r="T428" i="3" s="1"/>
  <c r="W428" i="3" s="1"/>
  <c r="P428" i="3"/>
  <c r="N432" i="3"/>
  <c r="N433" i="3" s="1"/>
  <c r="R432" i="3"/>
  <c r="U432" i="3" s="1"/>
  <c r="M432" i="3"/>
  <c r="S431" i="3"/>
  <c r="V431" i="3" s="1"/>
  <c r="K433" i="3"/>
  <c r="J433" i="3"/>
  <c r="H433" i="3"/>
  <c r="L433" i="3"/>
  <c r="C434" i="3"/>
  <c r="D434" i="3"/>
  <c r="Y427" i="3" l="1"/>
  <c r="X428" i="3"/>
  <c r="Q428" i="3"/>
  <c r="T429" i="3" s="1"/>
  <c r="W429" i="3" s="1"/>
  <c r="P429" i="3"/>
  <c r="D435" i="3"/>
  <c r="C435" i="3"/>
  <c r="J434" i="3"/>
  <c r="N434" i="3" s="1"/>
  <c r="G72" i="7" s="1"/>
  <c r="H434" i="3"/>
  <c r="K434" i="3"/>
  <c r="L434" i="3"/>
  <c r="R433" i="3"/>
  <c r="U433" i="3" s="1"/>
  <c r="M433" i="3"/>
  <c r="S432" i="3"/>
  <c r="V432" i="3" s="1"/>
  <c r="Q429" i="3" l="1"/>
  <c r="T430" i="3" s="1"/>
  <c r="W430" i="3" s="1"/>
  <c r="P430" i="3"/>
  <c r="Y428" i="3"/>
  <c r="X429" i="3"/>
  <c r="S433" i="3"/>
  <c r="V433" i="3" s="1"/>
  <c r="J435" i="3"/>
  <c r="H435" i="3"/>
  <c r="N435" i="3" s="1"/>
  <c r="K435" i="3"/>
  <c r="L435" i="3"/>
  <c r="C436" i="3"/>
  <c r="D436" i="3"/>
  <c r="M434" i="3"/>
  <c r="R434" i="3"/>
  <c r="U434" i="3" s="1"/>
  <c r="X430" i="3" l="1"/>
  <c r="Y429" i="3"/>
  <c r="Q430" i="3"/>
  <c r="T431" i="3" s="1"/>
  <c r="W431" i="3" s="1"/>
  <c r="P431" i="3"/>
  <c r="E53" i="1"/>
  <c r="K53" i="1" s="1"/>
  <c r="C437" i="3"/>
  <c r="D437" i="3"/>
  <c r="H436" i="3"/>
  <c r="N436" i="3"/>
  <c r="J436" i="3"/>
  <c r="K436" i="3"/>
  <c r="L436" i="3"/>
  <c r="S434" i="3"/>
  <c r="V434" i="3" s="1"/>
  <c r="M435" i="3"/>
  <c r="R435" i="3"/>
  <c r="U435" i="3" s="1"/>
  <c r="Y430" i="3" l="1"/>
  <c r="X431" i="3"/>
  <c r="Q431" i="3"/>
  <c r="T432" i="3" s="1"/>
  <c r="W432" i="3" s="1"/>
  <c r="P432" i="3"/>
  <c r="H72" i="7"/>
  <c r="H437" i="3"/>
  <c r="J437" i="3"/>
  <c r="K437" i="3"/>
  <c r="N437" i="3"/>
  <c r="L437" i="3"/>
  <c r="S435" i="3"/>
  <c r="V435" i="3" s="1"/>
  <c r="C438" i="3"/>
  <c r="D438" i="3"/>
  <c r="R436" i="3"/>
  <c r="U436" i="3" s="1"/>
  <c r="M436" i="3"/>
  <c r="Y431" i="3" l="1"/>
  <c r="X432" i="3"/>
  <c r="P433" i="3"/>
  <c r="Q432" i="3"/>
  <c r="T433" i="3" s="1"/>
  <c r="W433" i="3" s="1"/>
  <c r="I72" i="7"/>
  <c r="S436" i="3"/>
  <c r="V436" i="3" s="1"/>
  <c r="R437" i="3"/>
  <c r="U437" i="3" s="1"/>
  <c r="M437" i="3"/>
  <c r="C439" i="3"/>
  <c r="D439" i="3"/>
  <c r="J438" i="3"/>
  <c r="H438" i="3"/>
  <c r="N438" i="3" s="1"/>
  <c r="K438" i="3"/>
  <c r="L438" i="3"/>
  <c r="Q433" i="3" l="1"/>
  <c r="T434" i="3" s="1"/>
  <c r="W434" i="3" s="1"/>
  <c r="P434" i="3"/>
  <c r="Y432" i="3"/>
  <c r="X433" i="3"/>
  <c r="R438" i="3"/>
  <c r="U438" i="3" s="1"/>
  <c r="M438" i="3"/>
  <c r="C440" i="3"/>
  <c r="D440" i="3"/>
  <c r="H439" i="3"/>
  <c r="J439" i="3"/>
  <c r="K439" i="3"/>
  <c r="L439" i="3"/>
  <c r="S437" i="3"/>
  <c r="V437" i="3" s="1"/>
  <c r="P435" i="3" l="1"/>
  <c r="Q434" i="3"/>
  <c r="Y433" i="3"/>
  <c r="X434" i="3"/>
  <c r="N439" i="3"/>
  <c r="N440" i="3" s="1"/>
  <c r="S438" i="3"/>
  <c r="V438" i="3" s="1"/>
  <c r="C441" i="3"/>
  <c r="D441" i="3"/>
  <c r="R439" i="3"/>
  <c r="U439" i="3" s="1"/>
  <c r="M439" i="3"/>
  <c r="H440" i="3"/>
  <c r="K440" i="3"/>
  <c r="J440" i="3"/>
  <c r="L440" i="3"/>
  <c r="D53" i="1" l="1"/>
  <c r="T435" i="3"/>
  <c r="W435" i="3" s="1"/>
  <c r="Q435" i="3"/>
  <c r="T436" i="3" s="1"/>
  <c r="P436" i="3"/>
  <c r="Y434" i="3"/>
  <c r="X435" i="3"/>
  <c r="R440" i="3"/>
  <c r="U440" i="3" s="1"/>
  <c r="M440" i="3"/>
  <c r="C442" i="3"/>
  <c r="D442" i="3"/>
  <c r="S439" i="3"/>
  <c r="V439" i="3" s="1"/>
  <c r="H441" i="3"/>
  <c r="K441" i="3"/>
  <c r="J441" i="3"/>
  <c r="L441" i="3"/>
  <c r="W436" i="3" l="1"/>
  <c r="L53" i="1"/>
  <c r="F53" i="1"/>
  <c r="G53" i="1" s="1"/>
  <c r="J72" i="7" s="1"/>
  <c r="Q436" i="3"/>
  <c r="T437" i="3" s="1"/>
  <c r="P437" i="3"/>
  <c r="Y435" i="3"/>
  <c r="X436" i="3"/>
  <c r="N441" i="3"/>
  <c r="C443" i="3"/>
  <c r="D443" i="3"/>
  <c r="H442" i="3"/>
  <c r="K442" i="3"/>
  <c r="J442" i="3"/>
  <c r="L442" i="3"/>
  <c r="S440" i="3"/>
  <c r="V440" i="3" s="1"/>
  <c r="R441" i="3"/>
  <c r="U441" i="3" s="1"/>
  <c r="M441" i="3"/>
  <c r="W437" i="3" l="1"/>
  <c r="P438" i="3"/>
  <c r="Q437" i="3"/>
  <c r="T438" i="3" s="1"/>
  <c r="Y436" i="3"/>
  <c r="X437" i="3"/>
  <c r="N442" i="3"/>
  <c r="J443" i="3"/>
  <c r="K443" i="3"/>
  <c r="H443" i="3"/>
  <c r="L443" i="3"/>
  <c r="S441" i="3"/>
  <c r="V441" i="3" s="1"/>
  <c r="R442" i="3"/>
  <c r="U442" i="3" s="1"/>
  <c r="M442" i="3"/>
  <c r="C444" i="3"/>
  <c r="D444" i="3"/>
  <c r="W438" i="3" l="1"/>
  <c r="Q438" i="3"/>
  <c r="T439" i="3" s="1"/>
  <c r="P439" i="3"/>
  <c r="Y437" i="3"/>
  <c r="X438" i="3"/>
  <c r="C445" i="3"/>
  <c r="D445" i="3"/>
  <c r="M443" i="3"/>
  <c r="R443" i="3"/>
  <c r="U443" i="3" s="1"/>
  <c r="S442" i="3"/>
  <c r="V442" i="3" s="1"/>
  <c r="J444" i="3"/>
  <c r="K444" i="3"/>
  <c r="H444" i="3"/>
  <c r="L444" i="3"/>
  <c r="N443" i="3"/>
  <c r="W439" i="3" l="1"/>
  <c r="X439" i="3"/>
  <c r="Y438" i="3"/>
  <c r="P440" i="3"/>
  <c r="Q439" i="3"/>
  <c r="T440" i="3" s="1"/>
  <c r="W440" i="3" s="1"/>
  <c r="N444" i="3"/>
  <c r="N445" i="3" s="1"/>
  <c r="S443" i="3"/>
  <c r="V443" i="3" s="1"/>
  <c r="C446" i="3"/>
  <c r="D446" i="3"/>
  <c r="J445" i="3"/>
  <c r="K445" i="3"/>
  <c r="H445" i="3"/>
  <c r="L445" i="3"/>
  <c r="R444" i="3"/>
  <c r="U444" i="3" s="1"/>
  <c r="M444" i="3"/>
  <c r="Q440" i="3" l="1"/>
  <c r="T441" i="3" s="1"/>
  <c r="W441" i="3" s="1"/>
  <c r="P441" i="3"/>
  <c r="X440" i="3"/>
  <c r="Y439" i="3"/>
  <c r="H446" i="3"/>
  <c r="K446" i="3"/>
  <c r="J446" i="3"/>
  <c r="L446" i="3"/>
  <c r="R445" i="3"/>
  <c r="U445" i="3" s="1"/>
  <c r="M445" i="3"/>
  <c r="S444" i="3"/>
  <c r="V444" i="3" s="1"/>
  <c r="C447" i="3"/>
  <c r="D447" i="3"/>
  <c r="N446" i="3" l="1"/>
  <c r="G73" i="7" s="1"/>
  <c r="Y440" i="3"/>
  <c r="X441" i="3"/>
  <c r="Q441" i="3"/>
  <c r="T442" i="3" s="1"/>
  <c r="W442" i="3" s="1"/>
  <c r="P442" i="3"/>
  <c r="C448" i="3"/>
  <c r="D448" i="3"/>
  <c r="M446" i="3"/>
  <c r="R446" i="3"/>
  <c r="U446" i="3" s="1"/>
  <c r="H447" i="3"/>
  <c r="K447" i="3"/>
  <c r="J447" i="3"/>
  <c r="L447" i="3"/>
  <c r="S445" i="3"/>
  <c r="V445" i="3" s="1"/>
  <c r="N447" i="3" l="1"/>
  <c r="N448" i="3" s="1"/>
  <c r="Y441" i="3"/>
  <c r="Q442" i="3"/>
  <c r="T443" i="3" s="1"/>
  <c r="W443" i="3" s="1"/>
  <c r="P443" i="3"/>
  <c r="X442" i="3"/>
  <c r="E54" i="1"/>
  <c r="K54" i="1" s="1"/>
  <c r="M447" i="3"/>
  <c r="R447" i="3"/>
  <c r="U447" i="3" s="1"/>
  <c r="C449" i="3"/>
  <c r="D449" i="3"/>
  <c r="S446" i="3"/>
  <c r="V446" i="3" s="1"/>
  <c r="K448" i="3"/>
  <c r="J448" i="3"/>
  <c r="H448" i="3"/>
  <c r="L448" i="3"/>
  <c r="Q443" i="3" l="1"/>
  <c r="T444" i="3" s="1"/>
  <c r="W444" i="3" s="1"/>
  <c r="P444" i="3"/>
  <c r="Y442" i="3"/>
  <c r="X443" i="3"/>
  <c r="H73" i="7"/>
  <c r="R448" i="3"/>
  <c r="U448" i="3" s="1"/>
  <c r="M448" i="3"/>
  <c r="K449" i="3"/>
  <c r="J449" i="3"/>
  <c r="H449" i="3"/>
  <c r="N449" i="3"/>
  <c r="L449" i="3"/>
  <c r="S447" i="3"/>
  <c r="V447" i="3" s="1"/>
  <c r="C450" i="3"/>
  <c r="D450" i="3"/>
  <c r="Q444" i="3" l="1"/>
  <c r="T445" i="3" s="1"/>
  <c r="W445" i="3" s="1"/>
  <c r="P445" i="3"/>
  <c r="X444" i="3"/>
  <c r="Y443" i="3"/>
  <c r="I73" i="7"/>
  <c r="R449" i="3"/>
  <c r="U449" i="3" s="1"/>
  <c r="M449" i="3"/>
  <c r="S448" i="3"/>
  <c r="V448" i="3" s="1"/>
  <c r="D451" i="3"/>
  <c r="C451" i="3"/>
  <c r="J450" i="3"/>
  <c r="K450" i="3"/>
  <c r="H450" i="3"/>
  <c r="N450" i="3"/>
  <c r="L450" i="3"/>
  <c r="Q445" i="3" l="1"/>
  <c r="T446" i="3" s="1"/>
  <c r="W446" i="3" s="1"/>
  <c r="P446" i="3"/>
  <c r="X445" i="3"/>
  <c r="Y444" i="3"/>
  <c r="S449" i="3"/>
  <c r="V449" i="3" s="1"/>
  <c r="C452" i="3"/>
  <c r="D452" i="3"/>
  <c r="J451" i="3"/>
  <c r="H451" i="3"/>
  <c r="K451" i="3"/>
  <c r="L451" i="3"/>
  <c r="M450" i="3"/>
  <c r="R450" i="3"/>
  <c r="U450" i="3" s="1"/>
  <c r="Y445" i="3" l="1"/>
  <c r="X446" i="3"/>
  <c r="Q446" i="3"/>
  <c r="P447" i="3"/>
  <c r="N451" i="3"/>
  <c r="N452" i="3" s="1"/>
  <c r="R451" i="3"/>
  <c r="U451" i="3" s="1"/>
  <c r="M451" i="3"/>
  <c r="C453" i="3"/>
  <c r="D453" i="3"/>
  <c r="S450" i="3"/>
  <c r="V450" i="3" s="1"/>
  <c r="J452" i="3"/>
  <c r="K452" i="3"/>
  <c r="H452" i="3"/>
  <c r="L452" i="3"/>
  <c r="Y446" i="3" l="1"/>
  <c r="Q447" i="3"/>
  <c r="T448" i="3" s="1"/>
  <c r="P448" i="3"/>
  <c r="D54" i="1"/>
  <c r="T447" i="3"/>
  <c r="W447" i="3" s="1"/>
  <c r="X447" i="3" s="1"/>
  <c r="R452" i="3"/>
  <c r="U452" i="3" s="1"/>
  <c r="M452" i="3"/>
  <c r="J453" i="3"/>
  <c r="K453" i="3"/>
  <c r="H453" i="3"/>
  <c r="L453" i="3"/>
  <c r="C454" i="3"/>
  <c r="D454" i="3"/>
  <c r="S451" i="3"/>
  <c r="V451" i="3" s="1"/>
  <c r="W448" i="3" l="1"/>
  <c r="L54" i="1"/>
  <c r="F54" i="1"/>
  <c r="G54" i="1" s="1"/>
  <c r="J73" i="7" s="1"/>
  <c r="Q448" i="3"/>
  <c r="T449" i="3" s="1"/>
  <c r="P449" i="3"/>
  <c r="X448" i="3"/>
  <c r="Y447" i="3"/>
  <c r="N453" i="3"/>
  <c r="R453" i="3"/>
  <c r="U453" i="3" s="1"/>
  <c r="M453" i="3"/>
  <c r="S452" i="3"/>
  <c r="V452" i="3" s="1"/>
  <c r="C455" i="3"/>
  <c r="D455" i="3"/>
  <c r="K454" i="3"/>
  <c r="J454" i="3"/>
  <c r="H454" i="3"/>
  <c r="L454" i="3"/>
  <c r="W449" i="3" l="1"/>
  <c r="X449" i="3"/>
  <c r="Y448" i="3"/>
  <c r="Q449" i="3"/>
  <c r="T450" i="3" s="1"/>
  <c r="P450" i="3"/>
  <c r="N454" i="3"/>
  <c r="C456" i="3"/>
  <c r="D456" i="3"/>
  <c r="M454" i="3"/>
  <c r="R454" i="3"/>
  <c r="U454" i="3" s="1"/>
  <c r="H455" i="3"/>
  <c r="J455" i="3"/>
  <c r="K455" i="3"/>
  <c r="L455" i="3"/>
  <c r="S453" i="3"/>
  <c r="V453" i="3" s="1"/>
  <c r="W450" i="3" l="1"/>
  <c r="X450" i="3" s="1"/>
  <c r="Q450" i="3"/>
  <c r="T451" i="3" s="1"/>
  <c r="P451" i="3"/>
  <c r="Y449" i="3"/>
  <c r="N455" i="3"/>
  <c r="S454" i="3"/>
  <c r="V454" i="3" s="1"/>
  <c r="C457" i="3"/>
  <c r="D457" i="3"/>
  <c r="H456" i="3"/>
  <c r="J456" i="3"/>
  <c r="K456" i="3"/>
  <c r="L456" i="3"/>
  <c r="M455" i="3"/>
  <c r="R455" i="3"/>
  <c r="U455" i="3" s="1"/>
  <c r="Y450" i="3" l="1"/>
  <c r="W451" i="3"/>
  <c r="X451" i="3" s="1"/>
  <c r="X452" i="3" s="1"/>
  <c r="Q451" i="3"/>
  <c r="T452" i="3" s="1"/>
  <c r="P452" i="3"/>
  <c r="N456" i="3"/>
  <c r="N457" i="3" s="1"/>
  <c r="S455" i="3"/>
  <c r="V455" i="3" s="1"/>
  <c r="C458" i="3"/>
  <c r="D458" i="3"/>
  <c r="R456" i="3"/>
  <c r="U456" i="3" s="1"/>
  <c r="M456" i="3"/>
  <c r="H457" i="3"/>
  <c r="J457" i="3"/>
  <c r="K457" i="3"/>
  <c r="L457" i="3"/>
  <c r="W452" i="3" l="1"/>
  <c r="Q452" i="3"/>
  <c r="T453" i="3" s="1"/>
  <c r="P453" i="3"/>
  <c r="Y451" i="3"/>
  <c r="X453" i="3"/>
  <c r="M457" i="3"/>
  <c r="R457" i="3"/>
  <c r="U457" i="3" s="1"/>
  <c r="S456" i="3"/>
  <c r="V456" i="3" s="1"/>
  <c r="C459" i="3"/>
  <c r="D459" i="3"/>
  <c r="J458" i="3"/>
  <c r="K458" i="3"/>
  <c r="N458" i="3" s="1"/>
  <c r="G74" i="7" s="1"/>
  <c r="H458" i="3"/>
  <c r="L458" i="3"/>
  <c r="Y452" i="3" l="1"/>
  <c r="W453" i="3"/>
  <c r="Q453" i="3"/>
  <c r="T454" i="3" s="1"/>
  <c r="P454" i="3"/>
  <c r="S457" i="3"/>
  <c r="V457" i="3" s="1"/>
  <c r="D460" i="3"/>
  <c r="C460" i="3"/>
  <c r="M458" i="3"/>
  <c r="R458" i="3"/>
  <c r="U458" i="3" s="1"/>
  <c r="H459" i="3"/>
  <c r="J459" i="3"/>
  <c r="K459" i="3"/>
  <c r="N459" i="3" s="1"/>
  <c r="L459" i="3"/>
  <c r="W454" i="3" l="1"/>
  <c r="Y453" i="3"/>
  <c r="Q454" i="3"/>
  <c r="T455" i="3" s="1"/>
  <c r="P455" i="3"/>
  <c r="X454" i="3"/>
  <c r="E55" i="1"/>
  <c r="K55" i="1" s="1"/>
  <c r="H460" i="3"/>
  <c r="K460" i="3"/>
  <c r="J460" i="3"/>
  <c r="N460" i="3"/>
  <c r="L460" i="3"/>
  <c r="D461" i="3"/>
  <c r="C461" i="3"/>
  <c r="M459" i="3"/>
  <c r="R459" i="3"/>
  <c r="U459" i="3" s="1"/>
  <c r="S458" i="3"/>
  <c r="V458" i="3" s="1"/>
  <c r="W455" i="3" l="1"/>
  <c r="X455" i="3" s="1"/>
  <c r="Y454" i="3"/>
  <c r="Q455" i="3"/>
  <c r="T456" i="3" s="1"/>
  <c r="P456" i="3"/>
  <c r="J461" i="3"/>
  <c r="K461" i="3"/>
  <c r="H461" i="3"/>
  <c r="N461" i="3"/>
  <c r="L461" i="3"/>
  <c r="M460" i="3"/>
  <c r="R460" i="3"/>
  <c r="U460" i="3" s="1"/>
  <c r="D462" i="3"/>
  <c r="C462" i="3"/>
  <c r="S459" i="3"/>
  <c r="V459" i="3" s="1"/>
  <c r="W456" i="3" l="1"/>
  <c r="X456" i="3"/>
  <c r="Y455" i="3"/>
  <c r="P457" i="3"/>
  <c r="Q456" i="3"/>
  <c r="T457" i="3" s="1"/>
  <c r="W457" i="3" s="1"/>
  <c r="S460" i="3"/>
  <c r="V460" i="3" s="1"/>
  <c r="K462" i="3"/>
  <c r="N462" i="3" s="1"/>
  <c r="J462" i="3"/>
  <c r="H462" i="3"/>
  <c r="L462" i="3"/>
  <c r="M461" i="3"/>
  <c r="R461" i="3"/>
  <c r="U461" i="3" s="1"/>
  <c r="D463" i="3"/>
  <c r="C463" i="3"/>
  <c r="Q457" i="3" l="1"/>
  <c r="T458" i="3" s="1"/>
  <c r="W458" i="3" s="1"/>
  <c r="P458" i="3"/>
  <c r="X457" i="3"/>
  <c r="Y456" i="3"/>
  <c r="C464" i="3"/>
  <c r="D464" i="3"/>
  <c r="S461" i="3"/>
  <c r="V461" i="3" s="1"/>
  <c r="R462" i="3"/>
  <c r="U462" i="3" s="1"/>
  <c r="M462" i="3"/>
  <c r="J463" i="3"/>
  <c r="K463" i="3"/>
  <c r="N463" i="3" s="1"/>
  <c r="H463" i="3"/>
  <c r="L463" i="3"/>
  <c r="Y457" i="3" l="1"/>
  <c r="X458" i="3"/>
  <c r="H74" i="7"/>
  <c r="I74" i="7" s="1"/>
  <c r="Q458" i="3"/>
  <c r="P459" i="3"/>
  <c r="D465" i="3"/>
  <c r="C465" i="3"/>
  <c r="M463" i="3"/>
  <c r="R463" i="3"/>
  <c r="U463" i="3" s="1"/>
  <c r="S462" i="3"/>
  <c r="V462" i="3" s="1"/>
  <c r="H464" i="3"/>
  <c r="J464" i="3"/>
  <c r="K464" i="3"/>
  <c r="N464" i="3"/>
  <c r="L464" i="3"/>
  <c r="D55" i="1" l="1"/>
  <c r="T459" i="3"/>
  <c r="W459" i="3" s="1"/>
  <c r="Y458" i="3"/>
  <c r="X459" i="3"/>
  <c r="Q459" i="3"/>
  <c r="T460" i="3" s="1"/>
  <c r="P460" i="3"/>
  <c r="C466" i="3"/>
  <c r="D466" i="3"/>
  <c r="S463" i="3"/>
  <c r="V463" i="3" s="1"/>
  <c r="J465" i="3"/>
  <c r="H465" i="3"/>
  <c r="K465" i="3"/>
  <c r="L465" i="3"/>
  <c r="R464" i="3"/>
  <c r="U464" i="3" s="1"/>
  <c r="M464" i="3"/>
  <c r="P461" i="3" l="1"/>
  <c r="Q460" i="3"/>
  <c r="T461" i="3" s="1"/>
  <c r="Y459" i="3"/>
  <c r="X460" i="3"/>
  <c r="W460" i="3"/>
  <c r="L55" i="1"/>
  <c r="F55" i="1"/>
  <c r="G55" i="1" s="1"/>
  <c r="J74" i="7" s="1"/>
  <c r="K466" i="3"/>
  <c r="J466" i="3"/>
  <c r="H466" i="3"/>
  <c r="L466" i="3"/>
  <c r="M465" i="3"/>
  <c r="N465" i="3" s="1"/>
  <c r="R465" i="3"/>
  <c r="U465" i="3" s="1"/>
  <c r="S464" i="3"/>
  <c r="V464" i="3" s="1"/>
  <c r="C467" i="3"/>
  <c r="D467" i="3"/>
  <c r="P462" i="3" l="1"/>
  <c r="Q461" i="3"/>
  <c r="T462" i="3" s="1"/>
  <c r="Y460" i="3"/>
  <c r="X461" i="3"/>
  <c r="W461" i="3"/>
  <c r="N466" i="3"/>
  <c r="S465" i="3"/>
  <c r="V465" i="3" s="1"/>
  <c r="R466" i="3"/>
  <c r="U466" i="3" s="1"/>
  <c r="M466" i="3"/>
  <c r="J467" i="3"/>
  <c r="H467" i="3"/>
  <c r="K467" i="3"/>
  <c r="L467" i="3"/>
  <c r="C468" i="3"/>
  <c r="D468" i="3"/>
  <c r="Q462" i="3" l="1"/>
  <c r="T463" i="3" s="1"/>
  <c r="P463" i="3"/>
  <c r="Y461" i="3"/>
  <c r="X462" i="3"/>
  <c r="W462" i="3"/>
  <c r="N467" i="3"/>
  <c r="H468" i="3"/>
  <c r="K468" i="3"/>
  <c r="J468" i="3"/>
  <c r="L468" i="3"/>
  <c r="R467" i="3"/>
  <c r="U467" i="3" s="1"/>
  <c r="M467" i="3"/>
  <c r="C469" i="3"/>
  <c r="D469" i="3"/>
  <c r="S466" i="3"/>
  <c r="V466" i="3" s="1"/>
  <c r="W463" i="3" l="1"/>
  <c r="Y462" i="3"/>
  <c r="X463" i="3"/>
  <c r="Q463" i="3"/>
  <c r="T464" i="3" s="1"/>
  <c r="P464" i="3"/>
  <c r="N468" i="3"/>
  <c r="N469" i="3" s="1"/>
  <c r="H469" i="3"/>
  <c r="J469" i="3"/>
  <c r="K469" i="3"/>
  <c r="L469" i="3"/>
  <c r="S467" i="3"/>
  <c r="V467" i="3" s="1"/>
  <c r="C470" i="3"/>
  <c r="D470" i="3"/>
  <c r="M468" i="3"/>
  <c r="R468" i="3"/>
  <c r="U468" i="3" s="1"/>
  <c r="W464" i="3" l="1"/>
  <c r="Y463" i="3"/>
  <c r="X464" i="3"/>
  <c r="Q464" i="3"/>
  <c r="T465" i="3" s="1"/>
  <c r="P465" i="3"/>
  <c r="S468" i="3"/>
  <c r="V468" i="3" s="1"/>
  <c r="R469" i="3"/>
  <c r="U469" i="3" s="1"/>
  <c r="M469" i="3"/>
  <c r="D471" i="3"/>
  <c r="C471" i="3"/>
  <c r="J470" i="3"/>
  <c r="H470" i="3"/>
  <c r="K470" i="3"/>
  <c r="L470" i="3"/>
  <c r="N470" i="3" l="1"/>
  <c r="G75" i="7" s="1"/>
  <c r="W465" i="3"/>
  <c r="X465" i="3"/>
  <c r="Y464" i="3"/>
  <c r="Q465" i="3"/>
  <c r="T466" i="3" s="1"/>
  <c r="P466" i="3"/>
  <c r="M470" i="3"/>
  <c r="R470" i="3"/>
  <c r="U470" i="3" s="1"/>
  <c r="J471" i="3"/>
  <c r="K471" i="3"/>
  <c r="H471" i="3"/>
  <c r="L471" i="3"/>
  <c r="S469" i="3"/>
  <c r="V469" i="3" s="1"/>
  <c r="D472" i="3"/>
  <c r="C472" i="3"/>
  <c r="N471" i="3" l="1"/>
  <c r="N472" i="3" s="1"/>
  <c r="W466" i="3"/>
  <c r="X466" i="3" s="1"/>
  <c r="Y465" i="3"/>
  <c r="Q466" i="3"/>
  <c r="T467" i="3" s="1"/>
  <c r="P467" i="3"/>
  <c r="E56" i="1"/>
  <c r="K56" i="1" s="1"/>
  <c r="S470" i="3"/>
  <c r="V470" i="3" s="1"/>
  <c r="J472" i="3"/>
  <c r="K472" i="3"/>
  <c r="H472" i="3"/>
  <c r="L472" i="3"/>
  <c r="C473" i="3"/>
  <c r="D473" i="3"/>
  <c r="M471" i="3"/>
  <c r="R471" i="3"/>
  <c r="U471" i="3" s="1"/>
  <c r="W467" i="3" l="1"/>
  <c r="Q467" i="3"/>
  <c r="T468" i="3" s="1"/>
  <c r="W468" i="3" s="1"/>
  <c r="P468" i="3"/>
  <c r="Y466" i="3"/>
  <c r="X467" i="3"/>
  <c r="H75" i="7"/>
  <c r="S471" i="3"/>
  <c r="V471" i="3" s="1"/>
  <c r="C474" i="3"/>
  <c r="D474" i="3"/>
  <c r="K473" i="3"/>
  <c r="H473" i="3"/>
  <c r="N473" i="3"/>
  <c r="J473" i="3"/>
  <c r="L473" i="3"/>
  <c r="M472" i="3"/>
  <c r="R472" i="3"/>
  <c r="U472" i="3" s="1"/>
  <c r="Y467" i="3" l="1"/>
  <c r="X468" i="3"/>
  <c r="Q468" i="3"/>
  <c r="T469" i="3" s="1"/>
  <c r="W469" i="3" s="1"/>
  <c r="P469" i="3"/>
  <c r="I75" i="7"/>
  <c r="D475" i="3"/>
  <c r="C475" i="3"/>
  <c r="S472" i="3"/>
  <c r="V472" i="3" s="1"/>
  <c r="J474" i="3"/>
  <c r="H474" i="3"/>
  <c r="N474" i="3"/>
  <c r="K474" i="3"/>
  <c r="L474" i="3"/>
  <c r="M473" i="3"/>
  <c r="R473" i="3"/>
  <c r="U473" i="3" s="1"/>
  <c r="X469" i="3" l="1"/>
  <c r="Y468" i="3"/>
  <c r="P470" i="3"/>
  <c r="Q469" i="3"/>
  <c r="T470" i="3" s="1"/>
  <c r="W470" i="3" s="1"/>
  <c r="H475" i="3"/>
  <c r="J475" i="3"/>
  <c r="K475" i="3"/>
  <c r="N475" i="3" s="1"/>
  <c r="L475" i="3"/>
  <c r="S473" i="3"/>
  <c r="V473" i="3" s="1"/>
  <c r="R474" i="3"/>
  <c r="U474" i="3" s="1"/>
  <c r="M474" i="3"/>
  <c r="C476" i="3"/>
  <c r="D476" i="3"/>
  <c r="Y469" i="3" l="1"/>
  <c r="X470" i="3"/>
  <c r="Q470" i="3"/>
  <c r="P471" i="3"/>
  <c r="D477" i="3"/>
  <c r="C477" i="3"/>
  <c r="S474" i="3"/>
  <c r="V474" i="3" s="1"/>
  <c r="R475" i="3"/>
  <c r="U475" i="3" s="1"/>
  <c r="M475" i="3"/>
  <c r="J476" i="3"/>
  <c r="H476" i="3"/>
  <c r="N476" i="3"/>
  <c r="K476" i="3"/>
  <c r="L476" i="3"/>
  <c r="D56" i="1" l="1"/>
  <c r="T471" i="3"/>
  <c r="W471" i="3" s="1"/>
  <c r="X471" i="3" s="1"/>
  <c r="Y470" i="3"/>
  <c r="Q471" i="3"/>
  <c r="T472" i="3" s="1"/>
  <c r="P472" i="3"/>
  <c r="K477" i="3"/>
  <c r="J477" i="3"/>
  <c r="H477" i="3"/>
  <c r="N477" i="3" s="1"/>
  <c r="L477" i="3"/>
  <c r="C478" i="3"/>
  <c r="D478" i="3"/>
  <c r="M476" i="3"/>
  <c r="R476" i="3"/>
  <c r="U476" i="3" s="1"/>
  <c r="S475" i="3"/>
  <c r="V475" i="3" s="1"/>
  <c r="X472" i="3" l="1"/>
  <c r="Y471" i="3"/>
  <c r="Q472" i="3"/>
  <c r="T473" i="3" s="1"/>
  <c r="P473" i="3"/>
  <c r="W472" i="3"/>
  <c r="L56" i="1"/>
  <c r="F56" i="1"/>
  <c r="G56" i="1" s="1"/>
  <c r="J75" i="7" s="1"/>
  <c r="D479" i="3"/>
  <c r="C479" i="3"/>
  <c r="J478" i="3"/>
  <c r="K478" i="3"/>
  <c r="H478" i="3"/>
  <c r="L478" i="3"/>
  <c r="S476" i="3"/>
  <c r="V476" i="3" s="1"/>
  <c r="M477" i="3"/>
  <c r="R477" i="3"/>
  <c r="U477" i="3" s="1"/>
  <c r="W473" i="3" l="1"/>
  <c r="Q473" i="3"/>
  <c r="T474" i="3" s="1"/>
  <c r="P474" i="3"/>
  <c r="X473" i="3"/>
  <c r="Y472" i="3"/>
  <c r="N478" i="3"/>
  <c r="S477" i="3"/>
  <c r="V477" i="3" s="1"/>
  <c r="J479" i="3"/>
  <c r="K479" i="3"/>
  <c r="H479" i="3"/>
  <c r="L479" i="3"/>
  <c r="D480" i="3"/>
  <c r="C480" i="3"/>
  <c r="M478" i="3"/>
  <c r="R478" i="3"/>
  <c r="U478" i="3" s="1"/>
  <c r="Y473" i="3" l="1"/>
  <c r="W474" i="3"/>
  <c r="Q474" i="3"/>
  <c r="T475" i="3" s="1"/>
  <c r="P475" i="3"/>
  <c r="X474" i="3"/>
  <c r="R479" i="3"/>
  <c r="U479" i="3" s="1"/>
  <c r="M479" i="3"/>
  <c r="H480" i="3"/>
  <c r="J480" i="3"/>
  <c r="K480" i="3"/>
  <c r="L480" i="3"/>
  <c r="N479" i="3"/>
  <c r="S478" i="3"/>
  <c r="V478" i="3" s="1"/>
  <c r="C481" i="3"/>
  <c r="D481" i="3"/>
  <c r="W475" i="3" l="1"/>
  <c r="Y474" i="3"/>
  <c r="Q475" i="3"/>
  <c r="T476" i="3" s="1"/>
  <c r="P476" i="3"/>
  <c r="X475" i="3"/>
  <c r="S479" i="3"/>
  <c r="V479" i="3" s="1"/>
  <c r="C482" i="3"/>
  <c r="D482" i="3"/>
  <c r="K481" i="3"/>
  <c r="J481" i="3"/>
  <c r="H481" i="3"/>
  <c r="L481" i="3"/>
  <c r="M480" i="3"/>
  <c r="R480" i="3"/>
  <c r="U480" i="3" s="1"/>
  <c r="N480" i="3"/>
  <c r="W476" i="3" l="1"/>
  <c r="X476" i="3"/>
  <c r="Y475" i="3"/>
  <c r="Q476" i="3"/>
  <c r="T477" i="3" s="1"/>
  <c r="P477" i="3"/>
  <c r="M481" i="3"/>
  <c r="R481" i="3"/>
  <c r="U481" i="3" s="1"/>
  <c r="S480" i="3"/>
  <c r="V480" i="3" s="1"/>
  <c r="D483" i="3"/>
  <c r="C483" i="3"/>
  <c r="N481" i="3"/>
  <c r="K482" i="3"/>
  <c r="H482" i="3"/>
  <c r="J482" i="3"/>
  <c r="L482" i="3"/>
  <c r="W477" i="3" l="1"/>
  <c r="Q477" i="3"/>
  <c r="T478" i="3" s="1"/>
  <c r="P478" i="3"/>
  <c r="X477" i="3"/>
  <c r="Y476" i="3"/>
  <c r="S481" i="3"/>
  <c r="V481" i="3" s="1"/>
  <c r="M482" i="3"/>
  <c r="R482" i="3"/>
  <c r="U482" i="3" s="1"/>
  <c r="K483" i="3"/>
  <c r="H483" i="3"/>
  <c r="J483" i="3"/>
  <c r="L483" i="3"/>
  <c r="N482" i="3"/>
  <c r="G76" i="7" s="1"/>
  <c r="C484" i="3"/>
  <c r="D484" i="3"/>
  <c r="W478" i="3" l="1"/>
  <c r="Y477" i="3"/>
  <c r="Q478" i="3"/>
  <c r="T479" i="3" s="1"/>
  <c r="P479" i="3"/>
  <c r="X478" i="3"/>
  <c r="H76" i="7"/>
  <c r="E57" i="1"/>
  <c r="K57" i="1" s="1"/>
  <c r="N483" i="3"/>
  <c r="C485" i="3"/>
  <c r="D485" i="3"/>
  <c r="H484" i="3"/>
  <c r="K484" i="3"/>
  <c r="J484" i="3"/>
  <c r="L484" i="3"/>
  <c r="R483" i="3"/>
  <c r="U483" i="3" s="1"/>
  <c r="M483" i="3"/>
  <c r="S482" i="3"/>
  <c r="V482" i="3" s="1"/>
  <c r="W479" i="3" l="1"/>
  <c r="Q479" i="3"/>
  <c r="T480" i="3" s="1"/>
  <c r="W480" i="3" s="1"/>
  <c r="P480" i="3"/>
  <c r="Y478" i="3"/>
  <c r="X479" i="3"/>
  <c r="I76" i="7"/>
  <c r="N484" i="3"/>
  <c r="S483" i="3"/>
  <c r="V483" i="3" s="1"/>
  <c r="M484" i="3"/>
  <c r="R484" i="3"/>
  <c r="U484" i="3" s="1"/>
  <c r="J485" i="3"/>
  <c r="H485" i="3"/>
  <c r="K485" i="3"/>
  <c r="L485" i="3"/>
  <c r="C486" i="3"/>
  <c r="D486" i="3"/>
  <c r="P481" i="3" l="1"/>
  <c r="Q480" i="3"/>
  <c r="T481" i="3" s="1"/>
  <c r="W481" i="3" s="1"/>
  <c r="Y479" i="3"/>
  <c r="X480" i="3"/>
  <c r="N485" i="3"/>
  <c r="H486" i="3"/>
  <c r="K486" i="3"/>
  <c r="J486" i="3"/>
  <c r="L486" i="3"/>
  <c r="R485" i="3"/>
  <c r="U485" i="3" s="1"/>
  <c r="M485" i="3"/>
  <c r="S484" i="3"/>
  <c r="V484" i="3" s="1"/>
  <c r="D487" i="3"/>
  <c r="C487" i="3"/>
  <c r="X481" i="3" l="1"/>
  <c r="Y480" i="3"/>
  <c r="Q481" i="3"/>
  <c r="T482" i="3" s="1"/>
  <c r="W482" i="3" s="1"/>
  <c r="P482" i="3"/>
  <c r="N486" i="3"/>
  <c r="S485" i="3"/>
  <c r="V485" i="3" s="1"/>
  <c r="J487" i="3"/>
  <c r="K487" i="3"/>
  <c r="H487" i="3"/>
  <c r="L487" i="3"/>
  <c r="M486" i="3"/>
  <c r="R486" i="3"/>
  <c r="U486" i="3" s="1"/>
  <c r="C488" i="3"/>
  <c r="D488" i="3"/>
  <c r="Q482" i="3" l="1"/>
  <c r="P483" i="3"/>
  <c r="X482" i="3"/>
  <c r="Y481" i="3"/>
  <c r="N487" i="3"/>
  <c r="N488" i="3" s="1"/>
  <c r="C489" i="3"/>
  <c r="D489" i="3"/>
  <c r="H488" i="3"/>
  <c r="J488" i="3"/>
  <c r="K488" i="3"/>
  <c r="L488" i="3"/>
  <c r="R487" i="3"/>
  <c r="U487" i="3" s="1"/>
  <c r="M487" i="3"/>
  <c r="S486" i="3"/>
  <c r="V486" i="3" s="1"/>
  <c r="X483" i="3" l="1"/>
  <c r="Y482" i="3"/>
  <c r="P484" i="3"/>
  <c r="Q483" i="3"/>
  <c r="T484" i="3" s="1"/>
  <c r="D57" i="1"/>
  <c r="T483" i="3"/>
  <c r="W483" i="3" s="1"/>
  <c r="M488" i="3"/>
  <c r="R488" i="3"/>
  <c r="U488" i="3" s="1"/>
  <c r="S487" i="3"/>
  <c r="V487" i="3" s="1"/>
  <c r="C490" i="3"/>
  <c r="D490" i="3"/>
  <c r="J489" i="3"/>
  <c r="H489" i="3"/>
  <c r="K489" i="3"/>
  <c r="L489" i="3"/>
  <c r="F57" i="1" l="1"/>
  <c r="G57" i="1" s="1"/>
  <c r="J76" i="7" s="1"/>
  <c r="L57" i="1"/>
  <c r="W484" i="3"/>
  <c r="P485" i="3"/>
  <c r="Q484" i="3"/>
  <c r="T485" i="3" s="1"/>
  <c r="X484" i="3"/>
  <c r="Y483" i="3"/>
  <c r="N489" i="3"/>
  <c r="M489" i="3"/>
  <c r="R489" i="3"/>
  <c r="U489" i="3" s="1"/>
  <c r="S488" i="3"/>
  <c r="V488" i="3" s="1"/>
  <c r="D491" i="3"/>
  <c r="C491" i="3"/>
  <c r="K490" i="3"/>
  <c r="J490" i="3"/>
  <c r="H490" i="3"/>
  <c r="L490" i="3"/>
  <c r="W485" i="3" l="1"/>
  <c r="Y484" i="3"/>
  <c r="X485" i="3"/>
  <c r="Q485" i="3"/>
  <c r="T486" i="3" s="1"/>
  <c r="P486" i="3"/>
  <c r="N490" i="3"/>
  <c r="S489" i="3"/>
  <c r="V489" i="3" s="1"/>
  <c r="H491" i="3"/>
  <c r="J491" i="3"/>
  <c r="K491" i="3"/>
  <c r="L491" i="3"/>
  <c r="M490" i="3"/>
  <c r="R490" i="3"/>
  <c r="U490" i="3" s="1"/>
  <c r="C492" i="3"/>
  <c r="D492" i="3"/>
  <c r="W486" i="3" l="1"/>
  <c r="Q486" i="3"/>
  <c r="T487" i="3" s="1"/>
  <c r="P487" i="3"/>
  <c r="Y485" i="3"/>
  <c r="X486" i="3"/>
  <c r="N491" i="3"/>
  <c r="S490" i="3"/>
  <c r="V490" i="3" s="1"/>
  <c r="C493" i="3"/>
  <c r="D493" i="3"/>
  <c r="K492" i="3"/>
  <c r="J492" i="3"/>
  <c r="H492" i="3"/>
  <c r="L492" i="3"/>
  <c r="M491" i="3"/>
  <c r="R491" i="3"/>
  <c r="U491" i="3" s="1"/>
  <c r="W487" i="3" l="1"/>
  <c r="Q487" i="3"/>
  <c r="T488" i="3" s="1"/>
  <c r="P488" i="3"/>
  <c r="Y486" i="3"/>
  <c r="X487" i="3"/>
  <c r="N492" i="3"/>
  <c r="N493" i="3" s="1"/>
  <c r="S491" i="3"/>
  <c r="V491" i="3" s="1"/>
  <c r="K493" i="3"/>
  <c r="H493" i="3"/>
  <c r="J493" i="3"/>
  <c r="L493" i="3"/>
  <c r="C494" i="3"/>
  <c r="D494" i="3"/>
  <c r="M492" i="3"/>
  <c r="R492" i="3"/>
  <c r="U492" i="3" s="1"/>
  <c r="W488" i="3" l="1"/>
  <c r="Q488" i="3"/>
  <c r="T489" i="3" s="1"/>
  <c r="P489" i="3"/>
  <c r="X488" i="3"/>
  <c r="Y487" i="3"/>
  <c r="K494" i="3"/>
  <c r="H494" i="3"/>
  <c r="J494" i="3"/>
  <c r="L494" i="3"/>
  <c r="S492" i="3"/>
  <c r="V492" i="3" s="1"/>
  <c r="C495" i="3"/>
  <c r="D495" i="3"/>
  <c r="M493" i="3"/>
  <c r="R493" i="3"/>
  <c r="U493" i="3" s="1"/>
  <c r="N494" i="3" l="1"/>
  <c r="G77" i="7" s="1"/>
  <c r="W489" i="3"/>
  <c r="Y488" i="3"/>
  <c r="X489" i="3"/>
  <c r="Q489" i="3"/>
  <c r="T490" i="3" s="1"/>
  <c r="P490" i="3"/>
  <c r="D496" i="3"/>
  <c r="C496" i="3"/>
  <c r="H495" i="3"/>
  <c r="K495" i="3"/>
  <c r="J495" i="3"/>
  <c r="L495" i="3"/>
  <c r="S493" i="3"/>
  <c r="V493" i="3" s="1"/>
  <c r="R494" i="3"/>
  <c r="U494" i="3" s="1"/>
  <c r="M494" i="3"/>
  <c r="N495" i="3" l="1"/>
  <c r="W490" i="3"/>
  <c r="X490" i="3" s="1"/>
  <c r="Y489" i="3"/>
  <c r="Q490" i="3"/>
  <c r="T491" i="3" s="1"/>
  <c r="P491" i="3"/>
  <c r="E58" i="1"/>
  <c r="K58" i="1" s="1"/>
  <c r="S494" i="3"/>
  <c r="V494" i="3" s="1"/>
  <c r="R495" i="3"/>
  <c r="U495" i="3" s="1"/>
  <c r="M495" i="3"/>
  <c r="H496" i="3"/>
  <c r="J496" i="3"/>
  <c r="K496" i="3"/>
  <c r="N496" i="3"/>
  <c r="L496" i="3"/>
  <c r="C497" i="3"/>
  <c r="D497" i="3"/>
  <c r="W491" i="3" l="1"/>
  <c r="X491" i="3" s="1"/>
  <c r="Y490" i="3"/>
  <c r="Q491" i="3"/>
  <c r="T492" i="3" s="1"/>
  <c r="W492" i="3" s="1"/>
  <c r="P492" i="3"/>
  <c r="H77" i="7"/>
  <c r="M496" i="3"/>
  <c r="R496" i="3"/>
  <c r="U496" i="3" s="1"/>
  <c r="J497" i="3"/>
  <c r="H497" i="3"/>
  <c r="N497" i="3"/>
  <c r="K497" i="3"/>
  <c r="L497" i="3"/>
  <c r="C498" i="3"/>
  <c r="D498" i="3"/>
  <c r="S495" i="3"/>
  <c r="V495" i="3" s="1"/>
  <c r="Y491" i="3" l="1"/>
  <c r="X492" i="3"/>
  <c r="Q492" i="3"/>
  <c r="T493" i="3" s="1"/>
  <c r="W493" i="3" s="1"/>
  <c r="P493" i="3"/>
  <c r="I77" i="7"/>
  <c r="D499" i="3"/>
  <c r="C499" i="3"/>
  <c r="R497" i="3"/>
  <c r="U497" i="3" s="1"/>
  <c r="M497" i="3"/>
  <c r="J498" i="3"/>
  <c r="N498" i="3" s="1"/>
  <c r="H498" i="3"/>
  <c r="K498" i="3"/>
  <c r="L498" i="3"/>
  <c r="S496" i="3"/>
  <c r="V496" i="3" s="1"/>
  <c r="Y492" i="3" l="1"/>
  <c r="X493" i="3"/>
  <c r="Q493" i="3"/>
  <c r="T494" i="3" s="1"/>
  <c r="W494" i="3" s="1"/>
  <c r="P494" i="3"/>
  <c r="S497" i="3"/>
  <c r="V497" i="3" s="1"/>
  <c r="R498" i="3"/>
  <c r="U498" i="3" s="1"/>
  <c r="M498" i="3"/>
  <c r="J499" i="3"/>
  <c r="N499" i="3" s="1"/>
  <c r="H499" i="3"/>
  <c r="K499" i="3"/>
  <c r="L499" i="3"/>
  <c r="C500" i="3"/>
  <c r="D500" i="3"/>
  <c r="X494" i="3" l="1"/>
  <c r="Y493" i="3"/>
  <c r="Q494" i="3"/>
  <c r="P495" i="3"/>
  <c r="J500" i="3"/>
  <c r="N500" i="3"/>
  <c r="H500" i="3"/>
  <c r="K500" i="3"/>
  <c r="L500" i="3"/>
  <c r="R499" i="3"/>
  <c r="U499" i="3" s="1"/>
  <c r="M499" i="3"/>
  <c r="C501" i="3"/>
  <c r="D501" i="3"/>
  <c r="S498" i="3"/>
  <c r="V498" i="3" s="1"/>
  <c r="D58" i="1" l="1"/>
  <c r="T495" i="3"/>
  <c r="W495" i="3" s="1"/>
  <c r="Y494" i="3"/>
  <c r="X495" i="3"/>
  <c r="P496" i="3"/>
  <c r="Q495" i="3"/>
  <c r="T496" i="3" s="1"/>
  <c r="W496" i="3" s="1"/>
  <c r="R500" i="3"/>
  <c r="U500" i="3" s="1"/>
  <c r="M500" i="3"/>
  <c r="S499" i="3"/>
  <c r="V499" i="3" s="1"/>
  <c r="C502" i="3"/>
  <c r="D502" i="3"/>
  <c r="J501" i="3"/>
  <c r="K501" i="3"/>
  <c r="H501" i="3"/>
  <c r="L501" i="3"/>
  <c r="F58" i="1" l="1"/>
  <c r="G58" i="1" s="1"/>
  <c r="J77" i="7" s="1"/>
  <c r="L58" i="1"/>
  <c r="Y495" i="3"/>
  <c r="X496" i="3"/>
  <c r="P497" i="3"/>
  <c r="Q496" i="3"/>
  <c r="T497" i="3" s="1"/>
  <c r="W497" i="3" s="1"/>
  <c r="N501" i="3"/>
  <c r="S500" i="3"/>
  <c r="V500" i="3" s="1"/>
  <c r="M501" i="3"/>
  <c r="R501" i="3"/>
  <c r="U501" i="3" s="1"/>
  <c r="J502" i="3"/>
  <c r="K502" i="3"/>
  <c r="H502" i="3"/>
  <c r="L502" i="3"/>
  <c r="D503" i="3"/>
  <c r="C503" i="3"/>
  <c r="Q497" i="3" l="1"/>
  <c r="T498" i="3" s="1"/>
  <c r="W498" i="3" s="1"/>
  <c r="P498" i="3"/>
  <c r="X497" i="3"/>
  <c r="Y496" i="3"/>
  <c r="N502" i="3"/>
  <c r="C504" i="3"/>
  <c r="D504" i="3"/>
  <c r="J503" i="3"/>
  <c r="H503" i="3"/>
  <c r="K503" i="3"/>
  <c r="L503" i="3"/>
  <c r="M502" i="3"/>
  <c r="R502" i="3"/>
  <c r="U502" i="3" s="1"/>
  <c r="S501" i="3"/>
  <c r="V501" i="3" s="1"/>
  <c r="X498" i="3" l="1"/>
  <c r="Y497" i="3"/>
  <c r="Q498" i="3"/>
  <c r="T499" i="3" s="1"/>
  <c r="W499" i="3" s="1"/>
  <c r="P499" i="3"/>
  <c r="M503" i="3"/>
  <c r="R503" i="3"/>
  <c r="U503" i="3" s="1"/>
  <c r="N503" i="3"/>
  <c r="C505" i="3"/>
  <c r="D505" i="3"/>
  <c r="K504" i="3"/>
  <c r="H504" i="3"/>
  <c r="J504" i="3"/>
  <c r="L504" i="3"/>
  <c r="S502" i="3"/>
  <c r="V502" i="3" s="1"/>
  <c r="X499" i="3" l="1"/>
  <c r="X500" i="3" s="1"/>
  <c r="Y498" i="3"/>
  <c r="P500" i="3"/>
  <c r="Q499" i="3"/>
  <c r="T500" i="3" s="1"/>
  <c r="W500" i="3" s="1"/>
  <c r="N504" i="3"/>
  <c r="N505" i="3" s="1"/>
  <c r="S503" i="3"/>
  <c r="V503" i="3" s="1"/>
  <c r="H505" i="3"/>
  <c r="J505" i="3"/>
  <c r="K505" i="3"/>
  <c r="L505" i="3"/>
  <c r="C506" i="3"/>
  <c r="D506" i="3"/>
  <c r="M504" i="3"/>
  <c r="R504" i="3"/>
  <c r="U504" i="3" s="1"/>
  <c r="Y499" i="3" l="1"/>
  <c r="Q500" i="3"/>
  <c r="T501" i="3" s="1"/>
  <c r="W501" i="3" s="1"/>
  <c r="P501" i="3"/>
  <c r="X501" i="3"/>
  <c r="M505" i="3"/>
  <c r="R505" i="3"/>
  <c r="U505" i="3" s="1"/>
  <c r="H506" i="3"/>
  <c r="J506" i="3"/>
  <c r="K506" i="3"/>
  <c r="L506" i="3"/>
  <c r="S504" i="3"/>
  <c r="V504" i="3" s="1"/>
  <c r="C507" i="3"/>
  <c r="D507" i="3"/>
  <c r="N506" i="3" l="1"/>
  <c r="G78" i="7" s="1"/>
  <c r="Y500" i="3"/>
  <c r="Q501" i="3"/>
  <c r="T502" i="3" s="1"/>
  <c r="W502" i="3" s="1"/>
  <c r="P502" i="3"/>
  <c r="D508" i="3"/>
  <c r="C508" i="3"/>
  <c r="J507" i="3"/>
  <c r="H507" i="3"/>
  <c r="K507" i="3"/>
  <c r="N507" i="3" s="1"/>
  <c r="L507" i="3"/>
  <c r="S505" i="3"/>
  <c r="V505" i="3" s="1"/>
  <c r="R506" i="3"/>
  <c r="U506" i="3" s="1"/>
  <c r="M506" i="3"/>
  <c r="Q502" i="3" l="1"/>
  <c r="T503" i="3" s="1"/>
  <c r="W503" i="3" s="1"/>
  <c r="P503" i="3"/>
  <c r="X502" i="3"/>
  <c r="Y501" i="3"/>
  <c r="E59" i="1"/>
  <c r="K59" i="1" s="1"/>
  <c r="S506" i="3"/>
  <c r="V506" i="3" s="1"/>
  <c r="R507" i="3"/>
  <c r="U507" i="3" s="1"/>
  <c r="M507" i="3"/>
  <c r="H508" i="3"/>
  <c r="K508" i="3"/>
  <c r="J508" i="3"/>
  <c r="N508" i="3"/>
  <c r="L508" i="3"/>
  <c r="C509" i="3"/>
  <c r="D509" i="3"/>
  <c r="Y502" i="3" l="1"/>
  <c r="X503" i="3"/>
  <c r="Q503" i="3"/>
  <c r="T504" i="3" s="1"/>
  <c r="W504" i="3" s="1"/>
  <c r="P504" i="3"/>
  <c r="H78" i="7"/>
  <c r="H509" i="3"/>
  <c r="K509" i="3"/>
  <c r="J509" i="3"/>
  <c r="N509" i="3"/>
  <c r="L509" i="3"/>
  <c r="C510" i="3"/>
  <c r="D510" i="3"/>
  <c r="R508" i="3"/>
  <c r="U508" i="3" s="1"/>
  <c r="M508" i="3"/>
  <c r="S507" i="3"/>
  <c r="V507" i="3" s="1"/>
  <c r="X504" i="3" l="1"/>
  <c r="Y503" i="3"/>
  <c r="Q504" i="3"/>
  <c r="T505" i="3" s="1"/>
  <c r="W505" i="3" s="1"/>
  <c r="P505" i="3"/>
  <c r="I78" i="7"/>
  <c r="S508" i="3"/>
  <c r="V508" i="3" s="1"/>
  <c r="D511" i="3"/>
  <c r="C511" i="3"/>
  <c r="M509" i="3"/>
  <c r="R509" i="3"/>
  <c r="U509" i="3" s="1"/>
  <c r="H510" i="3"/>
  <c r="K510" i="3"/>
  <c r="J510" i="3"/>
  <c r="N510" i="3" s="1"/>
  <c r="L510" i="3"/>
  <c r="Y504" i="3" l="1"/>
  <c r="X505" i="3"/>
  <c r="Q505" i="3"/>
  <c r="T506" i="3" s="1"/>
  <c r="W506" i="3" s="1"/>
  <c r="P506" i="3"/>
  <c r="D512" i="3"/>
  <c r="C512" i="3"/>
  <c r="M510" i="3"/>
  <c r="R510" i="3"/>
  <c r="U510" i="3" s="1"/>
  <c r="J511" i="3"/>
  <c r="H511" i="3"/>
  <c r="N511" i="3"/>
  <c r="K511" i="3"/>
  <c r="L511" i="3"/>
  <c r="S509" i="3"/>
  <c r="V509" i="3" s="1"/>
  <c r="Q506" i="3" l="1"/>
  <c r="P507" i="3"/>
  <c r="Y505" i="3"/>
  <c r="X506" i="3"/>
  <c r="M511" i="3"/>
  <c r="R511" i="3"/>
  <c r="U511" i="3" s="1"/>
  <c r="N512" i="3"/>
  <c r="K512" i="3"/>
  <c r="J512" i="3"/>
  <c r="H512" i="3"/>
  <c r="L512" i="3"/>
  <c r="C513" i="3"/>
  <c r="D513" i="3"/>
  <c r="S510" i="3"/>
  <c r="V510" i="3" s="1"/>
  <c r="D59" i="1" l="1"/>
  <c r="T507" i="3"/>
  <c r="W507" i="3" s="1"/>
  <c r="X507" i="3" s="1"/>
  <c r="Y506" i="3"/>
  <c r="Q507" i="3"/>
  <c r="T508" i="3" s="1"/>
  <c r="P508" i="3"/>
  <c r="M512" i="3"/>
  <c r="R512" i="3"/>
  <c r="U512" i="3" s="1"/>
  <c r="S511" i="3"/>
  <c r="V511" i="3" s="1"/>
  <c r="D514" i="3"/>
  <c r="C514" i="3"/>
  <c r="H513" i="3"/>
  <c r="K513" i="3"/>
  <c r="J513" i="3"/>
  <c r="L513" i="3"/>
  <c r="L59" i="1" l="1"/>
  <c r="F59" i="1"/>
  <c r="G59" i="1" s="1"/>
  <c r="J78" i="7" s="1"/>
  <c r="W508" i="3"/>
  <c r="X508" i="3"/>
  <c r="Y507" i="3"/>
  <c r="Q508" i="3"/>
  <c r="T509" i="3" s="1"/>
  <c r="P509" i="3"/>
  <c r="N513" i="3"/>
  <c r="S512" i="3"/>
  <c r="V512" i="3" s="1"/>
  <c r="H514" i="3"/>
  <c r="J514" i="3"/>
  <c r="K514" i="3"/>
  <c r="L514" i="3"/>
  <c r="R513" i="3"/>
  <c r="U513" i="3" s="1"/>
  <c r="M513" i="3"/>
  <c r="D515" i="3"/>
  <c r="C515" i="3"/>
  <c r="Q509" i="3" l="1"/>
  <c r="T510" i="3" s="1"/>
  <c r="P510" i="3"/>
  <c r="X509" i="3"/>
  <c r="Y508" i="3"/>
  <c r="W509" i="3"/>
  <c r="N514" i="3"/>
  <c r="H515" i="3"/>
  <c r="K515" i="3"/>
  <c r="J515" i="3"/>
  <c r="L515" i="3"/>
  <c r="C516" i="3"/>
  <c r="D516" i="3"/>
  <c r="R514" i="3"/>
  <c r="U514" i="3" s="1"/>
  <c r="M514" i="3"/>
  <c r="S513" i="3"/>
  <c r="V513" i="3" s="1"/>
  <c r="Y509" i="3" l="1"/>
  <c r="Q510" i="3"/>
  <c r="T511" i="3" s="1"/>
  <c r="P511" i="3"/>
  <c r="W510" i="3"/>
  <c r="X510" i="3" s="1"/>
  <c r="N515" i="3"/>
  <c r="S514" i="3"/>
  <c r="V514" i="3" s="1"/>
  <c r="D517" i="3"/>
  <c r="C517" i="3"/>
  <c r="K516" i="3"/>
  <c r="J516" i="3"/>
  <c r="H516" i="3"/>
  <c r="L516" i="3"/>
  <c r="M515" i="3"/>
  <c r="R515" i="3"/>
  <c r="U515" i="3" s="1"/>
  <c r="Y510" i="3" l="1"/>
  <c r="W511" i="3"/>
  <c r="X511" i="3" s="1"/>
  <c r="Q511" i="3"/>
  <c r="T512" i="3" s="1"/>
  <c r="P512" i="3"/>
  <c r="N516" i="3"/>
  <c r="N517" i="3" s="1"/>
  <c r="C518" i="3"/>
  <c r="D518" i="3"/>
  <c r="H517" i="3"/>
  <c r="J517" i="3"/>
  <c r="K517" i="3"/>
  <c r="L517" i="3"/>
  <c r="S515" i="3"/>
  <c r="V515" i="3" s="1"/>
  <c r="M516" i="3"/>
  <c r="R516" i="3"/>
  <c r="U516" i="3" s="1"/>
  <c r="W512" i="3" l="1"/>
  <c r="X512" i="3"/>
  <c r="Y511" i="3"/>
  <c r="Q512" i="3"/>
  <c r="T513" i="3" s="1"/>
  <c r="P513" i="3"/>
  <c r="M517" i="3"/>
  <c r="R517" i="3"/>
  <c r="U517" i="3" s="1"/>
  <c r="D519" i="3"/>
  <c r="C519" i="3"/>
  <c r="S516" i="3"/>
  <c r="V516" i="3" s="1"/>
  <c r="H518" i="3"/>
  <c r="J518" i="3"/>
  <c r="K518" i="3"/>
  <c r="L518" i="3"/>
  <c r="N518" i="3" l="1"/>
  <c r="G79" i="7" s="1"/>
  <c r="W513" i="3"/>
  <c r="Q513" i="3"/>
  <c r="T514" i="3" s="1"/>
  <c r="P514" i="3"/>
  <c r="X513" i="3"/>
  <c r="Y512" i="3"/>
  <c r="M518" i="3"/>
  <c r="R518" i="3"/>
  <c r="U518" i="3" s="1"/>
  <c r="S517" i="3"/>
  <c r="V517" i="3" s="1"/>
  <c r="D520" i="3"/>
  <c r="C520" i="3"/>
  <c r="H519" i="3"/>
  <c r="J519" i="3"/>
  <c r="N519" i="3" s="1"/>
  <c r="K519" i="3"/>
  <c r="L519" i="3"/>
  <c r="W514" i="3" l="1"/>
  <c r="Q514" i="3"/>
  <c r="T515" i="3" s="1"/>
  <c r="P515" i="3"/>
  <c r="Y513" i="3"/>
  <c r="X514" i="3"/>
  <c r="E60" i="1"/>
  <c r="K60" i="1" s="1"/>
  <c r="M519" i="3"/>
  <c r="R519" i="3"/>
  <c r="U519" i="3" s="1"/>
  <c r="D521" i="3"/>
  <c r="C521" i="3"/>
  <c r="K520" i="3"/>
  <c r="J520" i="3"/>
  <c r="N520" i="3"/>
  <c r="H520" i="3"/>
  <c r="L520" i="3"/>
  <c r="S518" i="3"/>
  <c r="V518" i="3" s="1"/>
  <c r="W515" i="3" l="1"/>
  <c r="X515" i="3" s="1"/>
  <c r="Y514" i="3"/>
  <c r="Q515" i="3"/>
  <c r="T516" i="3" s="1"/>
  <c r="P516" i="3"/>
  <c r="H79" i="7"/>
  <c r="C522" i="3"/>
  <c r="D522" i="3"/>
  <c r="J521" i="3"/>
  <c r="K521" i="3"/>
  <c r="N521" i="3"/>
  <c r="H521" i="3"/>
  <c r="L521" i="3"/>
  <c r="S519" i="3"/>
  <c r="V519" i="3" s="1"/>
  <c r="R520" i="3"/>
  <c r="U520" i="3" s="1"/>
  <c r="M520" i="3"/>
  <c r="W516" i="3" l="1"/>
  <c r="Y515" i="3"/>
  <c r="X516" i="3"/>
  <c r="P517" i="3"/>
  <c r="Q516" i="3"/>
  <c r="T517" i="3" s="1"/>
  <c r="W517" i="3" s="1"/>
  <c r="I79" i="7"/>
  <c r="J522" i="3"/>
  <c r="H522" i="3"/>
  <c r="K522" i="3"/>
  <c r="N522" i="3" s="1"/>
  <c r="L522" i="3"/>
  <c r="R521" i="3"/>
  <c r="U521" i="3" s="1"/>
  <c r="M521" i="3"/>
  <c r="S520" i="3"/>
  <c r="V520" i="3" s="1"/>
  <c r="D523" i="3"/>
  <c r="C523" i="3"/>
  <c r="Y516" i="3" l="1"/>
  <c r="X517" i="3"/>
  <c r="Q517" i="3"/>
  <c r="T518" i="3" s="1"/>
  <c r="W518" i="3" s="1"/>
  <c r="P518" i="3"/>
  <c r="D524" i="3"/>
  <c r="C524" i="3"/>
  <c r="S521" i="3"/>
  <c r="V521" i="3" s="1"/>
  <c r="K523" i="3"/>
  <c r="J523" i="3"/>
  <c r="N523" i="3" s="1"/>
  <c r="H523" i="3"/>
  <c r="L523" i="3"/>
  <c r="R522" i="3"/>
  <c r="U522" i="3" s="1"/>
  <c r="M522" i="3"/>
  <c r="Q518" i="3" l="1"/>
  <c r="P519" i="3"/>
  <c r="Y517" i="3"/>
  <c r="X518" i="3"/>
  <c r="C525" i="3"/>
  <c r="D525" i="3"/>
  <c r="M523" i="3"/>
  <c r="R523" i="3"/>
  <c r="U523" i="3" s="1"/>
  <c r="S522" i="3"/>
  <c r="V522" i="3" s="1"/>
  <c r="J524" i="3"/>
  <c r="H524" i="3"/>
  <c r="K524" i="3"/>
  <c r="N524" i="3"/>
  <c r="L524" i="3"/>
  <c r="P520" i="3" l="1"/>
  <c r="Q519" i="3"/>
  <c r="T520" i="3" s="1"/>
  <c r="D60" i="1"/>
  <c r="T519" i="3"/>
  <c r="W519" i="3" s="1"/>
  <c r="Y518" i="3"/>
  <c r="X519" i="3"/>
  <c r="H525" i="3"/>
  <c r="J525" i="3"/>
  <c r="K525" i="3"/>
  <c r="L525" i="3"/>
  <c r="R524" i="3"/>
  <c r="U524" i="3" s="1"/>
  <c r="M524" i="3"/>
  <c r="S523" i="3"/>
  <c r="V523" i="3" s="1"/>
  <c r="C526" i="3"/>
  <c r="D526" i="3"/>
  <c r="W520" i="3" l="1"/>
  <c r="L60" i="1"/>
  <c r="F60" i="1"/>
  <c r="G60" i="1" s="1"/>
  <c r="J79" i="7" s="1"/>
  <c r="Y519" i="3"/>
  <c r="X520" i="3"/>
  <c r="P521" i="3"/>
  <c r="Q520" i="3"/>
  <c r="T521" i="3" s="1"/>
  <c r="N525" i="3"/>
  <c r="S524" i="3"/>
  <c r="V524" i="3" s="1"/>
  <c r="M525" i="3"/>
  <c r="R525" i="3"/>
  <c r="U525" i="3" s="1"/>
  <c r="H526" i="3"/>
  <c r="J526" i="3"/>
  <c r="K526" i="3"/>
  <c r="L526" i="3"/>
  <c r="D527" i="3"/>
  <c r="C527" i="3"/>
  <c r="W521" i="3" l="1"/>
  <c r="Q521" i="3"/>
  <c r="T522" i="3" s="1"/>
  <c r="P522" i="3"/>
  <c r="Y520" i="3"/>
  <c r="X521" i="3"/>
  <c r="N526" i="3"/>
  <c r="C528" i="3"/>
  <c r="D528" i="3"/>
  <c r="H527" i="3"/>
  <c r="J527" i="3"/>
  <c r="K527" i="3"/>
  <c r="L527" i="3"/>
  <c r="M526" i="3"/>
  <c r="R526" i="3"/>
  <c r="U526" i="3" s="1"/>
  <c r="S525" i="3"/>
  <c r="V525" i="3" s="1"/>
  <c r="W522" i="3" l="1"/>
  <c r="X522" i="3"/>
  <c r="Y521" i="3"/>
  <c r="Q522" i="3"/>
  <c r="T523" i="3" s="1"/>
  <c r="P523" i="3"/>
  <c r="N527" i="3"/>
  <c r="J528" i="3"/>
  <c r="K528" i="3"/>
  <c r="H528" i="3"/>
  <c r="L528" i="3"/>
  <c r="S526" i="3"/>
  <c r="V526" i="3" s="1"/>
  <c r="M527" i="3"/>
  <c r="R527" i="3"/>
  <c r="U527" i="3" s="1"/>
  <c r="C529" i="3"/>
  <c r="D529" i="3"/>
  <c r="W523" i="3" l="1"/>
  <c r="P524" i="3"/>
  <c r="Q523" i="3"/>
  <c r="T524" i="3" s="1"/>
  <c r="Y522" i="3"/>
  <c r="X523" i="3"/>
  <c r="N528" i="3"/>
  <c r="N529" i="3" s="1"/>
  <c r="J529" i="3"/>
  <c r="H529" i="3"/>
  <c r="K529" i="3"/>
  <c r="L529" i="3"/>
  <c r="C530" i="3"/>
  <c r="D530" i="3"/>
  <c r="S527" i="3"/>
  <c r="V527" i="3" s="1"/>
  <c r="R528" i="3"/>
  <c r="U528" i="3" s="1"/>
  <c r="M528" i="3"/>
  <c r="W524" i="3" l="1"/>
  <c r="Q524" i="3"/>
  <c r="T525" i="3" s="1"/>
  <c r="P525" i="3"/>
  <c r="Y523" i="3"/>
  <c r="X524" i="3"/>
  <c r="H530" i="3"/>
  <c r="J530" i="3"/>
  <c r="K530" i="3"/>
  <c r="L530" i="3"/>
  <c r="R529" i="3"/>
  <c r="U529" i="3" s="1"/>
  <c r="M529" i="3"/>
  <c r="S528" i="3"/>
  <c r="V528" i="3" s="1"/>
  <c r="D531" i="3"/>
  <c r="C531" i="3"/>
  <c r="N530" i="3" l="1"/>
  <c r="G80" i="7" s="1"/>
  <c r="W525" i="3"/>
  <c r="X525" i="3"/>
  <c r="Y524" i="3"/>
  <c r="Q525" i="3"/>
  <c r="T526" i="3" s="1"/>
  <c r="P526" i="3"/>
  <c r="K531" i="3"/>
  <c r="J531" i="3"/>
  <c r="H531" i="3"/>
  <c r="L531" i="3"/>
  <c r="R530" i="3"/>
  <c r="U530" i="3" s="1"/>
  <c r="M530" i="3"/>
  <c r="S529" i="3"/>
  <c r="V529" i="3" s="1"/>
  <c r="C532" i="3"/>
  <c r="D532" i="3"/>
  <c r="N531" i="3" l="1"/>
  <c r="W526" i="3"/>
  <c r="X526" i="3" s="1"/>
  <c r="Y525" i="3"/>
  <c r="Q526" i="3"/>
  <c r="T527" i="3" s="1"/>
  <c r="P527" i="3"/>
  <c r="E61" i="1"/>
  <c r="K61" i="1" s="1"/>
  <c r="S530" i="3"/>
  <c r="V530" i="3" s="1"/>
  <c r="C533" i="3"/>
  <c r="D533" i="3"/>
  <c r="H532" i="3"/>
  <c r="K532" i="3"/>
  <c r="J532" i="3"/>
  <c r="N532" i="3"/>
  <c r="L532" i="3"/>
  <c r="R531" i="3"/>
  <c r="U531" i="3" s="1"/>
  <c r="M531" i="3"/>
  <c r="W527" i="3" l="1"/>
  <c r="Q527" i="3"/>
  <c r="T528" i="3" s="1"/>
  <c r="W528" i="3" s="1"/>
  <c r="P528" i="3"/>
  <c r="Y526" i="3"/>
  <c r="X527" i="3"/>
  <c r="R532" i="3"/>
  <c r="U532" i="3" s="1"/>
  <c r="M532" i="3"/>
  <c r="C534" i="3"/>
  <c r="D534" i="3"/>
  <c r="J533" i="3"/>
  <c r="N533" i="3"/>
  <c r="H533" i="3"/>
  <c r="K533" i="3"/>
  <c r="L533" i="3"/>
  <c r="S531" i="3"/>
  <c r="V531" i="3" s="1"/>
  <c r="Q528" i="3" l="1"/>
  <c r="T529" i="3" s="1"/>
  <c r="W529" i="3" s="1"/>
  <c r="P529" i="3"/>
  <c r="X528" i="3"/>
  <c r="Y527" i="3"/>
  <c r="H534" i="3"/>
  <c r="J534" i="3"/>
  <c r="K534" i="3"/>
  <c r="N534" i="3"/>
  <c r="L534" i="3"/>
  <c r="S532" i="3"/>
  <c r="V532" i="3" s="1"/>
  <c r="M533" i="3"/>
  <c r="R533" i="3"/>
  <c r="U533" i="3" s="1"/>
  <c r="D535" i="3"/>
  <c r="C535" i="3"/>
  <c r="P530" i="3" l="1"/>
  <c r="Q529" i="3"/>
  <c r="T530" i="3" s="1"/>
  <c r="W530" i="3" s="1"/>
  <c r="X529" i="3"/>
  <c r="Y528" i="3"/>
  <c r="R534" i="3"/>
  <c r="U534" i="3" s="1"/>
  <c r="M534" i="3"/>
  <c r="N535" i="3"/>
  <c r="K535" i="3"/>
  <c r="J535" i="3"/>
  <c r="H535" i="3"/>
  <c r="L535" i="3"/>
  <c r="C536" i="3"/>
  <c r="D536" i="3"/>
  <c r="S533" i="3"/>
  <c r="V533" i="3" s="1"/>
  <c r="X530" i="3" l="1"/>
  <c r="Y529" i="3"/>
  <c r="H80" i="7"/>
  <c r="I80" i="7" s="1"/>
  <c r="Q530" i="3"/>
  <c r="P531" i="3"/>
  <c r="C537" i="3"/>
  <c r="D537" i="3"/>
  <c r="R535" i="3"/>
  <c r="U535" i="3" s="1"/>
  <c r="M535" i="3"/>
  <c r="N536" i="3"/>
  <c r="H536" i="3"/>
  <c r="J536" i="3"/>
  <c r="K536" i="3"/>
  <c r="L536" i="3"/>
  <c r="S534" i="3"/>
  <c r="V534" i="3" s="1"/>
  <c r="Y530" i="3" l="1"/>
  <c r="T531" i="3"/>
  <c r="W531" i="3" s="1"/>
  <c r="X531" i="3" s="1"/>
  <c r="D61" i="1"/>
  <c r="Q531" i="3"/>
  <c r="T532" i="3" s="1"/>
  <c r="P532" i="3"/>
  <c r="S535" i="3"/>
  <c r="V535" i="3" s="1"/>
  <c r="H537" i="3"/>
  <c r="J537" i="3"/>
  <c r="K537" i="3"/>
  <c r="L537" i="3"/>
  <c r="C538" i="3"/>
  <c r="D538" i="3"/>
  <c r="M536" i="3"/>
  <c r="R536" i="3"/>
  <c r="U536" i="3" s="1"/>
  <c r="W532" i="3" l="1"/>
  <c r="L61" i="1"/>
  <c r="F61" i="1"/>
  <c r="G61" i="1" s="1"/>
  <c r="J80" i="7" s="1"/>
  <c r="P533" i="3"/>
  <c r="Q532" i="3"/>
  <c r="T533" i="3" s="1"/>
  <c r="X532" i="3"/>
  <c r="Y531" i="3"/>
  <c r="N537" i="3"/>
  <c r="C539" i="3"/>
  <c r="D539" i="3"/>
  <c r="S536" i="3"/>
  <c r="V536" i="3" s="1"/>
  <c r="J538" i="3"/>
  <c r="K538" i="3"/>
  <c r="H538" i="3"/>
  <c r="L538" i="3"/>
  <c r="M537" i="3"/>
  <c r="R537" i="3"/>
  <c r="U537" i="3" s="1"/>
  <c r="W533" i="3" l="1"/>
  <c r="Q533" i="3"/>
  <c r="T534" i="3" s="1"/>
  <c r="P534" i="3"/>
  <c r="X533" i="3"/>
  <c r="Y532" i="3"/>
  <c r="N538" i="3"/>
  <c r="D540" i="3"/>
  <c r="C540" i="3"/>
  <c r="M538" i="3"/>
  <c r="R538" i="3"/>
  <c r="U538" i="3" s="1"/>
  <c r="H539" i="3"/>
  <c r="J539" i="3"/>
  <c r="K539" i="3"/>
  <c r="L539" i="3"/>
  <c r="S537" i="3"/>
  <c r="V537" i="3" s="1"/>
  <c r="W534" i="3" l="1"/>
  <c r="Y533" i="3"/>
  <c r="Q534" i="3"/>
  <c r="T535" i="3" s="1"/>
  <c r="P535" i="3"/>
  <c r="X534" i="3"/>
  <c r="N539" i="3"/>
  <c r="R539" i="3"/>
  <c r="U539" i="3" s="1"/>
  <c r="M539" i="3"/>
  <c r="D541" i="3"/>
  <c r="C541" i="3"/>
  <c r="S538" i="3"/>
  <c r="V538" i="3" s="1"/>
  <c r="H540" i="3"/>
  <c r="K540" i="3"/>
  <c r="J540" i="3"/>
  <c r="L540" i="3"/>
  <c r="W535" i="3" l="1"/>
  <c r="Y534" i="3"/>
  <c r="Q535" i="3"/>
  <c r="T536" i="3" s="1"/>
  <c r="P536" i="3"/>
  <c r="X535" i="3"/>
  <c r="N540" i="3"/>
  <c r="N541" i="3" s="1"/>
  <c r="S539" i="3"/>
  <c r="V539" i="3" s="1"/>
  <c r="H541" i="3"/>
  <c r="J541" i="3"/>
  <c r="K541" i="3"/>
  <c r="L541" i="3"/>
  <c r="R540" i="3"/>
  <c r="U540" i="3" s="1"/>
  <c r="M540" i="3"/>
  <c r="C542" i="3"/>
  <c r="D542" i="3"/>
  <c r="W536" i="3" l="1"/>
  <c r="X536" i="3"/>
  <c r="Y535" i="3"/>
  <c r="Q536" i="3"/>
  <c r="T537" i="3" s="1"/>
  <c r="P537" i="3"/>
  <c r="D543" i="3"/>
  <c r="C543" i="3"/>
  <c r="R541" i="3"/>
  <c r="U541" i="3" s="1"/>
  <c r="M541" i="3"/>
  <c r="S540" i="3"/>
  <c r="V540" i="3" s="1"/>
  <c r="H542" i="3"/>
  <c r="K542" i="3"/>
  <c r="N542" i="3" s="1"/>
  <c r="G81" i="7" s="1"/>
  <c r="J542" i="3"/>
  <c r="L542" i="3"/>
  <c r="W537" i="3" l="1"/>
  <c r="Q537" i="3"/>
  <c r="T538" i="3" s="1"/>
  <c r="P538" i="3"/>
  <c r="X537" i="3"/>
  <c r="Y536" i="3"/>
  <c r="S541" i="3"/>
  <c r="V541" i="3" s="1"/>
  <c r="K543" i="3"/>
  <c r="J543" i="3"/>
  <c r="N543" i="3" s="1"/>
  <c r="H543" i="3"/>
  <c r="L543" i="3"/>
  <c r="R542" i="3"/>
  <c r="U542" i="3" s="1"/>
  <c r="M542" i="3"/>
  <c r="D544" i="3"/>
  <c r="C544" i="3"/>
  <c r="W538" i="3" l="1"/>
  <c r="Y537" i="3"/>
  <c r="Q538" i="3"/>
  <c r="T539" i="3" s="1"/>
  <c r="P539" i="3"/>
  <c r="X538" i="3"/>
  <c r="E62" i="1"/>
  <c r="K62" i="1" s="1"/>
  <c r="K544" i="3"/>
  <c r="J544" i="3"/>
  <c r="H544" i="3"/>
  <c r="N544" i="3"/>
  <c r="L544" i="3"/>
  <c r="M543" i="3"/>
  <c r="R543" i="3"/>
  <c r="U543" i="3" s="1"/>
  <c r="C545" i="3"/>
  <c r="D545" i="3"/>
  <c r="S542" i="3"/>
  <c r="V542" i="3" s="1"/>
  <c r="W539" i="3" l="1"/>
  <c r="X539" i="3" s="1"/>
  <c r="Y538" i="3"/>
  <c r="Q539" i="3"/>
  <c r="T540" i="3" s="1"/>
  <c r="W540" i="3" s="1"/>
  <c r="P540" i="3"/>
  <c r="C546" i="3"/>
  <c r="D546" i="3"/>
  <c r="H545" i="3"/>
  <c r="K545" i="3"/>
  <c r="J545" i="3"/>
  <c r="N545" i="3"/>
  <c r="L545" i="3"/>
  <c r="S543" i="3"/>
  <c r="V543" i="3" s="1"/>
  <c r="R544" i="3"/>
  <c r="U544" i="3" s="1"/>
  <c r="M544" i="3"/>
  <c r="X540" i="3" l="1"/>
  <c r="Y539" i="3"/>
  <c r="Q540" i="3"/>
  <c r="T541" i="3" s="1"/>
  <c r="W541" i="3" s="1"/>
  <c r="P541" i="3"/>
  <c r="S544" i="3"/>
  <c r="V544" i="3" s="1"/>
  <c r="D547" i="3"/>
  <c r="C547" i="3"/>
  <c r="M545" i="3"/>
  <c r="R545" i="3"/>
  <c r="U545" i="3" s="1"/>
  <c r="H546" i="3"/>
  <c r="J546" i="3"/>
  <c r="N546" i="3" s="1"/>
  <c r="K546" i="3"/>
  <c r="L546" i="3"/>
  <c r="X541" i="3" l="1"/>
  <c r="Y540" i="3"/>
  <c r="Q541" i="3"/>
  <c r="T542" i="3" s="1"/>
  <c r="W542" i="3" s="1"/>
  <c r="P542" i="3"/>
  <c r="M546" i="3"/>
  <c r="R546" i="3"/>
  <c r="U546" i="3" s="1"/>
  <c r="D548" i="3"/>
  <c r="C548" i="3"/>
  <c r="H547" i="3"/>
  <c r="J547" i="3"/>
  <c r="K547" i="3"/>
  <c r="L547" i="3"/>
  <c r="S545" i="3"/>
  <c r="V545" i="3" s="1"/>
  <c r="X542" i="3" l="1"/>
  <c r="H81" i="7"/>
  <c r="I81" i="7" s="1"/>
  <c r="Q542" i="3"/>
  <c r="P543" i="3"/>
  <c r="Y541" i="3"/>
  <c r="N547" i="3"/>
  <c r="N548" i="3" s="1"/>
  <c r="C549" i="3"/>
  <c r="D549" i="3"/>
  <c r="S546" i="3"/>
  <c r="V546" i="3" s="1"/>
  <c r="M547" i="3"/>
  <c r="R547" i="3"/>
  <c r="U547" i="3" s="1"/>
  <c r="K548" i="3"/>
  <c r="J548" i="3"/>
  <c r="H548" i="3"/>
  <c r="L548" i="3"/>
  <c r="Y542" i="3" l="1"/>
  <c r="Q543" i="3"/>
  <c r="T544" i="3" s="1"/>
  <c r="P544" i="3"/>
  <c r="T543" i="3"/>
  <c r="W543" i="3" s="1"/>
  <c r="X543" i="3" s="1"/>
  <c r="D62" i="1"/>
  <c r="H549" i="3"/>
  <c r="J549" i="3"/>
  <c r="K549" i="3"/>
  <c r="L549" i="3"/>
  <c r="S547" i="3"/>
  <c r="V547" i="3" s="1"/>
  <c r="C550" i="3"/>
  <c r="D550" i="3"/>
  <c r="R548" i="3"/>
  <c r="U548" i="3" s="1"/>
  <c r="M548" i="3"/>
  <c r="L62" i="1" l="1"/>
  <c r="F62" i="1"/>
  <c r="G62" i="1" s="1"/>
  <c r="J81" i="7" s="1"/>
  <c r="X544" i="3"/>
  <c r="Y543" i="3"/>
  <c r="P545" i="3"/>
  <c r="Q544" i="3"/>
  <c r="T545" i="3" s="1"/>
  <c r="W544" i="3"/>
  <c r="N549" i="3"/>
  <c r="K550" i="3"/>
  <c r="H550" i="3"/>
  <c r="J550" i="3"/>
  <c r="L550" i="3"/>
  <c r="S548" i="3"/>
  <c r="V548" i="3" s="1"/>
  <c r="R549" i="3"/>
  <c r="U549" i="3" s="1"/>
  <c r="M549" i="3"/>
  <c r="C551" i="3"/>
  <c r="D551" i="3"/>
  <c r="W545" i="3" l="1"/>
  <c r="Q545" i="3"/>
  <c r="T546" i="3" s="1"/>
  <c r="P546" i="3"/>
  <c r="X545" i="3"/>
  <c r="Y544" i="3"/>
  <c r="N550" i="3"/>
  <c r="M550" i="3"/>
  <c r="R550" i="3"/>
  <c r="U550" i="3" s="1"/>
  <c r="D552" i="3"/>
  <c r="C552" i="3"/>
  <c r="H551" i="3"/>
  <c r="J551" i="3"/>
  <c r="K551" i="3"/>
  <c r="L551" i="3"/>
  <c r="S549" i="3"/>
  <c r="V549" i="3" s="1"/>
  <c r="Y545" i="3" l="1"/>
  <c r="W546" i="3"/>
  <c r="Q546" i="3"/>
  <c r="T547" i="3" s="1"/>
  <c r="P547" i="3"/>
  <c r="X546" i="3"/>
  <c r="M551" i="3"/>
  <c r="R551" i="3"/>
  <c r="U551" i="3" s="1"/>
  <c r="N551" i="3"/>
  <c r="S550" i="3"/>
  <c r="V550" i="3" s="1"/>
  <c r="K552" i="3"/>
  <c r="J552" i="3"/>
  <c r="H552" i="3"/>
  <c r="L552" i="3"/>
  <c r="C553" i="3"/>
  <c r="D553" i="3"/>
  <c r="Y546" i="3" l="1"/>
  <c r="W547" i="3"/>
  <c r="P548" i="3"/>
  <c r="Q547" i="3"/>
  <c r="T548" i="3" s="1"/>
  <c r="X547" i="3"/>
  <c r="N552" i="3"/>
  <c r="N553" i="3" s="1"/>
  <c r="M552" i="3"/>
  <c r="R552" i="3"/>
  <c r="U552" i="3" s="1"/>
  <c r="K553" i="3"/>
  <c r="J553" i="3"/>
  <c r="H553" i="3"/>
  <c r="L553" i="3"/>
  <c r="D554" i="3"/>
  <c r="C554" i="3"/>
  <c r="S551" i="3"/>
  <c r="V551" i="3" s="1"/>
  <c r="W548" i="3" l="1"/>
  <c r="X548" i="3"/>
  <c r="Y547" i="3"/>
  <c r="Q548" i="3"/>
  <c r="T549" i="3" s="1"/>
  <c r="P549" i="3"/>
  <c r="M553" i="3"/>
  <c r="R553" i="3"/>
  <c r="U553" i="3" s="1"/>
  <c r="C555" i="3"/>
  <c r="D555" i="3"/>
  <c r="S552" i="3"/>
  <c r="V552" i="3" s="1"/>
  <c r="J554" i="3"/>
  <c r="H554" i="3"/>
  <c r="K554" i="3"/>
  <c r="L554" i="3"/>
  <c r="W549" i="3" l="1"/>
  <c r="Q549" i="3"/>
  <c r="T550" i="3" s="1"/>
  <c r="P550" i="3"/>
  <c r="X549" i="3"/>
  <c r="Y548" i="3"/>
  <c r="R554" i="3"/>
  <c r="U554" i="3" s="1"/>
  <c r="M554" i="3"/>
  <c r="N554" i="3" s="1"/>
  <c r="G82" i="7" s="1"/>
  <c r="S553" i="3"/>
  <c r="V553" i="3" s="1"/>
  <c r="C556" i="3"/>
  <c r="D556" i="3"/>
  <c r="K555" i="3"/>
  <c r="H555" i="3"/>
  <c r="J555" i="3"/>
  <c r="L555" i="3"/>
  <c r="W550" i="3" l="1"/>
  <c r="Y549" i="3"/>
  <c r="Q550" i="3"/>
  <c r="T551" i="3" s="1"/>
  <c r="P551" i="3"/>
  <c r="X550" i="3"/>
  <c r="N555" i="3"/>
  <c r="N556" i="3" s="1"/>
  <c r="E63" i="1"/>
  <c r="K63" i="1" s="1"/>
  <c r="C557" i="3"/>
  <c r="D557" i="3"/>
  <c r="S554" i="3"/>
  <c r="V554" i="3" s="1"/>
  <c r="K556" i="3"/>
  <c r="H556" i="3"/>
  <c r="J556" i="3"/>
  <c r="L556" i="3"/>
  <c r="R555" i="3"/>
  <c r="U555" i="3" s="1"/>
  <c r="M555" i="3"/>
  <c r="W551" i="3" l="1"/>
  <c r="X551" i="3" s="1"/>
  <c r="Y550" i="3"/>
  <c r="Q551" i="3"/>
  <c r="T552" i="3" s="1"/>
  <c r="W552" i="3" s="1"/>
  <c r="P552" i="3"/>
  <c r="H82" i="7"/>
  <c r="R556" i="3"/>
  <c r="U556" i="3" s="1"/>
  <c r="M556" i="3"/>
  <c r="S555" i="3"/>
  <c r="V555" i="3" s="1"/>
  <c r="K557" i="3"/>
  <c r="H557" i="3"/>
  <c r="J557" i="3"/>
  <c r="N557" i="3"/>
  <c r="L557" i="3"/>
  <c r="C558" i="3"/>
  <c r="D558" i="3"/>
  <c r="Q552" i="3" l="1"/>
  <c r="T553" i="3" s="1"/>
  <c r="W553" i="3" s="1"/>
  <c r="P553" i="3"/>
  <c r="X552" i="3"/>
  <c r="Y551" i="3"/>
  <c r="I82" i="7"/>
  <c r="R557" i="3"/>
  <c r="U557" i="3" s="1"/>
  <c r="M557" i="3"/>
  <c r="D559" i="3"/>
  <c r="C559" i="3"/>
  <c r="S556" i="3"/>
  <c r="V556" i="3" s="1"/>
  <c r="H558" i="3"/>
  <c r="J558" i="3"/>
  <c r="K558" i="3"/>
  <c r="N558" i="3" s="1"/>
  <c r="L558" i="3"/>
  <c r="Q553" i="3" l="1"/>
  <c r="T554" i="3" s="1"/>
  <c r="W554" i="3" s="1"/>
  <c r="P554" i="3"/>
  <c r="Y552" i="3"/>
  <c r="X553" i="3"/>
  <c r="J559" i="3"/>
  <c r="K559" i="3"/>
  <c r="H559" i="3"/>
  <c r="L559" i="3"/>
  <c r="S557" i="3"/>
  <c r="V557" i="3" s="1"/>
  <c r="R558" i="3"/>
  <c r="U558" i="3" s="1"/>
  <c r="M558" i="3"/>
  <c r="C560" i="3"/>
  <c r="D560" i="3"/>
  <c r="Q554" i="3" l="1"/>
  <c r="P555" i="3"/>
  <c r="Y553" i="3"/>
  <c r="X554" i="3"/>
  <c r="N559" i="3"/>
  <c r="N560" i="3" s="1"/>
  <c r="C561" i="3"/>
  <c r="D561" i="3"/>
  <c r="J560" i="3"/>
  <c r="H560" i="3"/>
  <c r="K560" i="3"/>
  <c r="L560" i="3"/>
  <c r="M559" i="3"/>
  <c r="R559" i="3"/>
  <c r="U559" i="3" s="1"/>
  <c r="S558" i="3"/>
  <c r="V558" i="3" s="1"/>
  <c r="Y554" i="3" l="1"/>
  <c r="X555" i="3"/>
  <c r="P556" i="3"/>
  <c r="Q555" i="3"/>
  <c r="T556" i="3" s="1"/>
  <c r="D63" i="1"/>
  <c r="T555" i="3"/>
  <c r="W555" i="3" s="1"/>
  <c r="K561" i="3"/>
  <c r="H561" i="3"/>
  <c r="J561" i="3"/>
  <c r="L561" i="3"/>
  <c r="S559" i="3"/>
  <c r="V559" i="3" s="1"/>
  <c r="M560" i="3"/>
  <c r="R560" i="3"/>
  <c r="U560" i="3" s="1"/>
  <c r="D562" i="3"/>
  <c r="C562" i="3"/>
  <c r="F63" i="1" l="1"/>
  <c r="G63" i="1" s="1"/>
  <c r="J82" i="7" s="1"/>
  <c r="L63" i="1"/>
  <c r="Q556" i="3"/>
  <c r="T557" i="3" s="1"/>
  <c r="P557" i="3"/>
  <c r="Y555" i="3"/>
  <c r="X556" i="3"/>
  <c r="W556" i="3"/>
  <c r="N561" i="3"/>
  <c r="H562" i="3"/>
  <c r="J562" i="3"/>
  <c r="K562" i="3"/>
  <c r="L562" i="3"/>
  <c r="D563" i="3"/>
  <c r="C563" i="3"/>
  <c r="S560" i="3"/>
  <c r="V560" i="3" s="1"/>
  <c r="M561" i="3"/>
  <c r="R561" i="3"/>
  <c r="U561" i="3" s="1"/>
  <c r="X557" i="3" l="1"/>
  <c r="Y556" i="3"/>
  <c r="W557" i="3"/>
  <c r="Q557" i="3"/>
  <c r="T558" i="3" s="1"/>
  <c r="P558" i="3"/>
  <c r="N562" i="3"/>
  <c r="S561" i="3"/>
  <c r="V561" i="3" s="1"/>
  <c r="C564" i="3"/>
  <c r="D564" i="3"/>
  <c r="M562" i="3"/>
  <c r="R562" i="3"/>
  <c r="U562" i="3" s="1"/>
  <c r="J563" i="3"/>
  <c r="H563" i="3"/>
  <c r="K563" i="3"/>
  <c r="L563" i="3"/>
  <c r="Q558" i="3" l="1"/>
  <c r="T559" i="3" s="1"/>
  <c r="P559" i="3"/>
  <c r="W558" i="3"/>
  <c r="X558" i="3"/>
  <c r="Y557" i="3"/>
  <c r="N563" i="3"/>
  <c r="M563" i="3"/>
  <c r="R563" i="3"/>
  <c r="U563" i="3" s="1"/>
  <c r="D565" i="3"/>
  <c r="C565" i="3"/>
  <c r="H564" i="3"/>
  <c r="K564" i="3"/>
  <c r="J564" i="3"/>
  <c r="L564" i="3"/>
  <c r="S562" i="3"/>
  <c r="V562" i="3" s="1"/>
  <c r="W559" i="3" l="1"/>
  <c r="P560" i="3"/>
  <c r="Q559" i="3"/>
  <c r="T560" i="3" s="1"/>
  <c r="Y558" i="3"/>
  <c r="X559" i="3"/>
  <c r="N564" i="3"/>
  <c r="N565" i="3" s="1"/>
  <c r="S563" i="3"/>
  <c r="V563" i="3" s="1"/>
  <c r="R564" i="3"/>
  <c r="U564" i="3" s="1"/>
  <c r="M564" i="3"/>
  <c r="C566" i="3"/>
  <c r="D566" i="3"/>
  <c r="J565" i="3"/>
  <c r="H565" i="3"/>
  <c r="K565" i="3"/>
  <c r="L565" i="3"/>
  <c r="W560" i="3" l="1"/>
  <c r="Q560" i="3"/>
  <c r="T561" i="3" s="1"/>
  <c r="P561" i="3"/>
  <c r="X560" i="3"/>
  <c r="Y559" i="3"/>
  <c r="R565" i="3"/>
  <c r="U565" i="3" s="1"/>
  <c r="M565" i="3"/>
  <c r="D567" i="3"/>
  <c r="C567" i="3"/>
  <c r="H566" i="3"/>
  <c r="J566" i="3"/>
  <c r="K566" i="3"/>
  <c r="L566" i="3"/>
  <c r="S564" i="3"/>
  <c r="V564" i="3" s="1"/>
  <c r="W561" i="3" l="1"/>
  <c r="Y560" i="3"/>
  <c r="X561" i="3"/>
  <c r="Q561" i="3"/>
  <c r="T562" i="3" s="1"/>
  <c r="P562" i="3"/>
  <c r="R566" i="3"/>
  <c r="U566" i="3" s="1"/>
  <c r="M566" i="3"/>
  <c r="N566" i="3" s="1"/>
  <c r="G83" i="7" s="1"/>
  <c r="C568" i="3"/>
  <c r="D568" i="3"/>
  <c r="S565" i="3"/>
  <c r="V565" i="3" s="1"/>
  <c r="J567" i="3"/>
  <c r="K567" i="3"/>
  <c r="H567" i="3"/>
  <c r="L567" i="3"/>
  <c r="W562" i="3" l="1"/>
  <c r="X562" i="3" s="1"/>
  <c r="Y561" i="3"/>
  <c r="Q562" i="3"/>
  <c r="T563" i="3" s="1"/>
  <c r="P563" i="3"/>
  <c r="E64" i="1"/>
  <c r="K64" i="1" s="1"/>
  <c r="S566" i="3"/>
  <c r="V566" i="3" s="1"/>
  <c r="C569" i="3"/>
  <c r="D569" i="3"/>
  <c r="R567" i="3"/>
  <c r="U567" i="3" s="1"/>
  <c r="M567" i="3"/>
  <c r="N567" i="3" s="1"/>
  <c r="N568" i="3" s="1"/>
  <c r="H568" i="3"/>
  <c r="J568" i="3"/>
  <c r="K568" i="3"/>
  <c r="L568" i="3"/>
  <c r="W563" i="3" l="1"/>
  <c r="X563" i="3" s="1"/>
  <c r="Q563" i="3"/>
  <c r="T564" i="3" s="1"/>
  <c r="P564" i="3"/>
  <c r="Y562" i="3"/>
  <c r="H83" i="7"/>
  <c r="C570" i="3"/>
  <c r="D570" i="3"/>
  <c r="K569" i="3"/>
  <c r="J569" i="3"/>
  <c r="H569" i="3"/>
  <c r="N569" i="3"/>
  <c r="L569" i="3"/>
  <c r="M568" i="3"/>
  <c r="R568" i="3"/>
  <c r="U568" i="3" s="1"/>
  <c r="S567" i="3"/>
  <c r="V567" i="3" s="1"/>
  <c r="W564" i="3" l="1"/>
  <c r="P565" i="3"/>
  <c r="Q564" i="3"/>
  <c r="T565" i="3" s="1"/>
  <c r="Y563" i="3"/>
  <c r="X564" i="3"/>
  <c r="I83" i="7"/>
  <c r="S568" i="3"/>
  <c r="V568" i="3" s="1"/>
  <c r="D571" i="3"/>
  <c r="C571" i="3"/>
  <c r="R569" i="3"/>
  <c r="U569" i="3" s="1"/>
  <c r="M569" i="3"/>
  <c r="K570" i="3"/>
  <c r="N570" i="3" s="1"/>
  <c r="J570" i="3"/>
  <c r="H570" i="3"/>
  <c r="L570" i="3"/>
  <c r="W565" i="3" l="1"/>
  <c r="Q565" i="3"/>
  <c r="T566" i="3" s="1"/>
  <c r="P566" i="3"/>
  <c r="Y564" i="3"/>
  <c r="X565" i="3"/>
  <c r="R570" i="3"/>
  <c r="U570" i="3" s="1"/>
  <c r="M570" i="3"/>
  <c r="D572" i="3"/>
  <c r="C572" i="3"/>
  <c r="J571" i="3"/>
  <c r="K571" i="3"/>
  <c r="H571" i="3"/>
  <c r="L571" i="3"/>
  <c r="S569" i="3"/>
  <c r="V569" i="3" s="1"/>
  <c r="W566" i="3" l="1"/>
  <c r="I22" i="7"/>
  <c r="Q566" i="3"/>
  <c r="P567" i="3"/>
  <c r="Y565" i="3"/>
  <c r="X566" i="3"/>
  <c r="N571" i="3"/>
  <c r="N572" i="3" s="1"/>
  <c r="M571" i="3"/>
  <c r="R571" i="3"/>
  <c r="U571" i="3" s="1"/>
  <c r="C573" i="3"/>
  <c r="D573" i="3"/>
  <c r="S570" i="3"/>
  <c r="V570" i="3" s="1"/>
  <c r="J572" i="3"/>
  <c r="K572" i="3"/>
  <c r="H572" i="3"/>
  <c r="L572" i="3"/>
  <c r="B13" i="8" l="1"/>
  <c r="O8" i="7"/>
  <c r="F28" i="8"/>
  <c r="Q567" i="3"/>
  <c r="T568" i="3" s="1"/>
  <c r="P568" i="3"/>
  <c r="D64" i="1"/>
  <c r="T567" i="3"/>
  <c r="W567" i="3" s="1"/>
  <c r="X567" i="3"/>
  <c r="Y566" i="3"/>
  <c r="K573" i="3"/>
  <c r="J573" i="3"/>
  <c r="H573" i="3"/>
  <c r="L573" i="3"/>
  <c r="R572" i="3"/>
  <c r="U572" i="3" s="1"/>
  <c r="M572" i="3"/>
  <c r="S571" i="3"/>
  <c r="V571" i="3" s="1"/>
  <c r="C574" i="3"/>
  <c r="D574" i="3"/>
  <c r="L64" i="1" l="1"/>
  <c r="F64" i="1"/>
  <c r="G64" i="1" s="1"/>
  <c r="J83" i="7" s="1"/>
  <c r="X568" i="3"/>
  <c r="Y567" i="3"/>
  <c r="W568" i="3"/>
  <c r="Q568" i="3"/>
  <c r="T569" i="3" s="1"/>
  <c r="P569" i="3"/>
  <c r="H574" i="3"/>
  <c r="J574" i="3"/>
  <c r="K574" i="3"/>
  <c r="L574" i="3"/>
  <c r="S572" i="3"/>
  <c r="V572" i="3" s="1"/>
  <c r="M573" i="3"/>
  <c r="N573" i="3" s="1"/>
  <c r="R573" i="3"/>
  <c r="U573" i="3" s="1"/>
  <c r="C575" i="3"/>
  <c r="D575" i="3"/>
  <c r="W569" i="3" l="1"/>
  <c r="Q569" i="3"/>
  <c r="T570" i="3" s="1"/>
  <c r="P570" i="3"/>
  <c r="Y568" i="3"/>
  <c r="X569" i="3"/>
  <c r="S573" i="3"/>
  <c r="V573" i="3" s="1"/>
  <c r="M574" i="3"/>
  <c r="N574" i="3" s="1"/>
  <c r="I21" i="7" s="1"/>
  <c r="I23" i="7" s="1"/>
  <c r="R574" i="3"/>
  <c r="U574" i="3" s="1"/>
  <c r="H575" i="3"/>
  <c r="J575" i="3"/>
  <c r="K575" i="3"/>
  <c r="L575" i="3"/>
  <c r="D576" i="3"/>
  <c r="C576" i="3"/>
  <c r="W570" i="3" l="1"/>
  <c r="Y569" i="3"/>
  <c r="X570" i="3"/>
  <c r="Q570" i="3"/>
  <c r="T571" i="3" s="1"/>
  <c r="P571" i="3"/>
  <c r="O7" i="7"/>
  <c r="F27" i="8"/>
  <c r="N575" i="3"/>
  <c r="M575" i="3"/>
  <c r="R575" i="3"/>
  <c r="U575" i="3" s="1"/>
  <c r="D577" i="3"/>
  <c r="C577" i="3"/>
  <c r="S574" i="3"/>
  <c r="V574" i="3" s="1"/>
  <c r="H576" i="3"/>
  <c r="K576" i="3"/>
  <c r="J576" i="3"/>
  <c r="L576" i="3"/>
  <c r="W571" i="3" l="1"/>
  <c r="Y570" i="3"/>
  <c r="X571" i="3"/>
  <c r="Q571" i="3"/>
  <c r="T572" i="3" s="1"/>
  <c r="P572" i="3"/>
  <c r="F29" i="8"/>
  <c r="I24" i="7"/>
  <c r="N576" i="3"/>
  <c r="N577" i="3" s="1"/>
  <c r="R576" i="3"/>
  <c r="U576" i="3" s="1"/>
  <c r="M576" i="3"/>
  <c r="J577" i="3"/>
  <c r="H577" i="3"/>
  <c r="K577" i="3"/>
  <c r="L577" i="3"/>
  <c r="S575" i="3"/>
  <c r="V575" i="3" s="1"/>
  <c r="D578" i="3"/>
  <c r="C578" i="3"/>
  <c r="W572" i="3" l="1"/>
  <c r="Y571" i="3"/>
  <c r="X572" i="3"/>
  <c r="Q572" i="3"/>
  <c r="T573" i="3" s="1"/>
  <c r="P573" i="3"/>
  <c r="O9" i="7"/>
  <c r="S576" i="3"/>
  <c r="V576" i="3" s="1"/>
  <c r="R577" i="3"/>
  <c r="U577" i="3" s="1"/>
  <c r="M577" i="3"/>
  <c r="N578" i="3"/>
  <c r="W573" i="3" l="1"/>
  <c r="Q573" i="3"/>
  <c r="T574" i="3" s="1"/>
  <c r="P574" i="3"/>
  <c r="X573" i="3"/>
  <c r="Y572" i="3"/>
  <c r="E65" i="1"/>
  <c r="K65" i="1" s="1"/>
  <c r="S577" i="3"/>
  <c r="V577" i="3" s="1"/>
  <c r="W574" i="3" l="1"/>
  <c r="Y573" i="3"/>
  <c r="X574" i="3"/>
  <c r="Q574" i="3"/>
  <c r="T575" i="3" s="1"/>
  <c r="P575" i="3"/>
  <c r="W575" i="3" l="1"/>
  <c r="Y574" i="3"/>
  <c r="X575" i="3"/>
  <c r="Q575" i="3"/>
  <c r="T576" i="3" s="1"/>
  <c r="P576" i="3"/>
  <c r="W576" i="3" l="1"/>
  <c r="Q576" i="3"/>
  <c r="T577" i="3" s="1"/>
  <c r="P577" i="3"/>
  <c r="Q577" i="3" s="1"/>
  <c r="P578" i="3"/>
  <c r="Q578" i="3" s="1"/>
  <c r="D65" i="1" s="1"/>
  <c r="L65" i="1" s="1"/>
  <c r="X576" i="3"/>
  <c r="Y575" i="3"/>
  <c r="W577" i="3" l="1"/>
  <c r="X577" i="3"/>
  <c r="Y577" i="3" s="1"/>
  <c r="Y576" i="3"/>
  <c r="F65" i="1"/>
  <c r="G65" i="1" s="1"/>
  <c r="B14" i="1"/>
  <c r="C15" i="1" s="1"/>
</calcChain>
</file>

<file path=xl/comments1.xml><?xml version="1.0" encoding="utf-8"?>
<comments xmlns="http://schemas.openxmlformats.org/spreadsheetml/2006/main">
  <authors>
    <author>Nyeste Gábor</author>
  </authors>
  <commentList>
    <comment ref="E17" authorId="0">
      <text>
        <r>
          <rPr>
            <b/>
            <sz val="9"/>
            <color indexed="81"/>
            <rFont val="Tahoma"/>
            <family val="2"/>
            <charset val="238"/>
          </rPr>
          <t>Nyeste Gábor:</t>
        </r>
        <r>
          <rPr>
            <sz val="9"/>
            <color indexed="81"/>
            <rFont val="Tahoma"/>
            <family val="2"/>
            <charset val="238"/>
          </rPr>
          <t xml:space="preserve">
Nyereség nélkül</t>
        </r>
      </text>
    </comment>
  </commentList>
</comments>
</file>

<file path=xl/sharedStrings.xml><?xml version="1.0" encoding="utf-8"?>
<sst xmlns="http://schemas.openxmlformats.org/spreadsheetml/2006/main" count="303" uniqueCount="247">
  <si>
    <t>SPNR</t>
  </si>
  <si>
    <t>DM</t>
  </si>
  <si>
    <t>W</t>
  </si>
  <si>
    <t>Belépési kor</t>
  </si>
  <si>
    <t>Tartam</t>
  </si>
  <si>
    <t>Év</t>
  </si>
  <si>
    <t>Azonosító</t>
  </si>
  <si>
    <t>Születési év</t>
  </si>
  <si>
    <t>Hó</t>
  </si>
  <si>
    <t>Nap</t>
  </si>
  <si>
    <t>Kötés éve</t>
  </si>
  <si>
    <t>Biztosítás kezdete</t>
  </si>
  <si>
    <t>Biztosítás lejárata</t>
  </si>
  <si>
    <t>Bíztosítás éves díja</t>
  </si>
  <si>
    <t>Hozam</t>
  </si>
  <si>
    <t>Biztosítási év</t>
  </si>
  <si>
    <t>Adójóváírás</t>
  </si>
  <si>
    <t>Lejárati érték</t>
  </si>
  <si>
    <t>Befizetett díj</t>
  </si>
  <si>
    <t>Visszavásárlási érték</t>
  </si>
  <si>
    <t>Biztosítási összeg</t>
  </si>
  <si>
    <t>Kor</t>
  </si>
  <si>
    <t>bruttó díj 100000 Ft-ra</t>
  </si>
  <si>
    <t>Nyereségszámla</t>
  </si>
  <si>
    <t>Díjfizetési tartam</t>
  </si>
  <si>
    <t>Alapbiztosítás tartaléka</t>
  </si>
  <si>
    <t>Tartalék összesen</t>
  </si>
  <si>
    <t>Bizt év / Tartam</t>
  </si>
  <si>
    <t>Index (kivéve az utolsó két évben)</t>
  </si>
  <si>
    <t>Biztosítás éve</t>
  </si>
  <si>
    <t>Biztosítás hónapja</t>
  </si>
  <si>
    <t>Tartalék az év végén</t>
  </si>
  <si>
    <t>Havi tartalék</t>
  </si>
  <si>
    <t>Technikai kamat</t>
  </si>
  <si>
    <t>Éves díj</t>
  </si>
  <si>
    <t>Tartalék az év elején</t>
  </si>
  <si>
    <t>Pz</t>
  </si>
  <si>
    <t>Adójóváírás nyeresége</t>
  </si>
  <si>
    <t>Nyereségszámla (főszerződés)</t>
  </si>
  <si>
    <t>Teljes nyereségszámla</t>
  </si>
  <si>
    <t>Naptári év</t>
  </si>
  <si>
    <t>Naptári év hónapja</t>
  </si>
  <si>
    <t>Naptári év lejárat</t>
  </si>
  <si>
    <t>Naptári hó lejárat</t>
  </si>
  <si>
    <t>Pz előző</t>
  </si>
  <si>
    <t>Tartalék az előző év elején</t>
  </si>
  <si>
    <t>Rfg főszámla</t>
  </si>
  <si>
    <t>Rfg adójóváírás</t>
  </si>
  <si>
    <t>Rfg nyereségszámla</t>
  </si>
  <si>
    <t>Rfg-be megy a főszámláról</t>
  </si>
  <si>
    <t>Teljes Nyereségszámla</t>
  </si>
  <si>
    <t>Ell</t>
  </si>
  <si>
    <t>Díjmentes biztosítási összeg</t>
  </si>
  <si>
    <t>Biztosított neve:</t>
  </si>
  <si>
    <t xml:space="preserve">Garantált biztosítási összeg </t>
  </si>
  <si>
    <t>Lejárati összeg adókedvezmény nélkül:</t>
  </si>
  <si>
    <t>Összefoglalva:</t>
  </si>
  <si>
    <t>év</t>
  </si>
  <si>
    <t>Ajánlat dátuma:</t>
  </si>
  <si>
    <t>Város,</t>
  </si>
  <si>
    <t>Az Ön referense:</t>
  </si>
  <si>
    <t>Referens név</t>
  </si>
  <si>
    <t>fiók:</t>
  </si>
  <si>
    <t>Fiók címe</t>
  </si>
  <si>
    <t>telefonszám:</t>
  </si>
  <si>
    <t>Referens telefonszáma</t>
  </si>
  <si>
    <t>Díjmentesítés</t>
  </si>
  <si>
    <t>Eltelt évek száma:</t>
  </si>
  <si>
    <t>Visszavásárlás</t>
  </si>
  <si>
    <t>Visszavásárlási összeg:</t>
  </si>
  <si>
    <t>Visszavásárlási összeg 105%-a:</t>
  </si>
  <si>
    <t>Visszavásárlási érték nyereség és adókedvezmény nélkül</t>
  </si>
  <si>
    <t>Kedves Felhasználó!</t>
  </si>
  <si>
    <t>ajánlatot készíthess, és azt kinyomtatva átadhasd neki.</t>
  </si>
  <si>
    <t>A kitöltés során a sárga mezők szabadon tölthetőek, a munkafüzet többi része védett</t>
  </si>
  <si>
    <t>terület, nem módosítható.</t>
  </si>
  <si>
    <t xml:space="preserve">Születési dátum:          </t>
  </si>
  <si>
    <t xml:space="preserve">Értelemszerűen tölthető,első mező az ÉV, második a HÓNAP, </t>
  </si>
  <si>
    <t>harmadik a NAP mező.</t>
  </si>
  <si>
    <t>Az évszámnál ellenőrzést végez, nem megfelelő évszám beírásakor</t>
  </si>
  <si>
    <t>hibaüzenetet ad.</t>
  </si>
  <si>
    <t xml:space="preserve">A név abban a formában, ahogy szeretnénk a nyomtatott </t>
  </si>
  <si>
    <t>kalkuláción megjelentetni.</t>
  </si>
  <si>
    <t>Garantált biztosítási összeg:</t>
  </si>
  <si>
    <t>Ügyél által szabadon választott összeg, ez lesz a nyugdíjszolgáltatás</t>
  </si>
  <si>
    <t>díj tartozik, akkor az alatta lévő fizetendő havi díj mező pirosra vált.</t>
  </si>
  <si>
    <t>A kalkulátor csak biztosítási összegből tud díjat számítani, fordítva nem működik a kalkuláció.</t>
  </si>
  <si>
    <t xml:space="preserve">használni. </t>
  </si>
  <si>
    <t>Fenti adatok megadásával a kalkulátor kiszámítja ügyfél által a tartam során az automatikus</t>
  </si>
  <si>
    <t>díjnövelés figyelembe vételével ÖSSZESEN FIZETENDŐ DÍJAT,  az ehhez tartozó</t>
  </si>
  <si>
    <t>A kapott eredményt grafikusan is megjeleníti.</t>
  </si>
  <si>
    <t>Adójóváírás 2</t>
  </si>
  <si>
    <t>Biztosítási hónap</t>
  </si>
  <si>
    <t>Gyakoriság szerinti díj</t>
  </si>
  <si>
    <t>Összes befizetett díj</t>
  </si>
  <si>
    <t>Naptári Év</t>
  </si>
  <si>
    <t>Naptári Hónap</t>
  </si>
  <si>
    <t>Díj a naptári évben</t>
  </si>
  <si>
    <t>Adójóváírás a naptári évre</t>
  </si>
  <si>
    <t>Lejárat: 2
Díjfiz tartam vége: 1</t>
  </si>
  <si>
    <t xml:space="preserve">Nyereségszámla </t>
  </si>
  <si>
    <t>Biztosított születési dátuma</t>
  </si>
  <si>
    <t>Kiválasztott termék kódja</t>
  </si>
  <si>
    <t>Termékkód</t>
  </si>
  <si>
    <t>Termék neve</t>
  </si>
  <si>
    <t>Termék</t>
  </si>
  <si>
    <t>Értékesítő</t>
  </si>
  <si>
    <t>Nyugdíjkorhatár</t>
  </si>
  <si>
    <t>Született</t>
  </si>
  <si>
    <t>nap</t>
  </si>
  <si>
    <t>Minimumdíj t.f.</t>
  </si>
  <si>
    <t>Minimumdíj</t>
  </si>
  <si>
    <t>MinDíj</t>
  </si>
  <si>
    <t>Kód</t>
  </si>
  <si>
    <t>Minimumdíj (*ezer)</t>
  </si>
  <si>
    <t>Pension Invest III.</t>
  </si>
  <si>
    <t>Fizgyak</t>
  </si>
  <si>
    <t>Típus</t>
  </si>
  <si>
    <t>éves</t>
  </si>
  <si>
    <t>féléves</t>
  </si>
  <si>
    <t>negyedéves</t>
  </si>
  <si>
    <t>havi</t>
  </si>
  <si>
    <t>Fizmód</t>
  </si>
  <si>
    <t>Választott fizetési mód</t>
  </si>
  <si>
    <t>Díjfizetési mód Bónusz</t>
  </si>
  <si>
    <t>FizMódBonus</t>
  </si>
  <si>
    <t>Pénznem</t>
  </si>
  <si>
    <t>Deviza</t>
  </si>
  <si>
    <t>HUF</t>
  </si>
  <si>
    <t>forint</t>
  </si>
  <si>
    <t>Ft</t>
  </si>
  <si>
    <t>EUR</t>
  </si>
  <si>
    <t>euró</t>
  </si>
  <si>
    <t>€</t>
  </si>
  <si>
    <t>USD</t>
  </si>
  <si>
    <t>dollár</t>
  </si>
  <si>
    <t>$</t>
  </si>
  <si>
    <t>Fix vagy élethosszig szóló</t>
  </si>
  <si>
    <t>Termék tartam</t>
  </si>
  <si>
    <t>Tartam minimum</t>
  </si>
  <si>
    <t>Tart Min</t>
  </si>
  <si>
    <t>Tartam maximum</t>
  </si>
  <si>
    <t>Tart Max</t>
  </si>
  <si>
    <t>Min-Max</t>
  </si>
  <si>
    <t>Lejárat / Díjfizetési tartam vége:</t>
  </si>
  <si>
    <t>Évforduló a lejárat évében:</t>
  </si>
  <si>
    <t>Korok</t>
  </si>
  <si>
    <t>Belépési kor minimum</t>
  </si>
  <si>
    <t>KorMin</t>
  </si>
  <si>
    <t>Belépési kor maximum</t>
  </si>
  <si>
    <t>Lejárati kor maximum</t>
  </si>
  <si>
    <t>Lejárati kor max</t>
  </si>
  <si>
    <t>Díjarányos kezdeti költség</t>
  </si>
  <si>
    <t>%</t>
  </si>
  <si>
    <t>Eszközalapok</t>
  </si>
  <si>
    <t>Választható eszközalap</t>
  </si>
  <si>
    <t>Megtakarítási egység, nem díjmentes, 4-20 év</t>
  </si>
  <si>
    <t>Megtakarítási egység, díjmentes</t>
  </si>
  <si>
    <t>Bónusz egység, 
4-20 év</t>
  </si>
  <si>
    <t>Díjnagyság bónusz</t>
  </si>
  <si>
    <t>Határ</t>
  </si>
  <si>
    <t>Ajánlat aláírása:</t>
  </si>
  <si>
    <t>Biztosítás Kezdete</t>
  </si>
  <si>
    <t>Díj</t>
  </si>
  <si>
    <t>Díjfizetési mód</t>
  </si>
  <si>
    <t>átutalás</t>
  </si>
  <si>
    <t>Feltételezett éves átlagos hozam</t>
  </si>
  <si>
    <t>Harmónia Classic</t>
  </si>
  <si>
    <t>folyamatos díjas</t>
  </si>
  <si>
    <t>nyugdíjbiztosítás</t>
  </si>
  <si>
    <t>Foly</t>
  </si>
  <si>
    <t>Fix</t>
  </si>
  <si>
    <t>Szolgáltatás</t>
  </si>
  <si>
    <t>Lejárati összeg (összesen):</t>
  </si>
  <si>
    <t>Befizetett díjak összesen</t>
  </si>
  <si>
    <t>Díjmentesítési érték</t>
  </si>
  <si>
    <t>Díjfizetési gyakoriság és gyakoriság szerinti az díj az első évben</t>
  </si>
  <si>
    <t>Biztosítási összeg + Nyereségszámla + Adójóváírás és hozama összesen</t>
  </si>
  <si>
    <t xml:space="preserve">A termék klasszikus (hagyományos) nyugdíjbiztosítás, melynél a szerződéskötéskor rögzített szolgáltatás (biztosítási összeg) nagyságát a biztosító garantálja. </t>
  </si>
  <si>
    <t xml:space="preserve">A kifizetések nagyságát jóváírt többlethozamok is növelhetik. A többlethozam mértékére vonatkozóan az UNIQA Biztosító Zrt. semmilyen garanciát nem vállal. </t>
  </si>
  <si>
    <t>Kezdeti éves díj</t>
  </si>
  <si>
    <t>Összes befizetett díj a tartam alatt</t>
  </si>
  <si>
    <t>Az adójóváírások összege hozam nélkül</t>
  </si>
  <si>
    <t>Díj index (kivéve a tartam utolsó két évében)</t>
  </si>
  <si>
    <t xml:space="preserve">A kalkuláció csak tájékoztató jellegű, nem minősül ajánlattételnek. </t>
  </si>
  <si>
    <t>e-mail</t>
  </si>
  <si>
    <t>Referens e-mail címe</t>
  </si>
  <si>
    <t>Fizetési gyakoriság</t>
  </si>
  <si>
    <t xml:space="preserve">VISSZAIGÉNYELHETŐ SZJA ÉRTÉKÉT, illetve hozamkalkulációt végez a megadott feltételezett hozammal, </t>
  </si>
  <si>
    <t>Ez a kalkulátor azért készült, hogy ügyfelednek személyre szabott nyugdíjbiztosítási</t>
  </si>
  <si>
    <t>beszedési megbízás</t>
  </si>
  <si>
    <t/>
  </si>
  <si>
    <t>Arany</t>
  </si>
  <si>
    <t>Cél 2030</t>
  </si>
  <si>
    <t>Cél 2035</t>
  </si>
  <si>
    <t>Cél 2040</t>
  </si>
  <si>
    <t>Cél 2045</t>
  </si>
  <si>
    <t>Cél 2050</t>
  </si>
  <si>
    <t>Fejlett piaci részvény</t>
  </si>
  <si>
    <t>Feltörekvő piaci részvény</t>
  </si>
  <si>
    <t>Forint Likviditás</t>
  </si>
  <si>
    <t>Globális kötvény</t>
  </si>
  <si>
    <t>Hazai részvény</t>
  </si>
  <si>
    <t>Magyar államkötvény</t>
  </si>
  <si>
    <t xml:space="preserve">Menedzselt kiegyensúlyozott </t>
  </si>
  <si>
    <t>Menedzselt konzervatív</t>
  </si>
  <si>
    <t xml:space="preserve">Menedzselt kötvénytúlsúlyos </t>
  </si>
  <si>
    <t xml:space="preserve">Menedzselt részvénytúlsúlyos </t>
  </si>
  <si>
    <t>Nemzetközi Ingatlan</t>
  </si>
  <si>
    <t>ProtAktív Globális részvény</t>
  </si>
  <si>
    <t>Rövid lejáratú pénzpiaci</t>
  </si>
  <si>
    <t>Spektrum abszolút hozam</t>
  </si>
  <si>
    <t>Új technológiák</t>
  </si>
  <si>
    <t>(akkor is, ha az adóhivataltól a tényleges utalás csak a szerződés lejáratát követően érkezik meg, így az külön kerül kifizetésre).</t>
  </si>
  <si>
    <t>Ezt az összeget eseti befizetésekkel növelheti, a teljes kifizetés adómentes.</t>
  </si>
  <si>
    <t>Befizetett díj:</t>
  </si>
  <si>
    <t>Biztosítási összeg:</t>
  </si>
  <si>
    <t>Díjmentesítés utáni biztosítási összeg:</t>
  </si>
  <si>
    <t>Adójóváírás az adott biztosítási évben</t>
  </si>
  <si>
    <t>Adójóváírás az adott összege (július hónapban)</t>
  </si>
  <si>
    <t>Adójóváírás kumulált (júliusok)</t>
  </si>
  <si>
    <t>Az adójóváírások könyvelése a modellben július hónapban történik, utolsó naptári évben fizetett díjak utáni adójóváírás a modellben a lejárat hónapjában jelenik meg</t>
  </si>
  <si>
    <t xml:space="preserve">Befizetett díjának 20%-át (maximum 130 000 Ft-ot) a következő évben adójóváírásként visszakaphatja a személyi jövedelemadó törvény feltételei szerint. </t>
  </si>
  <si>
    <t>Lejárat</t>
  </si>
  <si>
    <t>Adójóváírás a hozamok hatásával megnövelve</t>
  </si>
  <si>
    <t>Maradékjogok számítása*</t>
  </si>
  <si>
    <t>garantált minimális összege. Ha a választott összeghez minimáldíj alatti</t>
  </si>
  <si>
    <t xml:space="preserve">Amennyiben díjból szeretne ügyfél biztosítási összeget számolni, úgy az UPP rendszert kell </t>
  </si>
  <si>
    <t>melynek értéke 0% és 4,75% között lehet.</t>
  </si>
  <si>
    <t>Az előzetes díjkalkuláció kizárólag tájékoztató jellegű, bármikor módosítható, vagy visszavonható és 30 napig érvényes.</t>
  </si>
  <si>
    <r>
      <t xml:space="preserve">Baleseti halál bekövetkezése esetén a haláleseti szolgáltatáson felül </t>
    </r>
    <r>
      <rPr>
        <b/>
        <sz val="12"/>
        <color theme="1"/>
        <rFont val="Futura CE Book"/>
        <charset val="238"/>
      </rPr>
      <t xml:space="preserve">1 000 000 Ft </t>
    </r>
    <r>
      <rPr>
        <sz val="12"/>
        <color theme="1"/>
        <rFont val="Futura CE Book"/>
        <charset val="238"/>
      </rPr>
      <t xml:space="preserve">kerül </t>
    </r>
    <r>
      <rPr>
        <sz val="12"/>
        <color theme="1"/>
        <rFont val="Futura CE Book"/>
        <family val="2"/>
        <charset val="238"/>
      </rPr>
      <t>a kedvezményezettnek kifizetésre, örökösödési illeték nélkül.</t>
    </r>
  </si>
  <si>
    <t>év elteltével</t>
  </si>
  <si>
    <t>Lejárat előtti nyugdíjszolgáltatás</t>
  </si>
  <si>
    <t xml:space="preserve">40% rokkantsági szolgáltatás </t>
  </si>
  <si>
    <t>Összes adójóváírás</t>
  </si>
  <si>
    <t>Visszavásárlási érték összesen:</t>
  </si>
  <si>
    <t>Szolgáltatások és maradékjogok*</t>
  </si>
  <si>
    <t>Kezdeti éves díj:</t>
  </si>
  <si>
    <t>Befizetett díj összesen:</t>
  </si>
  <si>
    <t>Az elért hozamból a szerződő a biztosítási feltételekben meghatározott arányban részesedik, a hozamok nem teljes mértékben kerülnek jóváírásra a szerződésen.</t>
  </si>
  <si>
    <t>Visszavásárlás esetén kifizetés összesen:</t>
  </si>
  <si>
    <t>Az adóhivatal számára visszafizetendő az adójóváírások 20%-kal növelt értéke:</t>
  </si>
  <si>
    <t>v. 1.25</t>
  </si>
  <si>
    <t>Adójóváírás hónapja</t>
  </si>
  <si>
    <t>AdóHó</t>
  </si>
  <si>
    <t>Jövőkulcs Classic</t>
  </si>
  <si>
    <t>Biztosított Neve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</si>
</sst>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#,##0\ &quot;Ft&quot;;\-#,##0\ &quot;Ft&quot;"/>
    <numFmt numFmtId="6" formatCode="#,##0\ &quot;Ft&quot;;[Red]\-#,##0\ &quot;Ft&quot;"/>
    <numFmt numFmtId="43" formatCode="_-* #,##0.00\ _F_t_-;\-* #,##0.00\ _F_t_-;_-* &quot;-&quot;??\ _F_t_-;_-@_-"/>
    <numFmt numFmtId="164" formatCode="#,##0;[Red]\-#,##0"/>
    <numFmt numFmtId="165" formatCode="0.0%"/>
    <numFmt numFmtId="166" formatCode="#,##0\ &quot;Ft&quot;"/>
    <numFmt numFmtId="167" formatCode="#,##0.00;[Red]\-#,##0.00"/>
    <numFmt numFmtId="168" formatCode="_-* #,##0\ _-;\-\ #,##0\ _-;_-* &quot;-&quot;??\ _-;_-@_-"/>
    <numFmt numFmtId="169" formatCode="#&quot; év&quot;"/>
    <numFmt numFmtId="170" formatCode="_-* #,##0.0%;\-\ #,##0.0%;_-* &quot;-&quot;??\ _-;_-@_-"/>
    <numFmt numFmtId="171" formatCode="00&quot; év&quot;"/>
    <numFmt numFmtId="172" formatCode="#&quot; hó&quot;"/>
    <numFmt numFmtId="173" formatCode="#&quot; nap&quot;"/>
    <numFmt numFmtId="174" formatCode="yyyy/mm/dd\ _-;\-\ #,##0\ _-;_-* &quot;-&quot;??\ _-;_-@_-"/>
    <numFmt numFmtId="175" formatCode="&quot;max &quot;#;#;#"/>
    <numFmt numFmtId="176" formatCode="&quot;min &quot;#;#;#"/>
    <numFmt numFmtId="177" formatCode="_-* #,##0.00000\ _-;\-\ #,##0.00000\ _-;_-* &quot;-&quot;??\ _-;_-@_-"/>
    <numFmt numFmtId="178" formatCode="_-* #,##0.00%;\-\ #,##0.00%;_-* &quot;-&quot;??\ _-;_-@_-"/>
    <numFmt numFmtId="179" formatCode="0&quot; év&quot;"/>
    <numFmt numFmtId="180" formatCode="&quot;Kód: &quot;0"/>
    <numFmt numFmtId="181" formatCode="&quot;min. &quot;#,000"/>
    <numFmt numFmtId="182" formatCode="#&quot;. hó&quot;"/>
    <numFmt numFmtId="183" formatCode="0.0#%"/>
  </numFmts>
  <fonts count="10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Tahoma"/>
      <family val="2"/>
    </font>
    <font>
      <sz val="10"/>
      <name val="Tahoma"/>
      <family val="2"/>
      <charset val="238"/>
    </font>
    <font>
      <u/>
      <sz val="10"/>
      <color indexed="12"/>
      <name val="Tahoma"/>
      <family val="2"/>
    </font>
    <font>
      <sz val="12"/>
      <name val="Tahoma"/>
      <family val="2"/>
      <charset val="238"/>
    </font>
    <font>
      <sz val="10"/>
      <color theme="0"/>
      <name val="Tahoma"/>
      <family val="2"/>
      <charset val="238"/>
    </font>
    <font>
      <b/>
      <i/>
      <sz val="16"/>
      <color rgb="FF0070C0"/>
      <name val="Tahoma"/>
      <family val="2"/>
      <charset val="238"/>
    </font>
    <font>
      <i/>
      <sz val="16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0"/>
      <name val="Trebuchet MS"/>
      <family val="2"/>
      <charset val="238"/>
    </font>
    <font>
      <sz val="11"/>
      <color theme="1"/>
      <name val="Futura CE Book"/>
      <family val="2"/>
      <charset val="238"/>
    </font>
    <font>
      <sz val="12"/>
      <color theme="1"/>
      <name val="Futura CE Book"/>
      <family val="2"/>
      <charset val="238"/>
    </font>
    <font>
      <b/>
      <i/>
      <sz val="18"/>
      <color theme="1"/>
      <name val="Futura CE Book"/>
      <charset val="238"/>
    </font>
    <font>
      <b/>
      <sz val="12"/>
      <color theme="1"/>
      <name val="Futura CE Book"/>
      <charset val="238"/>
    </font>
    <font>
      <b/>
      <sz val="12"/>
      <color theme="1"/>
      <name val="Futura CE Book"/>
      <family val="2"/>
      <charset val="238"/>
    </font>
    <font>
      <sz val="12"/>
      <color theme="1"/>
      <name val="Futura CE Book"/>
      <charset val="238"/>
    </font>
    <font>
      <sz val="9"/>
      <color theme="1"/>
      <name val="Futura CE Book"/>
      <family val="2"/>
      <charset val="238"/>
    </font>
    <font>
      <b/>
      <i/>
      <sz val="14"/>
      <color theme="4"/>
      <name val="Tahoma"/>
      <family val="2"/>
      <charset val="238"/>
    </font>
    <font>
      <u/>
      <sz val="10"/>
      <name val="Tahoma"/>
      <family val="2"/>
    </font>
    <font>
      <sz val="8"/>
      <color theme="1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0" tint="-0.499984740745262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rgb="FF0070C0"/>
      <name val="Arial Narrow"/>
      <family val="2"/>
      <charset val="238"/>
    </font>
    <font>
      <b/>
      <sz val="14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sz val="8"/>
      <color theme="2" tint="-0.499984740745262"/>
      <name val="Arial Narrow"/>
      <family val="2"/>
      <charset val="238"/>
    </font>
    <font>
      <sz val="9"/>
      <color theme="1"/>
      <name val="Arial"/>
      <family val="2"/>
      <charset val="238"/>
    </font>
    <font>
      <b/>
      <sz val="10"/>
      <color theme="0" tint="-4.9989318521683403E-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9" tint="0.39997558519241921"/>
      <name val="Calibri"/>
      <family val="2"/>
      <charset val="238"/>
      <scheme val="minor"/>
    </font>
    <font>
      <sz val="8"/>
      <color theme="9" tint="0.39997558519241921"/>
      <name val="Calibri"/>
      <family val="2"/>
      <charset val="238"/>
      <scheme val="minor"/>
    </font>
    <font>
      <sz val="8"/>
      <color theme="0" tint="-4.9989318521683403E-2"/>
      <name val="Calibri"/>
      <family val="2"/>
      <charset val="238"/>
      <scheme val="minor"/>
    </font>
    <font>
      <b/>
      <sz val="9"/>
      <color theme="0" tint="-4.9989318521683403E-2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theme="4" tint="0.39997558519241921"/>
      <name val="Calibri"/>
      <family val="2"/>
      <charset val="238"/>
      <scheme val="minor"/>
    </font>
    <font>
      <sz val="8"/>
      <color theme="4" tint="0.39997558519241921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u/>
      <sz val="8"/>
      <color theme="4" tint="0.3999755851924192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0" tint="-0.249977111117893"/>
      <name val="Calibri"/>
      <family val="2"/>
      <charset val="238"/>
      <scheme val="minor"/>
    </font>
    <font>
      <sz val="11"/>
      <color theme="4" tint="0.3999755851924192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u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7" tint="0.3999755851924192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6"/>
      <color rgb="FF0070C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2"/>
      <color theme="0" tint="-0.34998626667073579"/>
      <name val="Calibri"/>
      <family val="2"/>
      <charset val="238"/>
      <scheme val="minor"/>
    </font>
    <font>
      <sz val="12"/>
      <color theme="0" tint="-0.1499984740745262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u/>
      <sz val="11"/>
      <color indexed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10"/>
      <color theme="0" tint="-0.499984740745262"/>
      <name val="Tahoma"/>
      <family val="2"/>
      <charset val="238"/>
    </font>
    <font>
      <sz val="12"/>
      <color theme="0" tint="-0.499984740745262"/>
      <name val="Tahoma"/>
      <family val="2"/>
      <charset val="238"/>
    </font>
    <font>
      <b/>
      <sz val="8"/>
      <color theme="0" tint="-4.9989318521683403E-2"/>
      <name val="Calibri"/>
      <family val="2"/>
      <charset val="238"/>
      <scheme val="minor"/>
    </font>
    <font>
      <sz val="10"/>
      <color theme="0" tint="-4.9989318521683403E-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12"/>
      <name val="Futura CE Book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22"/>
      <color theme="1"/>
      <name val="Arial"/>
      <family val="2"/>
      <charset val="238"/>
    </font>
    <font>
      <b/>
      <sz val="18"/>
      <name val="Tahoma"/>
      <family val="2"/>
      <charset val="238"/>
    </font>
    <font>
      <b/>
      <sz val="14"/>
      <color theme="1"/>
      <name val="Futura CE Book"/>
      <family val="2"/>
      <charset val="238"/>
    </font>
    <font>
      <sz val="18"/>
      <name val="Tahoma"/>
      <family val="2"/>
      <charset val="238"/>
    </font>
    <font>
      <b/>
      <i/>
      <sz val="9"/>
      <name val="Arial Narrow"/>
      <family val="2"/>
      <charset val="238"/>
    </font>
    <font>
      <sz val="8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i/>
      <sz val="10"/>
      <color theme="1"/>
      <name val="Futura CE Book"/>
      <charset val="238"/>
    </font>
    <font>
      <sz val="10"/>
      <color theme="0" tint="-0.1499984740745262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7E7FF"/>
        <bgColor indexed="64"/>
      </patternFill>
    </fill>
    <fill>
      <patternFill patternType="solid">
        <fgColor rgb="FFE1F0FF"/>
        <bgColor indexed="64"/>
      </patternFill>
    </fill>
    <fill>
      <patternFill patternType="solid">
        <fgColor rgb="FFFFE1FF"/>
        <bgColor rgb="FF000000"/>
      </patternFill>
    </fill>
    <fill>
      <patternFill patternType="solid">
        <fgColor rgb="FFFFE1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ck">
        <color theme="3"/>
      </right>
      <top/>
      <bottom style="medium">
        <color theme="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9" fontId="1" fillId="0" borderId="0" applyFont="0" applyFill="0" applyBorder="0" applyAlignment="0" applyProtection="0"/>
  </cellStyleXfs>
  <cellXfs count="47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5" fillId="0" borderId="0" xfId="2" applyFont="1" applyProtection="1">
      <protection locked="0"/>
    </xf>
    <xf numFmtId="1" fontId="5" fillId="0" borderId="0" xfId="2" applyNumberFormat="1" applyFont="1" applyProtection="1">
      <protection locked="0"/>
    </xf>
    <xf numFmtId="0" fontId="5" fillId="0" borderId="0" xfId="2" applyFont="1" applyAlignment="1" applyProtection="1"/>
    <xf numFmtId="166" fontId="7" fillId="0" borderId="0" xfId="2" applyNumberFormat="1" applyFont="1" applyAlignment="1" applyProtection="1">
      <alignment horizontal="center" vertical="center"/>
    </xf>
    <xf numFmtId="0" fontId="7" fillId="0" borderId="0" xfId="2" applyFont="1" applyAlignment="1" applyProtection="1">
      <alignment horizontal="right"/>
    </xf>
    <xf numFmtId="166" fontId="11" fillId="0" borderId="0" xfId="2" applyNumberFormat="1" applyFont="1" applyAlignment="1" applyProtection="1">
      <alignment horizontal="center" vertical="center"/>
    </xf>
    <xf numFmtId="3" fontId="12" fillId="0" borderId="0" xfId="2" applyNumberFormat="1" applyFont="1" applyAlignment="1" applyProtection="1">
      <protection locked="0"/>
    </xf>
    <xf numFmtId="0" fontId="7" fillId="0" borderId="0" xfId="2" applyFont="1" applyAlignment="1" applyProtection="1"/>
    <xf numFmtId="0" fontId="5" fillId="0" borderId="0" xfId="2" applyFont="1" applyFill="1" applyProtection="1">
      <protection locked="0"/>
    </xf>
    <xf numFmtId="0" fontId="5" fillId="0" borderId="0" xfId="2" applyFont="1" applyAlignment="1" applyProtection="1">
      <protection locked="0"/>
    </xf>
    <xf numFmtId="0" fontId="8" fillId="0" borderId="0" xfId="2" applyFont="1" applyAlignment="1" applyProtection="1">
      <protection locked="0"/>
    </xf>
    <xf numFmtId="0" fontId="5" fillId="0" borderId="0" xfId="2" applyFont="1" applyFill="1" applyProtection="1"/>
    <xf numFmtId="0" fontId="5" fillId="0" borderId="0" xfId="2" applyFont="1" applyFill="1" applyAlignment="1" applyProtection="1"/>
    <xf numFmtId="3" fontId="12" fillId="0" borderId="0" xfId="2" applyNumberFormat="1" applyFont="1" applyFill="1" applyBorder="1" applyAlignment="1" applyProtection="1">
      <alignment horizontal="right"/>
      <protection locked="0"/>
    </xf>
    <xf numFmtId="3" fontId="13" fillId="0" borderId="0" xfId="2" applyNumberFormat="1" applyFont="1" applyFill="1" applyBorder="1" applyAlignment="1" applyProtection="1">
      <alignment horizontal="right"/>
      <protection locked="0"/>
    </xf>
    <xf numFmtId="167" fontId="13" fillId="0" borderId="0" xfId="2" applyNumberFormat="1" applyFont="1" applyFill="1" applyBorder="1" applyAlignment="1" applyProtection="1">
      <alignment horizontal="right"/>
      <protection locked="0"/>
    </xf>
    <xf numFmtId="0" fontId="13" fillId="0" borderId="0" xfId="2" applyFont="1" applyFill="1" applyBorder="1" applyAlignment="1" applyProtection="1">
      <alignment horizontal="center"/>
      <protection locked="0"/>
    </xf>
    <xf numFmtId="1" fontId="13" fillId="0" borderId="0" xfId="2" applyNumberFormat="1" applyFont="1" applyFill="1" applyBorder="1" applyAlignment="1" applyProtection="1">
      <alignment horizontal="right"/>
      <protection locked="0"/>
    </xf>
    <xf numFmtId="4" fontId="13" fillId="0" borderId="0" xfId="2" applyNumberFormat="1" applyFont="1" applyFill="1" applyBorder="1" applyAlignment="1" applyProtection="1">
      <alignment horizontal="right"/>
      <protection locked="0"/>
    </xf>
    <xf numFmtId="3" fontId="13" fillId="0" borderId="0" xfId="2" applyNumberFormat="1" applyFont="1" applyFill="1" applyBorder="1" applyAlignment="1" applyProtection="1">
      <alignment horizontal="center"/>
      <protection locked="0"/>
    </xf>
    <xf numFmtId="3" fontId="8" fillId="0" borderId="0" xfId="2" applyNumberFormat="1" applyFont="1" applyFill="1" applyBorder="1" applyAlignment="1" applyProtection="1">
      <alignment horizontal="right"/>
      <protection locked="0"/>
    </xf>
    <xf numFmtId="3" fontId="5" fillId="0" borderId="0" xfId="2" applyNumberFormat="1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Protection="1">
      <protection locked="0"/>
    </xf>
    <xf numFmtId="0" fontId="14" fillId="0" borderId="0" xfId="2" applyFont="1" applyFill="1" applyBorder="1" applyAlignment="1" applyProtection="1">
      <protection locked="0"/>
    </xf>
    <xf numFmtId="0" fontId="14" fillId="0" borderId="0" xfId="2" applyFont="1" applyFill="1" applyBorder="1" applyProtection="1">
      <protection locked="0"/>
    </xf>
    <xf numFmtId="0" fontId="14" fillId="0" borderId="0" xfId="2" applyFont="1" applyBorder="1" applyProtection="1">
      <protection locked="0"/>
    </xf>
    <xf numFmtId="1" fontId="5" fillId="0" borderId="0" xfId="2" applyNumberFormat="1" applyFont="1" applyFill="1" applyBorder="1" applyProtection="1">
      <protection locked="0"/>
    </xf>
    <xf numFmtId="1" fontId="5" fillId="0" borderId="0" xfId="2" applyNumberFormat="1" applyFont="1" applyFill="1" applyProtection="1">
      <protection locked="0"/>
    </xf>
    <xf numFmtId="166" fontId="22" fillId="6" borderId="0" xfId="2" applyNumberFormat="1" applyFont="1" applyFill="1" applyAlignment="1" applyProtection="1">
      <alignment horizontal="right"/>
      <protection locked="0"/>
    </xf>
    <xf numFmtId="166" fontId="7" fillId="0" borderId="0" xfId="2" applyNumberFormat="1" applyFont="1" applyAlignment="1" applyProtection="1">
      <alignment horizontal="right"/>
      <protection locked="0"/>
    </xf>
    <xf numFmtId="0" fontId="7" fillId="0" borderId="0" xfId="2" applyFont="1" applyAlignment="1" applyProtection="1">
      <alignment horizontal="center"/>
    </xf>
    <xf numFmtId="0" fontId="7" fillId="3" borderId="0" xfId="2" applyFont="1" applyFill="1" applyAlignment="1" applyProtection="1">
      <alignment horizontal="right"/>
    </xf>
    <xf numFmtId="0" fontId="9" fillId="4" borderId="2" xfId="2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/>
    </xf>
    <xf numFmtId="166" fontId="7" fillId="0" borderId="0" xfId="2" applyNumberFormat="1" applyFont="1" applyAlignment="1" applyProtection="1"/>
    <xf numFmtId="0" fontId="9" fillId="6" borderId="2" xfId="2" applyFont="1" applyFill="1" applyBorder="1" applyAlignment="1" applyProtection="1">
      <alignment horizontal="center" vertical="center"/>
    </xf>
    <xf numFmtId="166" fontId="7" fillId="0" borderId="0" xfId="2" applyNumberFormat="1" applyFont="1" applyAlignment="1" applyProtection="1">
      <alignment horizontal="right" vertical="center"/>
    </xf>
    <xf numFmtId="0" fontId="4" fillId="0" borderId="0" xfId="2"/>
    <xf numFmtId="0" fontId="4" fillId="0" borderId="0" xfId="2" applyAlignment="1">
      <alignment horizontal="left" vertical="top"/>
    </xf>
    <xf numFmtId="0" fontId="4" fillId="0" borderId="0" xfId="2" applyAlignment="1">
      <alignment vertical="top"/>
    </xf>
    <xf numFmtId="0" fontId="23" fillId="0" borderId="0" xfId="2" applyFont="1"/>
    <xf numFmtId="0" fontId="24" fillId="0" borderId="0" xfId="0" applyFont="1"/>
    <xf numFmtId="14" fontId="24" fillId="0" borderId="0" xfId="0" applyNumberFormat="1" applyFont="1"/>
    <xf numFmtId="164" fontId="24" fillId="0" borderId="0" xfId="0" applyNumberFormat="1" applyFont="1"/>
    <xf numFmtId="0" fontId="24" fillId="0" borderId="0" xfId="0" applyFont="1" applyAlignment="1">
      <alignment wrapText="1"/>
    </xf>
    <xf numFmtId="9" fontId="24" fillId="0" borderId="0" xfId="1" applyFont="1"/>
    <xf numFmtId="0" fontId="24" fillId="0" borderId="0" xfId="0" applyFont="1" applyAlignment="1">
      <alignment horizontal="center" vertical="center" wrapText="1"/>
    </xf>
    <xf numFmtId="168" fontId="24" fillId="0" borderId="0" xfId="0" applyNumberFormat="1" applyFont="1"/>
    <xf numFmtId="164" fontId="25" fillId="0" borderId="0" xfId="0" applyNumberFormat="1" applyFont="1"/>
    <xf numFmtId="0" fontId="24" fillId="0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24" fillId="0" borderId="0" xfId="0" applyFont="1" applyFill="1"/>
    <xf numFmtId="0" fontId="25" fillId="0" borderId="0" xfId="0" applyFont="1" applyAlignment="1">
      <alignment horizontal="center" vertical="center" wrapText="1"/>
    </xf>
    <xf numFmtId="0" fontId="29" fillId="11" borderId="2" xfId="5" applyFont="1" applyFill="1" applyBorder="1" applyAlignment="1" applyProtection="1">
      <alignment horizontal="center" vertical="center" wrapText="1"/>
      <protection hidden="1"/>
    </xf>
    <xf numFmtId="0" fontId="26" fillId="0" borderId="23" xfId="0" applyFont="1" applyBorder="1"/>
    <xf numFmtId="164" fontId="26" fillId="0" borderId="24" xfId="0" applyNumberFormat="1" applyFont="1" applyBorder="1"/>
    <xf numFmtId="168" fontId="26" fillId="0" borderId="24" xfId="0" applyNumberFormat="1" applyFont="1" applyBorder="1"/>
    <xf numFmtId="168" fontId="26" fillId="0" borderId="25" xfId="0" applyNumberFormat="1" applyFont="1" applyBorder="1"/>
    <xf numFmtId="0" fontId="33" fillId="0" borderId="0" xfId="0" applyFont="1"/>
    <xf numFmtId="0" fontId="34" fillId="0" borderId="0" xfId="0" applyFont="1"/>
    <xf numFmtId="0" fontId="35" fillId="0" borderId="0" xfId="0" applyFont="1" applyAlignment="1">
      <alignment horizontal="right"/>
    </xf>
    <xf numFmtId="0" fontId="33" fillId="0" borderId="0" xfId="0" applyFont="1" applyFill="1"/>
    <xf numFmtId="176" fontId="35" fillId="0" borderId="0" xfId="0" applyNumberFormat="1" applyFont="1" applyFill="1" applyAlignment="1">
      <alignment horizontal="right" vertical="center"/>
    </xf>
    <xf numFmtId="0" fontId="24" fillId="2" borderId="0" xfId="0" applyFont="1" applyFill="1"/>
    <xf numFmtId="0" fontId="36" fillId="0" borderId="0" xfId="0" applyFont="1"/>
    <xf numFmtId="168" fontId="36" fillId="0" borderId="0" xfId="0" applyNumberFormat="1" applyFont="1"/>
    <xf numFmtId="168" fontId="24" fillId="0" borderId="0" xfId="6" applyNumberFormat="1" applyFont="1"/>
    <xf numFmtId="176" fontId="36" fillId="0" borderId="0" xfId="0" applyNumberFormat="1" applyFont="1" applyFill="1" applyAlignment="1">
      <alignment vertical="center"/>
    </xf>
    <xf numFmtId="165" fontId="34" fillId="0" borderId="0" xfId="1" applyNumberFormat="1" applyFont="1"/>
    <xf numFmtId="0" fontId="36" fillId="0" borderId="0" xfId="0" applyFont="1" applyAlignment="1">
      <alignment horizontal="right"/>
    </xf>
    <xf numFmtId="175" fontId="36" fillId="0" borderId="0" xfId="0" applyNumberFormat="1" applyFont="1" applyFill="1" applyAlignment="1">
      <alignment vertical="center"/>
    </xf>
    <xf numFmtId="0" fontId="24" fillId="0" borderId="0" xfId="0" applyFont="1" applyBorder="1"/>
    <xf numFmtId="0" fontId="38" fillId="0" borderId="0" xfId="0" applyFont="1"/>
    <xf numFmtId="0" fontId="24" fillId="12" borderId="0" xfId="0" applyFont="1" applyFill="1"/>
    <xf numFmtId="170" fontId="24" fillId="0" borderId="0" xfId="0" applyNumberFormat="1" applyFont="1"/>
    <xf numFmtId="177" fontId="24" fillId="0" borderId="0" xfId="0" applyNumberFormat="1" applyFont="1"/>
    <xf numFmtId="178" fontId="24" fillId="0" borderId="0" xfId="0" applyNumberFormat="1" applyFont="1"/>
    <xf numFmtId="0" fontId="25" fillId="0" borderId="0" xfId="0" applyFont="1" applyFill="1"/>
    <xf numFmtId="0" fontId="24" fillId="9" borderId="0" xfId="0" applyFont="1" applyFill="1"/>
    <xf numFmtId="0" fontId="26" fillId="0" borderId="0" xfId="0" applyFont="1"/>
    <xf numFmtId="0" fontId="26" fillId="0" borderId="0" xfId="0" applyFont="1" applyAlignment="1">
      <alignment horizontal="center" vertical="center"/>
    </xf>
    <xf numFmtId="170" fontId="36" fillId="0" borderId="0" xfId="0" applyNumberFormat="1" applyFont="1"/>
    <xf numFmtId="174" fontId="33" fillId="14" borderId="0" xfId="0" applyNumberFormat="1" applyFont="1" applyFill="1" applyBorder="1" applyAlignment="1">
      <alignment vertical="center"/>
    </xf>
    <xf numFmtId="0" fontId="33" fillId="14" borderId="0" xfId="0" applyFont="1" applyFill="1" applyBorder="1" applyAlignment="1">
      <alignment vertical="center"/>
    </xf>
    <xf numFmtId="176" fontId="36" fillId="14" borderId="0" xfId="0" applyNumberFormat="1" applyFont="1" applyFill="1" applyAlignment="1">
      <alignment vertical="center"/>
    </xf>
    <xf numFmtId="175" fontId="36" fillId="14" borderId="0" xfId="0" applyNumberFormat="1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3" fillId="14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68" fontId="33" fillId="14" borderId="0" xfId="0" applyNumberFormat="1" applyFont="1" applyFill="1"/>
    <xf numFmtId="168" fontId="33" fillId="14" borderId="0" xfId="1" applyNumberFormat="1" applyFont="1" applyFill="1" applyBorder="1" applyAlignment="1">
      <alignment vertical="center"/>
    </xf>
    <xf numFmtId="0" fontId="51" fillId="5" borderId="0" xfId="2" applyFont="1" applyFill="1" applyAlignment="1" applyProtection="1">
      <alignment vertical="center"/>
    </xf>
    <xf numFmtId="14" fontId="52" fillId="5" borderId="0" xfId="3" applyNumberFormat="1" applyFont="1" applyFill="1" applyBorder="1" applyAlignment="1" applyProtection="1">
      <alignment horizontal="left" vertical="center"/>
    </xf>
    <xf numFmtId="1" fontId="24" fillId="0" borderId="0" xfId="0" applyNumberFormat="1" applyFont="1" applyFill="1"/>
    <xf numFmtId="9" fontId="58" fillId="15" borderId="2" xfId="0" applyNumberFormat="1" applyFont="1" applyFill="1" applyBorder="1"/>
    <xf numFmtId="164" fontId="26" fillId="15" borderId="2" xfId="0" applyNumberFormat="1" applyFont="1" applyFill="1" applyBorder="1"/>
    <xf numFmtId="14" fontId="26" fillId="15" borderId="2" xfId="0" applyNumberFormat="1" applyFont="1" applyFill="1" applyBorder="1"/>
    <xf numFmtId="164" fontId="26" fillId="16" borderId="2" xfId="0" applyNumberFormat="1" applyFont="1" applyFill="1" applyBorder="1"/>
    <xf numFmtId="165" fontId="26" fillId="13" borderId="2" xfId="1" applyNumberFormat="1" applyFont="1" applyFill="1" applyBorder="1"/>
    <xf numFmtId="0" fontId="60" fillId="5" borderId="0" xfId="2" applyFont="1" applyFill="1" applyAlignment="1" applyProtection="1">
      <alignment vertical="center"/>
    </xf>
    <xf numFmtId="0" fontId="60" fillId="0" borderId="0" xfId="2" applyFont="1" applyFill="1" applyAlignment="1" applyProtection="1">
      <alignment vertical="center"/>
    </xf>
    <xf numFmtId="0" fontId="59" fillId="0" borderId="0" xfId="2" applyFont="1" applyAlignment="1" applyProtection="1">
      <alignment vertical="center"/>
    </xf>
    <xf numFmtId="14" fontId="61" fillId="0" borderId="0" xfId="3" applyNumberFormat="1" applyFont="1" applyFill="1" applyBorder="1" applyAlignment="1" applyProtection="1">
      <alignment horizontal="left" vertical="center"/>
    </xf>
    <xf numFmtId="0" fontId="62" fillId="0" borderId="0" xfId="2" applyFont="1" applyAlignment="1" applyProtection="1">
      <alignment vertical="center"/>
    </xf>
    <xf numFmtId="0" fontId="64" fillId="0" borderId="0" xfId="2" applyFont="1" applyAlignment="1" applyProtection="1">
      <alignment vertical="center"/>
    </xf>
    <xf numFmtId="166" fontId="64" fillId="0" borderId="0" xfId="2" applyNumberFormat="1" applyFont="1" applyAlignment="1" applyProtection="1">
      <alignment vertical="center"/>
    </xf>
    <xf numFmtId="166" fontId="59" fillId="0" borderId="0" xfId="2" applyNumberFormat="1" applyFont="1" applyAlignment="1" applyProtection="1">
      <alignment vertical="center"/>
    </xf>
    <xf numFmtId="0" fontId="67" fillId="0" borderId="0" xfId="2" applyFont="1" applyAlignment="1" applyProtection="1">
      <alignment vertical="center"/>
    </xf>
    <xf numFmtId="0" fontId="65" fillId="0" borderId="0" xfId="2" applyFont="1" applyAlignment="1" applyProtection="1">
      <alignment vertical="center"/>
    </xf>
    <xf numFmtId="0" fontId="65" fillId="0" borderId="0" xfId="2" applyFont="1" applyAlignment="1" applyProtection="1">
      <alignment horizontal="right" vertical="center"/>
    </xf>
    <xf numFmtId="166" fontId="65" fillId="0" borderId="0" xfId="2" applyNumberFormat="1" applyFont="1" applyAlignment="1" applyProtection="1">
      <alignment horizontal="center" vertical="center"/>
    </xf>
    <xf numFmtId="166" fontId="70" fillId="0" borderId="0" xfId="2" applyNumberFormat="1" applyFont="1" applyAlignment="1" applyProtection="1">
      <alignment horizontal="center" vertical="center"/>
    </xf>
    <xf numFmtId="166" fontId="71" fillId="0" borderId="0" xfId="2" applyNumberFormat="1" applyFont="1" applyAlignment="1" applyProtection="1">
      <alignment horizontal="center" vertical="center"/>
    </xf>
    <xf numFmtId="0" fontId="59" fillId="5" borderId="0" xfId="2" applyFont="1" applyFill="1" applyAlignment="1" applyProtection="1">
      <alignment vertical="center"/>
    </xf>
    <xf numFmtId="0" fontId="59" fillId="0" borderId="0" xfId="2" applyFont="1" applyFill="1" applyAlignment="1" applyProtection="1">
      <alignment vertical="center"/>
    </xf>
    <xf numFmtId="0" fontId="59" fillId="0" borderId="0" xfId="2" applyFont="1" applyFill="1" applyBorder="1" applyAlignment="1" applyProtection="1">
      <alignment vertical="center"/>
    </xf>
    <xf numFmtId="3" fontId="59" fillId="0" borderId="0" xfId="2" applyNumberFormat="1" applyFont="1" applyAlignment="1" applyProtection="1">
      <alignment vertical="center"/>
    </xf>
    <xf numFmtId="3" fontId="55" fillId="0" borderId="0" xfId="2" applyNumberFormat="1" applyFont="1" applyFill="1" applyBorder="1" applyAlignment="1" applyProtection="1">
      <alignment horizontal="center" vertical="center"/>
    </xf>
    <xf numFmtId="0" fontId="57" fillId="0" borderId="0" xfId="2" applyFont="1" applyAlignment="1" applyProtection="1">
      <alignment vertical="center"/>
    </xf>
    <xf numFmtId="0" fontId="73" fillId="0" borderId="0" xfId="3" applyFont="1" applyFill="1" applyAlignment="1" applyProtection="1">
      <alignment horizontal="center" vertical="center"/>
    </xf>
    <xf numFmtId="0" fontId="65" fillId="0" borderId="0" xfId="2" applyFont="1" applyFill="1" applyAlignment="1" applyProtection="1">
      <alignment vertical="center"/>
    </xf>
    <xf numFmtId="3" fontId="57" fillId="0" borderId="0" xfId="2" applyNumberFormat="1" applyFont="1" applyAlignment="1" applyProtection="1">
      <alignment vertical="center"/>
    </xf>
    <xf numFmtId="0" fontId="63" fillId="0" borderId="0" xfId="2" applyFont="1" applyAlignment="1" applyProtection="1">
      <alignment vertical="center"/>
    </xf>
    <xf numFmtId="3" fontId="55" fillId="0" borderId="0" xfId="2" applyNumberFormat="1" applyFont="1" applyFill="1" applyBorder="1" applyAlignment="1" applyProtection="1">
      <alignment horizontal="right" vertical="center"/>
    </xf>
    <xf numFmtId="168" fontId="55" fillId="0" borderId="0" xfId="2" applyNumberFormat="1" applyFont="1" applyFill="1" applyBorder="1" applyAlignment="1" applyProtection="1">
      <alignment horizontal="center" vertical="center"/>
    </xf>
    <xf numFmtId="4" fontId="32" fillId="0" borderId="0" xfId="2" applyNumberFormat="1" applyFont="1" applyFill="1" applyBorder="1" applyAlignment="1" applyProtection="1">
      <alignment horizontal="right" vertical="center"/>
    </xf>
    <xf numFmtId="1" fontId="59" fillId="0" borderId="0" xfId="2" applyNumberFormat="1" applyFont="1" applyAlignment="1" applyProtection="1">
      <alignment vertical="center"/>
    </xf>
    <xf numFmtId="0" fontId="59" fillId="0" borderId="0" xfId="2" applyFont="1" applyBorder="1" applyAlignment="1" applyProtection="1">
      <alignment vertical="center"/>
    </xf>
    <xf numFmtId="1" fontId="59" fillId="0" borderId="0" xfId="2" applyNumberFormat="1" applyFont="1" applyFill="1" applyAlignment="1" applyProtection="1">
      <alignment vertical="center"/>
    </xf>
    <xf numFmtId="170" fontId="24" fillId="0" borderId="0" xfId="0" applyNumberFormat="1" applyFont="1" applyAlignment="1">
      <alignment horizontal="center" vertical="center" wrapText="1"/>
    </xf>
    <xf numFmtId="0" fontId="26" fillId="9" borderId="0" xfId="0" applyFont="1" applyFill="1" applyAlignment="1">
      <alignment horizontal="center" vertical="center" wrapText="1"/>
    </xf>
    <xf numFmtId="0" fontId="24" fillId="16" borderId="0" xfId="0" applyFont="1" applyFill="1" applyAlignment="1">
      <alignment horizontal="center" vertical="center" wrapText="1"/>
    </xf>
    <xf numFmtId="3" fontId="32" fillId="0" borderId="5" xfId="2" applyNumberFormat="1" applyFont="1" applyFill="1" applyBorder="1" applyAlignment="1" applyProtection="1">
      <alignment horizontal="center" vertical="center"/>
    </xf>
    <xf numFmtId="0" fontId="72" fillId="10" borderId="2" xfId="2" applyFont="1" applyFill="1" applyBorder="1" applyAlignment="1" applyProtection="1">
      <alignment horizontal="center" vertical="center" wrapText="1"/>
    </xf>
    <xf numFmtId="1" fontId="72" fillId="10" borderId="2" xfId="2" applyNumberFormat="1" applyFont="1" applyFill="1" applyBorder="1" applyAlignment="1" applyProtection="1">
      <alignment horizontal="center" vertical="center" wrapText="1"/>
    </xf>
    <xf numFmtId="166" fontId="72" fillId="10" borderId="2" xfId="2" applyNumberFormat="1" applyFont="1" applyFill="1" applyBorder="1" applyAlignment="1" applyProtection="1">
      <alignment horizontal="center" vertical="center" wrapText="1"/>
    </xf>
    <xf numFmtId="0" fontId="77" fillId="5" borderId="0" xfId="2" applyFont="1" applyFill="1" applyAlignment="1" applyProtection="1"/>
    <xf numFmtId="0" fontId="78" fillId="5" borderId="0" xfId="2" applyFont="1" applyFill="1" applyAlignment="1" applyProtection="1">
      <alignment horizontal="right"/>
    </xf>
    <xf numFmtId="166" fontId="78" fillId="5" borderId="0" xfId="2" applyNumberFormat="1" applyFont="1" applyFill="1" applyAlignment="1" applyProtection="1"/>
    <xf numFmtId="0" fontId="63" fillId="5" borderId="0" xfId="2" applyFont="1" applyFill="1" applyAlignment="1" applyProtection="1">
      <alignment vertical="center"/>
    </xf>
    <xf numFmtId="5" fontId="63" fillId="0" borderId="0" xfId="2" applyNumberFormat="1" applyFont="1" applyAlignment="1" applyProtection="1">
      <alignment vertical="center"/>
    </xf>
    <xf numFmtId="166" fontId="63" fillId="0" borderId="0" xfId="2" applyNumberFormat="1" applyFont="1" applyAlignment="1" applyProtection="1">
      <alignment vertical="center"/>
    </xf>
    <xf numFmtId="168" fontId="32" fillId="0" borderId="5" xfId="2" applyNumberFormat="1" applyFont="1" applyFill="1" applyBorder="1" applyAlignment="1" applyProtection="1">
      <alignment horizontal="right" vertical="center"/>
    </xf>
    <xf numFmtId="168" fontId="32" fillId="5" borderId="5" xfId="2" applyNumberFormat="1" applyFont="1" applyFill="1" applyBorder="1" applyAlignment="1" applyProtection="1">
      <alignment horizontal="right" vertical="center"/>
    </xf>
    <xf numFmtId="168" fontId="32" fillId="0" borderId="0" xfId="2" applyNumberFormat="1" applyFont="1" applyFill="1" applyBorder="1" applyAlignment="1" applyProtection="1">
      <alignment horizontal="right" vertical="center"/>
    </xf>
    <xf numFmtId="168" fontId="54" fillId="0" borderId="0" xfId="2" applyNumberFormat="1" applyFont="1" applyFill="1" applyBorder="1" applyAlignment="1" applyProtection="1">
      <alignment horizontal="right" vertical="center"/>
    </xf>
    <xf numFmtId="168" fontId="76" fillId="0" borderId="0" xfId="2" applyNumberFormat="1" applyFont="1" applyFill="1" applyBorder="1" applyAlignment="1" applyProtection="1">
      <alignment horizontal="right" vertical="center"/>
    </xf>
    <xf numFmtId="168" fontId="32" fillId="0" borderId="5" xfId="2" applyNumberFormat="1" applyFont="1" applyFill="1" applyBorder="1" applyAlignment="1" applyProtection="1">
      <alignment horizontal="center" vertical="center"/>
    </xf>
    <xf numFmtId="168" fontId="54" fillId="0" borderId="0" xfId="2" applyNumberFormat="1" applyFont="1" applyFill="1" applyBorder="1" applyAlignment="1" applyProtection="1">
      <alignment horizontal="center" vertical="center"/>
    </xf>
    <xf numFmtId="0" fontId="24" fillId="0" borderId="23" xfId="0" applyFont="1" applyBorder="1"/>
    <xf numFmtId="164" fontId="24" fillId="0" borderId="24" xfId="0" applyNumberFormat="1" applyFont="1" applyBorder="1"/>
    <xf numFmtId="168" fontId="24" fillId="0" borderId="24" xfId="0" applyNumberFormat="1" applyFont="1" applyBorder="1"/>
    <xf numFmtId="168" fontId="24" fillId="0" borderId="25" xfId="0" applyNumberFormat="1" applyFont="1" applyBorder="1"/>
    <xf numFmtId="0" fontId="24" fillId="10" borderId="23" xfId="0" applyFont="1" applyFill="1" applyBorder="1"/>
    <xf numFmtId="164" fontId="24" fillId="10" borderId="24" xfId="0" applyNumberFormat="1" applyFont="1" applyFill="1" applyBorder="1"/>
    <xf numFmtId="168" fontId="24" fillId="10" borderId="24" xfId="0" applyNumberFormat="1" applyFont="1" applyFill="1" applyBorder="1"/>
    <xf numFmtId="168" fontId="24" fillId="10" borderId="25" xfId="0" applyNumberFormat="1" applyFont="1" applyFill="1" applyBorder="1"/>
    <xf numFmtId="0" fontId="26" fillId="10" borderId="23" xfId="0" applyFont="1" applyFill="1" applyBorder="1"/>
    <xf numFmtId="164" fontId="26" fillId="10" borderId="24" xfId="0" applyNumberFormat="1" applyFont="1" applyFill="1" applyBorder="1"/>
    <xf numFmtId="168" fontId="26" fillId="10" borderId="24" xfId="0" applyNumberFormat="1" applyFont="1" applyFill="1" applyBorder="1"/>
    <xf numFmtId="168" fontId="26" fillId="10" borderId="25" xfId="0" applyNumberFormat="1" applyFont="1" applyFill="1" applyBorder="1"/>
    <xf numFmtId="174" fontId="32" fillId="0" borderId="0" xfId="0" applyNumberFormat="1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center" vertical="center"/>
    </xf>
    <xf numFmtId="0" fontId="63" fillId="0" borderId="0" xfId="2" applyFont="1" applyFill="1" applyBorder="1" applyAlignment="1" applyProtection="1">
      <alignment vertical="center"/>
    </xf>
    <xf numFmtId="0" fontId="0" fillId="17" borderId="0" xfId="0" applyFont="1" applyFill="1" applyAlignment="1" applyProtection="1">
      <alignment vertical="center"/>
    </xf>
    <xf numFmtId="0" fontId="59" fillId="17" borderId="0" xfId="2" applyFont="1" applyFill="1" applyAlignment="1" applyProtection="1">
      <alignment vertical="center"/>
    </xf>
    <xf numFmtId="0" fontId="42" fillId="17" borderId="0" xfId="0" applyFont="1" applyFill="1" applyAlignment="1" applyProtection="1">
      <alignment vertical="center"/>
    </xf>
    <xf numFmtId="0" fontId="29" fillId="17" borderId="0" xfId="0" applyFont="1" applyFill="1" applyAlignment="1" applyProtection="1">
      <alignment vertical="center"/>
    </xf>
    <xf numFmtId="0" fontId="30" fillId="17" borderId="0" xfId="0" applyFont="1" applyFill="1" applyAlignment="1" applyProtection="1">
      <alignment vertical="center"/>
    </xf>
    <xf numFmtId="0" fontId="43" fillId="17" borderId="0" xfId="0" applyFont="1" applyFill="1" applyAlignment="1" applyProtection="1">
      <alignment vertical="center"/>
    </xf>
    <xf numFmtId="0" fontId="45" fillId="17" borderId="0" xfId="0" applyFont="1" applyFill="1" applyAlignment="1" applyProtection="1">
      <alignment horizontal="right" vertical="center"/>
    </xf>
    <xf numFmtId="0" fontId="79" fillId="17" borderId="0" xfId="0" applyFont="1" applyFill="1" applyAlignment="1" applyProtection="1">
      <alignment horizontal="right" vertical="center"/>
    </xf>
    <xf numFmtId="173" fontId="79" fillId="17" borderId="0" xfId="0" applyNumberFormat="1" applyFont="1" applyFill="1" applyBorder="1" applyAlignment="1" applyProtection="1">
      <alignment horizontal="left" vertical="center"/>
    </xf>
    <xf numFmtId="172" fontId="49" fillId="17" borderId="0" xfId="0" applyNumberFormat="1" applyFont="1" applyFill="1" applyBorder="1" applyAlignment="1" applyProtection="1">
      <alignment vertical="center"/>
    </xf>
    <xf numFmtId="175" fontId="50" fillId="17" borderId="0" xfId="0" applyNumberFormat="1" applyFont="1" applyFill="1" applyAlignment="1" applyProtection="1">
      <alignment vertical="center"/>
    </xf>
    <xf numFmtId="0" fontId="50" fillId="17" borderId="0" xfId="0" applyFont="1" applyFill="1" applyAlignment="1" applyProtection="1">
      <alignment vertical="center"/>
    </xf>
    <xf numFmtId="0" fontId="79" fillId="17" borderId="0" xfId="0" applyFont="1" applyFill="1" applyBorder="1" applyAlignment="1" applyProtection="1">
      <alignment horizontal="left" vertical="center" shrinkToFit="1"/>
    </xf>
    <xf numFmtId="0" fontId="43" fillId="17" borderId="0" xfId="0" applyFont="1" applyFill="1" applyBorder="1" applyAlignment="1" applyProtection="1">
      <alignment horizontal="left" vertical="center" shrinkToFit="1"/>
    </xf>
    <xf numFmtId="0" fontId="30" fillId="17" borderId="0" xfId="0" applyFont="1" applyFill="1" applyBorder="1" applyAlignment="1" applyProtection="1">
      <alignment vertical="center"/>
    </xf>
    <xf numFmtId="0" fontId="43" fillId="17" borderId="0" xfId="0" applyFont="1" applyFill="1" applyBorder="1" applyAlignment="1" applyProtection="1">
      <alignment vertical="center"/>
    </xf>
    <xf numFmtId="0" fontId="79" fillId="17" borderId="0" xfId="0" applyFont="1" applyFill="1" applyAlignment="1" applyProtection="1">
      <alignment vertical="center"/>
    </xf>
    <xf numFmtId="0" fontId="40" fillId="17" borderId="0" xfId="0" applyFont="1" applyFill="1" applyBorder="1" applyAlignment="1" applyProtection="1">
      <alignment horizontal="center" vertical="center"/>
    </xf>
    <xf numFmtId="0" fontId="46" fillId="17" borderId="0" xfId="0" applyFont="1" applyFill="1" applyAlignment="1" applyProtection="1">
      <alignment vertical="center"/>
    </xf>
    <xf numFmtId="0" fontId="80" fillId="17" borderId="0" xfId="2" applyFont="1" applyFill="1" applyAlignment="1" applyProtection="1">
      <alignment vertical="center"/>
    </xf>
    <xf numFmtId="173" fontId="79" fillId="17" borderId="0" xfId="0" applyNumberFormat="1" applyFont="1" applyFill="1" applyBorder="1" applyAlignment="1" applyProtection="1">
      <alignment vertical="center"/>
    </xf>
    <xf numFmtId="0" fontId="56" fillId="17" borderId="0" xfId="0" applyFont="1" applyFill="1" applyAlignment="1" applyProtection="1">
      <alignment vertical="center"/>
    </xf>
    <xf numFmtId="0" fontId="44" fillId="17" borderId="0" xfId="0" quotePrefix="1" applyFont="1" applyFill="1" applyAlignment="1" applyProtection="1">
      <alignment vertical="center"/>
    </xf>
    <xf numFmtId="14" fontId="65" fillId="17" borderId="0" xfId="2" applyNumberFormat="1" applyFont="1" applyFill="1" applyBorder="1" applyAlignment="1" applyProtection="1">
      <alignment horizontal="center" vertical="center"/>
    </xf>
    <xf numFmtId="49" fontId="66" fillId="17" borderId="0" xfId="2" applyNumberFormat="1" applyFont="1" applyFill="1" applyBorder="1" applyAlignment="1" applyProtection="1">
      <alignment vertical="center" wrapText="1"/>
    </xf>
    <xf numFmtId="0" fontId="59" fillId="17" borderId="0" xfId="2" applyFont="1" applyFill="1" applyBorder="1" applyAlignment="1" applyProtection="1">
      <alignment vertical="center"/>
    </xf>
    <xf numFmtId="0" fontId="75" fillId="17" borderId="0" xfId="0" applyFont="1" applyFill="1" applyAlignment="1" applyProtection="1">
      <alignment vertical="center"/>
    </xf>
    <xf numFmtId="3" fontId="65" fillId="17" borderId="0" xfId="2" applyNumberFormat="1" applyFont="1" applyFill="1" applyBorder="1" applyAlignment="1" applyProtection="1">
      <alignment horizontal="center" vertical="center"/>
    </xf>
    <xf numFmtId="0" fontId="68" fillId="17" borderId="0" xfId="2" applyFont="1" applyFill="1" applyBorder="1" applyAlignment="1" applyProtection="1">
      <alignment horizontal="left" vertical="center"/>
    </xf>
    <xf numFmtId="0" fontId="68" fillId="17" borderId="0" xfId="2" applyFont="1" applyFill="1" applyBorder="1" applyAlignment="1" applyProtection="1">
      <alignment horizontal="right" vertical="center"/>
    </xf>
    <xf numFmtId="166" fontId="68" fillId="17" borderId="0" xfId="2" applyNumberFormat="1" applyFont="1" applyFill="1" applyBorder="1" applyAlignment="1" applyProtection="1">
      <alignment horizontal="center" vertical="center"/>
    </xf>
    <xf numFmtId="168" fontId="83" fillId="13" borderId="2" xfId="0" applyNumberFormat="1" applyFont="1" applyFill="1" applyBorder="1" applyAlignment="1" applyProtection="1">
      <alignment horizontal="center" vertical="center" shrinkToFit="1"/>
      <protection locked="0"/>
    </xf>
    <xf numFmtId="0" fontId="83" fillId="13" borderId="2" xfId="5" applyFont="1" applyFill="1" applyBorder="1" applyAlignment="1" applyProtection="1">
      <alignment horizontal="right" vertical="center"/>
      <protection locked="0"/>
    </xf>
    <xf numFmtId="168" fontId="81" fillId="17" borderId="0" xfId="6" applyNumberFormat="1" applyFont="1" applyFill="1" applyAlignment="1" applyProtection="1">
      <alignment vertical="center"/>
    </xf>
    <xf numFmtId="0" fontId="81" fillId="17" borderId="23" xfId="0" applyFont="1" applyFill="1" applyBorder="1" applyAlignment="1" applyProtection="1">
      <alignment vertical="center"/>
    </xf>
    <xf numFmtId="0" fontId="81" fillId="17" borderId="24" xfId="0" applyFont="1" applyFill="1" applyBorder="1" applyAlignment="1" applyProtection="1">
      <alignment vertical="center"/>
    </xf>
    <xf numFmtId="0" fontId="82" fillId="17" borderId="24" xfId="2" applyFont="1" applyFill="1" applyBorder="1" applyAlignment="1" applyProtection="1">
      <alignment vertical="center"/>
    </xf>
    <xf numFmtId="5" fontId="82" fillId="17" borderId="25" xfId="0" applyNumberFormat="1" applyFont="1" applyFill="1" applyBorder="1" applyAlignment="1" applyProtection="1">
      <alignment vertical="center"/>
    </xf>
    <xf numFmtId="0" fontId="81" fillId="17" borderId="26" xfId="0" applyFont="1" applyFill="1" applyBorder="1" applyAlignment="1" applyProtection="1">
      <alignment vertical="center"/>
    </xf>
    <xf numFmtId="0" fontId="81" fillId="17" borderId="0" xfId="0" applyFont="1" applyFill="1" applyBorder="1" applyAlignment="1" applyProtection="1">
      <alignment vertical="center"/>
    </xf>
    <xf numFmtId="0" fontId="82" fillId="17" borderId="0" xfId="2" applyFont="1" applyFill="1" applyBorder="1" applyAlignment="1" applyProtection="1">
      <alignment vertical="center"/>
    </xf>
    <xf numFmtId="5" fontId="82" fillId="17" borderId="27" xfId="0" applyNumberFormat="1" applyFont="1" applyFill="1" applyBorder="1" applyAlignment="1" applyProtection="1">
      <alignment vertical="center"/>
    </xf>
    <xf numFmtId="0" fontId="0" fillId="17" borderId="0" xfId="0" applyFont="1" applyFill="1" applyBorder="1" applyAlignment="1" applyProtection="1">
      <alignment vertical="center"/>
    </xf>
    <xf numFmtId="0" fontId="57" fillId="17" borderId="0" xfId="2" applyFont="1" applyFill="1" applyAlignment="1" applyProtection="1">
      <alignment vertical="center"/>
    </xf>
    <xf numFmtId="5" fontId="57" fillId="17" borderId="0" xfId="0" applyNumberFormat="1" applyFont="1" applyFill="1" applyBorder="1" applyAlignment="1" applyProtection="1">
      <alignment vertical="center"/>
    </xf>
    <xf numFmtId="173" fontId="69" fillId="13" borderId="2" xfId="0" applyNumberFormat="1" applyFont="1" applyFill="1" applyBorder="1" applyAlignment="1" applyProtection="1">
      <alignment vertical="center"/>
      <protection locked="0"/>
    </xf>
    <xf numFmtId="172" fontId="69" fillId="13" borderId="2" xfId="0" applyNumberFormat="1" applyFont="1" applyFill="1" applyBorder="1" applyAlignment="1" applyProtection="1">
      <alignment vertical="center"/>
      <protection locked="0"/>
    </xf>
    <xf numFmtId="169" fontId="69" fillId="13" borderId="2" xfId="0" applyNumberFormat="1" applyFont="1" applyFill="1" applyBorder="1" applyAlignment="1" applyProtection="1">
      <alignment vertical="center"/>
      <protection locked="0"/>
    </xf>
    <xf numFmtId="171" fontId="69" fillId="13" borderId="2" xfId="0" applyNumberFormat="1" applyFont="1" applyFill="1" applyBorder="1" applyAlignment="1" applyProtection="1">
      <alignment vertical="center"/>
      <protection locked="0"/>
    </xf>
    <xf numFmtId="3" fontId="32" fillId="0" borderId="5" xfId="2" applyNumberFormat="1" applyFont="1" applyFill="1" applyBorder="1" applyAlignment="1" applyProtection="1">
      <alignment horizontal="right" vertical="center"/>
    </xf>
    <xf numFmtId="3" fontId="54" fillId="0" borderId="0" xfId="2" applyNumberFormat="1" applyFont="1" applyFill="1" applyBorder="1" applyAlignment="1" applyProtection="1">
      <alignment horizontal="right" vertical="center"/>
    </xf>
    <xf numFmtId="0" fontId="57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right" vertical="center"/>
    </xf>
    <xf numFmtId="0" fontId="32" fillId="0" borderId="0" xfId="0" applyFont="1" applyFill="1" applyBorder="1" applyAlignment="1" applyProtection="1">
      <alignment horizontal="left" vertical="center" shrinkToFit="1"/>
    </xf>
    <xf numFmtId="181" fontId="54" fillId="0" borderId="0" xfId="0" applyNumberFormat="1" applyFont="1" applyFill="1" applyBorder="1" applyAlignment="1" applyProtection="1">
      <alignment vertical="center"/>
    </xf>
    <xf numFmtId="0" fontId="54" fillId="0" borderId="0" xfId="0" applyFont="1" applyFill="1" applyBorder="1" applyAlignment="1" applyProtection="1">
      <alignment vertical="center"/>
    </xf>
    <xf numFmtId="0" fontId="53" fillId="0" borderId="0" xfId="0" applyFont="1" applyFill="1" applyBorder="1" applyAlignment="1" applyProtection="1">
      <alignment vertical="center"/>
    </xf>
    <xf numFmtId="0" fontId="48" fillId="0" borderId="0" xfId="0" applyFont="1" applyFill="1" applyBorder="1" applyAlignment="1" applyProtection="1">
      <alignment vertical="center" wrapText="1"/>
    </xf>
    <xf numFmtId="0" fontId="57" fillId="0" borderId="0" xfId="2" applyFont="1" applyFill="1" applyBorder="1" applyAlignment="1" applyProtection="1">
      <alignment vertical="center"/>
    </xf>
    <xf numFmtId="0" fontId="85" fillId="17" borderId="0" xfId="0" applyFont="1" applyFill="1" applyAlignment="1" applyProtection="1">
      <alignment horizontal="right" vertical="center"/>
    </xf>
    <xf numFmtId="174" fontId="85" fillId="17" borderId="0" xfId="0" applyNumberFormat="1" applyFont="1" applyFill="1" applyAlignment="1" applyProtection="1">
      <alignment horizontal="right" vertical="center"/>
    </xf>
    <xf numFmtId="180" fontId="48" fillId="17" borderId="3" xfId="0" applyNumberFormat="1" applyFont="1" applyFill="1" applyBorder="1" applyAlignment="1" applyProtection="1">
      <alignment horizontal="right" vertical="center"/>
    </xf>
    <xf numFmtId="0" fontId="0" fillId="17" borderId="32" xfId="0" applyFont="1" applyFill="1" applyBorder="1" applyAlignment="1" applyProtection="1">
      <alignment vertical="center"/>
    </xf>
    <xf numFmtId="0" fontId="0" fillId="17" borderId="31" xfId="0" applyFont="1" applyFill="1" applyBorder="1" applyAlignment="1" applyProtection="1">
      <alignment vertical="center"/>
    </xf>
    <xf numFmtId="0" fontId="41" fillId="17" borderId="31" xfId="0" applyFont="1" applyFill="1" applyBorder="1" applyAlignment="1" applyProtection="1">
      <alignment vertical="center"/>
    </xf>
    <xf numFmtId="0" fontId="56" fillId="17" borderId="31" xfId="0" applyFont="1" applyFill="1" applyBorder="1" applyAlignment="1" applyProtection="1">
      <alignment vertical="center"/>
    </xf>
    <xf numFmtId="0" fontId="30" fillId="17" borderId="32" xfId="0" applyFont="1" applyFill="1" applyBorder="1" applyAlignment="1" applyProtection="1">
      <alignment vertical="center"/>
    </xf>
    <xf numFmtId="0" fontId="30" fillId="17" borderId="31" xfId="0" applyFont="1" applyFill="1" applyBorder="1" applyAlignment="1" applyProtection="1">
      <alignment vertical="center"/>
    </xf>
    <xf numFmtId="0" fontId="32" fillId="17" borderId="31" xfId="0" applyFont="1" applyFill="1" applyBorder="1" applyAlignment="1" applyProtection="1">
      <alignment horizontal="right" vertical="center" shrinkToFit="1"/>
    </xf>
    <xf numFmtId="0" fontId="31" fillId="17" borderId="31" xfId="2" applyFont="1" applyFill="1" applyBorder="1" applyAlignment="1" applyProtection="1">
      <alignment vertical="center"/>
    </xf>
    <xf numFmtId="0" fontId="50" fillId="17" borderId="31" xfId="0" applyFont="1" applyFill="1" applyBorder="1" applyAlignment="1" applyProtection="1">
      <alignment vertical="center"/>
    </xf>
    <xf numFmtId="174" fontId="82" fillId="17" borderId="31" xfId="0" applyNumberFormat="1" applyFont="1" applyFill="1" applyBorder="1" applyAlignment="1" applyProtection="1">
      <alignment vertical="center"/>
    </xf>
    <xf numFmtId="169" fontId="40" fillId="17" borderId="31" xfId="0" applyNumberFormat="1" applyFont="1" applyFill="1" applyBorder="1" applyAlignment="1" applyProtection="1">
      <alignment vertical="center"/>
    </xf>
    <xf numFmtId="179" fontId="81" fillId="17" borderId="31" xfId="0" applyNumberFormat="1" applyFont="1" applyFill="1" applyBorder="1" applyAlignment="1" applyProtection="1">
      <alignment horizontal="right" vertical="center" shrinkToFit="1"/>
    </xf>
    <xf numFmtId="174" fontId="82" fillId="17" borderId="31" xfId="0" applyNumberFormat="1" applyFont="1" applyFill="1" applyBorder="1" applyAlignment="1" applyProtection="1">
      <alignment horizontal="right" vertical="center"/>
    </xf>
    <xf numFmtId="0" fontId="81" fillId="17" borderId="31" xfId="0" quotePrefix="1" applyFont="1" applyFill="1" applyBorder="1" applyAlignment="1" applyProtection="1">
      <alignment vertical="center"/>
    </xf>
    <xf numFmtId="5" fontId="82" fillId="17" borderId="31" xfId="0" applyNumberFormat="1" applyFont="1" applyFill="1" applyBorder="1" applyAlignment="1" applyProtection="1">
      <alignment vertical="center"/>
    </xf>
    <xf numFmtId="5" fontId="74" fillId="17" borderId="31" xfId="6" applyNumberFormat="1" applyFont="1" applyFill="1" applyBorder="1" applyAlignment="1" applyProtection="1">
      <alignment vertical="center"/>
    </xf>
    <xf numFmtId="0" fontId="84" fillId="17" borderId="31" xfId="5" applyFont="1" applyFill="1" applyBorder="1" applyAlignment="1" applyProtection="1">
      <alignment horizontal="right" vertical="center" shrinkToFit="1"/>
    </xf>
    <xf numFmtId="170" fontId="82" fillId="17" borderId="31" xfId="0" applyNumberFormat="1" applyFont="1" applyFill="1" applyBorder="1" applyAlignment="1" applyProtection="1">
      <alignment vertical="center"/>
    </xf>
    <xf numFmtId="0" fontId="40" fillId="17" borderId="32" xfId="0" applyFont="1" applyFill="1" applyBorder="1" applyAlignment="1" applyProtection="1">
      <alignment horizontal="right" vertical="center"/>
    </xf>
    <xf numFmtId="169" fontId="82" fillId="17" borderId="31" xfId="0" applyNumberFormat="1" applyFont="1" applyFill="1" applyBorder="1" applyAlignment="1" applyProtection="1">
      <alignment vertical="center"/>
    </xf>
    <xf numFmtId="0" fontId="59" fillId="17" borderId="33" xfId="2" applyFont="1" applyFill="1" applyBorder="1" applyAlignment="1" applyProtection="1">
      <alignment vertical="center"/>
    </xf>
    <xf numFmtId="0" fontId="59" fillId="17" borderId="32" xfId="2" applyFont="1" applyFill="1" applyBorder="1" applyAlignment="1" applyProtection="1">
      <alignment vertical="center"/>
    </xf>
    <xf numFmtId="183" fontId="69" fillId="13" borderId="34" xfId="1" applyNumberFormat="1" applyFont="1" applyFill="1" applyBorder="1" applyAlignment="1" applyProtection="1">
      <alignment horizontal="right" vertical="center"/>
      <protection locked="0"/>
    </xf>
    <xf numFmtId="0" fontId="75" fillId="17" borderId="32" xfId="0" applyFont="1" applyFill="1" applyBorder="1" applyAlignment="1" applyProtection="1">
      <alignment vertical="center"/>
    </xf>
    <xf numFmtId="0" fontId="75" fillId="17" borderId="31" xfId="0" applyFont="1" applyFill="1" applyBorder="1" applyAlignment="1" applyProtection="1">
      <alignment vertical="center"/>
    </xf>
    <xf numFmtId="0" fontId="47" fillId="17" borderId="31" xfId="0" applyFont="1" applyFill="1" applyBorder="1" applyAlignment="1" applyProtection="1">
      <alignment vertical="center"/>
    </xf>
    <xf numFmtId="0" fontId="80" fillId="17" borderId="31" xfId="0" applyFont="1" applyFill="1" applyBorder="1" applyAlignment="1" applyProtection="1">
      <alignment vertical="center"/>
    </xf>
    <xf numFmtId="1" fontId="59" fillId="17" borderId="0" xfId="2" applyNumberFormat="1" applyFont="1" applyFill="1" applyAlignment="1" applyProtection="1">
      <alignment vertical="center"/>
    </xf>
    <xf numFmtId="166" fontId="87" fillId="17" borderId="0" xfId="2" applyNumberFormat="1" applyFont="1" applyFill="1" applyAlignment="1" applyProtection="1"/>
    <xf numFmtId="0" fontId="88" fillId="0" borderId="0" xfId="2" applyFont="1" applyAlignment="1" applyProtection="1"/>
    <xf numFmtId="0" fontId="87" fillId="0" borderId="0" xfId="2" applyFont="1" applyAlignment="1" applyProtection="1">
      <alignment horizontal="right"/>
    </xf>
    <xf numFmtId="0" fontId="24" fillId="0" borderId="0" xfId="0" applyFont="1" applyAlignment="1">
      <alignment vertical="center"/>
    </xf>
    <xf numFmtId="10" fontId="24" fillId="0" borderId="0" xfId="0" applyNumberFormat="1" applyFont="1" applyAlignment="1">
      <alignment vertical="center"/>
    </xf>
    <xf numFmtId="170" fontId="24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164" fontId="24" fillId="0" borderId="0" xfId="0" applyNumberFormat="1" applyFont="1" applyAlignment="1">
      <alignment vertical="center"/>
    </xf>
    <xf numFmtId="168" fontId="24" fillId="0" borderId="0" xfId="0" applyNumberFormat="1" applyFont="1" applyAlignment="1">
      <alignment vertical="center"/>
    </xf>
    <xf numFmtId="164" fontId="25" fillId="0" borderId="0" xfId="0" applyNumberFormat="1" applyFont="1" applyAlignment="1">
      <alignment vertical="center"/>
    </xf>
    <xf numFmtId="164" fontId="24" fillId="0" borderId="0" xfId="0" applyNumberFormat="1" applyFont="1" applyFill="1" applyAlignment="1">
      <alignment vertical="center"/>
    </xf>
    <xf numFmtId="164" fontId="27" fillId="0" borderId="0" xfId="0" applyNumberFormat="1" applyFont="1" applyAlignment="1">
      <alignment vertical="center"/>
    </xf>
    <xf numFmtId="168" fontId="30" fillId="0" borderId="0" xfId="5" applyNumberFormat="1" applyFont="1" applyFill="1" applyAlignment="1" applyProtection="1">
      <alignment vertical="center"/>
      <protection hidden="1"/>
    </xf>
    <xf numFmtId="168" fontId="30" fillId="0" borderId="0" xfId="5" applyNumberFormat="1" applyFont="1" applyAlignment="1" applyProtection="1">
      <alignment vertical="center"/>
      <protection hidden="1"/>
    </xf>
    <xf numFmtId="0" fontId="26" fillId="9" borderId="1" xfId="0" applyFont="1" applyFill="1" applyBorder="1" applyAlignment="1">
      <alignment vertical="center"/>
    </xf>
    <xf numFmtId="10" fontId="26" fillId="9" borderId="1" xfId="0" applyNumberFormat="1" applyFont="1" applyFill="1" applyBorder="1" applyAlignment="1">
      <alignment vertical="center"/>
    </xf>
    <xf numFmtId="170" fontId="26" fillId="9" borderId="1" xfId="0" applyNumberFormat="1" applyFont="1" applyFill="1" applyBorder="1" applyAlignment="1">
      <alignment vertical="center"/>
    </xf>
    <xf numFmtId="164" fontId="26" fillId="9" borderId="1" xfId="0" applyNumberFormat="1" applyFont="1" applyFill="1" applyBorder="1" applyAlignment="1">
      <alignment vertical="center"/>
    </xf>
    <xf numFmtId="164" fontId="28" fillId="9" borderId="1" xfId="0" applyNumberFormat="1" applyFont="1" applyFill="1" applyBorder="1" applyAlignment="1">
      <alignment vertical="center"/>
    </xf>
    <xf numFmtId="164" fontId="27" fillId="9" borderId="1" xfId="0" applyNumberFormat="1" applyFont="1" applyFill="1" applyBorder="1" applyAlignment="1">
      <alignment vertical="center"/>
    </xf>
    <xf numFmtId="0" fontId="89" fillId="0" borderId="0" xfId="0" applyFont="1" applyAlignment="1">
      <alignment vertical="center"/>
    </xf>
    <xf numFmtId="3" fontId="25" fillId="0" borderId="0" xfId="0" applyNumberFormat="1" applyFont="1"/>
    <xf numFmtId="0" fontId="16" fillId="0" borderId="0" xfId="4" applyFont="1" applyProtection="1"/>
    <xf numFmtId="0" fontId="16" fillId="0" borderId="10" xfId="4" applyFont="1" applyBorder="1" applyProtection="1"/>
    <xf numFmtId="0" fontId="16" fillId="0" borderId="0" xfId="4" applyFont="1" applyBorder="1" applyProtection="1"/>
    <xf numFmtId="0" fontId="16" fillId="0" borderId="13" xfId="4" applyFont="1" applyBorder="1" applyProtection="1"/>
    <xf numFmtId="0" fontId="16" fillId="0" borderId="8" xfId="4" applyFont="1" applyBorder="1" applyProtection="1"/>
    <xf numFmtId="166" fontId="19" fillId="0" borderId="0" xfId="4" applyNumberFormat="1" applyFont="1" applyAlignment="1" applyProtection="1"/>
    <xf numFmtId="0" fontId="16" fillId="0" borderId="7" xfId="4" applyFont="1" applyBorder="1" applyProtection="1"/>
    <xf numFmtId="0" fontId="16" fillId="0" borderId="28" xfId="4" applyFont="1" applyBorder="1" applyProtection="1"/>
    <xf numFmtId="0" fontId="16" fillId="0" borderId="29" xfId="4" applyFont="1" applyBorder="1" applyProtection="1"/>
    <xf numFmtId="179" fontId="16" fillId="0" borderId="29" xfId="4" applyNumberFormat="1" applyFont="1" applyBorder="1" applyAlignment="1" applyProtection="1">
      <alignment horizontal="right"/>
    </xf>
    <xf numFmtId="165" fontId="16" fillId="0" borderId="30" xfId="4" applyNumberFormat="1" applyFont="1" applyBorder="1" applyAlignment="1" applyProtection="1">
      <alignment horizontal="right"/>
    </xf>
    <xf numFmtId="179" fontId="16" fillId="0" borderId="0" xfId="4" applyNumberFormat="1" applyFont="1" applyBorder="1" applyAlignment="1" applyProtection="1">
      <alignment horizontal="right"/>
    </xf>
    <xf numFmtId="165" fontId="16" fillId="0" borderId="11" xfId="4" applyNumberFormat="1" applyFont="1" applyBorder="1" applyAlignment="1" applyProtection="1">
      <alignment horizontal="right"/>
    </xf>
    <xf numFmtId="0" fontId="18" fillId="0" borderId="12" xfId="4" applyFont="1" applyBorder="1" applyProtection="1"/>
    <xf numFmtId="0" fontId="16" fillId="0" borderId="0" xfId="4" applyFont="1" applyAlignment="1" applyProtection="1">
      <alignment wrapText="1"/>
    </xf>
    <xf numFmtId="14" fontId="16" fillId="0" borderId="0" xfId="4" applyNumberFormat="1" applyFont="1" applyProtection="1"/>
    <xf numFmtId="166" fontId="87" fillId="5" borderId="0" xfId="2" applyNumberFormat="1" applyFont="1" applyFill="1" applyAlignment="1" applyProtection="1"/>
    <xf numFmtId="0" fontId="90" fillId="5" borderId="0" xfId="2" applyFont="1" applyFill="1" applyAlignment="1" applyProtection="1"/>
    <xf numFmtId="0" fontId="5" fillId="5" borderId="0" xfId="2" applyFont="1" applyFill="1" applyProtection="1">
      <protection locked="0"/>
    </xf>
    <xf numFmtId="0" fontId="5" fillId="5" borderId="0" xfId="2" applyFont="1" applyFill="1" applyAlignment="1" applyProtection="1"/>
    <xf numFmtId="0" fontId="5" fillId="5" borderId="0" xfId="2" applyFont="1" applyFill="1" applyAlignment="1" applyProtection="1">
      <protection locked="0"/>
    </xf>
    <xf numFmtId="166" fontId="7" fillId="5" borderId="0" xfId="2" applyNumberFormat="1" applyFont="1" applyFill="1" applyAlignment="1" applyProtection="1"/>
    <xf numFmtId="0" fontId="92" fillId="5" borderId="0" xfId="2" applyFont="1" applyFill="1" applyAlignment="1" applyProtection="1"/>
    <xf numFmtId="166" fontId="87" fillId="5" borderId="0" xfId="2" applyNumberFormat="1" applyFont="1" applyFill="1" applyAlignment="1" applyProtection="1">
      <alignment horizontal="right" vertical="center"/>
    </xf>
    <xf numFmtId="0" fontId="7" fillId="5" borderId="0" xfId="2" applyFont="1" applyFill="1" applyAlignment="1" applyProtection="1"/>
    <xf numFmtId="4" fontId="13" fillId="5" borderId="0" xfId="2" applyNumberFormat="1" applyFont="1" applyFill="1" applyBorder="1" applyAlignment="1" applyProtection="1">
      <alignment horizontal="right"/>
      <protection locked="0"/>
    </xf>
    <xf numFmtId="0" fontId="24" fillId="19" borderId="0" xfId="0" applyFont="1" applyFill="1" applyAlignment="1">
      <alignment horizontal="center" vertical="center" wrapText="1"/>
    </xf>
    <xf numFmtId="164" fontId="24" fillId="19" borderId="0" xfId="0" applyNumberFormat="1" applyFont="1" applyFill="1" applyAlignment="1">
      <alignment vertical="center"/>
    </xf>
    <xf numFmtId="0" fontId="29" fillId="10" borderId="2" xfId="5" applyFont="1" applyFill="1" applyBorder="1" applyAlignment="1" applyProtection="1">
      <alignment horizontal="center" vertical="center" wrapText="1"/>
      <protection hidden="1"/>
    </xf>
    <xf numFmtId="0" fontId="26" fillId="16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94" fillId="0" borderId="0" xfId="0" applyFont="1" applyAlignment="1">
      <alignment vertical="center"/>
    </xf>
    <xf numFmtId="10" fontId="94" fillId="0" borderId="0" xfId="0" applyNumberFormat="1" applyFont="1" applyAlignment="1">
      <alignment vertical="center"/>
    </xf>
    <xf numFmtId="170" fontId="94" fillId="0" borderId="0" xfId="0" applyNumberFormat="1" applyFont="1" applyAlignment="1">
      <alignment vertical="center"/>
    </xf>
    <xf numFmtId="0" fontId="94" fillId="0" borderId="0" xfId="0" applyNumberFormat="1" applyFont="1" applyAlignment="1">
      <alignment vertical="center"/>
    </xf>
    <xf numFmtId="0" fontId="94" fillId="0" borderId="0" xfId="0" applyFont="1" applyFill="1" applyAlignment="1">
      <alignment vertical="center"/>
    </xf>
    <xf numFmtId="0" fontId="95" fillId="0" borderId="0" xfId="0" applyFont="1" applyAlignment="1">
      <alignment vertical="center"/>
    </xf>
    <xf numFmtId="164" fontId="94" fillId="0" borderId="0" xfId="0" applyNumberFormat="1" applyFont="1" applyAlignment="1">
      <alignment vertical="center"/>
    </xf>
    <xf numFmtId="168" fontId="94" fillId="0" borderId="0" xfId="0" applyNumberFormat="1" applyFont="1" applyAlignment="1">
      <alignment vertical="center"/>
    </xf>
    <xf numFmtId="0" fontId="18" fillId="5" borderId="0" xfId="4" applyFont="1" applyFill="1" applyAlignment="1" applyProtection="1"/>
    <xf numFmtId="0" fontId="18" fillId="0" borderId="0" xfId="4" applyFont="1" applyProtection="1"/>
    <xf numFmtId="14" fontId="16" fillId="0" borderId="11" xfId="4" applyNumberFormat="1" applyFont="1" applyBorder="1" applyAlignment="1" applyProtection="1">
      <alignment horizontal="right"/>
    </xf>
    <xf numFmtId="182" fontId="76" fillId="0" borderId="0" xfId="0" applyNumberFormat="1" applyFont="1" applyFill="1" applyBorder="1" applyAlignment="1" applyProtection="1">
      <alignment horizontal="center" vertical="center" wrapText="1"/>
    </xf>
    <xf numFmtId="182" fontId="76" fillId="0" borderId="0" xfId="0" applyNumberFormat="1" applyFont="1" applyFill="1" applyAlignment="1" applyProtection="1">
      <alignment horizontal="center" vertical="center" wrapText="1"/>
    </xf>
    <xf numFmtId="0" fontId="59" fillId="5" borderId="0" xfId="2" applyFont="1" applyFill="1" applyAlignment="1" applyProtection="1"/>
    <xf numFmtId="0" fontId="59" fillId="0" borderId="0" xfId="2" applyFont="1" applyAlignment="1" applyProtection="1"/>
    <xf numFmtId="0" fontId="59" fillId="0" borderId="0" xfId="2" applyFont="1" applyAlignment="1" applyProtection="1">
      <alignment horizontal="center"/>
    </xf>
    <xf numFmtId="0" fontId="59" fillId="5" borderId="0" xfId="2" applyFont="1" applyFill="1" applyBorder="1" applyAlignment="1" applyProtection="1">
      <alignment horizontal="right" vertical="center"/>
    </xf>
    <xf numFmtId="0" fontId="48" fillId="5" borderId="0" xfId="2" applyFont="1" applyFill="1" applyBorder="1" applyAlignment="1" applyProtection="1">
      <alignment vertical="center"/>
    </xf>
    <xf numFmtId="0" fontId="48" fillId="5" borderId="31" xfId="2" applyFont="1" applyFill="1" applyBorder="1" applyAlignment="1" applyProtection="1">
      <alignment vertical="center"/>
    </xf>
    <xf numFmtId="0" fontId="48" fillId="5" borderId="33" xfId="2" applyFont="1" applyFill="1" applyBorder="1" applyAlignment="1" applyProtection="1">
      <alignment vertical="center"/>
    </xf>
    <xf numFmtId="0" fontId="59" fillId="5" borderId="45" xfId="2" applyFont="1" applyFill="1" applyBorder="1" applyAlignment="1" applyProtection="1">
      <alignment horizontal="left" vertical="center" indent="2"/>
    </xf>
    <xf numFmtId="166" fontId="59" fillId="5" borderId="46" xfId="2" applyNumberFormat="1" applyFont="1" applyFill="1" applyBorder="1" applyAlignment="1" applyProtection="1">
      <alignment vertical="center"/>
    </xf>
    <xf numFmtId="0" fontId="59" fillId="5" borderId="47" xfId="2" applyFont="1" applyFill="1" applyBorder="1" applyAlignment="1" applyProtection="1">
      <alignment horizontal="left" vertical="center" indent="2"/>
    </xf>
    <xf numFmtId="0" fontId="48" fillId="5" borderId="32" xfId="2" applyFont="1" applyFill="1" applyBorder="1" applyAlignment="1" applyProtection="1">
      <alignment vertical="center"/>
    </xf>
    <xf numFmtId="166" fontId="59" fillId="5" borderId="48" xfId="2" applyNumberFormat="1" applyFont="1" applyFill="1" applyBorder="1" applyAlignment="1" applyProtection="1">
      <alignment vertical="center"/>
    </xf>
    <xf numFmtId="166" fontId="68" fillId="5" borderId="44" xfId="2" applyNumberFormat="1" applyFont="1" applyFill="1" applyBorder="1" applyAlignment="1" applyProtection="1">
      <alignment vertical="center"/>
    </xf>
    <xf numFmtId="0" fontId="82" fillId="5" borderId="43" xfId="2" applyFont="1" applyFill="1" applyBorder="1" applyAlignment="1" applyProtection="1">
      <alignment horizontal="left" vertical="center"/>
    </xf>
    <xf numFmtId="0" fontId="63" fillId="0" borderId="0" xfId="2" applyFont="1" applyAlignment="1" applyProtection="1"/>
    <xf numFmtId="0" fontId="59" fillId="0" borderId="0" xfId="2" applyFont="1" applyProtection="1"/>
    <xf numFmtId="4" fontId="59" fillId="5" borderId="0" xfId="2" applyNumberFormat="1" applyFont="1" applyFill="1" applyBorder="1" applyAlignment="1" applyProtection="1">
      <alignment horizontal="right"/>
    </xf>
    <xf numFmtId="4" fontId="59" fillId="0" borderId="0" xfId="2" applyNumberFormat="1" applyFont="1" applyFill="1" applyBorder="1" applyAlignment="1" applyProtection="1">
      <alignment horizontal="right"/>
    </xf>
    <xf numFmtId="0" fontId="59" fillId="0" borderId="0" xfId="2" applyFont="1" applyFill="1" applyProtection="1"/>
    <xf numFmtId="0" fontId="82" fillId="5" borderId="41" xfId="2" applyFont="1" applyFill="1" applyBorder="1" applyAlignment="1" applyProtection="1">
      <alignment vertical="center"/>
    </xf>
    <xf numFmtId="166" fontId="68" fillId="5" borderId="42" xfId="2" applyNumberFormat="1" applyFont="1" applyFill="1" applyBorder="1" applyAlignment="1" applyProtection="1">
      <alignment horizontal="right" vertical="center"/>
    </xf>
    <xf numFmtId="3" fontId="63" fillId="0" borderId="0" xfId="2" applyNumberFormat="1" applyFont="1" applyFill="1" applyBorder="1" applyAlignment="1" applyProtection="1">
      <alignment horizontal="right"/>
    </xf>
    <xf numFmtId="3" fontId="59" fillId="0" borderId="0" xfId="2" applyNumberFormat="1" applyFont="1" applyFill="1" applyBorder="1" applyAlignment="1" applyProtection="1">
      <alignment horizontal="center"/>
    </xf>
    <xf numFmtId="3" fontId="59" fillId="0" borderId="0" xfId="2" applyNumberFormat="1" applyFont="1" applyFill="1" applyBorder="1" applyAlignment="1" applyProtection="1">
      <alignment horizontal="right"/>
    </xf>
    <xf numFmtId="167" fontId="59" fillId="0" borderId="0" xfId="2" applyNumberFormat="1" applyFont="1" applyFill="1" applyBorder="1" applyAlignment="1" applyProtection="1">
      <alignment horizontal="right"/>
    </xf>
    <xf numFmtId="0" fontId="59" fillId="0" borderId="0" xfId="2" applyFont="1" applyFill="1" applyBorder="1" applyAlignment="1" applyProtection="1">
      <alignment horizontal="center"/>
    </xf>
    <xf numFmtId="1" fontId="59" fillId="0" borderId="0" xfId="2" applyNumberFormat="1" applyFont="1" applyFill="1" applyBorder="1" applyAlignment="1" applyProtection="1">
      <alignment horizontal="right"/>
    </xf>
    <xf numFmtId="1" fontId="59" fillId="0" borderId="0" xfId="2" applyNumberFormat="1" applyFont="1" applyProtection="1"/>
    <xf numFmtId="0" fontId="59" fillId="0" borderId="0" xfId="2" applyFont="1" applyFill="1" applyBorder="1" applyProtection="1"/>
    <xf numFmtId="0" fontId="59" fillId="0" borderId="0" xfId="2" applyFont="1" applyBorder="1" applyProtection="1"/>
    <xf numFmtId="0" fontId="59" fillId="0" borderId="0" xfId="2" applyFont="1" applyFill="1" applyBorder="1" applyAlignment="1" applyProtection="1"/>
    <xf numFmtId="1" fontId="59" fillId="0" borderId="0" xfId="2" applyNumberFormat="1" applyFont="1" applyFill="1" applyBorder="1" applyProtection="1"/>
    <xf numFmtId="1" fontId="59" fillId="0" borderId="0" xfId="2" applyNumberFormat="1" applyFont="1" applyFill="1" applyProtection="1"/>
    <xf numFmtId="0" fontId="10" fillId="8" borderId="0" xfId="2" applyFont="1" applyFill="1" applyAlignment="1" applyProtection="1">
      <alignment horizontal="left"/>
    </xf>
    <xf numFmtId="0" fontId="7" fillId="8" borderId="0" xfId="2" applyFont="1" applyFill="1" applyAlignment="1" applyProtection="1">
      <alignment horizontal="left"/>
    </xf>
    <xf numFmtId="0" fontId="5" fillId="8" borderId="0" xfId="2" applyFont="1" applyFill="1" applyAlignment="1" applyProtection="1">
      <alignment horizontal="left"/>
    </xf>
    <xf numFmtId="0" fontId="10" fillId="8" borderId="0" xfId="2" applyFont="1" applyFill="1" applyAlignment="1" applyProtection="1">
      <alignment horizontal="left"/>
      <protection locked="0"/>
    </xf>
    <xf numFmtId="6" fontId="59" fillId="5" borderId="48" xfId="2" applyNumberFormat="1" applyFont="1" applyFill="1" applyBorder="1" applyAlignment="1" applyProtection="1">
      <alignment vertical="center"/>
    </xf>
    <xf numFmtId="0" fontId="59" fillId="17" borderId="43" xfId="2" applyFont="1" applyFill="1" applyBorder="1" applyProtection="1"/>
    <xf numFmtId="0" fontId="99" fillId="17" borderId="33" xfId="2" applyFont="1" applyFill="1" applyBorder="1" applyAlignment="1" applyProtection="1">
      <alignment vertical="center"/>
    </xf>
    <xf numFmtId="0" fontId="59" fillId="17" borderId="44" xfId="2" applyFont="1" applyFill="1" applyBorder="1" applyProtection="1"/>
    <xf numFmtId="0" fontId="59" fillId="17" borderId="45" xfId="2" applyFont="1" applyFill="1" applyBorder="1" applyProtection="1"/>
    <xf numFmtId="0" fontId="48" fillId="17" borderId="39" xfId="2" applyFont="1" applyFill="1" applyBorder="1" applyAlignment="1" applyProtection="1">
      <alignment vertical="center"/>
    </xf>
    <xf numFmtId="0" fontId="59" fillId="17" borderId="1" xfId="2" applyFont="1" applyFill="1" applyBorder="1" applyAlignment="1" applyProtection="1">
      <alignment vertical="center"/>
    </xf>
    <xf numFmtId="0" fontId="59" fillId="17" borderId="46" xfId="2" applyFont="1" applyFill="1" applyBorder="1" applyProtection="1"/>
    <xf numFmtId="3" fontId="97" fillId="17" borderId="0" xfId="2" applyNumberFormat="1" applyFont="1" applyFill="1" applyBorder="1" applyAlignment="1" applyProtection="1">
      <alignment horizontal="right"/>
    </xf>
    <xf numFmtId="3" fontId="59" fillId="17" borderId="0" xfId="2" applyNumberFormat="1" applyFont="1" applyFill="1" applyBorder="1" applyAlignment="1" applyProtection="1">
      <alignment horizontal="center"/>
    </xf>
    <xf numFmtId="3" fontId="59" fillId="17" borderId="0" xfId="2" applyNumberFormat="1" applyFont="1" applyFill="1" applyBorder="1" applyAlignment="1" applyProtection="1">
      <alignment horizontal="right"/>
    </xf>
    <xf numFmtId="167" fontId="59" fillId="17" borderId="0" xfId="2" applyNumberFormat="1" applyFont="1" applyFill="1" applyBorder="1" applyAlignment="1" applyProtection="1">
      <alignment horizontal="right"/>
    </xf>
    <xf numFmtId="0" fontId="59" fillId="17" borderId="0" xfId="2" applyFont="1" applyFill="1" applyBorder="1" applyAlignment="1" applyProtection="1">
      <alignment horizontal="center"/>
    </xf>
    <xf numFmtId="1" fontId="59" fillId="17" borderId="0" xfId="2" applyNumberFormat="1" applyFont="1" applyFill="1" applyBorder="1" applyAlignment="1" applyProtection="1">
      <alignment horizontal="right"/>
    </xf>
    <xf numFmtId="4" fontId="59" fillId="17" borderId="46" xfId="2" applyNumberFormat="1" applyFont="1" applyFill="1" applyBorder="1" applyAlignment="1" applyProtection="1">
      <alignment horizontal="right"/>
    </xf>
    <xf numFmtId="0" fontId="59" fillId="17" borderId="47" xfId="2" applyFont="1" applyFill="1" applyBorder="1" applyProtection="1"/>
    <xf numFmtId="3" fontId="97" fillId="17" borderId="32" xfId="2" applyNumberFormat="1" applyFont="1" applyFill="1" applyBorder="1" applyAlignment="1" applyProtection="1">
      <alignment horizontal="right"/>
    </xf>
    <xf numFmtId="3" fontId="59" fillId="17" borderId="32" xfId="2" applyNumberFormat="1" applyFont="1" applyFill="1" applyBorder="1" applyAlignment="1" applyProtection="1">
      <alignment horizontal="center"/>
    </xf>
    <xf numFmtId="3" fontId="59" fillId="17" borderId="32" xfId="2" applyNumberFormat="1" applyFont="1" applyFill="1" applyBorder="1" applyAlignment="1" applyProtection="1">
      <alignment horizontal="right"/>
    </xf>
    <xf numFmtId="167" fontId="59" fillId="17" borderId="32" xfId="2" applyNumberFormat="1" applyFont="1" applyFill="1" applyBorder="1" applyAlignment="1" applyProtection="1">
      <alignment horizontal="right"/>
    </xf>
    <xf numFmtId="0" fontId="59" fillId="17" borderId="32" xfId="2" applyFont="1" applyFill="1" applyBorder="1" applyAlignment="1" applyProtection="1">
      <alignment horizontal="center"/>
    </xf>
    <xf numFmtId="1" fontId="59" fillId="17" borderId="32" xfId="2" applyNumberFormat="1" applyFont="1" applyFill="1" applyBorder="1" applyAlignment="1" applyProtection="1">
      <alignment horizontal="right"/>
    </xf>
    <xf numFmtId="4" fontId="59" fillId="17" borderId="48" xfId="2" applyNumberFormat="1" applyFont="1" applyFill="1" applyBorder="1" applyAlignment="1" applyProtection="1">
      <alignment horizontal="right"/>
    </xf>
    <xf numFmtId="0" fontId="83" fillId="13" borderId="2" xfId="2" applyFont="1" applyFill="1" applyBorder="1" applyAlignment="1" applyProtection="1">
      <alignment horizontal="center" vertical="center"/>
      <protection locked="0"/>
    </xf>
    <xf numFmtId="0" fontId="59" fillId="5" borderId="0" xfId="2" applyFont="1" applyFill="1" applyBorder="1" applyAlignment="1" applyProtection="1">
      <alignment vertical="center"/>
    </xf>
    <xf numFmtId="0" fontId="59" fillId="5" borderId="32" xfId="2" applyFont="1" applyFill="1" applyBorder="1" applyProtection="1"/>
    <xf numFmtId="0" fontId="82" fillId="5" borderId="43" xfId="2" applyFont="1" applyFill="1" applyBorder="1" applyAlignment="1" applyProtection="1">
      <alignment vertical="center"/>
    </xf>
    <xf numFmtId="166" fontId="68" fillId="5" borderId="44" xfId="2" applyNumberFormat="1" applyFont="1" applyFill="1" applyBorder="1" applyAlignment="1" applyProtection="1">
      <alignment horizontal="right" vertical="center"/>
    </xf>
    <xf numFmtId="0" fontId="100" fillId="16" borderId="0" xfId="0" applyFont="1" applyFill="1" applyAlignment="1">
      <alignment vertical="center"/>
    </xf>
    <xf numFmtId="168" fontId="81" fillId="16" borderId="0" xfId="5" applyNumberFormat="1" applyFont="1" applyFill="1" applyAlignment="1" applyProtection="1">
      <alignment vertical="center"/>
      <protection hidden="1"/>
    </xf>
    <xf numFmtId="168" fontId="100" fillId="16" borderId="0" xfId="0" applyNumberFormat="1" applyFont="1" applyFill="1" applyAlignment="1">
      <alignment vertical="center"/>
    </xf>
    <xf numFmtId="0" fontId="82" fillId="5" borderId="41" xfId="2" applyFont="1" applyFill="1" applyBorder="1" applyAlignment="1" applyProtection="1">
      <alignment horizontal="left" vertical="center"/>
    </xf>
    <xf numFmtId="166" fontId="82" fillId="5" borderId="44" xfId="2" applyNumberFormat="1" applyFont="1" applyFill="1" applyBorder="1" applyAlignment="1" applyProtection="1">
      <alignment vertical="center"/>
    </xf>
    <xf numFmtId="6" fontId="82" fillId="5" borderId="42" xfId="2" applyNumberFormat="1" applyFont="1" applyFill="1" applyBorder="1" applyAlignment="1" applyProtection="1">
      <alignment vertical="center"/>
    </xf>
    <xf numFmtId="166" fontId="59" fillId="0" borderId="0" xfId="2" applyNumberFormat="1" applyFont="1" applyAlignment="1" applyProtection="1"/>
    <xf numFmtId="168" fontId="26" fillId="13" borderId="0" xfId="6" quotePrefix="1" applyNumberFormat="1" applyFont="1" applyFill="1" applyAlignment="1">
      <alignment vertical="center"/>
    </xf>
    <xf numFmtId="0" fontId="26" fillId="19" borderId="0" xfId="0" applyFont="1" applyFill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9" fillId="13" borderId="2" xfId="5" applyFont="1" applyFill="1" applyBorder="1" applyAlignment="1" applyProtection="1">
      <alignment horizontal="center" vertical="center" wrapText="1"/>
      <protection hidden="1"/>
    </xf>
    <xf numFmtId="0" fontId="68" fillId="17" borderId="4" xfId="0" applyFont="1" applyFill="1" applyBorder="1" applyAlignment="1" applyProtection="1">
      <alignment horizontal="center" vertical="center"/>
    </xf>
    <xf numFmtId="0" fontId="68" fillId="17" borderId="5" xfId="0" applyFont="1" applyFill="1" applyBorder="1" applyAlignment="1" applyProtection="1">
      <alignment horizontal="center" vertical="center"/>
    </xf>
    <xf numFmtId="0" fontId="68" fillId="17" borderId="6" xfId="0" applyFont="1" applyFill="1" applyBorder="1" applyAlignment="1" applyProtection="1">
      <alignment horizontal="center" vertical="center"/>
    </xf>
    <xf numFmtId="0" fontId="72" fillId="10" borderId="4" xfId="2" applyFont="1" applyFill="1" applyBorder="1" applyAlignment="1" applyProtection="1">
      <alignment horizontal="center" vertical="center" wrapText="1"/>
    </xf>
    <xf numFmtId="0" fontId="72" fillId="10" borderId="6" xfId="2" applyFont="1" applyFill="1" applyBorder="1" applyAlignment="1" applyProtection="1">
      <alignment horizontal="center" vertical="center" wrapText="1"/>
    </xf>
    <xf numFmtId="0" fontId="93" fillId="18" borderId="15" xfId="0" applyFont="1" applyFill="1" applyBorder="1" applyAlignment="1" applyProtection="1">
      <alignment horizontal="center" vertical="center" wrapText="1"/>
    </xf>
    <xf numFmtId="0" fontId="93" fillId="18" borderId="16" xfId="0" applyFont="1" applyFill="1" applyBorder="1" applyAlignment="1" applyProtection="1">
      <alignment horizontal="center" vertical="center" wrapText="1"/>
    </xf>
    <xf numFmtId="0" fontId="93" fillId="18" borderId="17" xfId="0" applyFont="1" applyFill="1" applyBorder="1" applyAlignment="1" applyProtection="1">
      <alignment horizontal="center" vertical="center" wrapText="1"/>
    </xf>
    <xf numFmtId="0" fontId="93" fillId="18" borderId="18" xfId="0" applyFont="1" applyFill="1" applyBorder="1" applyAlignment="1" applyProtection="1">
      <alignment horizontal="center" vertical="center" wrapText="1"/>
    </xf>
    <xf numFmtId="0" fontId="93" fillId="18" borderId="0" xfId="0" applyFont="1" applyFill="1" applyBorder="1" applyAlignment="1" applyProtection="1">
      <alignment horizontal="center" vertical="center" wrapText="1"/>
    </xf>
    <xf numFmtId="0" fontId="93" fillId="18" borderId="19" xfId="0" applyFont="1" applyFill="1" applyBorder="1" applyAlignment="1" applyProtection="1">
      <alignment horizontal="center" vertical="center" wrapText="1"/>
    </xf>
    <xf numFmtId="0" fontId="93" fillId="18" borderId="20" xfId="0" applyFont="1" applyFill="1" applyBorder="1" applyAlignment="1" applyProtection="1">
      <alignment horizontal="center" vertical="center" wrapText="1"/>
    </xf>
    <xf numFmtId="0" fontId="93" fillId="18" borderId="21" xfId="0" applyFont="1" applyFill="1" applyBorder="1" applyAlignment="1" applyProtection="1">
      <alignment horizontal="center" vertical="center" wrapText="1"/>
    </xf>
    <xf numFmtId="0" fontId="93" fillId="18" borderId="22" xfId="0" applyFont="1" applyFill="1" applyBorder="1" applyAlignment="1" applyProtection="1">
      <alignment horizontal="center" vertical="center" wrapText="1"/>
    </xf>
    <xf numFmtId="0" fontId="73" fillId="0" borderId="0" xfId="3" applyFont="1" applyAlignment="1" applyProtection="1">
      <alignment horizontal="center" vertical="center"/>
    </xf>
    <xf numFmtId="0" fontId="70" fillId="0" borderId="0" xfId="2" applyFont="1" applyFill="1" applyAlignment="1" applyProtection="1">
      <alignment horizontal="right" vertical="center"/>
    </xf>
    <xf numFmtId="0" fontId="69" fillId="13" borderId="4" xfId="0" applyFont="1" applyFill="1" applyBorder="1" applyAlignment="1" applyProtection="1">
      <alignment horizontal="center" vertical="center"/>
      <protection locked="0"/>
    </xf>
    <xf numFmtId="0" fontId="69" fillId="13" borderId="5" xfId="0" applyFont="1" applyFill="1" applyBorder="1" applyAlignment="1" applyProtection="1">
      <alignment horizontal="center" vertical="center"/>
      <protection locked="0"/>
    </xf>
    <xf numFmtId="0" fontId="69" fillId="13" borderId="6" xfId="0" applyFont="1" applyFill="1" applyBorder="1" applyAlignment="1" applyProtection="1">
      <alignment horizontal="center" vertical="center"/>
      <protection locked="0"/>
    </xf>
    <xf numFmtId="5" fontId="18" fillId="0" borderId="12" xfId="4" applyNumberFormat="1" applyFont="1" applyBorder="1" applyAlignment="1" applyProtection="1">
      <alignment horizontal="center"/>
    </xf>
    <xf numFmtId="5" fontId="18" fillId="0" borderId="13" xfId="4" applyNumberFormat="1" applyFont="1" applyBorder="1" applyAlignment="1" applyProtection="1">
      <alignment horizontal="center"/>
    </xf>
    <xf numFmtId="5" fontId="18" fillId="0" borderId="14" xfId="4" applyNumberFormat="1" applyFont="1" applyBorder="1" applyAlignment="1" applyProtection="1">
      <alignment horizontal="center"/>
    </xf>
    <xf numFmtId="0" fontId="17" fillId="0" borderId="0" xfId="4" applyFont="1" applyAlignment="1" applyProtection="1">
      <alignment horizontal="center" vertical="center" shrinkToFit="1"/>
    </xf>
    <xf numFmtId="166" fontId="91" fillId="0" borderId="0" xfId="4" applyNumberFormat="1" applyFont="1" applyAlignment="1" applyProtection="1">
      <alignment horizontal="center" vertical="center"/>
    </xf>
    <xf numFmtId="0" fontId="86" fillId="5" borderId="0" xfId="4" applyFont="1" applyFill="1" applyAlignment="1" applyProtection="1">
      <alignment horizontal="left" vertical="top" wrapText="1"/>
    </xf>
    <xf numFmtId="0" fontId="16" fillId="0" borderId="7" xfId="4" applyFont="1" applyBorder="1" applyAlignment="1" applyProtection="1">
      <alignment horizontal="left" wrapText="1"/>
    </xf>
    <xf numFmtId="0" fontId="16" fillId="0" borderId="8" xfId="4" applyFont="1" applyBorder="1" applyAlignment="1" applyProtection="1">
      <alignment horizontal="left" wrapText="1"/>
    </xf>
    <xf numFmtId="0" fontId="16" fillId="0" borderId="9" xfId="4" applyFont="1" applyBorder="1" applyAlignment="1" applyProtection="1">
      <alignment horizontal="left" wrapText="1"/>
    </xf>
    <xf numFmtId="0" fontId="16" fillId="0" borderId="10" xfId="4" applyFont="1" applyBorder="1" applyAlignment="1" applyProtection="1">
      <alignment horizontal="left" vertical="top" wrapText="1"/>
    </xf>
    <xf numFmtId="0" fontId="16" fillId="0" borderId="0" xfId="4" applyFont="1" applyBorder="1" applyAlignment="1" applyProtection="1">
      <alignment horizontal="left" vertical="top" wrapText="1"/>
    </xf>
    <xf numFmtId="0" fontId="16" fillId="0" borderId="11" xfId="4" applyFont="1" applyBorder="1" applyAlignment="1" applyProtection="1">
      <alignment horizontal="left" vertical="top" wrapText="1"/>
    </xf>
    <xf numFmtId="0" fontId="21" fillId="0" borderId="0" xfId="4" applyFont="1" applyAlignment="1" applyProtection="1">
      <alignment wrapText="1"/>
    </xf>
    <xf numFmtId="0" fontId="15" fillId="0" borderId="0" xfId="4" applyAlignment="1" applyProtection="1"/>
    <xf numFmtId="0" fontId="16" fillId="0" borderId="0" xfId="4" applyFont="1" applyAlignment="1" applyProtection="1">
      <alignment wrapText="1"/>
    </xf>
    <xf numFmtId="0" fontId="18" fillId="0" borderId="0" xfId="4" applyFont="1" applyAlignment="1" applyProtection="1">
      <alignment horizontal="center" vertical="center"/>
    </xf>
    <xf numFmtId="0" fontId="15" fillId="0" borderId="0" xfId="4" applyAlignment="1" applyProtection="1">
      <alignment horizontal="center" vertical="center"/>
    </xf>
    <xf numFmtId="0" fontId="86" fillId="4" borderId="0" xfId="4" applyFont="1" applyFill="1" applyAlignment="1" applyProtection="1">
      <alignment horizontal="center" vertical="center"/>
      <protection locked="0"/>
    </xf>
    <xf numFmtId="0" fontId="86" fillId="4" borderId="0" xfId="4" applyFont="1" applyFill="1" applyAlignment="1" applyProtection="1">
      <alignment horizontal="center"/>
      <protection locked="0"/>
    </xf>
    <xf numFmtId="166" fontId="16" fillId="0" borderId="0" xfId="4" applyNumberFormat="1" applyFont="1" applyBorder="1" applyAlignment="1" applyProtection="1">
      <alignment horizontal="right"/>
    </xf>
    <xf numFmtId="166" fontId="16" fillId="0" borderId="11" xfId="4" applyNumberFormat="1" applyFont="1" applyBorder="1" applyAlignment="1" applyProtection="1">
      <alignment horizontal="right"/>
    </xf>
    <xf numFmtId="179" fontId="16" fillId="0" borderId="8" xfId="4" applyNumberFormat="1" applyFont="1" applyBorder="1" applyAlignment="1" applyProtection="1">
      <alignment horizontal="right"/>
    </xf>
    <xf numFmtId="179" fontId="16" fillId="0" borderId="9" xfId="4" applyNumberFormat="1" applyFont="1" applyBorder="1" applyAlignment="1" applyProtection="1">
      <alignment horizontal="right"/>
    </xf>
    <xf numFmtId="166" fontId="18" fillId="0" borderId="13" xfId="4" applyNumberFormat="1" applyFont="1" applyBorder="1" applyAlignment="1" applyProtection="1">
      <alignment horizontal="right"/>
    </xf>
    <xf numFmtId="166" fontId="18" fillId="0" borderId="14" xfId="4" applyNumberFormat="1" applyFont="1" applyBorder="1" applyAlignment="1" applyProtection="1">
      <alignment horizontal="right"/>
    </xf>
    <xf numFmtId="0" fontId="96" fillId="0" borderId="0" xfId="4" applyFont="1" applyAlignment="1" applyProtection="1">
      <alignment horizontal="left" vertical="top" wrapText="1"/>
    </xf>
    <xf numFmtId="0" fontId="98" fillId="17" borderId="45" xfId="4" applyFont="1" applyFill="1" applyBorder="1" applyAlignment="1" applyProtection="1">
      <alignment horizontal="left" vertical="center" wrapText="1"/>
    </xf>
    <xf numFmtId="0" fontId="98" fillId="17" borderId="0" xfId="4" applyFont="1" applyFill="1" applyBorder="1" applyAlignment="1" applyProtection="1">
      <alignment horizontal="left" vertical="center" wrapText="1"/>
    </xf>
    <xf numFmtId="0" fontId="98" fillId="17" borderId="46" xfId="4" applyFont="1" applyFill="1" applyBorder="1" applyAlignment="1" applyProtection="1">
      <alignment horizontal="left" vertical="center" wrapText="1"/>
    </xf>
    <xf numFmtId="0" fontId="98" fillId="17" borderId="47" xfId="4" applyFont="1" applyFill="1" applyBorder="1" applyAlignment="1" applyProtection="1">
      <alignment horizontal="left" vertical="center" wrapText="1"/>
    </xf>
    <xf numFmtId="0" fontId="98" fillId="17" borderId="32" xfId="4" applyFont="1" applyFill="1" applyBorder="1" applyAlignment="1" applyProtection="1">
      <alignment horizontal="left" vertical="center" wrapText="1"/>
    </xf>
    <xf numFmtId="0" fontId="98" fillId="17" borderId="48" xfId="4" applyFont="1" applyFill="1" applyBorder="1" applyAlignment="1" applyProtection="1">
      <alignment horizontal="left" vertical="center" wrapText="1"/>
    </xf>
    <xf numFmtId="0" fontId="98" fillId="17" borderId="43" xfId="4" applyFont="1" applyFill="1" applyBorder="1" applyAlignment="1" applyProtection="1">
      <alignment horizontal="left" vertical="center" wrapText="1"/>
    </xf>
    <xf numFmtId="0" fontId="98" fillId="17" borderId="33" xfId="4" applyFont="1" applyFill="1" applyBorder="1" applyAlignment="1" applyProtection="1">
      <alignment horizontal="left" vertical="center" wrapText="1"/>
    </xf>
    <xf numFmtId="0" fontId="98" fillId="17" borderId="44" xfId="4" applyFont="1" applyFill="1" applyBorder="1" applyAlignment="1" applyProtection="1">
      <alignment horizontal="left" vertical="center" wrapText="1"/>
    </xf>
    <xf numFmtId="0" fontId="96" fillId="0" borderId="3" xfId="4" applyFont="1" applyBorder="1" applyAlignment="1" applyProtection="1">
      <alignment horizontal="left" vertical="top" wrapText="1"/>
    </xf>
    <xf numFmtId="0" fontId="96" fillId="0" borderId="0" xfId="4" applyFont="1" applyBorder="1" applyAlignment="1" applyProtection="1">
      <alignment horizontal="left" vertical="top" wrapText="1"/>
    </xf>
    <xf numFmtId="0" fontId="96" fillId="0" borderId="38" xfId="4" applyFont="1" applyBorder="1" applyAlignment="1" applyProtection="1">
      <alignment horizontal="left" vertical="top" wrapText="1"/>
    </xf>
    <xf numFmtId="0" fontId="96" fillId="0" borderId="39" xfId="4" applyFont="1" applyBorder="1" applyAlignment="1" applyProtection="1">
      <alignment horizontal="left" vertical="top" wrapText="1"/>
    </xf>
    <xf numFmtId="0" fontId="96" fillId="0" borderId="1" xfId="4" applyFont="1" applyBorder="1" applyAlignment="1" applyProtection="1">
      <alignment horizontal="left" vertical="top" wrapText="1"/>
    </xf>
    <xf numFmtId="0" fontId="96" fillId="0" borderId="40" xfId="4" applyFont="1" applyBorder="1" applyAlignment="1" applyProtection="1">
      <alignment horizontal="left" vertical="top" wrapText="1"/>
    </xf>
    <xf numFmtId="0" fontId="10" fillId="6" borderId="0" xfId="2" applyFont="1" applyFill="1" applyAlignment="1" applyProtection="1">
      <alignment horizontal="center" vertical="center"/>
      <protection locked="0"/>
    </xf>
    <xf numFmtId="0" fontId="10" fillId="7" borderId="0" xfId="2" applyFont="1" applyFill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right"/>
      <protection locked="0"/>
    </xf>
    <xf numFmtId="0" fontId="96" fillId="0" borderId="35" xfId="4" applyFont="1" applyBorder="1" applyAlignment="1" applyProtection="1">
      <alignment horizontal="left" vertical="top" wrapText="1"/>
    </xf>
    <xf numFmtId="0" fontId="96" fillId="0" borderId="36" xfId="4" applyFont="1" applyBorder="1" applyAlignment="1" applyProtection="1">
      <alignment horizontal="left" vertical="top" wrapText="1"/>
    </xf>
    <xf numFmtId="0" fontId="96" fillId="0" borderId="37" xfId="4" applyFont="1" applyBorder="1" applyAlignment="1" applyProtection="1">
      <alignment horizontal="left" vertical="top" wrapText="1"/>
    </xf>
    <xf numFmtId="0" fontId="4" fillId="0" borderId="0" xfId="2" applyAlignment="1">
      <alignment horizontal="center"/>
    </xf>
    <xf numFmtId="0" fontId="4" fillId="0" borderId="0" xfId="2" applyAlignment="1">
      <alignment horizontal="left" vertical="top" wrapText="1"/>
    </xf>
    <xf numFmtId="0" fontId="4" fillId="0" borderId="0" xfId="2" applyAlignment="1">
      <alignment horizontal="left"/>
    </xf>
  </cellXfs>
  <cellStyles count="10">
    <cellStyle name="Ezres" xfId="6" builtinId="3"/>
    <cellStyle name="Ezres 2" xfId="7"/>
    <cellStyle name="Hivatkozás" xfId="3" builtinId="8"/>
    <cellStyle name="Normál" xfId="0" builtinId="0"/>
    <cellStyle name="Normal 2" xfId="2"/>
    <cellStyle name="Normál 2" xfId="8"/>
    <cellStyle name="Normál 4" xfId="4"/>
    <cellStyle name="Normal 6" xfId="5"/>
    <cellStyle name="Percent 4" xfId="9"/>
    <cellStyle name="Százalék" xfId="1" builtinId="5"/>
  </cellStyles>
  <dxfs count="67">
    <dxf>
      <font>
        <b/>
        <i val="0"/>
      </font>
      <fill>
        <patternFill>
          <bgColor rgb="FFFFFFCC"/>
        </patternFill>
      </fill>
    </dxf>
    <dxf>
      <fill>
        <patternFill>
          <bgColor rgb="FFFF66FF"/>
        </patternFill>
      </fill>
    </dxf>
    <dxf>
      <fill>
        <patternFill>
          <bgColor rgb="FFFF9FFF"/>
        </patternFill>
      </fill>
    </dxf>
    <dxf>
      <fill>
        <patternFill>
          <bgColor rgb="FF69D8FF"/>
        </patternFill>
      </fill>
    </dxf>
    <dxf>
      <border>
        <top style="thin">
          <color rgb="FF0070C0"/>
        </top>
        <vertical/>
        <horizontal/>
      </border>
    </dxf>
    <dxf>
      <font>
        <b/>
        <i val="0"/>
      </font>
      <fill>
        <patternFill>
          <bgColor rgb="FFB3E6FF"/>
        </patternFill>
      </fill>
      <border>
        <bottom style="thin">
          <color auto="1"/>
        </bottom>
        <vertical/>
        <horizontal/>
      </border>
    </dxf>
    <dxf>
      <border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bottom style="thin">
          <color auto="1"/>
        </bottom>
        <vertical/>
        <horizontal/>
      </border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color theme="0"/>
      </font>
    </dxf>
    <dxf>
      <fill>
        <patternFill>
          <bgColor rgb="FFE1F0FF"/>
        </patternFill>
      </fill>
      <border>
        <left/>
        <right/>
        <top/>
        <bottom style="thin">
          <color rgb="FFFF0000"/>
        </bottom>
        <vertical/>
        <horizontal/>
      </border>
    </dxf>
    <dxf>
      <font>
        <b/>
        <i val="0"/>
        <color auto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/>
        <right/>
        <top style="hair">
          <color auto="1"/>
        </top>
        <bottom style="hair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color theme="0"/>
      </font>
    </dxf>
    <dxf>
      <numFmt numFmtId="184" formatCode="&quot;+ &quot;#&quot; hó&quot;"/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/>
        <right/>
        <top style="hair">
          <color auto="1"/>
        </top>
        <bottom style="hair">
          <color auto="1"/>
        </bottom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CC"/>
      <color rgb="FFB7E7FF"/>
      <color rgb="FFE1F0FF"/>
      <color rgb="FFCCECFF"/>
      <color rgb="FFFFE1FF"/>
      <color rgb="FFFFCCFF"/>
      <color rgb="FFB3E6FF"/>
      <color rgb="FF0000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externalLink" Target="externalLinks/externalLink5.xml"/><Relationship Id="rId26" Type="http://schemas.openxmlformats.org/officeDocument/2006/relationships/calcChain" Target="calcChain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externalLink" Target="externalLinks/externalLink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styles" Target="styles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2.xml"/><Relationship Id="rId23" Type="http://schemas.openxmlformats.org/officeDocument/2006/relationships/theme" Target="theme/theme1.xml"/><Relationship Id="rId10" Type="http://schemas.openxmlformats.org/officeDocument/2006/relationships/worksheet" Target="worksheets/sheet9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PM!$A$94</c:f>
          <c:strCache>
            <c:ptCount val="1"/>
            <c:pt idx="0">
              <c:v>Jövőkulcs Classic nyugdíjbiztosítás értékei*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102164375690297"/>
          <c:y val="0.10305908611817223"/>
          <c:w val="0.66377882002633715"/>
          <c:h val="0.615618905904478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Kalkulátor!$M$5</c:f>
              <c:strCache>
                <c:ptCount val="1"/>
                <c:pt idx="0">
                  <c:v>Befizetett díjak összesen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Kalkulátor!$N$4:$O$4</c:f>
              <c:strCache>
                <c:ptCount val="2"/>
                <c:pt idx="0">
                  <c:v>Díj</c:v>
                </c:pt>
                <c:pt idx="1">
                  <c:v>Szolgáltatás</c:v>
                </c:pt>
              </c:strCache>
            </c:strRef>
          </c:cat>
          <c:val>
            <c:numRef>
              <c:f>Kalkulátor!$N$5:$O$5</c:f>
              <c:numCache>
                <c:formatCode>General</c:formatCode>
                <c:ptCount val="2"/>
                <c:pt idx="0" formatCode="&quot;Ft&quot;#,##0_);\(&quot;Ft&quot;#,##0\)">
                  <c:v>5696621.2053408129</c:v>
                </c:pt>
              </c:numCache>
            </c:numRef>
          </c:val>
        </c:ser>
        <c:ser>
          <c:idx val="1"/>
          <c:order val="1"/>
          <c:tx>
            <c:strRef>
              <c:f>Kalkulátor!$M$6</c:f>
              <c:strCache>
                <c:ptCount val="1"/>
                <c:pt idx="0">
                  <c:v>Garantált biztosítási összeg 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Kalkulátor!$N$4:$O$4</c:f>
              <c:strCache>
                <c:ptCount val="2"/>
                <c:pt idx="0">
                  <c:v>Díj</c:v>
                </c:pt>
                <c:pt idx="1">
                  <c:v>Szolgáltatás</c:v>
                </c:pt>
              </c:strCache>
            </c:strRef>
          </c:cat>
          <c:val>
            <c:numRef>
              <c:f>Kalkulátor!$N$6:$O$6</c:f>
              <c:numCache>
                <c:formatCode>#,##0\ "Ft"</c:formatCode>
                <c:ptCount val="2"/>
                <c:pt idx="1">
                  <c:v>5000000</c:v>
                </c:pt>
              </c:numCache>
            </c:numRef>
          </c:val>
        </c:ser>
        <c:ser>
          <c:idx val="2"/>
          <c:order val="2"/>
          <c:tx>
            <c:strRef>
              <c:f>Kalkulátor!$M$7</c:f>
              <c:strCache>
                <c:ptCount val="1"/>
                <c:pt idx="0">
                  <c:v>Nyereségszámla 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\ &quot;Ft&quot;;#;#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Kalkulátor!$N$4:$O$4</c:f>
              <c:strCache>
                <c:ptCount val="2"/>
                <c:pt idx="0">
                  <c:v>Díj</c:v>
                </c:pt>
                <c:pt idx="1">
                  <c:v>Szolgáltatás</c:v>
                </c:pt>
              </c:strCache>
            </c:strRef>
          </c:cat>
          <c:val>
            <c:numRef>
              <c:f>Kalkulátor!$N$7:$O$7</c:f>
              <c:numCache>
                <c:formatCode>#,##0\ "Ft"</c:formatCode>
                <c:ptCount val="2"/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Kalkulátor!$M$8</c:f>
              <c:strCache>
                <c:ptCount val="1"/>
                <c:pt idx="0">
                  <c:v>Adójóváírás a hozamok hatásával megnövelve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Kalkulátor!$N$4:$O$4</c:f>
              <c:strCache>
                <c:ptCount val="2"/>
                <c:pt idx="0">
                  <c:v>Díj</c:v>
                </c:pt>
                <c:pt idx="1">
                  <c:v>Szolgáltatás</c:v>
                </c:pt>
              </c:strCache>
            </c:strRef>
          </c:cat>
          <c:val>
            <c:numRef>
              <c:f>Kalkulátor!$N$8:$O$8</c:f>
              <c:numCache>
                <c:formatCode>#,##0\ "Ft"</c:formatCode>
                <c:ptCount val="2"/>
                <c:pt idx="1">
                  <c:v>1139324.2410681627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849216"/>
        <c:axId val="85850752"/>
      </c:barChart>
      <c:lineChart>
        <c:grouping val="standard"/>
        <c:varyColors val="0"/>
        <c:ser>
          <c:idx val="4"/>
          <c:order val="4"/>
          <c:tx>
            <c:strRef>
              <c:f>Kalkulátor!$M$9</c:f>
              <c:strCache>
                <c:ptCount val="1"/>
                <c:pt idx="0">
                  <c:v>Lejárati összeg (összesen):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Kalkulátor!$N$4:$O$4</c:f>
              <c:strCache>
                <c:ptCount val="2"/>
                <c:pt idx="0">
                  <c:v>Díj</c:v>
                </c:pt>
                <c:pt idx="1">
                  <c:v>Szolgáltatás</c:v>
                </c:pt>
              </c:strCache>
            </c:strRef>
          </c:cat>
          <c:val>
            <c:numRef>
              <c:f>Kalkulátor!$N$9:$O$9</c:f>
              <c:numCache>
                <c:formatCode>#,##0\ "Ft"</c:formatCode>
                <c:ptCount val="2"/>
                <c:pt idx="1">
                  <c:v>6139324.241068163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49216"/>
        <c:axId val="85850752"/>
      </c:lineChart>
      <c:catAx>
        <c:axId val="85849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850752"/>
        <c:crosses val="autoZero"/>
        <c:auto val="1"/>
        <c:lblAlgn val="ctr"/>
        <c:lblOffset val="100"/>
        <c:noMultiLvlLbl val="0"/>
      </c:catAx>
      <c:valAx>
        <c:axId val="85850752"/>
        <c:scaling>
          <c:orientation val="minMax"/>
        </c:scaling>
        <c:delete val="0"/>
        <c:axPos val="l"/>
        <c:majorGridlines/>
        <c:numFmt formatCode="&quot;Ft&quot;#,##0_);\(&quot;Ft&quot;#,##0\)" sourceLinked="1"/>
        <c:majorTickMark val="out"/>
        <c:minorTickMark val="none"/>
        <c:tickLblPos val="nextTo"/>
        <c:crossAx val="85849216"/>
        <c:crosses val="autoZero"/>
        <c:crossBetween val="between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7607592159669936"/>
          <c:y val="0.36988019572910813"/>
          <c:w val="0.21570922882291016"/>
          <c:h val="0.2161718085709309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 b="1"/>
      </a:pPr>
      <a:endParaRPr lang="hu-HU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password="C32A" content="1" objects="1"/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0.81368</cdr:y>
    </cdr:from>
    <cdr:to>
      <cdr:x>0.99589</cdr:x>
      <cdr:y>0.84044</cdr:y>
    </cdr:to>
    <cdr:sp macro="" textlink="PM!$A$96">
      <cdr:nvSpPr>
        <cdr:cNvPr id="2" name="Szövegdoboz 1"/>
        <cdr:cNvSpPr txBox="1"/>
      </cdr:nvSpPr>
      <cdr:spPr>
        <a:xfrm xmlns:a="http://schemas.openxmlformats.org/drawingml/2006/main">
          <a:off x="0" y="4924425"/>
          <a:ext cx="9237786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18000" rIns="36000" bIns="18000" rtlCol="0"/>
        <a:lstStyle xmlns:a="http://schemas.openxmlformats.org/drawingml/2006/main"/>
        <a:p xmlns:a="http://schemas.openxmlformats.org/drawingml/2006/main">
          <a:fld id="{7064CE01-6931-4EA7-AE13-1AD342A5F6EB}" type="TxLink">
            <a:rPr lang="en-US" sz="8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Kezdeti éves díj: 209 350 Ft díj,havi díjfizetés, éves díjemelés: 2,0%, feltételezett éves hozam: 0,0%, garantált biztosítási összeg:  5 000 000 forint.</a:t>
          </a:fld>
          <a:endParaRPr lang="hu-HU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0.83729</cdr:y>
    </cdr:from>
    <cdr:to>
      <cdr:x>0.99589</cdr:x>
      <cdr:y>0.86404</cdr:y>
    </cdr:to>
    <cdr:sp macro="" textlink="PM!$A$97">
      <cdr:nvSpPr>
        <cdr:cNvPr id="3" name="Szövegdoboz 2"/>
        <cdr:cNvSpPr txBox="1"/>
      </cdr:nvSpPr>
      <cdr:spPr>
        <a:xfrm xmlns:a="http://schemas.openxmlformats.org/drawingml/2006/main">
          <a:off x="0" y="5067300"/>
          <a:ext cx="9237786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18000" rIns="36000" bIns="18000" rtlCol="0"/>
        <a:lstStyle xmlns:a="http://schemas.openxmlformats.org/drawingml/2006/main"/>
        <a:p xmlns:a="http://schemas.openxmlformats.org/drawingml/2006/main">
          <a:fld id="{F48A6CDE-D204-472D-801D-078DCF1A28D8}" type="TxLink">
            <a:rPr lang="en-US" sz="8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A modell a választott, a tartam során állandó éves hozam feltételezésével mutatja a szerződés értékének alakulását. A számítás az előírt, automatikusan indexálódó díj megfizetését veszi figyelembe. </a:t>
          </a:fld>
          <a:endParaRPr lang="hu-HU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0.86404</cdr:y>
    </cdr:from>
    <cdr:to>
      <cdr:x>0.99589</cdr:x>
      <cdr:y>0.89395</cdr:y>
    </cdr:to>
    <cdr:sp macro="" textlink="PM!$A$98">
      <cdr:nvSpPr>
        <cdr:cNvPr id="4" name="Szövegdoboz 3"/>
        <cdr:cNvSpPr txBox="1"/>
      </cdr:nvSpPr>
      <cdr:spPr>
        <a:xfrm xmlns:a="http://schemas.openxmlformats.org/drawingml/2006/main">
          <a:off x="0" y="5229226"/>
          <a:ext cx="9237786" cy="180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18000" rIns="36000" bIns="18000" rtlCol="0"/>
        <a:lstStyle xmlns:a="http://schemas.openxmlformats.org/drawingml/2006/main"/>
        <a:p xmlns:a="http://schemas.openxmlformats.org/drawingml/2006/main">
          <a:fld id="{8167D5BD-FEF2-414E-B101-B6CC0C0A43E9}" type="TxLink">
            <a:rPr lang="en-US" sz="8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A termék klasszikus (hagyományos) nyugdíjbiztosítás, melynél a szerződéskötéskor rögzített szolgáltatás (biztosítási összeg) nagyságát a biztosító garantálja. </a:t>
          </a:fld>
          <a:endParaRPr lang="hu-HU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0.89237</cdr:y>
    </cdr:from>
    <cdr:to>
      <cdr:x>0.99589</cdr:x>
      <cdr:y>0.91913</cdr:y>
    </cdr:to>
    <cdr:sp macro="" textlink="PM!$A$99">
      <cdr:nvSpPr>
        <cdr:cNvPr id="5" name="Szövegdoboz 4"/>
        <cdr:cNvSpPr txBox="1"/>
      </cdr:nvSpPr>
      <cdr:spPr>
        <a:xfrm xmlns:a="http://schemas.openxmlformats.org/drawingml/2006/main">
          <a:off x="0" y="5400675"/>
          <a:ext cx="9237786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18000" rIns="36000" bIns="18000" rtlCol="0"/>
        <a:lstStyle xmlns:a="http://schemas.openxmlformats.org/drawingml/2006/main"/>
        <a:p xmlns:a="http://schemas.openxmlformats.org/drawingml/2006/main">
          <a:fld id="{9DBB38DC-EB82-42B6-954D-C3DF775CE5CB}" type="TxLink">
            <a:rPr lang="en-US" sz="8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A kifizetések nagyságát jóváírt többlethozamok is növelhetik. A többlethozam mértékére vonatkozóan az UNIQA Biztosító Zrt. semmilyen garanciát nem vállal. </a:t>
          </a:fld>
          <a:endParaRPr lang="hu-HU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0.00103</cdr:x>
      <cdr:y>0.91598</cdr:y>
    </cdr:from>
    <cdr:to>
      <cdr:x>0.99692</cdr:x>
      <cdr:y>0.94274</cdr:y>
    </cdr:to>
    <cdr:sp macro="" textlink="PM!$A$100">
      <cdr:nvSpPr>
        <cdr:cNvPr id="6" name="Szövegdoboz 5"/>
        <cdr:cNvSpPr txBox="1"/>
      </cdr:nvSpPr>
      <cdr:spPr>
        <a:xfrm xmlns:a="http://schemas.openxmlformats.org/drawingml/2006/main">
          <a:off x="9525" y="5543550"/>
          <a:ext cx="9237786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18000" rIns="36000" bIns="18000" rtlCol="0"/>
        <a:lstStyle xmlns:a="http://schemas.openxmlformats.org/drawingml/2006/main"/>
        <a:p xmlns:a="http://schemas.openxmlformats.org/drawingml/2006/main">
          <a:fld id="{219AFEED-7B10-463F-8A28-05D436BDC622}" type="TxLink">
            <a:rPr lang="en-US" sz="8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Az elért hozamból a szerződő a biztosítási feltételekben meghatározott arányban részesedik, a hozamok nem teljes mértékben kerülnek jóváírásra a szerződésen.</a:t>
          </a:fld>
          <a:endParaRPr lang="hu-HU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0.00103</cdr:x>
      <cdr:y>0.94225</cdr:y>
    </cdr:from>
    <cdr:to>
      <cdr:x>0.99692</cdr:x>
      <cdr:y>0.96901</cdr:y>
    </cdr:to>
    <cdr:sp macro="" textlink="PM!$A$102">
      <cdr:nvSpPr>
        <cdr:cNvPr id="7" name="Szövegdoboz 6"/>
        <cdr:cNvSpPr txBox="1"/>
      </cdr:nvSpPr>
      <cdr:spPr>
        <a:xfrm xmlns:a="http://schemas.openxmlformats.org/drawingml/2006/main">
          <a:off x="9525" y="5702544"/>
          <a:ext cx="9237786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18000" rIns="36000" bIns="18000" rtlCol="0"/>
        <a:lstStyle xmlns:a="http://schemas.openxmlformats.org/drawingml/2006/main"/>
        <a:p xmlns:a="http://schemas.openxmlformats.org/drawingml/2006/main">
          <a:fld id="{3C9269FA-BDE6-4202-BFD5-2DDF824B0452}" type="TxLink">
            <a:rPr lang="en-US" sz="8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Az adójóváírások könyvelése a modellben július hónapban történik, utolsó naptári évben fizetett díjak utáni adójóváírás a modellben a lejárat hónapjában jelenik meg</a:t>
          </a:fld>
          <a:endParaRPr lang="hu-HU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0.00182</cdr:x>
      <cdr:y>0.9701</cdr:y>
    </cdr:from>
    <cdr:to>
      <cdr:x>0.99771</cdr:x>
      <cdr:y>0.99685</cdr:y>
    </cdr:to>
    <cdr:sp macro="" textlink="PM!$A$103">
      <cdr:nvSpPr>
        <cdr:cNvPr id="8" name="Szövegdoboz 7"/>
        <cdr:cNvSpPr txBox="1"/>
      </cdr:nvSpPr>
      <cdr:spPr>
        <a:xfrm xmlns:a="http://schemas.openxmlformats.org/drawingml/2006/main">
          <a:off x="16852" y="5871063"/>
          <a:ext cx="9237786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18000" rIns="36000" bIns="18000" rtlCol="0"/>
        <a:lstStyle xmlns:a="http://schemas.openxmlformats.org/drawingml/2006/main"/>
        <a:p xmlns:a="http://schemas.openxmlformats.org/drawingml/2006/main">
          <a:fld id="{09A4AD36-5EF6-409D-BD14-93A8C551835F}" type="TxLink">
            <a:rPr lang="en-US" sz="8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(akkor is, ha az adóhivataltól a tényleges utalás csak a szerződés lejáratát követően érkezik meg, így az külön kerül kifizetésre).</a:t>
          </a:fld>
          <a:endParaRPr lang="hu-HU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0.78527</cdr:y>
    </cdr:from>
    <cdr:to>
      <cdr:x>0.99589</cdr:x>
      <cdr:y>0.81203</cdr:y>
    </cdr:to>
    <cdr:sp macro="" textlink="">
      <cdr:nvSpPr>
        <cdr:cNvPr id="9" name="Szövegdoboz 8"/>
        <cdr:cNvSpPr txBox="1"/>
      </cdr:nvSpPr>
      <cdr:spPr>
        <a:xfrm xmlns:a="http://schemas.openxmlformats.org/drawingml/2006/main">
          <a:off x="0" y="4749616"/>
          <a:ext cx="9248706" cy="1618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18000" rIns="36000" bIns="18000" rtlCol="0"/>
        <a:lstStyle xmlns:a="http://schemas.openxmlformats.org/drawingml/2006/main"/>
        <a:p xmlns:a="http://schemas.openxmlformats.org/drawingml/2006/main">
          <a:fld id="{3A63500A-C8FE-4964-A21E-2F5C6DF8515B}" type="TxLink">
            <a:rPr lang="en-US" sz="8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* A szerződés tartama: 23 év + 1 hónap, ebből díjfizetési időszak: 23 év. A 24. évben, a tartam utolsó 1 hónapjában a szerződés díjfizetés nélkül van érvényben.</a:t>
          </a:fld>
          <a:endParaRPr lang="hu-HU" sz="1100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2</xdr:col>
      <xdr:colOff>129020</xdr:colOff>
      <xdr:row>1</xdr:row>
      <xdr:rowOff>619125</xdr:rowOff>
    </xdr:to>
    <xdr:pic>
      <xdr:nvPicPr>
        <xdr:cNvPr id="2" name="Kép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41489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923925</xdr:colOff>
      <xdr:row>0</xdr:row>
      <xdr:rowOff>142876</xdr:rowOff>
    </xdr:from>
    <xdr:to>
      <xdr:col>7</xdr:col>
      <xdr:colOff>259352</xdr:colOff>
      <xdr:row>1</xdr:row>
      <xdr:rowOff>409576</xdr:rowOff>
    </xdr:to>
    <xdr:pic>
      <xdr:nvPicPr>
        <xdr:cNvPr id="3" name="Kép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142876"/>
          <a:ext cx="1449977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IQA.AT\Konzern$\Documents%20and%20Settings\Maciaga%20Bartlomiej\My%20Documents\BCG\Proj\SNS\Work\Working%20Files\Relevant%20doc\QIS4%20Solo%202008073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tunyeg/AppData/Local/Temp/notes29DF3B/U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8500/Term&#233;k&#246;sszefoglal&#243;k/B&#243;nusz-tartam-d&#237;j-k&#243;d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H\Zivotno\Abteilung\KONZAKT\Lebensversicherung\Profit%20Testing\Projekt2.0_Leben_unter_SolvencyII\Report\ProfitTesting_Report_V1.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tugatu/Documents/Bankbiztos&#237;t&#225;s/Harm&#243;nia/Kalkul&#225;torok/Harn&#243;niaB&#243;nusz_Kalkul&#225;tor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tunyeg/AppData/Local/Temp/Harm&#243;nia_Classic_Kalkul&#225;tor_2017.02.05%20V&#201;DELEM%20N&#201;LK&#220;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8500/Term&#233;kek/UL%202017/_Kalkul&#225;torok/Kalkul&#225;tor%20v3.61%20MASTER%20-%20teszt%20jaradek%20+%20Classic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tufaiv/AppData/Local/Temp/7zOF4BF.tmp/v3_ANNUI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IQA.AT\Konzern$\Documents%20and%20Settings\Maciaga%20Bartlomiej\My%20Documents\BCG\Proj\Model\BCG_SII_LIFE_BalanceSheet_v09_S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 refreshError="1"/>
      <sheetData sheetId="1" refreshError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Profit Test Assumptions"/>
      <sheetName val="Reserves"/>
      <sheetName val="Amort&amp;ClawBack"/>
      <sheetName val="CFdet"/>
      <sheetName val="CF_MP"/>
      <sheetName val="CF_Solvency II_MP"/>
      <sheetName val="Key Output Val RP"/>
      <sheetName val="Solvency_II_adj"/>
      <sheetName val="Modelpoints"/>
      <sheetName val="Key Output CF Base Case"/>
      <sheetName val="premium_increase"/>
      <sheetName val="premium_increase_calc"/>
      <sheetName val="premium_increase_calc (2)"/>
      <sheetName val="Reserves (2)"/>
      <sheetName val="Premium Calculation"/>
      <sheetName val="Premium Calculation (2)"/>
      <sheetName val="tartalék_ell"/>
      <sheetName val="CF_TOTAL"/>
      <sheetName val="Key Output Val"/>
      <sheetName val="ExecSummary"/>
      <sheetName val="Key Output CF UNIQA Scenario"/>
      <sheetName val="Key Output CF Sens1"/>
      <sheetName val="Key Output CF Sens2"/>
      <sheetName val="Key Output CF Sens3"/>
      <sheetName val="WOP"/>
      <sheetName val="Assumptions"/>
      <sheetName val="ProductDescription"/>
      <sheetName val="SimplifiedApproach"/>
      <sheetName val="Escalation Process"/>
    </sheetNames>
    <sheetDataSet>
      <sheetData sheetId="0" refreshError="1"/>
      <sheetData sheetId="1" refreshError="1">
        <row r="3">
          <cell r="B3">
            <v>35</v>
          </cell>
          <cell r="E3">
            <v>1</v>
          </cell>
        </row>
        <row r="5">
          <cell r="B5">
            <v>0.37</v>
          </cell>
        </row>
        <row r="6">
          <cell r="B6">
            <v>20</v>
          </cell>
        </row>
        <row r="10">
          <cell r="B10">
            <v>1</v>
          </cell>
        </row>
        <row r="11">
          <cell r="B11">
            <v>1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E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E16">
            <v>9.6999999999999989E-2</v>
          </cell>
        </row>
        <row r="18">
          <cell r="B18">
            <v>0</v>
          </cell>
        </row>
        <row r="20">
          <cell r="B20">
            <v>0</v>
          </cell>
        </row>
        <row r="21">
          <cell r="H21">
            <v>0</v>
          </cell>
        </row>
        <row r="26">
          <cell r="B26">
            <v>17500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J3" t="str">
            <v>ALL</v>
          </cell>
        </row>
        <row r="4">
          <cell r="J4" t="str">
            <v>BAM</v>
          </cell>
        </row>
        <row r="5">
          <cell r="J5" t="str">
            <v>BGN</v>
          </cell>
        </row>
        <row r="6">
          <cell r="J6" t="str">
            <v>CHF</v>
          </cell>
        </row>
        <row r="7">
          <cell r="J7" t="str">
            <v>CZK</v>
          </cell>
        </row>
        <row r="8">
          <cell r="J8" t="str">
            <v>EUR</v>
          </cell>
        </row>
        <row r="9">
          <cell r="J9" t="str">
            <v>HRK</v>
          </cell>
        </row>
        <row r="10">
          <cell r="J10" t="str">
            <v>HUF</v>
          </cell>
        </row>
        <row r="11">
          <cell r="J11" t="str">
            <v>PLN</v>
          </cell>
        </row>
        <row r="12">
          <cell r="J12" t="str">
            <v>RON</v>
          </cell>
        </row>
        <row r="13">
          <cell r="J13" t="str">
            <v>RSD</v>
          </cell>
        </row>
        <row r="14">
          <cell r="J14" t="str">
            <v>RUB</v>
          </cell>
        </row>
        <row r="15">
          <cell r="J15" t="str">
            <v>UAH</v>
          </cell>
        </row>
        <row r="16">
          <cell r="J16" t="str">
            <v>USD</v>
          </cell>
        </row>
        <row r="38">
          <cell r="A38" t="str">
            <v>UNIQA Personenversicherung AG (Austria)</v>
          </cell>
        </row>
        <row r="39">
          <cell r="A39" t="str">
            <v>Raiffeisen Versicherung AG (Austria)</v>
          </cell>
        </row>
        <row r="40">
          <cell r="A40" t="str">
            <v>Salzburger Landesversicherung AG (Austria)</v>
          </cell>
        </row>
        <row r="41">
          <cell r="A41" t="str">
            <v>Finance Life Lebensversicherung AG (Austria)</v>
          </cell>
        </row>
        <row r="42">
          <cell r="A42" t="str">
            <v>UNIQA Previdenza S.p.A. (Italy)</v>
          </cell>
        </row>
        <row r="43">
          <cell r="A43" t="str">
            <v>UNIQA Life S.p.A. (Italy)</v>
          </cell>
        </row>
        <row r="44">
          <cell r="A44" t="str">
            <v>UNIQA poistovna a.s. (Slovakia)</v>
          </cell>
        </row>
        <row r="45">
          <cell r="A45" t="str">
            <v>UNIQA Pojistovna a.s. (Czech Republic)</v>
          </cell>
        </row>
        <row r="46">
          <cell r="A46" t="str">
            <v>UNIQA Biztosito Zrt. (Hungary)</v>
          </cell>
        </row>
        <row r="47">
          <cell r="A47" t="str">
            <v>UNIQA Zycie S.A. (Poland)</v>
          </cell>
        </row>
        <row r="48">
          <cell r="A48" t="str">
            <v>UNIQA Osiguranje d.d. (Croatia)</v>
          </cell>
        </row>
        <row r="49">
          <cell r="A49" t="str">
            <v>UNIQA Osiguranje (Bosnia)</v>
          </cell>
        </row>
        <row r="50">
          <cell r="A50" t="str">
            <v>UNIQA ziv. Osiguranje (Serbia)</v>
          </cell>
        </row>
        <row r="51">
          <cell r="A51" t="str">
            <v>UNIQA Life Insurance Company (Ukraine)</v>
          </cell>
        </row>
        <row r="52">
          <cell r="A52" t="str">
            <v>UNIQA Asigurari (Romania)</v>
          </cell>
        </row>
        <row r="53">
          <cell r="A53" t="str">
            <v>UNIQA Life Insurance plc. (Bulgaria)</v>
          </cell>
        </row>
        <row r="54">
          <cell r="A54" t="str">
            <v>Raiffeisen Life (Russia)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átor"/>
      <sheetName val="Eszközalapok"/>
      <sheetName val="EszközalapLista"/>
      <sheetName val="Bon"/>
      <sheetName val="Tarifa"/>
      <sheetName val="Terméklista"/>
      <sheetName val="Kódok"/>
      <sheetName val="Offs"/>
      <sheetName val="BefTeszt"/>
      <sheetName val="ÁrfTeszt"/>
      <sheetName val="Termék-Eszközalap"/>
      <sheetName val="Korhatár"/>
    </sheetNames>
    <sheetDataSet>
      <sheetData sheetId="0" refreshError="1">
        <row r="2">
          <cell r="C2">
            <v>650</v>
          </cell>
        </row>
        <row r="29">
          <cell r="G29">
            <v>0</v>
          </cell>
        </row>
      </sheetData>
      <sheetData sheetId="1" refreshError="1"/>
      <sheetData sheetId="2" refreshError="1">
        <row r="6">
          <cell r="C6" t="str">
            <v>Abszolút hozam</v>
          </cell>
        </row>
        <row r="7">
          <cell r="C7" t="str">
            <v>€-Abszolút hozam</v>
          </cell>
        </row>
        <row r="8">
          <cell r="C8" t="str">
            <v>Alternatív energia részvény</v>
          </cell>
        </row>
        <row r="9">
          <cell r="C9" t="str">
            <v>€-Alternatív energia részvény</v>
          </cell>
        </row>
        <row r="10">
          <cell r="C10" t="str">
            <v>Ázsiai részvény</v>
          </cell>
        </row>
        <row r="11">
          <cell r="C11" t="str">
            <v>€-Ázsiai részvény</v>
          </cell>
        </row>
        <row r="12">
          <cell r="C12" t="str">
            <v>Biztonság</v>
          </cell>
        </row>
        <row r="13">
          <cell r="C13" t="str">
            <v>B-RICH részvény</v>
          </cell>
        </row>
        <row r="14">
          <cell r="C14" t="str">
            <v>€-B-RICH részvény</v>
          </cell>
        </row>
        <row r="15">
          <cell r="C15" t="str">
            <v>$-B-RICH részvény</v>
          </cell>
        </row>
        <row r="16">
          <cell r="C16" t="str">
            <v>Célpont 2020</v>
          </cell>
        </row>
        <row r="17">
          <cell r="C17" t="str">
            <v>Célpont 2025</v>
          </cell>
        </row>
        <row r="18">
          <cell r="C18" t="str">
            <v>Célpont 2030</v>
          </cell>
        </row>
        <row r="19">
          <cell r="C19" t="str">
            <v>Célpont 2035</v>
          </cell>
        </row>
        <row r="20">
          <cell r="C20" t="str">
            <v>Célpont 2040</v>
          </cell>
        </row>
        <row r="21">
          <cell r="C21" t="str">
            <v>€-Célpont 2020</v>
          </cell>
        </row>
        <row r="22">
          <cell r="C22" t="str">
            <v>€-Célpont 2025</v>
          </cell>
        </row>
        <row r="23">
          <cell r="C23" t="str">
            <v>€-Célpont 2030</v>
          </cell>
        </row>
        <row r="24">
          <cell r="C24" t="str">
            <v>€-Célpont 2035</v>
          </cell>
        </row>
        <row r="25">
          <cell r="C25" t="str">
            <v>€-Célpont 2040</v>
          </cell>
        </row>
        <row r="26">
          <cell r="C26" t="str">
            <v>Dinamikus</v>
          </cell>
        </row>
        <row r="27">
          <cell r="C27" t="str">
            <v>DWS II.</v>
          </cell>
        </row>
        <row r="28">
          <cell r="C28" t="str">
            <v>Egyensúly</v>
          </cell>
        </row>
        <row r="29">
          <cell r="C29" t="str">
            <v>Esély</v>
          </cell>
        </row>
        <row r="30">
          <cell r="C30" t="str">
            <v>$-Észak-amerikai részvény</v>
          </cell>
        </row>
        <row r="31">
          <cell r="C31" t="str">
            <v>€-10</v>
          </cell>
        </row>
        <row r="32">
          <cell r="C32" t="str">
            <v>€-30</v>
          </cell>
        </row>
        <row r="33">
          <cell r="C33" t="str">
            <v>€-70</v>
          </cell>
        </row>
        <row r="34">
          <cell r="C34" t="str">
            <v>€-Pénzpiaci</v>
          </cell>
        </row>
        <row r="35">
          <cell r="C35" t="str">
            <v>Fejlődő piaci részvény</v>
          </cell>
        </row>
        <row r="36">
          <cell r="C36" t="str">
            <v>€-Fejlődő piaci részvény</v>
          </cell>
        </row>
        <row r="37">
          <cell r="C37" t="str">
            <v>FX</v>
          </cell>
        </row>
        <row r="38">
          <cell r="C38" t="str">
            <v>€-FX</v>
          </cell>
        </row>
        <row r="39">
          <cell r="C39" t="str">
            <v>Globális részvény</v>
          </cell>
        </row>
        <row r="40">
          <cell r="C40" t="str">
            <v>Globális részvény (r)</v>
          </cell>
        </row>
        <row r="41">
          <cell r="C41" t="str">
            <v>Gold nemesfém</v>
          </cell>
        </row>
        <row r="42">
          <cell r="C42" t="str">
            <v>€-Gold nemesfém</v>
          </cell>
        </row>
        <row r="43">
          <cell r="C43" t="str">
            <v>Indiai részvény</v>
          </cell>
        </row>
        <row r="44">
          <cell r="C44" t="str">
            <v>€-Indiai részvény</v>
          </cell>
        </row>
        <row r="45">
          <cell r="C45" t="str">
            <v>$-Indiai részvény</v>
          </cell>
        </row>
        <row r="46">
          <cell r="C46" t="str">
            <v>Infrastruktúra részvény</v>
          </cell>
        </row>
        <row r="47">
          <cell r="C47" t="str">
            <v>€-Infrastruktúra részvény</v>
          </cell>
        </row>
        <row r="48">
          <cell r="C48" t="str">
            <v>Ingatlan</v>
          </cell>
        </row>
        <row r="49">
          <cell r="C49" t="str">
            <v>Kelet-európai részvény</v>
          </cell>
        </row>
        <row r="50">
          <cell r="C50" t="str">
            <v>€-Kelet-európai részvény</v>
          </cell>
        </row>
        <row r="51">
          <cell r="C51" t="str">
            <v>Kínai részvény</v>
          </cell>
        </row>
        <row r="52">
          <cell r="C52" t="str">
            <v>€-Kínai részvény</v>
          </cell>
        </row>
        <row r="53">
          <cell r="C53" t="str">
            <v>$-Kínai részvény</v>
          </cell>
        </row>
        <row r="54">
          <cell r="C54" t="str">
            <v>Közel-keleti és észak afrikai (MENA) részvény</v>
          </cell>
        </row>
        <row r="55">
          <cell r="C55" t="str">
            <v>€-Közel-keleti és észak afrikai (MENA) részvény</v>
          </cell>
        </row>
        <row r="56">
          <cell r="C56" t="str">
            <v>Kredit</v>
          </cell>
        </row>
        <row r="57">
          <cell r="C57" t="str">
            <v>€-Kredit</v>
          </cell>
        </row>
        <row r="58">
          <cell r="C58" t="str">
            <v>Latin-amerikai részvény</v>
          </cell>
        </row>
        <row r="59">
          <cell r="C59" t="str">
            <v>€-Latin-amerikai részvény</v>
          </cell>
        </row>
        <row r="60">
          <cell r="C60" t="str">
            <v>$-Latin-amerikai részvény</v>
          </cell>
        </row>
        <row r="61">
          <cell r="C61" t="str">
            <v>Lengyel részvény</v>
          </cell>
        </row>
        <row r="62">
          <cell r="C62" t="str">
            <v>€-Lengyel részvény</v>
          </cell>
        </row>
        <row r="63">
          <cell r="C63" t="str">
            <v>Likviditás</v>
          </cell>
        </row>
        <row r="64">
          <cell r="C64" t="str">
            <v>Magyar államkötvény</v>
          </cell>
        </row>
        <row r="65">
          <cell r="C65" t="str">
            <v>Magyar részvény</v>
          </cell>
        </row>
        <row r="66">
          <cell r="C66" t="str">
            <v>Menedzselt</v>
          </cell>
        </row>
        <row r="67">
          <cell r="C67" t="str">
            <v>Növekedés</v>
          </cell>
        </row>
        <row r="68">
          <cell r="C68" t="str">
            <v>Növekedési</v>
          </cell>
        </row>
        <row r="69">
          <cell r="C69" t="str">
            <v>Nyugat-európai részvény</v>
          </cell>
        </row>
        <row r="70">
          <cell r="C70" t="str">
            <v>€-Nyugat-európai részvény</v>
          </cell>
        </row>
        <row r="71">
          <cell r="C71" t="str">
            <v>Rövid lejáratú pénzpiaci termékekbe fektető</v>
          </cell>
        </row>
        <row r="72">
          <cell r="C72" t="str">
            <v>Progresszív</v>
          </cell>
        </row>
        <row r="73">
          <cell r="C73" t="str">
            <v>ProtAktív SL-SG B-RICH részvény</v>
          </cell>
        </row>
        <row r="74">
          <cell r="C74" t="str">
            <v>€-ProtAktív SL-SG B-RICH részvény</v>
          </cell>
        </row>
        <row r="75">
          <cell r="C75" t="str">
            <v>$-ProtAktív SL-SG B-RICH részvény</v>
          </cell>
        </row>
        <row r="76">
          <cell r="C76" t="str">
            <v>$-ProtAktív SL-SG Észak-amerikai részvény</v>
          </cell>
        </row>
        <row r="77">
          <cell r="C77" t="str">
            <v>ProtAktív SL-SG Indiai részvény</v>
          </cell>
        </row>
        <row r="78">
          <cell r="C78" t="str">
            <v>€-ProtAktív SL-SG Indiai részvény</v>
          </cell>
        </row>
        <row r="79">
          <cell r="C79" t="str">
            <v>$-ProtAktív SL-SG Indiai részvény</v>
          </cell>
        </row>
        <row r="80">
          <cell r="C80" t="str">
            <v>ProtAktív SL-SG Kelet-európai részvény</v>
          </cell>
        </row>
        <row r="81">
          <cell r="C81" t="str">
            <v>€-ProtAktív SL-SG Kelet-európai részvény</v>
          </cell>
        </row>
        <row r="82">
          <cell r="C82" t="str">
            <v>ProtAktív SL-SG Kínai részvény</v>
          </cell>
        </row>
        <row r="83">
          <cell r="C83" t="str">
            <v>€-ProtAktív SL-SG Kínai részvény</v>
          </cell>
        </row>
        <row r="84">
          <cell r="C84" t="str">
            <v>$-ProtAktív SL-SG Kínai részvény</v>
          </cell>
        </row>
        <row r="85">
          <cell r="C85" t="str">
            <v>ProtAktív SL-SG Latin-amerikai részvény</v>
          </cell>
        </row>
        <row r="86">
          <cell r="C86" t="str">
            <v>€-ProtAktív SL-SG Latin-amerikai részvény</v>
          </cell>
        </row>
        <row r="87">
          <cell r="C87" t="str">
            <v>$-ProtAktív SL-SG Latin-amerikai részvény</v>
          </cell>
        </row>
        <row r="88">
          <cell r="C88" t="str">
            <v>QUANTIS eszközallokátor</v>
          </cell>
        </row>
        <row r="89">
          <cell r="C89" t="str">
            <v>QUANTIS Fine Selection Fejlett Piaci részvény</v>
          </cell>
        </row>
        <row r="90">
          <cell r="C90" t="str">
            <v>€-QUANTIS Fine Selection Fejlett Piaci részvény</v>
          </cell>
        </row>
        <row r="91">
          <cell r="C91" t="str">
            <v>QUANTIS Fine Selection Fejlődő Piaci részvény</v>
          </cell>
        </row>
        <row r="92">
          <cell r="C92" t="str">
            <v>€-QUANTIS Fine Selection Fejlődő Piaci részvény</v>
          </cell>
        </row>
        <row r="93">
          <cell r="C93" t="str">
            <v>QUANTIS Fine Selection Oroszország részvény</v>
          </cell>
        </row>
        <row r="94">
          <cell r="C94" t="str">
            <v>€-QUANTIS Fine Selection Oroszország részvény</v>
          </cell>
        </row>
        <row r="95">
          <cell r="C95" t="str">
            <v>Raiffeisen részvény</v>
          </cell>
        </row>
        <row r="96">
          <cell r="C96" t="str">
            <v>Raiffeisen EMEA</v>
          </cell>
        </row>
        <row r="97">
          <cell r="C97" t="str">
            <v>Raiffeisen G. pénzpiaci</v>
          </cell>
        </row>
        <row r="98">
          <cell r="C98" t="str">
            <v>Raiffeisen konvergencia</v>
          </cell>
        </row>
        <row r="99">
          <cell r="C99" t="str">
            <v>Raiffeisen kötvény</v>
          </cell>
        </row>
        <row r="100">
          <cell r="C100" t="str">
            <v>Raiffeisen likviditási</v>
          </cell>
        </row>
        <row r="101">
          <cell r="C101" t="str">
            <v>Raiffeisen nemzetközi részvény</v>
          </cell>
        </row>
        <row r="102">
          <cell r="C102" t="str">
            <v>Raiffeisen pénzpiaci</v>
          </cell>
        </row>
        <row r="103">
          <cell r="C103" t="str">
            <v>Succes absolute "A"</v>
          </cell>
        </row>
        <row r="104">
          <cell r="C104" t="str">
            <v>Success flexible</v>
          </cell>
        </row>
        <row r="105">
          <cell r="C105" t="str">
            <v>Success protected</v>
          </cell>
        </row>
        <row r="106">
          <cell r="C106" t="str">
            <v>Success relative "A"</v>
          </cell>
        </row>
        <row r="107">
          <cell r="C107" t="str">
            <v>Török részvény</v>
          </cell>
        </row>
        <row r="108">
          <cell r="C108" t="str">
            <v>€-Török részvény</v>
          </cell>
        </row>
        <row r="109">
          <cell r="C109" t="str">
            <v>Trendkövető global 100</v>
          </cell>
        </row>
        <row r="110">
          <cell r="C110" t="str">
            <v>€-Trendkövető global 100</v>
          </cell>
        </row>
        <row r="111">
          <cell r="C111" t="str">
            <v>Trendkövető total return 100</v>
          </cell>
        </row>
        <row r="112">
          <cell r="C112" t="str">
            <v>€-Trendkövető total return 100</v>
          </cell>
        </row>
        <row r="113">
          <cell r="C113" t="str">
            <v>Trendkövető total return 50</v>
          </cell>
        </row>
        <row r="114">
          <cell r="C114" t="str">
            <v>€-Trendkövető total return 50</v>
          </cell>
        </row>
        <row r="115">
          <cell r="C115" t="str">
            <v>$-USA állampapír</v>
          </cell>
        </row>
        <row r="116">
          <cell r="C116" t="str">
            <v>$-USA kiegyensúlyozott</v>
          </cell>
        </row>
        <row r="117">
          <cell r="C117" t="str">
            <v>Vegyes ingatlan</v>
          </cell>
        </row>
      </sheetData>
      <sheetData sheetId="3" refreshError="1">
        <row r="2">
          <cell r="B2" t="str">
            <v>B.Extranr</v>
          </cell>
        </row>
        <row r="3">
          <cell r="B3">
            <v>0</v>
          </cell>
        </row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0</v>
          </cell>
        </row>
        <row r="212">
          <cell r="B212">
            <v>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B224">
            <v>0</v>
          </cell>
        </row>
        <row r="225">
          <cell r="B225">
            <v>0</v>
          </cell>
        </row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>
            <v>0</v>
          </cell>
        </row>
        <row r="247">
          <cell r="B247">
            <v>0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0</v>
          </cell>
        </row>
        <row r="254">
          <cell r="B254">
            <v>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>
            <v>0</v>
          </cell>
        </row>
        <row r="263">
          <cell r="B263">
            <v>0</v>
          </cell>
        </row>
        <row r="264">
          <cell r="B264">
            <v>0</v>
          </cell>
        </row>
        <row r="265">
          <cell r="B265">
            <v>0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0</v>
          </cell>
        </row>
        <row r="285">
          <cell r="B285">
            <v>0</v>
          </cell>
        </row>
        <row r="286">
          <cell r="B286">
            <v>0</v>
          </cell>
        </row>
        <row r="287">
          <cell r="B287">
            <v>0</v>
          </cell>
        </row>
        <row r="288">
          <cell r="B288">
            <v>0</v>
          </cell>
        </row>
        <row r="289">
          <cell r="B289">
            <v>0</v>
          </cell>
        </row>
        <row r="290">
          <cell r="B290">
            <v>0</v>
          </cell>
        </row>
        <row r="291">
          <cell r="B291">
            <v>0</v>
          </cell>
        </row>
        <row r="292">
          <cell r="B292">
            <v>0</v>
          </cell>
        </row>
        <row r="293">
          <cell r="B293">
            <v>0</v>
          </cell>
        </row>
        <row r="294">
          <cell r="B294">
            <v>0</v>
          </cell>
        </row>
        <row r="295">
          <cell r="B295">
            <v>0</v>
          </cell>
        </row>
        <row r="296">
          <cell r="B296">
            <v>0</v>
          </cell>
        </row>
        <row r="297">
          <cell r="B297">
            <v>0</v>
          </cell>
        </row>
        <row r="298">
          <cell r="B298">
            <v>0</v>
          </cell>
        </row>
        <row r="299">
          <cell r="B299">
            <v>0</v>
          </cell>
        </row>
        <row r="300">
          <cell r="B300">
            <v>0</v>
          </cell>
        </row>
        <row r="301">
          <cell r="B301">
            <v>0</v>
          </cell>
        </row>
        <row r="302">
          <cell r="B302">
            <v>0</v>
          </cell>
        </row>
        <row r="303">
          <cell r="B303">
            <v>1</v>
          </cell>
        </row>
        <row r="304">
          <cell r="B304">
            <v>2</v>
          </cell>
        </row>
        <row r="305">
          <cell r="B305">
            <v>3</v>
          </cell>
        </row>
        <row r="306">
          <cell r="B306">
            <v>4</v>
          </cell>
        </row>
        <row r="307">
          <cell r="B307">
            <v>5</v>
          </cell>
        </row>
        <row r="308">
          <cell r="B308">
            <v>6</v>
          </cell>
        </row>
        <row r="309">
          <cell r="B309">
            <v>7</v>
          </cell>
        </row>
        <row r="310">
          <cell r="B310">
            <v>0</v>
          </cell>
        </row>
        <row r="311">
          <cell r="B311">
            <v>0</v>
          </cell>
        </row>
        <row r="312">
          <cell r="B312">
            <v>0</v>
          </cell>
        </row>
        <row r="313">
          <cell r="B313">
            <v>0</v>
          </cell>
        </row>
        <row r="314">
          <cell r="B314">
            <v>0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0</v>
          </cell>
        </row>
        <row r="318">
          <cell r="B318">
            <v>0</v>
          </cell>
        </row>
        <row r="319">
          <cell r="B319">
            <v>0</v>
          </cell>
        </row>
        <row r="320">
          <cell r="B320">
            <v>0</v>
          </cell>
        </row>
        <row r="321">
          <cell r="B321">
            <v>0</v>
          </cell>
        </row>
        <row r="322">
          <cell r="B322">
            <v>0</v>
          </cell>
        </row>
        <row r="323">
          <cell r="B323">
            <v>0</v>
          </cell>
        </row>
        <row r="324">
          <cell r="B324">
            <v>0</v>
          </cell>
        </row>
        <row r="325">
          <cell r="B325">
            <v>0</v>
          </cell>
        </row>
        <row r="326">
          <cell r="B326">
            <v>0</v>
          </cell>
        </row>
        <row r="327">
          <cell r="B327">
            <v>0</v>
          </cell>
        </row>
        <row r="328">
          <cell r="B328">
            <v>0</v>
          </cell>
        </row>
        <row r="329">
          <cell r="B329">
            <v>0</v>
          </cell>
        </row>
        <row r="330">
          <cell r="B330">
            <v>0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0</v>
          </cell>
        </row>
        <row r="334">
          <cell r="B334">
            <v>0</v>
          </cell>
        </row>
        <row r="335">
          <cell r="B335">
            <v>0</v>
          </cell>
        </row>
        <row r="336">
          <cell r="B336">
            <v>0</v>
          </cell>
        </row>
        <row r="337">
          <cell r="B337">
            <v>0</v>
          </cell>
        </row>
        <row r="338">
          <cell r="B338">
            <v>0</v>
          </cell>
        </row>
        <row r="339">
          <cell r="B339">
            <v>0</v>
          </cell>
        </row>
        <row r="340">
          <cell r="B340">
            <v>0</v>
          </cell>
        </row>
        <row r="341">
          <cell r="B341">
            <v>0</v>
          </cell>
        </row>
        <row r="342">
          <cell r="B342">
            <v>0</v>
          </cell>
        </row>
        <row r="343">
          <cell r="B343">
            <v>0</v>
          </cell>
        </row>
        <row r="344">
          <cell r="B344">
            <v>0</v>
          </cell>
        </row>
        <row r="345">
          <cell r="B345">
            <v>0</v>
          </cell>
        </row>
        <row r="346">
          <cell r="B346">
            <v>0</v>
          </cell>
        </row>
        <row r="347">
          <cell r="B347">
            <v>0</v>
          </cell>
        </row>
        <row r="348">
          <cell r="B348">
            <v>0</v>
          </cell>
        </row>
        <row r="349">
          <cell r="B349">
            <v>0</v>
          </cell>
        </row>
        <row r="350">
          <cell r="B350">
            <v>0</v>
          </cell>
        </row>
        <row r="351">
          <cell r="B351">
            <v>0</v>
          </cell>
        </row>
        <row r="352">
          <cell r="B352">
            <v>0</v>
          </cell>
        </row>
        <row r="353">
          <cell r="B353">
            <v>0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0</v>
          </cell>
        </row>
        <row r="364">
          <cell r="B364">
            <v>0</v>
          </cell>
        </row>
        <row r="365">
          <cell r="B365">
            <v>0</v>
          </cell>
        </row>
        <row r="366">
          <cell r="B366">
            <v>0</v>
          </cell>
        </row>
        <row r="367">
          <cell r="B367">
            <v>0</v>
          </cell>
        </row>
        <row r="368">
          <cell r="B368">
            <v>0</v>
          </cell>
        </row>
        <row r="369">
          <cell r="B369">
            <v>0</v>
          </cell>
        </row>
        <row r="370">
          <cell r="B370">
            <v>0</v>
          </cell>
        </row>
        <row r="371">
          <cell r="B371">
            <v>0</v>
          </cell>
        </row>
        <row r="372">
          <cell r="B372">
            <v>0</v>
          </cell>
        </row>
        <row r="373">
          <cell r="B373">
            <v>0</v>
          </cell>
        </row>
        <row r="374">
          <cell r="B374">
            <v>0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>
            <v>0</v>
          </cell>
        </row>
        <row r="378">
          <cell r="B378">
            <v>0</v>
          </cell>
        </row>
        <row r="379">
          <cell r="B379">
            <v>0</v>
          </cell>
        </row>
        <row r="380">
          <cell r="B380">
            <v>0</v>
          </cell>
        </row>
        <row r="381">
          <cell r="B381">
            <v>0</v>
          </cell>
        </row>
        <row r="382">
          <cell r="B382">
            <v>0</v>
          </cell>
        </row>
        <row r="383">
          <cell r="B383">
            <v>0</v>
          </cell>
        </row>
        <row r="384">
          <cell r="B384">
            <v>0</v>
          </cell>
        </row>
        <row r="385">
          <cell r="B385">
            <v>0</v>
          </cell>
        </row>
        <row r="386">
          <cell r="B386">
            <v>0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0</v>
          </cell>
        </row>
        <row r="390">
          <cell r="B390">
            <v>0</v>
          </cell>
        </row>
        <row r="391">
          <cell r="B391">
            <v>0</v>
          </cell>
        </row>
        <row r="392">
          <cell r="B392">
            <v>0</v>
          </cell>
        </row>
        <row r="393">
          <cell r="B393">
            <v>0</v>
          </cell>
        </row>
        <row r="394">
          <cell r="B394">
            <v>0</v>
          </cell>
        </row>
        <row r="395">
          <cell r="B395">
            <v>0</v>
          </cell>
        </row>
        <row r="396">
          <cell r="B396">
            <v>0</v>
          </cell>
        </row>
        <row r="397">
          <cell r="B397">
            <v>0</v>
          </cell>
        </row>
        <row r="398">
          <cell r="B398">
            <v>0</v>
          </cell>
        </row>
        <row r="399">
          <cell r="B399">
            <v>0</v>
          </cell>
        </row>
        <row r="400">
          <cell r="B400">
            <v>0</v>
          </cell>
        </row>
        <row r="401">
          <cell r="B401">
            <v>0</v>
          </cell>
        </row>
        <row r="402">
          <cell r="B402">
            <v>0</v>
          </cell>
        </row>
        <row r="403">
          <cell r="B403">
            <v>0</v>
          </cell>
        </row>
        <row r="404">
          <cell r="B404">
            <v>0</v>
          </cell>
        </row>
        <row r="405">
          <cell r="B405">
            <v>0</v>
          </cell>
        </row>
        <row r="406">
          <cell r="B406">
            <v>0</v>
          </cell>
        </row>
        <row r="407">
          <cell r="B407">
            <v>0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  <row r="424">
          <cell r="B424">
            <v>0</v>
          </cell>
        </row>
        <row r="425">
          <cell r="B425">
            <v>0</v>
          </cell>
        </row>
        <row r="426">
          <cell r="B426">
            <v>0</v>
          </cell>
        </row>
        <row r="427">
          <cell r="B427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l"/>
      <sheetName val="ExecSummary"/>
      <sheetName val="Key Output Val"/>
      <sheetName val="Key Output CF Base Case"/>
      <sheetName val="Key Output CF UNIQA Scenario"/>
      <sheetName val="Key Output CF Sens1"/>
      <sheetName val="Key Output CF Sens2"/>
      <sheetName val="Key Output CF Sens3"/>
      <sheetName val="Assumptions"/>
      <sheetName val="ProductDescription"/>
      <sheetName val="P&amp;L Excerpt"/>
      <sheetName val="Market Ris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A4" t="str">
            <v>UNIQA Personenversicherung AG (Austria)</v>
          </cell>
          <cell r="M4" t="str">
            <v>ALL</v>
          </cell>
        </row>
        <row r="5">
          <cell r="A5" t="str">
            <v>Raiffeisen Versicherung AG (Austria)</v>
          </cell>
          <cell r="M5" t="str">
            <v>BAM</v>
          </cell>
        </row>
        <row r="6">
          <cell r="A6" t="str">
            <v>Salzburger Landesversicherung AG (Austria)</v>
          </cell>
          <cell r="M6" t="str">
            <v>BGN</v>
          </cell>
        </row>
        <row r="7">
          <cell r="A7" t="str">
            <v>Finance Life Lebensversicherung AG (Austria)</v>
          </cell>
          <cell r="M7" t="str">
            <v>CHF</v>
          </cell>
        </row>
        <row r="8">
          <cell r="A8" t="str">
            <v>mamax Lebensversicherung AG (Germany)</v>
          </cell>
          <cell r="M8" t="str">
            <v>CZK</v>
          </cell>
        </row>
        <row r="9">
          <cell r="A9" t="str">
            <v>UNIQA Previdenza S.p.A. (Italy)</v>
          </cell>
          <cell r="M9" t="str">
            <v>EUR</v>
          </cell>
        </row>
        <row r="10">
          <cell r="A10" t="str">
            <v>UNIQA Life S.p.A. (Italy)</v>
          </cell>
          <cell r="M10" t="str">
            <v>HRK</v>
          </cell>
        </row>
        <row r="11">
          <cell r="A11" t="str">
            <v>UNIQA poistovna a.s. (Slovakia)</v>
          </cell>
          <cell r="M11" t="str">
            <v>HUF</v>
          </cell>
        </row>
        <row r="12">
          <cell r="A12" t="str">
            <v>UNIQA Pojistovna a.s. (Czech Republic)</v>
          </cell>
          <cell r="M12" t="str">
            <v>PLN</v>
          </cell>
        </row>
        <row r="13">
          <cell r="A13" t="str">
            <v>UNIQA Biztosito Zrt. (Hungary)</v>
          </cell>
          <cell r="M13" t="str">
            <v>RON</v>
          </cell>
        </row>
        <row r="14">
          <cell r="A14" t="str">
            <v>UNIQA Zycie S.A. (Poland)</v>
          </cell>
          <cell r="M14" t="str">
            <v>RSD</v>
          </cell>
        </row>
        <row r="15">
          <cell r="A15" t="str">
            <v>UNIQA Osiguranje d.d. (Croatia)</v>
          </cell>
          <cell r="M15" t="str">
            <v>RUB</v>
          </cell>
        </row>
        <row r="16">
          <cell r="A16" t="str">
            <v>UNIQA Osiguranje (Bosnia)</v>
          </cell>
          <cell r="M16" t="str">
            <v>UAH</v>
          </cell>
        </row>
        <row r="17">
          <cell r="A17" t="str">
            <v>UNIQA ziv. Osiguranje (Serbia)</v>
          </cell>
        </row>
        <row r="18">
          <cell r="A18" t="str">
            <v>UNIQA Life Insurance Company (Ukraine)</v>
          </cell>
        </row>
        <row r="19">
          <cell r="A19" t="str">
            <v>UNIQA Asigurari (Romania)</v>
          </cell>
        </row>
        <row r="20">
          <cell r="A20" t="str">
            <v>Call Direct Versicherung AG (Austria)</v>
          </cell>
        </row>
        <row r="21">
          <cell r="A21" t="str">
            <v>UNIQA Lebensversicherung AG Vaduz (Liechtenstein)</v>
          </cell>
        </row>
        <row r="22">
          <cell r="A22" t="str">
            <v>UNIQA Life Insurance plc. (Bulgaria)</v>
          </cell>
        </row>
        <row r="23">
          <cell r="A23" t="str">
            <v>Raiffeisen Life (Russia)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átor"/>
      <sheetName val="Megtakarítási egységek"/>
      <sheetName val="Bónusz egységek"/>
      <sheetName val="Adókedvezmény"/>
      <sheetName val="Díjmentesítés (2)"/>
    </sheetNames>
    <sheetDataSet>
      <sheetData sheetId="0" refreshError="1"/>
      <sheetData sheetId="1">
        <row r="7">
          <cell r="F7">
            <v>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átor"/>
      <sheetName val="Nyomtatás"/>
      <sheetName val="Maradékjogok"/>
      <sheetName val="kitöltési útmutató"/>
      <sheetName val="Tábla"/>
      <sheetName val="Számoló"/>
      <sheetName val="Visszavásárlás"/>
      <sheetName val="Díjmentesítés"/>
    </sheetNames>
    <sheetDataSet>
      <sheetData sheetId="0">
        <row r="5">
          <cell r="L5" t="str">
            <v>Befizetett díj</v>
          </cell>
        </row>
        <row r="11">
          <cell r="M11">
            <v>1</v>
          </cell>
        </row>
        <row r="12">
          <cell r="M12">
            <v>2</v>
          </cell>
        </row>
        <row r="13">
          <cell r="M13">
            <v>4</v>
          </cell>
        </row>
        <row r="14">
          <cell r="M14">
            <v>12</v>
          </cell>
        </row>
      </sheetData>
      <sheetData sheetId="1"/>
      <sheetData sheetId="2"/>
      <sheetData sheetId="3" refreshError="1"/>
      <sheetData sheetId="4">
        <row r="2">
          <cell r="L2">
            <v>769058.66664077959</v>
          </cell>
        </row>
      </sheetData>
      <sheetData sheetId="5" refreshError="1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átor"/>
      <sheetName val="Grafikon"/>
      <sheetName val="Bónusz Grafikon"/>
      <sheetName val="PM"/>
      <sheetName val="PPM"/>
      <sheetName val="CFdet"/>
      <sheetName val="exportTABLES"/>
      <sheetName val="yields"/>
      <sheetName val="PROD"/>
      <sheetName val="FUND"/>
      <sheetName val="járadék"/>
      <sheetName val="kitöltési útmutató"/>
      <sheetName val="Nyomtatás"/>
      <sheetName val="Kalkulátor (2)"/>
      <sheetName val="Maradékjogok"/>
      <sheetName val="Classic"/>
      <sheetName val="vv_értékek"/>
      <sheetName val="Tartalék"/>
      <sheetName val="Bruttó_díj"/>
      <sheetName val="Profit_sharing"/>
      <sheetName val="P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B1">
            <v>211532.45051176954</v>
          </cell>
        </row>
        <row r="51">
          <cell r="B51">
            <v>17627.704209314128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F6">
            <v>13</v>
          </cell>
        </row>
        <row r="7">
          <cell r="F7">
            <v>2</v>
          </cell>
        </row>
        <row r="12">
          <cell r="N12">
            <v>1</v>
          </cell>
        </row>
        <row r="13">
          <cell r="N13">
            <v>2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12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_test_assumptions"/>
      <sheetName val="Modelpoints"/>
      <sheetName val="Premium"/>
      <sheetName val="Key Output Val"/>
      <sheetName val="ExecSummary"/>
      <sheetName val="Reserves"/>
      <sheetName val="CF_IFRS_MP"/>
      <sheetName val="CF_Solvency II_MP"/>
      <sheetName val="CF_IFRS_TOTAL"/>
      <sheetName val="Key Output Val RP"/>
      <sheetName val="Key Output CF Base Case"/>
      <sheetName val="Key Output CF UNIQA Scenario"/>
      <sheetName val="Key Output CF Sens1"/>
      <sheetName val="Key Output CF Sens2"/>
      <sheetName val="Key Output CF Sens3"/>
      <sheetName val="WOP"/>
      <sheetName val="P&amp;L Excerpt"/>
      <sheetName val="Assumptions"/>
      <sheetName val="ProductDescription"/>
      <sheetName val="Commutation_Figures"/>
      <sheetName val="Solvency_II_adj"/>
      <sheetName val="INFO"/>
      <sheetName val="Tabelle1"/>
    </sheetNames>
    <sheetDataSet>
      <sheetData sheetId="0" refreshError="1">
        <row r="5">
          <cell r="C5">
            <v>1</v>
          </cell>
        </row>
        <row r="7">
          <cell r="C7">
            <v>0</v>
          </cell>
        </row>
        <row r="14">
          <cell r="M14">
            <v>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s"/>
      <sheetName val="SCR_Overview"/>
      <sheetName val="SCR_Overview_work"/>
      <sheetName val="SCR_Market"/>
      <sheetName val="SCR_Life"/>
      <sheetName val="SCR_Life_work"/>
      <sheetName val="SCR_CP"/>
      <sheetName val="BS_Basis"/>
      <sheetName val="BS_YieldDown"/>
      <sheetName val="BS_YieldUp"/>
      <sheetName val="Tables"/>
      <sheetName val="Input"/>
    </sheetNames>
    <sheetDataSet>
      <sheetData sheetId="0" refreshError="1">
        <row r="2">
          <cell r="A2" t="str">
            <v>Total</v>
          </cell>
        </row>
        <row r="3">
          <cell r="A3" t="str">
            <v>LoB1</v>
          </cell>
        </row>
        <row r="4">
          <cell r="A4" t="str">
            <v>LoB2</v>
          </cell>
        </row>
        <row r="5">
          <cell r="A5" t="str">
            <v>LoB3</v>
          </cell>
        </row>
        <row r="6">
          <cell r="A6" t="str">
            <v>LoB4</v>
          </cell>
        </row>
        <row r="7">
          <cell r="A7" t="str">
            <v>LoB5</v>
          </cell>
        </row>
        <row r="8">
          <cell r="A8" t="str">
            <v>LoB6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00FF"/>
    <pageSetUpPr fitToPage="1"/>
  </sheetPr>
  <dimension ref="A1:S91"/>
  <sheetViews>
    <sheetView showGridLines="0" tabSelected="1" zoomScaleNormal="100" workbookViewId="0">
      <selection activeCell="F7" sqref="F7"/>
    </sheetView>
  </sheetViews>
  <sheetFormatPr defaultRowHeight="12.75"/>
  <cols>
    <col min="1" max="1" width="4.5703125" style="133" customWidth="1"/>
    <col min="2" max="2" width="5.5703125" style="133" customWidth="1"/>
    <col min="3" max="7" width="13.28515625" style="108" customWidth="1"/>
    <col min="8" max="8" width="13.28515625" style="133" customWidth="1"/>
    <col min="9" max="10" width="13.28515625" style="108" customWidth="1"/>
    <col min="11" max="11" width="14.28515625" style="108" customWidth="1"/>
    <col min="12" max="12" width="12.28515625" style="108" customWidth="1"/>
    <col min="13" max="13" width="9" style="108" customWidth="1"/>
    <col min="14" max="14" width="13" style="108" customWidth="1"/>
    <col min="15" max="23" width="14.28515625" style="108" customWidth="1"/>
    <col min="24" max="16384" width="9.140625" style="108"/>
  </cols>
  <sheetData>
    <row r="1" spans="1:17" ht="15.75" customHeight="1">
      <c r="A1" s="171"/>
      <c r="B1" s="171"/>
      <c r="C1" s="172"/>
      <c r="D1" s="172"/>
      <c r="E1" s="172"/>
      <c r="F1" s="172"/>
      <c r="G1" s="172"/>
      <c r="H1" s="172"/>
      <c r="I1" s="171"/>
      <c r="J1" s="231" t="s">
        <v>242</v>
      </c>
      <c r="K1" s="173"/>
      <c r="L1" s="222"/>
      <c r="M1" s="106"/>
      <c r="N1" s="107"/>
      <c r="O1" s="107"/>
    </row>
    <row r="2" spans="1:17" ht="15.75" customHeight="1">
      <c r="A2" s="174"/>
      <c r="B2" s="174"/>
      <c r="C2" s="172"/>
      <c r="D2" s="175"/>
      <c r="E2" s="171"/>
      <c r="F2" s="406" t="str">
        <f>PM!C2&amp;" kalkulátor*"</f>
        <v>Jövőkulcs Classic kalkulátor*</v>
      </c>
      <c r="G2" s="407"/>
      <c r="H2" s="408"/>
      <c r="I2" s="233">
        <f>PM!C1</f>
        <v>208</v>
      </c>
      <c r="J2" s="232">
        <v>42797</v>
      </c>
      <c r="K2" s="176"/>
      <c r="L2" s="223"/>
      <c r="M2" s="98"/>
      <c r="N2" s="107"/>
      <c r="O2" s="107"/>
    </row>
    <row r="3" spans="1:17" ht="15.75" customHeight="1">
      <c r="A3" s="171"/>
      <c r="B3" s="171"/>
      <c r="C3" s="172"/>
      <c r="D3" s="175"/>
      <c r="E3" s="171"/>
      <c r="F3" s="172"/>
      <c r="G3" s="172"/>
      <c r="H3" s="172"/>
      <c r="I3" s="177" t="s">
        <v>168</v>
      </c>
      <c r="J3" s="172"/>
      <c r="K3" s="176"/>
      <c r="L3" s="223"/>
      <c r="M3" s="98"/>
      <c r="N3" s="107"/>
      <c r="O3" s="107"/>
    </row>
    <row r="4" spans="1:17" ht="15.75" customHeight="1">
      <c r="A4" s="171"/>
      <c r="B4" s="171"/>
      <c r="C4" s="172"/>
      <c r="D4" s="257" t="s">
        <v>53</v>
      </c>
      <c r="E4" s="234"/>
      <c r="F4" s="422" t="s">
        <v>246</v>
      </c>
      <c r="G4" s="423"/>
      <c r="H4" s="424"/>
      <c r="I4" s="252" t="s">
        <v>169</v>
      </c>
      <c r="J4" s="178">
        <v>1</v>
      </c>
      <c r="K4" s="176"/>
      <c r="L4" s="223"/>
      <c r="M4" s="146"/>
      <c r="N4" s="129" t="s">
        <v>163</v>
      </c>
      <c r="O4" s="129" t="s">
        <v>172</v>
      </c>
    </row>
    <row r="5" spans="1:17" ht="15.75" customHeight="1">
      <c r="A5" s="261"/>
      <c r="B5" s="174"/>
      <c r="C5" s="172"/>
      <c r="D5" s="258" t="s">
        <v>101</v>
      </c>
      <c r="E5" s="235"/>
      <c r="F5" s="219">
        <v>1974</v>
      </c>
      <c r="G5" s="217">
        <v>7</v>
      </c>
      <c r="H5" s="216">
        <v>12</v>
      </c>
      <c r="I5" s="243">
        <f>DATE(IF(F5&gt;1900,"","19")&amp;F5,G5,H5)</f>
        <v>27222</v>
      </c>
      <c r="J5" s="179" t="str">
        <f ca="1">IF(TODAY()&lt;DATE(F5+18,G5,H5),"A biztosított 18 év alatti","OK")</f>
        <v>OK</v>
      </c>
      <c r="K5" s="180"/>
      <c r="L5" s="223"/>
      <c r="M5" s="129" t="str">
        <f>D19</f>
        <v>Befizetett díjak összesen</v>
      </c>
      <c r="N5" s="147">
        <f ca="1">I19</f>
        <v>5696621.2053408129</v>
      </c>
      <c r="O5" s="129"/>
    </row>
    <row r="6" spans="1:17" ht="15.75" customHeight="1">
      <c r="A6" s="261"/>
      <c r="B6" s="171"/>
      <c r="C6" s="172"/>
      <c r="D6" s="258" t="str">
        <f>"Belépési kor ("&amp;18&amp;"-"&amp;55&amp;")"</f>
        <v>Belépési kor (18-55)</v>
      </c>
      <c r="E6" s="235"/>
      <c r="F6" s="185"/>
      <c r="G6" s="185"/>
      <c r="H6" s="185"/>
      <c r="I6" s="253">
        <f ca="1">YEAR(I8)-YEAR(I5)</f>
        <v>43</v>
      </c>
      <c r="J6" s="179" t="str">
        <f ca="1">IF(I6&gt;55,"Belépési kor max: "&amp;55&amp;" év","OK")</f>
        <v>OK</v>
      </c>
      <c r="K6" s="181"/>
      <c r="L6" s="224"/>
      <c r="M6" s="129" t="str">
        <f>D20</f>
        <v xml:space="preserve">Garantált biztosítási összeg </v>
      </c>
      <c r="N6" s="129"/>
      <c r="O6" s="148">
        <f>I20</f>
        <v>5000000</v>
      </c>
    </row>
    <row r="7" spans="1:17" ht="15.75" customHeight="1">
      <c r="A7" s="261"/>
      <c r="B7" s="174"/>
      <c r="C7" s="172"/>
      <c r="D7" s="258" t="s">
        <v>161</v>
      </c>
      <c r="E7" s="235"/>
      <c r="F7" s="218">
        <f ca="1">YEAR(TODAY())</f>
        <v>2017</v>
      </c>
      <c r="G7" s="217">
        <f ca="1">MONTH(TODAY())</f>
        <v>3</v>
      </c>
      <c r="H7" s="216">
        <f ca="1">DAY(TODAY())</f>
        <v>5</v>
      </c>
      <c r="I7" s="243">
        <f ca="1">DATE(IF(F7&gt;2000,"","20")&amp;F7,G7,H7)</f>
        <v>42799</v>
      </c>
      <c r="J7" s="179" t="str">
        <f ca="1">IF(I7&lt;&gt;TODAY(),"Az ajánlat aláírása nem a mai nap","OK")</f>
        <v>OK</v>
      </c>
      <c r="K7" s="182"/>
      <c r="L7" s="223"/>
      <c r="M7" s="129" t="str">
        <f>D21</f>
        <v xml:space="preserve">Nyereségszámla </v>
      </c>
      <c r="N7" s="148"/>
      <c r="O7" s="148">
        <f ca="1">I21</f>
        <v>0</v>
      </c>
    </row>
    <row r="8" spans="1:17" ht="15.75" customHeight="1">
      <c r="A8" s="261"/>
      <c r="B8" s="171"/>
      <c r="C8" s="172"/>
      <c r="D8" s="258" t="s">
        <v>162</v>
      </c>
      <c r="E8" s="235"/>
      <c r="F8" s="238"/>
      <c r="G8" s="238"/>
      <c r="H8" s="238"/>
      <c r="I8" s="243">
        <f ca="1">IF(I3="folyamatos díjas",         DATE(    YEAR(I7)+IF(MONTH(I7)=12,1,0),         IF(MONTH(I7)=12, 1, MONTH(I7)+1),      1),       I7+1)</f>
        <v>42826</v>
      </c>
      <c r="J8" s="183"/>
      <c r="K8" s="184"/>
      <c r="L8" s="225"/>
      <c r="M8" s="129" t="str">
        <f>D22</f>
        <v>Adójóváírás a hozamok hatásával megnövelve</v>
      </c>
      <c r="N8" s="129"/>
      <c r="O8" s="148">
        <f ca="1">I22</f>
        <v>1139324.2410681627</v>
      </c>
    </row>
    <row r="9" spans="1:17" ht="15.75" customHeight="1">
      <c r="A9" s="261"/>
      <c r="B9" s="171"/>
      <c r="C9" s="172"/>
      <c r="D9" s="258" t="str">
        <f>IF($I$4="életbiztosítás",    "Lejárat",    "Díjfizetési tartam vége"  )</f>
        <v>Díjfizetési tartam vége</v>
      </c>
      <c r="E9" s="235"/>
      <c r="F9" s="239"/>
      <c r="G9" s="239"/>
      <c r="H9" s="239"/>
      <c r="I9" s="243">
        <f ca="1">IF(I4="életbiztosítás",DATE(YEAR(I8)+IF(TartamVálasztott="élethosszig szóló",100,TartamVálasztott),MONTH(I8),DAY(I8))-1,IF(PM!C54&lt;=I11,PM!C54,DATE(YEAR(I11)-1,MONTH(I8),DAY(I8))-1))</f>
        <v>50860</v>
      </c>
      <c r="J9" s="179" t="str">
        <f ca="1">IF(AND(Nyug=0,TartamVálasztott&lt;&gt;"élethosszig szóló"),      IF(YEAR(I9)-YEAR(I5)&gt;LejárKorMax,"Lejáratkor max. "&amp;LejárKorMax&amp;" éves lehet","OK"),"OK")</f>
        <v>OK</v>
      </c>
      <c r="K9" s="186"/>
      <c r="L9" s="168"/>
      <c r="M9" s="129" t="str">
        <f>D23</f>
        <v>Lejárati összeg (összesen):</v>
      </c>
      <c r="N9" s="129"/>
      <c r="O9" s="148">
        <f ca="1">I23</f>
        <v>6139324.241068163</v>
      </c>
    </row>
    <row r="10" spans="1:17" ht="15.75" customHeight="1">
      <c r="A10" s="261"/>
      <c r="B10" s="171"/>
      <c r="C10" s="172"/>
      <c r="D10" s="258" t="str">
        <f>IF($I$4="életbiztosítás",    "Tartam",    "Díjfizetési tartam"  )</f>
        <v>Díjfizetési tartam</v>
      </c>
      <c r="E10" s="235"/>
      <c r="F10" s="240"/>
      <c r="G10" s="240"/>
      <c r="H10" s="244"/>
      <c r="I10" s="245">
        <f ca="1">IF(TartamTermék="WL", "élethosszig szóló",      IF(I4="nyugdíjbiztosítás",    PM!C50,       IF(TartamTermék="fix",H10,         IF(G10="fix",    H10,    "élethosszig szóló"                       ))        ))</f>
        <v>22</v>
      </c>
      <c r="J10" s="179" t="str">
        <f ca="1">IF(TartamVálasztott="élethosszig szóló",   "OK",      IF(TartamVálasztott&lt;TartamMin,"Minimum tartam "&amp;TartamMin&amp;" év",IF(TartamVálasztott&gt;TartamMax,"Maximum tartam "&amp;TartamMax&amp;" év","OK"))    )</f>
        <v>OK</v>
      </c>
      <c r="K10" s="176"/>
      <c r="L10" s="169"/>
      <c r="M10" s="98"/>
      <c r="N10" s="107"/>
      <c r="O10" s="107"/>
    </row>
    <row r="11" spans="1:17" ht="15.75" customHeight="1">
      <c r="A11" s="261"/>
      <c r="B11" s="171"/>
      <c r="C11" s="172"/>
      <c r="D11" s="258" t="str">
        <f>IF(I4="nyugdíjbiztosítás","Lejárat (nyugdíjkorhatár)","")</f>
        <v>Lejárat (nyugdíjkorhatár)</v>
      </c>
      <c r="E11" s="235"/>
      <c r="F11" s="239"/>
      <c r="G11" s="239"/>
      <c r="H11" s="239"/>
      <c r="I11" s="243">
        <f>IF(I4="nyugdíjbiztosítás",     DATE(YEAR(I5)+PM!A55,MONTH(I5),DAY(I5))+PM!C55,"")</f>
        <v>50963</v>
      </c>
      <c r="J11" s="187">
        <f ca="1">IF(I4="nyugdíjbiztosítás",    YEAR(I11)*12+MONTH(I11)-YEAR(I9+1)*12-MONTH(I9+1),"")</f>
        <v>3</v>
      </c>
      <c r="K11" s="182"/>
      <c r="L11" s="223"/>
      <c r="M11" s="99"/>
      <c r="N11" s="109"/>
      <c r="O11" s="110"/>
    </row>
    <row r="12" spans="1:17" ht="15.75" customHeight="1">
      <c r="A12" s="261"/>
      <c r="B12" s="171"/>
      <c r="C12" s="172"/>
      <c r="D12" s="258" t="str">
        <f>IF(I4="nyugdíjbiztosítás","Tartam (nyugdíjkorhatárig)","")</f>
        <v>Tartam (nyugdíjkorhatárig)</v>
      </c>
      <c r="E12" s="235"/>
      <c r="F12" s="239"/>
      <c r="G12" s="239"/>
      <c r="H12" s="254"/>
      <c r="I12" s="246" t="str">
        <f ca="1">IF(I4="nyugdíjbiztosítás",I10&amp;" év + "   &amp;    YEAR(I11)*12+MONTH(I11)-YEAR(I9+1)*12-MONTH(I9+1)   &amp;   " hó ("  &amp; I10*12+YEAR(I11)*12+MONTH(I11)-YEAR(I9+1)*12-MONTH(I9+1) &amp;" hó)","")</f>
        <v>22 év + 3 hó (267 hó)</v>
      </c>
      <c r="J12" s="188">
        <f ca="1">IF(I4="életbiztosítás",   0,YEAR(I11)*12+MONTH(I11)-YEAR(I9+1)*12-MONTH(I9+1))</f>
        <v>3</v>
      </c>
      <c r="K12" s="186"/>
      <c r="L12" s="168"/>
      <c r="M12" s="120"/>
    </row>
    <row r="13" spans="1:17" ht="15.75" customHeight="1">
      <c r="A13" s="261"/>
      <c r="B13" s="174"/>
      <c r="C13" s="172"/>
      <c r="D13" s="259" t="s">
        <v>54</v>
      </c>
      <c r="E13" s="236"/>
      <c r="F13" s="236"/>
      <c r="G13" s="236"/>
      <c r="H13" s="202">
        <v>5000000</v>
      </c>
      <c r="I13" s="247" t="s">
        <v>130</v>
      </c>
      <c r="J13" s="190"/>
      <c r="K13" s="172"/>
      <c r="L13" s="122"/>
    </row>
    <row r="14" spans="1:17" ht="15.75" customHeight="1">
      <c r="A14" s="261"/>
      <c r="B14" s="174"/>
      <c r="C14" s="172"/>
      <c r="D14" s="258" t="str">
        <f>IF(EgyFoly="egy", "Egyszeri díj", "Kezdeti éves díj")&amp;" (minimum "&amp;TEXT(MinDíj,   "# ###")&amp; " "&amp;Pénznem&amp;")"</f>
        <v>Kezdeti éves díj (minimum 120 000 Ft)</v>
      </c>
      <c r="E14" s="235"/>
      <c r="F14" s="239"/>
      <c r="G14" s="239"/>
      <c r="H14" s="196"/>
      <c r="I14" s="248">
        <f ca="1">ÉvesDíj</f>
        <v>209350</v>
      </c>
      <c r="J14" s="191" t="str">
        <f ca="1">IF(I14&lt;MinDíj,"Minimumdíj: "&amp;TEXT(MinDíj,"# ###"),"OK")</f>
        <v>OK</v>
      </c>
      <c r="K14" s="176"/>
      <c r="L14" s="226"/>
      <c r="P14" s="129"/>
    </row>
    <row r="15" spans="1:17" ht="15.75" customHeight="1">
      <c r="A15" s="171"/>
      <c r="B15" s="171"/>
      <c r="C15" s="172"/>
      <c r="D15" s="259" t="s">
        <v>176</v>
      </c>
      <c r="E15" s="236"/>
      <c r="F15" s="236"/>
      <c r="G15" s="241"/>
      <c r="H15" s="203" t="s">
        <v>121</v>
      </c>
      <c r="I15" s="249">
        <f ca="1">I14/FizGyakNr</f>
        <v>17445.833333333332</v>
      </c>
      <c r="J15" s="187">
        <f>VLOOKUP(H15,PM!A29:B32,2,0)</f>
        <v>12</v>
      </c>
      <c r="K15" s="176"/>
      <c r="L15" s="227"/>
      <c r="P15" s="129"/>
      <c r="Q15" s="111"/>
    </row>
    <row r="16" spans="1:17" ht="15.75" hidden="1" customHeight="1">
      <c r="A16" s="192"/>
      <c r="B16" s="192"/>
      <c r="C16" s="172"/>
      <c r="D16" s="260" t="s">
        <v>164</v>
      </c>
      <c r="E16" s="237"/>
      <c r="F16" s="242"/>
      <c r="G16" s="242"/>
      <c r="H16" s="255"/>
      <c r="I16" s="250" t="s">
        <v>165</v>
      </c>
      <c r="J16" s="193"/>
      <c r="K16" s="182"/>
      <c r="L16" s="227"/>
      <c r="P16" s="148"/>
      <c r="Q16" s="112"/>
    </row>
    <row r="17" spans="1:18" ht="15.75" customHeight="1">
      <c r="A17" s="171"/>
      <c r="B17" s="171"/>
      <c r="C17" s="172"/>
      <c r="D17" s="258" t="s">
        <v>183</v>
      </c>
      <c r="E17" s="235"/>
      <c r="F17" s="239"/>
      <c r="G17" s="239"/>
      <c r="H17" s="254"/>
      <c r="I17" s="251">
        <v>0.02</v>
      </c>
      <c r="J17" s="189"/>
      <c r="K17" s="176"/>
      <c r="L17" s="227"/>
      <c r="P17" s="148"/>
      <c r="Q17" s="112"/>
      <c r="R17" s="113"/>
    </row>
    <row r="18" spans="1:18" ht="15.75" customHeight="1" thickBot="1">
      <c r="A18" s="174"/>
      <c r="B18" s="174"/>
      <c r="C18" s="172"/>
      <c r="D18" s="197" t="s">
        <v>166</v>
      </c>
      <c r="E18" s="171"/>
      <c r="F18" s="175"/>
      <c r="G18" s="175"/>
      <c r="H18" s="256">
        <v>0</v>
      </c>
      <c r="I18" s="204"/>
      <c r="J18" s="189"/>
      <c r="K18" s="176"/>
      <c r="L18" s="228"/>
      <c r="P18" s="148"/>
      <c r="Q18" s="112"/>
    </row>
    <row r="19" spans="1:18" ht="15.75" customHeight="1" thickBot="1">
      <c r="A19" s="194"/>
      <c r="B19" s="194"/>
      <c r="C19" s="172"/>
      <c r="D19" s="205" t="s">
        <v>174</v>
      </c>
      <c r="E19" s="206"/>
      <c r="F19" s="206"/>
      <c r="G19" s="206"/>
      <c r="H19" s="207"/>
      <c r="I19" s="208">
        <f ca="1">ÉV!B16</f>
        <v>5696621.2053408129</v>
      </c>
      <c r="J19" s="195"/>
      <c r="K19" s="196"/>
      <c r="L19" s="170"/>
      <c r="P19" s="129"/>
    </row>
    <row r="20" spans="1:18" ht="15.75" customHeight="1">
      <c r="A20" s="194"/>
      <c r="B20" s="194"/>
      <c r="C20" s="172"/>
      <c r="D20" s="209" t="s">
        <v>54</v>
      </c>
      <c r="E20" s="210"/>
      <c r="F20" s="210"/>
      <c r="G20" s="210"/>
      <c r="H20" s="211"/>
      <c r="I20" s="212">
        <f>BiztÖsszeg</f>
        <v>5000000</v>
      </c>
      <c r="J20" s="195"/>
      <c r="K20" s="196"/>
      <c r="L20" s="170"/>
      <c r="M20" s="129"/>
      <c r="N20" s="129"/>
      <c r="O20" s="129"/>
      <c r="P20" s="129"/>
    </row>
    <row r="21" spans="1:18" ht="15.75" customHeight="1">
      <c r="A21" s="194"/>
      <c r="B21" s="194"/>
      <c r="C21" s="172"/>
      <c r="D21" s="209" t="s">
        <v>100</v>
      </c>
      <c r="E21" s="210"/>
      <c r="F21" s="210"/>
      <c r="G21" s="210"/>
      <c r="H21" s="211"/>
      <c r="I21" s="212">
        <f ca="1">SUMIFS(HÓ!N:N,HÓ!AB:AB,YEAR(LejáratNyug),HÓ!AC:AC,MONTH(LejáratNyug))</f>
        <v>0</v>
      </c>
      <c r="J21" s="195"/>
      <c r="K21" s="196"/>
      <c r="L21" s="122"/>
      <c r="O21" s="114">
        <v>1</v>
      </c>
    </row>
    <row r="22" spans="1:18" ht="15.75" customHeight="1" thickBot="1">
      <c r="A22" s="194"/>
      <c r="B22" s="194"/>
      <c r="C22" s="172"/>
      <c r="D22" s="209" t="s">
        <v>224</v>
      </c>
      <c r="E22" s="210"/>
      <c r="F22" s="210"/>
      <c r="G22" s="210"/>
      <c r="H22" s="211"/>
      <c r="I22" s="212">
        <f ca="1">SUMIFS(HÓ!O:O,HÓ!AF:AF,2)     +   SUMIFS(HÓ!P:P,HÓ!AF:AF,2)</f>
        <v>1139324.2410681627</v>
      </c>
      <c r="J22" s="195"/>
      <c r="K22" s="196"/>
      <c r="L22" s="122"/>
    </row>
    <row r="23" spans="1:18" ht="15.75" customHeight="1" thickBot="1">
      <c r="A23" s="194"/>
      <c r="B23" s="194"/>
      <c r="C23" s="172"/>
      <c r="D23" s="205" t="s">
        <v>173</v>
      </c>
      <c r="E23" s="206"/>
      <c r="F23" s="206"/>
      <c r="G23" s="206"/>
      <c r="H23" s="207"/>
      <c r="I23" s="208">
        <f ca="1">H13+I22+I21</f>
        <v>6139324.241068163</v>
      </c>
      <c r="J23" s="195"/>
      <c r="K23" s="196"/>
      <c r="L23" s="122"/>
      <c r="O23" s="114">
        <v>2</v>
      </c>
    </row>
    <row r="24" spans="1:18" ht="15.75" customHeight="1">
      <c r="A24" s="194"/>
      <c r="B24" s="194"/>
      <c r="C24" s="172"/>
      <c r="D24" s="171" t="s">
        <v>55</v>
      </c>
      <c r="E24" s="171"/>
      <c r="F24" s="171"/>
      <c r="G24" s="213"/>
      <c r="H24" s="214"/>
      <c r="I24" s="215">
        <f ca="1">I20+I21</f>
        <v>5000000</v>
      </c>
      <c r="J24" s="195"/>
      <c r="K24" s="196"/>
      <c r="L24" s="122"/>
      <c r="O24" s="114"/>
    </row>
    <row r="25" spans="1:18" ht="15.75" customHeight="1">
      <c r="A25" s="198"/>
      <c r="B25" s="198"/>
      <c r="C25" s="199"/>
      <c r="D25" s="200"/>
      <c r="E25" s="200"/>
      <c r="F25" s="200"/>
      <c r="G25" s="201"/>
      <c r="H25" s="196"/>
      <c r="I25" s="196"/>
      <c r="J25" s="196"/>
      <c r="K25" s="196"/>
      <c r="L25" s="122"/>
      <c r="O25" s="114"/>
    </row>
    <row r="26" spans="1:18" s="115" customFormat="1" ht="15" customHeight="1">
      <c r="A26" s="411" t="str">
        <f ca="1">IF(AND(Nyug=1,Töredékhó&gt;0),     "* A szerződés tartama: "&amp;TartamVálasztott&amp;" év + "&amp;Töredékhó&amp;" hónap, ebből díjfizetési időszak: "&amp;TartamVálasztott&amp;" év. A "&amp;TartamVálasztott+1&amp;". évben, a tartam utolsó "&amp;Töredékhó&amp;" hónapjában a szerződés díjfizetés nélkül van érvényben.","")</f>
        <v>* A szerződés tartama: 22 év + 3 hónap, ebből díjfizetési időszak: 22 év. A 23. évben, a tartam utolsó 3 hónapjában a szerződés díjfizetés nélkül van érvényben.</v>
      </c>
      <c r="B26" s="412"/>
      <c r="C26" s="412"/>
      <c r="D26" s="412"/>
      <c r="E26" s="412"/>
      <c r="F26" s="412"/>
      <c r="G26" s="412"/>
      <c r="H26" s="412"/>
      <c r="I26" s="412"/>
      <c r="J26" s="412"/>
      <c r="K26" s="413"/>
      <c r="L26" s="229"/>
    </row>
    <row r="27" spans="1:18" s="115" customFormat="1" ht="15.75">
      <c r="A27" s="414" t="str">
        <f ca="1">IF(A26="","*","")   &amp;     "A modell a választott, a tartam során állandó éves hozam feltételezésével mutatja a szerződés értékének alakulását. A számítás az előírt, automatikusan indexálódó díj megfizetését veszi figyelembe. "</f>
        <v xml:space="preserve">A modell a választott, a tartam során állandó éves hozam feltételezésével mutatja a szerződés értékének alakulását. A számítás az előírt, automatikusan indexálódó díj megfizetését veszi figyelembe. </v>
      </c>
      <c r="B27" s="415"/>
      <c r="C27" s="415"/>
      <c r="D27" s="415"/>
      <c r="E27" s="415"/>
      <c r="F27" s="415"/>
      <c r="G27" s="415"/>
      <c r="H27" s="415"/>
      <c r="I27" s="415"/>
      <c r="J27" s="415"/>
      <c r="K27" s="416"/>
      <c r="L27" s="229"/>
      <c r="O27" s="114">
        <v>4</v>
      </c>
    </row>
    <row r="28" spans="1:18" s="115" customFormat="1" ht="15" customHeight="1">
      <c r="A28" s="414" t="s">
        <v>178</v>
      </c>
      <c r="B28" s="415"/>
      <c r="C28" s="415"/>
      <c r="D28" s="415"/>
      <c r="E28" s="415"/>
      <c r="F28" s="415"/>
      <c r="G28" s="415"/>
      <c r="H28" s="415"/>
      <c r="I28" s="415"/>
      <c r="J28" s="415"/>
      <c r="K28" s="416"/>
      <c r="L28" s="229"/>
    </row>
    <row r="29" spans="1:18" s="115" customFormat="1" ht="15" customHeight="1">
      <c r="A29" s="414" t="s">
        <v>179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6"/>
      <c r="L29" s="229"/>
    </row>
    <row r="30" spans="1:18" s="115" customFormat="1" ht="15" customHeight="1">
      <c r="A30" s="414" t="s">
        <v>239</v>
      </c>
      <c r="B30" s="415"/>
      <c r="C30" s="415"/>
      <c r="D30" s="415"/>
      <c r="E30" s="415"/>
      <c r="F30" s="415"/>
      <c r="G30" s="415"/>
      <c r="H30" s="415"/>
      <c r="I30" s="415"/>
      <c r="J30" s="415"/>
      <c r="K30" s="416"/>
      <c r="L30" s="229"/>
    </row>
    <row r="31" spans="1:18" s="115" customFormat="1" ht="15" customHeight="1">
      <c r="A31" s="414" t="s">
        <v>221</v>
      </c>
      <c r="B31" s="415"/>
      <c r="C31" s="415"/>
      <c r="D31" s="415"/>
      <c r="E31" s="415"/>
      <c r="F31" s="415"/>
      <c r="G31" s="415"/>
      <c r="H31" s="415"/>
      <c r="I31" s="415"/>
      <c r="J31" s="415"/>
      <c r="K31" s="416"/>
      <c r="L31" s="229"/>
    </row>
    <row r="32" spans="1:18" s="115" customFormat="1" ht="15" customHeight="1">
      <c r="A32" s="417" t="s">
        <v>213</v>
      </c>
      <c r="B32" s="418"/>
      <c r="C32" s="418"/>
      <c r="D32" s="418"/>
      <c r="E32" s="418"/>
      <c r="F32" s="418"/>
      <c r="G32" s="418"/>
      <c r="H32" s="418"/>
      <c r="I32" s="418"/>
      <c r="J32" s="418"/>
      <c r="K32" s="419"/>
      <c r="L32" s="229"/>
    </row>
    <row r="33" spans="1:19" ht="6" customHeight="1">
      <c r="A33" s="123"/>
      <c r="B33" s="123"/>
      <c r="C33" s="116"/>
      <c r="D33" s="116"/>
      <c r="E33" s="116"/>
      <c r="F33" s="116"/>
      <c r="G33" s="117"/>
      <c r="H33" s="117"/>
      <c r="I33" s="117"/>
      <c r="L33" s="122"/>
      <c r="Q33" s="115"/>
      <c r="R33" s="115"/>
      <c r="S33" s="115"/>
    </row>
    <row r="34" spans="1:19" s="121" customFormat="1" ht="6" customHeight="1">
      <c r="A34" s="123"/>
      <c r="B34" s="123"/>
      <c r="C34" s="421"/>
      <c r="D34" s="421"/>
      <c r="E34" s="421"/>
      <c r="F34" s="421"/>
      <c r="G34" s="118"/>
      <c r="H34" s="119"/>
      <c r="I34" s="119"/>
      <c r="L34" s="122"/>
      <c r="Q34" s="115"/>
      <c r="R34" s="115"/>
      <c r="S34" s="127"/>
    </row>
    <row r="35" spans="1:19" s="125" customFormat="1" ht="8.25" customHeight="1">
      <c r="A35" s="128"/>
      <c r="B35" s="128"/>
      <c r="E35" s="126"/>
      <c r="H35" s="420"/>
      <c r="I35" s="420"/>
      <c r="L35" s="230"/>
    </row>
    <row r="36" spans="1:19" ht="51.75" customHeight="1">
      <c r="A36" s="409" t="s">
        <v>15</v>
      </c>
      <c r="B36" s="410"/>
      <c r="C36" s="140" t="s">
        <v>94</v>
      </c>
      <c r="D36" s="140" t="s">
        <v>34</v>
      </c>
      <c r="E36" s="140" t="s">
        <v>218</v>
      </c>
      <c r="F36" s="140" t="s">
        <v>20</v>
      </c>
      <c r="G36" s="141" t="s">
        <v>23</v>
      </c>
      <c r="H36" s="142" t="str">
        <f>D22</f>
        <v>Adójóváírás a hozamok hatásával megnövelve</v>
      </c>
      <c r="I36" s="142" t="s">
        <v>177</v>
      </c>
      <c r="J36" s="142" t="s">
        <v>19</v>
      </c>
      <c r="K36" s="140" t="s">
        <v>175</v>
      </c>
      <c r="L36" s="122"/>
      <c r="O36" s="129"/>
      <c r="P36" s="129"/>
      <c r="Q36" s="129"/>
    </row>
    <row r="37" spans="1:19" ht="12.75" customHeight="1">
      <c r="A37" s="220">
        <v>1</v>
      </c>
      <c r="B37" s="139"/>
      <c r="C37" s="149">
        <f ca="1">SUM(D$37:D37)</f>
        <v>209350</v>
      </c>
      <c r="D37" s="149">
        <f ca="1">SUMIFS(HÓ!G:G,HÓ!$A:$A,Kalkulátor!$A37,HÓ!$B:$B,12)</f>
        <v>209350</v>
      </c>
      <c r="E37" s="150"/>
      <c r="F37" s="154">
        <f t="shared" ref="F37:F83" si="0">BiztÖsszeg</f>
        <v>5000000</v>
      </c>
      <c r="G37" s="149">
        <f ca="1">SUMIFS(HÓ!N:N,HÓ!$A:$A,Kalkulátor!$A37,HÓ!$B:$B,12)</f>
        <v>0</v>
      </c>
      <c r="H37" s="149">
        <f ca="1">SUMIFS(HÓ!O:O,HÓ!$A:$A,Kalkulátor!$A37,HÓ!$B:$B,12) +  SUMIFS(HÓ!P:P,HÓ!$A:$A,Kalkulátor!$A37,HÓ!$B:$B,12)</f>
        <v>0</v>
      </c>
      <c r="I37" s="149">
        <f ca="1">F37+G37+H37</f>
        <v>5000000</v>
      </c>
      <c r="J37" s="151">
        <f ca="1">SUMIFS(ÉV!$G$17:$G$65,ÉV!$A$17:$A$65,Kalkulátor!$A37)</f>
        <v>40200</v>
      </c>
      <c r="K37" s="149">
        <f ca="1">SUMIFS(ÉV!$H$17:$H$65,ÉV!$A$17:$A$65,Kalkulátor!$A37)</f>
        <v>51600</v>
      </c>
      <c r="L37" s="132"/>
      <c r="M37" s="132"/>
      <c r="N37" s="132"/>
      <c r="O37" s="121"/>
      <c r="P37" s="121"/>
    </row>
    <row r="38" spans="1:19" ht="12.75" customHeight="1">
      <c r="A38" s="221">
        <f ca="1">IF(MAX(A$37:A37)=IF(Töredékhó&gt;0,TartamVálasztott+1,TartamVálasztott),A37,A37+1)</f>
        <v>2</v>
      </c>
      <c r="B38" s="328">
        <f t="shared" ref="B38:B83" ca="1" si="1">IF(AND(Töredékhó&gt;0,A38&gt;TartamVálasztott),Töredékhó,12)</f>
        <v>12</v>
      </c>
      <c r="C38" s="152">
        <f ca="1">SUM(D$37:D38)</f>
        <v>422887</v>
      </c>
      <c r="D38" s="152">
        <f ca="1">SUMIFS(HÓ!G:G,HÓ!$A:$A,Kalkulátor!$A38,HÓ!$B:$B,12)</f>
        <v>213537</v>
      </c>
      <c r="E38" s="152">
        <f ca="1">SUMIF(HÓ!A:A,A38,HÓ!AG:AG)</f>
        <v>31402.5</v>
      </c>
      <c r="F38" s="155">
        <f t="shared" si="0"/>
        <v>5000000</v>
      </c>
      <c r="G38" s="152">
        <f ca="1">SUMIFS(HÓ!N:N,HÓ!$A:$A,Kalkulátor!$A38,HÓ!$B:$B,               IF(AND(Töredékhó&gt;0,A38&gt;TartamVálasztott),Töredékhó+1,   12)      )</f>
        <v>0</v>
      </c>
      <c r="H38" s="152">
        <f ca="1">SUMIFS(HÓ!O:O,HÓ!$A:$A,Kalkulátor!$A38,HÓ!$B:$B,              IF(AND(Töredékhó&gt;0,A38&gt;TartamVálasztott),Töredékhó+1,   12)  )
+  SUMIFS(HÓ!P:P,HÓ!$A:$A,Kalkulátor!$A38,HÓ!$B:$B,          IF(AND(Töredékhó&gt;0,A38&gt;TartamVálasztott),Töredékhó+1,   12)                 )</f>
        <v>31402.5</v>
      </c>
      <c r="I38" s="152">
        <f t="shared" ref="I38:I54" ca="1" si="2">F38+G38+H38</f>
        <v>5031402.5</v>
      </c>
      <c r="J38" s="152">
        <f ca="1">SUMIFS(ÉV!$G$17:$G$65,ÉV!$A$17:$A$65,Kalkulátor!$A38)</f>
        <v>179852.5</v>
      </c>
      <c r="K38" s="152">
        <f ca="1">SUMIFS(ÉV!$H$17:$H$65,ÉV!$A$17:$A$65,Kalkulátor!$A38)</f>
        <v>193000</v>
      </c>
      <c r="L38" s="132"/>
      <c r="M38" s="132"/>
      <c r="N38" s="132"/>
      <c r="O38" s="121"/>
      <c r="P38" s="121"/>
    </row>
    <row r="39" spans="1:19" ht="12.75" customHeight="1">
      <c r="A39" s="221">
        <f ca="1">IF(MAX(A$37:A38)=IF(Töredékhó&gt;0,TartamVálasztott+1,TartamVálasztott),A38,A38+1)</f>
        <v>3</v>
      </c>
      <c r="B39" s="329">
        <f t="shared" ca="1" si="1"/>
        <v>12</v>
      </c>
      <c r="C39" s="152">
        <f ca="1">SUM(D$37:D39)</f>
        <v>640694.74</v>
      </c>
      <c r="D39" s="152">
        <f ca="1">SUMIFS(HÓ!G:G,HÓ!$A:$A,Kalkulátor!$A39,HÓ!$B:$B,12)</f>
        <v>217807.74</v>
      </c>
      <c r="E39" s="152">
        <f ca="1">SUMIF(HÓ!A:A,A39,HÓ!AG:AG)</f>
        <v>42498.05</v>
      </c>
      <c r="F39" s="155">
        <f t="shared" si="0"/>
        <v>5000000</v>
      </c>
      <c r="G39" s="152">
        <f ca="1">SUMIFS(HÓ!N:N,HÓ!$A:$A,Kalkulátor!$A39,HÓ!$B:$B,               IF(AND(Töredékhó&gt;0,A39&gt;TartamVálasztott),Töredékhó+1,   12)      )</f>
        <v>0</v>
      </c>
      <c r="H39" s="152">
        <f ca="1">SUMIFS(HÓ!O:O,HÓ!$A:$A,Kalkulátor!$A39,HÓ!$B:$B,              IF(AND(Töredékhó&gt;0,A39&gt;TartamVálasztott),Töredékhó+1,   12)  )
+  SUMIFS(HÓ!P:P,HÓ!$A:$A,Kalkulátor!$A39,HÓ!$B:$B,          IF(AND(Töredékhó&gt;0,A39&gt;TartamVálasztott),Töredékhó+1,   12)                 )</f>
        <v>73900.55</v>
      </c>
      <c r="I39" s="152">
        <f ca="1">F39+G39+H39</f>
        <v>5073900.55</v>
      </c>
      <c r="J39" s="152">
        <f ca="1">SUMIFS(ÉV!$G$17:$G$65,ÉV!$A$17:$A$65,Kalkulátor!$A39)</f>
        <v>398050.55</v>
      </c>
      <c r="K39" s="152">
        <f ca="1">SUMIFS(ÉV!$H$17:$H$65,ÉV!$A$17:$A$65,Kalkulátor!$A39)</f>
        <v>439700</v>
      </c>
      <c r="L39" s="132"/>
      <c r="M39" s="132"/>
      <c r="N39" s="132"/>
      <c r="O39" s="121"/>
      <c r="P39" s="121"/>
    </row>
    <row r="40" spans="1:19" ht="12.75" customHeight="1">
      <c r="A40" s="221">
        <f ca="1">IF(MAX(A$37:A39)=IF(Töredékhó&gt;0,TartamVálasztott+1,TartamVálasztott),A39,A39+1)</f>
        <v>4</v>
      </c>
      <c r="B40" s="329">
        <f t="shared" ca="1" si="1"/>
        <v>12</v>
      </c>
      <c r="C40" s="152">
        <f ca="1">SUM(D$37:D40)</f>
        <v>862858.6348</v>
      </c>
      <c r="D40" s="152">
        <f ca="1">SUMIFS(HÓ!G:G,HÓ!$A:$A,Kalkulátor!$A40,HÓ!$B:$B,12)</f>
        <v>222163.89479999998</v>
      </c>
      <c r="E40" s="152">
        <f ca="1">SUMIF(HÓ!A:A,A40,HÓ!AG:AG)</f>
        <v>43348.010999999999</v>
      </c>
      <c r="F40" s="155">
        <f t="shared" si="0"/>
        <v>5000000</v>
      </c>
      <c r="G40" s="152">
        <f ca="1">SUMIFS(HÓ!N:N,HÓ!$A:$A,Kalkulátor!$A40,HÓ!$B:$B,               IF(AND(Töredékhó&gt;0,A40&gt;TartamVálasztott),Töredékhó+1,   12)      )</f>
        <v>0</v>
      </c>
      <c r="H40" s="152">
        <f ca="1">SUMIFS(HÓ!O:O,HÓ!$A:$A,Kalkulátor!$A40,HÓ!$B:$B,              IF(AND(Töredékhó&gt;0,A40&gt;TartamVálasztott),Töredékhó+1,   12)  )
+  SUMIFS(HÓ!P:P,HÓ!$A:$A,Kalkulátor!$A40,HÓ!$B:$B,          IF(AND(Töredékhó&gt;0,A40&gt;TartamVálasztott),Töredékhó+1,   12)                 )</f>
        <v>117248.561</v>
      </c>
      <c r="I40" s="152">
        <f t="shared" ca="1" si="2"/>
        <v>5117248.5609999998</v>
      </c>
      <c r="J40" s="152">
        <f ca="1">SUMIFS(ÉV!$G$17:$G$65,ÉV!$A$17:$A$65,Kalkulátor!$A40)</f>
        <v>605048.56099999999</v>
      </c>
      <c r="K40" s="152">
        <f ca="1">SUMIFS(ÉV!$H$17:$H$65,ÉV!$A$17:$A$65,Kalkulátor!$A40)</f>
        <v>690650</v>
      </c>
      <c r="L40" s="132"/>
      <c r="M40" s="132"/>
      <c r="N40" s="132"/>
      <c r="O40" s="121"/>
      <c r="P40" s="121"/>
    </row>
    <row r="41" spans="1:19" ht="12.75" customHeight="1">
      <c r="A41" s="221">
        <f ca="1">IF(MAX(A$37:A40)=IF(Töredékhó&gt;0,TartamVálasztott+1,TartamVálasztott),A40,A40+1)</f>
        <v>5</v>
      </c>
      <c r="B41" s="329">
        <f t="shared" ca="1" si="1"/>
        <v>12</v>
      </c>
      <c r="C41" s="153">
        <f ca="1">SUM(D$37:D41)</f>
        <v>1089465.8074960001</v>
      </c>
      <c r="D41" s="153">
        <f ca="1">SUMIFS(HÓ!G:G,HÓ!$A:$A,Kalkulátor!$A41,HÓ!$B:$B,12)</f>
        <v>226607.17269599999</v>
      </c>
      <c r="E41" s="152">
        <f ca="1">SUMIF(HÓ!A:A,A41,HÓ!AG:AG)</f>
        <v>44214.971219999985</v>
      </c>
      <c r="F41" s="155">
        <f t="shared" si="0"/>
        <v>5000000</v>
      </c>
      <c r="G41" s="152">
        <f ca="1">SUMIFS(HÓ!N:N,HÓ!$A:$A,Kalkulátor!$A41,HÓ!$B:$B,               IF(AND(Töredékhó&gt;0,A41&gt;TartamVálasztott),Töredékhó+1,   12)      )</f>
        <v>0</v>
      </c>
      <c r="H41" s="152">
        <f ca="1">SUMIFS(HÓ!O:O,HÓ!$A:$A,Kalkulátor!$A41,HÓ!$B:$B,              IF(AND(Töredékhó&gt;0,A41&gt;TartamVálasztott),Töredékhó+1,   12)  )
+  SUMIFS(HÓ!P:P,HÓ!$A:$A,Kalkulátor!$A41,HÓ!$B:$B,          IF(AND(Töredékhó&gt;0,A41&gt;TartamVálasztott),Töredékhó+1,   12)                 )</f>
        <v>161463.53221999999</v>
      </c>
      <c r="I41" s="153">
        <f t="shared" ca="1" si="2"/>
        <v>5161463.5322200004</v>
      </c>
      <c r="J41" s="152">
        <f ca="1">SUMIFS(ÉV!$G$17:$G$65,ÉV!$A$17:$A$65,Kalkulátor!$A41)</f>
        <v>821713.53221999994</v>
      </c>
      <c r="K41" s="153">
        <f ca="1">SUMIFS(ÉV!$H$17:$H$65,ÉV!$A$17:$A$65,Kalkulátor!$A41)</f>
        <v>945450</v>
      </c>
      <c r="L41" s="132"/>
      <c r="M41" s="132"/>
      <c r="N41" s="132"/>
      <c r="O41" s="121"/>
      <c r="P41" s="121"/>
    </row>
    <row r="42" spans="1:19" ht="12.75" customHeight="1">
      <c r="A42" s="221">
        <f ca="1">IF(MAX(A$37:A41)=IF(Töredékhó&gt;0,TartamVálasztott+1,TartamVálasztott),A41,A41+1)</f>
        <v>6</v>
      </c>
      <c r="B42" s="329">
        <f t="shared" ca="1" si="1"/>
        <v>12</v>
      </c>
      <c r="C42" s="152">
        <f ca="1">SUM(D$37:D42)</f>
        <v>1320605.1236459201</v>
      </c>
      <c r="D42" s="152">
        <f ca="1">SUMIFS(HÓ!G:G,HÓ!$A:$A,Kalkulátor!$A42,HÓ!$B:$B,12)</f>
        <v>231139.31614991999</v>
      </c>
      <c r="E42" s="152">
        <f ca="1">SUMIF(HÓ!A:A,A42,HÓ!AG:AG)</f>
        <v>45099.270644399985</v>
      </c>
      <c r="F42" s="155">
        <f t="shared" si="0"/>
        <v>5000000</v>
      </c>
      <c r="G42" s="152">
        <f ca="1">SUMIFS(HÓ!N:N,HÓ!$A:$A,Kalkulátor!$A42,HÓ!$B:$B,               IF(AND(Töredékhó&gt;0,A42&gt;TartamVálasztott),Töredékhó+1,   12)      )</f>
        <v>0</v>
      </c>
      <c r="H42" s="152">
        <f ca="1">SUMIFS(HÓ!O:O,HÓ!$A:$A,Kalkulátor!$A42,HÓ!$B:$B,              IF(AND(Töredékhó&gt;0,A42&gt;TartamVálasztott),Töredékhó+1,   12)  )
+  SUMIFS(HÓ!P:P,HÓ!$A:$A,Kalkulátor!$A42,HÓ!$B:$B,          IF(AND(Töredékhó&gt;0,A42&gt;TartamVálasztott),Töredékhó+1,   12)                 )</f>
        <v>206562.80286439997</v>
      </c>
      <c r="I42" s="152">
        <f t="shared" ca="1" si="2"/>
        <v>5206562.8028643997</v>
      </c>
      <c r="J42" s="152">
        <f ca="1">SUMIFS(ÉV!$G$17:$G$65,ÉV!$A$17:$A$65,Kalkulátor!$A42)</f>
        <v>1043962.8028644</v>
      </c>
      <c r="K42" s="152">
        <f ca="1">SUMIFS(ÉV!$H$17:$H$65,ÉV!$A$17:$A$65,Kalkulátor!$A42)</f>
        <v>1203550</v>
      </c>
      <c r="L42" s="132"/>
      <c r="M42" s="132"/>
      <c r="N42" s="132"/>
      <c r="O42" s="121"/>
      <c r="P42" s="121"/>
    </row>
    <row r="43" spans="1:19" ht="12.75" customHeight="1">
      <c r="A43" s="221">
        <f ca="1">IF(MAX(A$37:A42)=IF(Töredékhó&gt;0,TartamVálasztott+1,TartamVálasztott),A42,A42+1)</f>
        <v>7</v>
      </c>
      <c r="B43" s="329">
        <f t="shared" ca="1" si="1"/>
        <v>12</v>
      </c>
      <c r="C43" s="152">
        <f ca="1">SUM(D$37:D43)</f>
        <v>1556367.2261188384</v>
      </c>
      <c r="D43" s="152">
        <f ca="1">SUMIFS(HÓ!G:G,HÓ!$A:$A,Kalkulátor!$A43,HÓ!$B:$B,12)</f>
        <v>235762.1024729184</v>
      </c>
      <c r="E43" s="152">
        <f ca="1">SUMIF(HÓ!A:A,A43,HÓ!AG:AG)</f>
        <v>46001.256057288003</v>
      </c>
      <c r="F43" s="155">
        <f t="shared" si="0"/>
        <v>5000000</v>
      </c>
      <c r="G43" s="152">
        <f ca="1">SUMIFS(HÓ!N:N,HÓ!$A:$A,Kalkulátor!$A43,HÓ!$B:$B,               IF(AND(Töredékhó&gt;0,A43&gt;TartamVálasztott),Töredékhó+1,   12)      )</f>
        <v>0</v>
      </c>
      <c r="H43" s="152">
        <f ca="1">SUMIFS(HÓ!O:O,HÓ!$A:$A,Kalkulátor!$A43,HÓ!$B:$B,              IF(AND(Töredékhó&gt;0,A43&gt;TartamVálasztott),Töredékhó+1,   12)  )
+  SUMIFS(HÓ!P:P,HÓ!$A:$A,Kalkulátor!$A43,HÓ!$B:$B,          IF(AND(Töredékhó&gt;0,A43&gt;TartamVálasztott),Töredékhó+1,   12)                 )</f>
        <v>252564.05892168797</v>
      </c>
      <c r="I43" s="152">
        <f t="shared" ca="1" si="2"/>
        <v>5252564.0589216882</v>
      </c>
      <c r="J43" s="152">
        <f ca="1">SUMIFS(ÉV!$G$17:$G$65,ÉV!$A$17:$A$65,Kalkulátor!$A43)</f>
        <v>1271114.058921688</v>
      </c>
      <c r="K43" s="152">
        <f ca="1">SUMIFS(ÉV!$H$17:$H$65,ÉV!$A$17:$A$65,Kalkulátor!$A43)</f>
        <v>1464450</v>
      </c>
      <c r="L43" s="132"/>
      <c r="M43" s="132"/>
      <c r="N43" s="132"/>
      <c r="O43" s="121"/>
      <c r="P43" s="121"/>
    </row>
    <row r="44" spans="1:19" ht="12.75" customHeight="1">
      <c r="A44" s="221">
        <f ca="1">IF(MAX(A$37:A43)=IF(Töredékhó&gt;0,TartamVálasztott+1,TartamVálasztott),A43,A43+1)</f>
        <v>8</v>
      </c>
      <c r="B44" s="329">
        <f t="shared" ca="1" si="1"/>
        <v>12</v>
      </c>
      <c r="C44" s="152">
        <f ca="1">SUM(D$37:D44)</f>
        <v>1796844.5706412152</v>
      </c>
      <c r="D44" s="152">
        <f ca="1">SUMIFS(HÓ!G:G,HÓ!$A:$A,Kalkulátor!$A44,HÓ!$B:$B,12)</f>
        <v>240477.34452237678</v>
      </c>
      <c r="E44" s="152">
        <f ca="1">SUMIF(HÓ!A:A,A44,HÓ!AG:AG)</f>
        <v>46921.281178433775</v>
      </c>
      <c r="F44" s="155">
        <f t="shared" si="0"/>
        <v>5000000</v>
      </c>
      <c r="G44" s="152">
        <f ca="1">SUMIFS(HÓ!N:N,HÓ!$A:$A,Kalkulátor!$A44,HÓ!$B:$B,               IF(AND(Töredékhó&gt;0,A44&gt;TartamVálasztott),Töredékhó+1,   12)      )</f>
        <v>0</v>
      </c>
      <c r="H44" s="152">
        <f ca="1">SUMIFS(HÓ!O:O,HÓ!$A:$A,Kalkulátor!$A44,HÓ!$B:$B,              IF(AND(Töredékhó&gt;0,A44&gt;TartamVálasztott),Töredékhó+1,   12)  )
+  SUMIFS(HÓ!P:P,HÓ!$A:$A,Kalkulátor!$A44,HÓ!$B:$B,          IF(AND(Töredékhó&gt;0,A44&gt;TartamVálasztott),Töredékhó+1,   12)                 )</f>
        <v>299485.34010012174</v>
      </c>
      <c r="I44" s="152">
        <f t="shared" ca="1" si="2"/>
        <v>5299485.3401001217</v>
      </c>
      <c r="J44" s="152">
        <f ca="1">SUMIFS(ÉV!$G$17:$G$65,ÉV!$A$17:$A$65,Kalkulátor!$A44)</f>
        <v>1503085.3401001217</v>
      </c>
      <c r="K44" s="152">
        <f ca="1">SUMIFS(ÉV!$H$17:$H$65,ÉV!$A$17:$A$65,Kalkulátor!$A44)</f>
        <v>1727350</v>
      </c>
      <c r="L44" s="132"/>
      <c r="M44" s="132"/>
      <c r="N44" s="132"/>
      <c r="O44" s="121"/>
      <c r="P44" s="121"/>
    </row>
    <row r="45" spans="1:19" ht="12.75" customHeight="1">
      <c r="A45" s="221">
        <f ca="1">IF(MAX(A$37:A44)=IF(Töredékhó&gt;0,TartamVálasztott+1,TartamVálasztott),A44,A44+1)</f>
        <v>9</v>
      </c>
      <c r="B45" s="329">
        <f t="shared" ca="1" si="1"/>
        <v>12</v>
      </c>
      <c r="C45" s="152">
        <f ca="1">SUM(D$37:D45)</f>
        <v>2042131.4620540396</v>
      </c>
      <c r="D45" s="152">
        <f ca="1">SUMIFS(HÓ!G:G,HÓ!$A:$A,Kalkulátor!$A45,HÓ!$B:$B,12)</f>
        <v>245286.89141282431</v>
      </c>
      <c r="E45" s="152">
        <f ca="1">SUMIF(HÓ!A:A,A45,HÓ!AG:AG)</f>
        <v>47859.706802002438</v>
      </c>
      <c r="F45" s="155">
        <f t="shared" si="0"/>
        <v>5000000</v>
      </c>
      <c r="G45" s="152">
        <f ca="1">SUMIFS(HÓ!N:N,HÓ!$A:$A,Kalkulátor!$A45,HÓ!$B:$B,               IF(AND(Töredékhó&gt;0,A45&gt;TartamVálasztott),Töredékhó+1,   12)      )</f>
        <v>0</v>
      </c>
      <c r="H45" s="152">
        <f ca="1">SUMIFS(HÓ!O:O,HÓ!$A:$A,Kalkulátor!$A45,HÓ!$B:$B,              IF(AND(Töredékhó&gt;0,A45&gt;TartamVálasztott),Töredékhó+1,   12)  )
+  SUMIFS(HÓ!P:P,HÓ!$A:$A,Kalkulátor!$A45,HÓ!$B:$B,          IF(AND(Töredékhó&gt;0,A45&gt;TartamVálasztott),Töredékhó+1,   12)                 )</f>
        <v>347345.04690212419</v>
      </c>
      <c r="I45" s="152">
        <f t="shared" ca="1" si="2"/>
        <v>5347345.0469021238</v>
      </c>
      <c r="J45" s="152">
        <f ca="1">SUMIFS(ÉV!$G$17:$G$65,ÉV!$A$17:$A$65,Kalkulátor!$A45)</f>
        <v>1739895.0469021243</v>
      </c>
      <c r="K45" s="152">
        <f ca="1">SUMIFS(ÉV!$H$17:$H$65,ÉV!$A$17:$A$65,Kalkulátor!$A45)</f>
        <v>1991550</v>
      </c>
      <c r="L45" s="132"/>
      <c r="M45" s="132"/>
      <c r="N45" s="132"/>
      <c r="O45" s="121"/>
      <c r="P45" s="121"/>
    </row>
    <row r="46" spans="1:19" ht="12.75" customHeight="1">
      <c r="A46" s="221">
        <f ca="1">IF(MAX(A$37:A45)=IF(Töredékhó&gt;0,TartamVálasztott+1,TartamVálasztott),A45,A45+1)</f>
        <v>10</v>
      </c>
      <c r="B46" s="329">
        <f t="shared" ca="1" si="1"/>
        <v>12</v>
      </c>
      <c r="C46" s="152">
        <f ca="1">SUM(D$37:D46)</f>
        <v>2292324.0912951203</v>
      </c>
      <c r="D46" s="152">
        <f ca="1">SUMIFS(HÓ!G:G,HÓ!$A:$A,Kalkulátor!$A46,HÓ!$B:$B,12)</f>
        <v>250192.62924108081</v>
      </c>
      <c r="E46" s="152">
        <f ca="1">SUMIF(HÓ!A:A,A46,HÓ!AG:AG)</f>
        <v>48816.900938042476</v>
      </c>
      <c r="F46" s="155">
        <f t="shared" si="0"/>
        <v>5000000</v>
      </c>
      <c r="G46" s="152">
        <f ca="1">SUMIFS(HÓ!N:N,HÓ!$A:$A,Kalkulátor!$A46,HÓ!$B:$B,               IF(AND(Töredékhó&gt;0,A46&gt;TartamVálasztott),Töredékhó+1,   12)      )</f>
        <v>0</v>
      </c>
      <c r="H46" s="152">
        <f ca="1">SUMIFS(HÓ!O:O,HÓ!$A:$A,Kalkulátor!$A46,HÓ!$B:$B,              IF(AND(Töredékhó&gt;0,A46&gt;TartamVálasztott),Töredékhó+1,   12)  )
+  SUMIFS(HÓ!P:P,HÓ!$A:$A,Kalkulátor!$A46,HÓ!$B:$B,          IF(AND(Töredékhó&gt;0,A46&gt;TartamVálasztott),Töredékhó+1,   12)                 )</f>
        <v>396161.94784016669</v>
      </c>
      <c r="I46" s="152">
        <f t="shared" ca="1" si="2"/>
        <v>5396161.9478401663</v>
      </c>
      <c r="J46" s="152">
        <f ca="1">SUMIFS(ÉV!$G$17:$G$65,ÉV!$A$17:$A$65,Kalkulátor!$A46)</f>
        <v>1981511.9478401667</v>
      </c>
      <c r="K46" s="152">
        <f ca="1">SUMIFS(ÉV!$H$17:$H$65,ÉV!$A$17:$A$65,Kalkulátor!$A46)</f>
        <v>2256050</v>
      </c>
      <c r="L46" s="132"/>
      <c r="M46" s="132"/>
      <c r="N46" s="132"/>
      <c r="O46" s="121"/>
      <c r="P46" s="121"/>
    </row>
    <row r="47" spans="1:19" ht="12.75" customHeight="1">
      <c r="A47" s="221">
        <f ca="1">IF(MAX(A$37:A46)=IF(Töredékhó&gt;0,TartamVálasztott+1,TartamVálasztott),A46,A46+1)</f>
        <v>11</v>
      </c>
      <c r="B47" s="329">
        <f t="shared" ca="1" si="1"/>
        <v>12</v>
      </c>
      <c r="C47" s="152">
        <f ca="1">SUM(D$37:D47)</f>
        <v>2547520.5731210229</v>
      </c>
      <c r="D47" s="152">
        <f ca="1">SUMIFS(HÓ!G:G,HÓ!$A:$A,Kalkulátor!$A47,HÓ!$B:$B,12)</f>
        <v>255196.48182590242</v>
      </c>
      <c r="E47" s="152">
        <f ca="1">SUMIF(HÓ!A:A,A47,HÓ!AG:AG)</f>
        <v>49793.23895680334</v>
      </c>
      <c r="F47" s="155">
        <f t="shared" si="0"/>
        <v>5000000</v>
      </c>
      <c r="G47" s="152">
        <f ca="1">SUMIFS(HÓ!N:N,HÓ!$A:$A,Kalkulátor!$A47,HÓ!$B:$B,               IF(AND(Töredékhó&gt;0,A47&gt;TartamVálasztott),Töredékhó+1,   12)      )</f>
        <v>0</v>
      </c>
      <c r="H47" s="152">
        <f ca="1">SUMIFS(HÓ!O:O,HÓ!$A:$A,Kalkulátor!$A47,HÓ!$B:$B,              IF(AND(Töredékhó&gt;0,A47&gt;TartamVálasztott),Töredékhó+1,   12)  )
+  SUMIFS(HÓ!P:P,HÓ!$A:$A,Kalkulátor!$A47,HÓ!$B:$B,          IF(AND(Töredékhó&gt;0,A47&gt;TartamVálasztott),Töredékhó+1,   12)                 )</f>
        <v>445955.18679697003</v>
      </c>
      <c r="I47" s="152">
        <f t="shared" ca="1" si="2"/>
        <v>5445955.1867969697</v>
      </c>
      <c r="J47" s="152">
        <f ca="1">SUMIFS(ÉV!$G$17:$G$65,ÉV!$A$17:$A$65,Kalkulátor!$A47)</f>
        <v>2228105.1867969702</v>
      </c>
      <c r="K47" s="152">
        <f ca="1">SUMIFS(ÉV!$H$17:$H$65,ÉV!$A$17:$A$65,Kalkulátor!$A47)</f>
        <v>2520000</v>
      </c>
      <c r="L47" s="132"/>
      <c r="M47" s="132"/>
      <c r="N47" s="132"/>
      <c r="O47" s="121"/>
      <c r="P47" s="121"/>
    </row>
    <row r="48" spans="1:19" ht="12.75" customHeight="1">
      <c r="A48" s="221">
        <f ca="1">IF(MAX(A$37:A47)=IF(Töredékhó&gt;0,TartamVálasztott+1,TartamVálasztott),A47,A47+1)</f>
        <v>12</v>
      </c>
      <c r="B48" s="329">
        <f t="shared" ca="1" si="1"/>
        <v>12</v>
      </c>
      <c r="C48" s="152">
        <f ca="1">SUM(D$37:D48)</f>
        <v>2807820.9845834435</v>
      </c>
      <c r="D48" s="152">
        <f ca="1">SUMIFS(HÓ!G:G,HÓ!$A:$A,Kalkulátor!$A48,HÓ!$B:$B,12)</f>
        <v>260300.41146242048</v>
      </c>
      <c r="E48" s="152">
        <f ca="1">SUMIF(HÓ!A:A,A48,HÓ!AG:AG)</f>
        <v>50789.10373593941</v>
      </c>
      <c r="F48" s="155">
        <f t="shared" si="0"/>
        <v>5000000</v>
      </c>
      <c r="G48" s="152">
        <f ca="1">SUMIFS(HÓ!N:N,HÓ!$A:$A,Kalkulátor!$A48,HÓ!$B:$B,               IF(AND(Töredékhó&gt;0,A48&gt;TartamVálasztott),Töredékhó+1,   12)      )</f>
        <v>0</v>
      </c>
      <c r="H48" s="152">
        <f ca="1">SUMIFS(HÓ!O:O,HÓ!$A:$A,Kalkulátor!$A48,HÓ!$B:$B,              IF(AND(Töredékhó&gt;0,A48&gt;TartamVálasztott),Töredékhó+1,   12)  )
+  SUMIFS(HÓ!P:P,HÓ!$A:$A,Kalkulátor!$A48,HÓ!$B:$B,          IF(AND(Töredékhó&gt;0,A48&gt;TartamVálasztott),Töredékhó+1,   12)                 )</f>
        <v>496744.29053290945</v>
      </c>
      <c r="I48" s="152">
        <f t="shared" ca="1" si="2"/>
        <v>5496744.2905329093</v>
      </c>
      <c r="J48" s="152">
        <f ca="1">SUMIFS(ÉV!$G$17:$G$65,ÉV!$A$17:$A$65,Kalkulátor!$A48)</f>
        <v>2479744.2905329093</v>
      </c>
      <c r="K48" s="152">
        <f ca="1">SUMIFS(ÉV!$H$17:$H$65,ÉV!$A$17:$A$65,Kalkulátor!$A48)</f>
        <v>2782250</v>
      </c>
      <c r="L48" s="132"/>
      <c r="M48" s="132"/>
      <c r="N48" s="132"/>
      <c r="O48" s="121"/>
      <c r="P48" s="121"/>
    </row>
    <row r="49" spans="1:16" ht="12.75" customHeight="1">
      <c r="A49" s="221">
        <f ca="1">IF(MAX(A$37:A48)=IF(Töredékhó&gt;0,TartamVálasztott+1,TartamVálasztott),A48,A48+1)</f>
        <v>13</v>
      </c>
      <c r="B49" s="329">
        <f t="shared" ca="1" si="1"/>
        <v>12</v>
      </c>
      <c r="C49" s="152">
        <f ca="1">SUM(D$37:D49)</f>
        <v>3073327.4042751123</v>
      </c>
      <c r="D49" s="152">
        <f ca="1">SUMIFS(HÓ!G:G,HÓ!$A:$A,Kalkulátor!$A49,HÓ!$B:$B,12)</f>
        <v>265506.41969166888</v>
      </c>
      <c r="E49" s="152">
        <f ca="1">SUMIF(HÓ!A:A,A49,HÓ!AG:AG)</f>
        <v>51804.88581065819</v>
      </c>
      <c r="F49" s="155">
        <f t="shared" si="0"/>
        <v>5000000</v>
      </c>
      <c r="G49" s="152">
        <f ca="1">SUMIFS(HÓ!N:N,HÓ!$A:$A,Kalkulátor!$A49,HÓ!$B:$B,               IF(AND(Töredékhó&gt;0,A49&gt;TartamVálasztott),Töredékhó+1,   12)      )</f>
        <v>0</v>
      </c>
      <c r="H49" s="152">
        <f ca="1">SUMIFS(HÓ!O:O,HÓ!$A:$A,Kalkulátor!$A49,HÓ!$B:$B,              IF(AND(Töredékhó&gt;0,A49&gt;TartamVálasztott),Töredékhó+1,   12)  )
+  SUMIFS(HÓ!P:P,HÓ!$A:$A,Kalkulátor!$A49,HÓ!$B:$B,          IF(AND(Töredékhó&gt;0,A49&gt;TartamVálasztott),Töredékhó+1,   12)                 )</f>
        <v>548549.17634356767</v>
      </c>
      <c r="I49" s="152">
        <f t="shared" ca="1" si="2"/>
        <v>5548549.1763435677</v>
      </c>
      <c r="J49" s="152">
        <f ca="1">SUMIFS(ÉV!$G$17:$G$65,ÉV!$A$17:$A$65,Kalkulátor!$A49)</f>
        <v>2736449.1763435677</v>
      </c>
      <c r="K49" s="152">
        <f ca="1">SUMIFS(ÉV!$H$17:$H$65,ÉV!$A$17:$A$65,Kalkulátor!$A49)</f>
        <v>3041600</v>
      </c>
      <c r="L49" s="132"/>
      <c r="M49" s="132"/>
      <c r="N49" s="132"/>
      <c r="O49" s="121"/>
      <c r="P49" s="121"/>
    </row>
    <row r="50" spans="1:16" ht="12.75" customHeight="1">
      <c r="A50" s="221">
        <f ca="1">IF(MAX(A$37:A49)=IF(Töredékhó&gt;0,TartamVálasztott+1,TartamVálasztott),A49,A49+1)</f>
        <v>14</v>
      </c>
      <c r="B50" s="329">
        <f t="shared" ca="1" si="1"/>
        <v>12</v>
      </c>
      <c r="C50" s="152">
        <f ca="1">IF(A49=TartamDíjfiz,C49, SUM(D$37:D50))</f>
        <v>3344143.9523606147</v>
      </c>
      <c r="D50" s="152">
        <f ca="1">SUMIFS(HÓ!G:G,HÓ!$A:$A,Kalkulátor!$A50,HÓ!$B:$B,12)</f>
        <v>270816.54808550229</v>
      </c>
      <c r="E50" s="152">
        <f ca="1">SUMIF(HÓ!A:A,A50,HÓ!AG:AG)</f>
        <v>52840.983526871365</v>
      </c>
      <c r="F50" s="155">
        <f t="shared" si="0"/>
        <v>5000000</v>
      </c>
      <c r="G50" s="152">
        <f ca="1">SUMIFS(HÓ!N:N,HÓ!$A:$A,Kalkulátor!$A50,HÓ!$B:$B,               IF(AND(Töredékhó&gt;0,A50&gt;TartamVálasztott),Töredékhó+1,   12)      )</f>
        <v>0</v>
      </c>
      <c r="H50" s="152">
        <f ca="1">SUMIFS(HÓ!O:O,HÓ!$A:$A,Kalkulátor!$A50,HÓ!$B:$B,              IF(AND(Töredékhó&gt;0,A50&gt;TartamVálasztott),Töredékhó+1,   12)  )
+  SUMIFS(HÓ!P:P,HÓ!$A:$A,Kalkulátor!$A50,HÓ!$B:$B,          IF(AND(Töredékhó&gt;0,A50&gt;TartamVálasztott),Töredékhó+1,   12)                 )</f>
        <v>601390.15987043898</v>
      </c>
      <c r="I50" s="152">
        <f t="shared" ca="1" si="2"/>
        <v>5601390.1598704392</v>
      </c>
      <c r="J50" s="152">
        <f ca="1">SUMIFS(ÉV!$G$17:$G$65,ÉV!$A$17:$A$65,Kalkulátor!$A50)</f>
        <v>2998340.1598704392</v>
      </c>
      <c r="K50" s="152">
        <f ca="1">SUMIFS(ÉV!$H$17:$H$65,ÉV!$A$17:$A$65,Kalkulátor!$A50)</f>
        <v>3296750</v>
      </c>
      <c r="L50" s="132"/>
      <c r="M50" s="132"/>
      <c r="N50" s="132"/>
      <c r="O50" s="121"/>
      <c r="P50" s="121"/>
    </row>
    <row r="51" spans="1:16" ht="12.75" customHeight="1">
      <c r="A51" s="221">
        <f ca="1">IF(MAX(A$37:A50)=IF(Töredékhó&gt;0,TartamVálasztott+1,TartamVálasztott),A50,A50+1)</f>
        <v>15</v>
      </c>
      <c r="B51" s="329">
        <f t="shared" ca="1" si="1"/>
        <v>12</v>
      </c>
      <c r="C51" s="152">
        <f ca="1">IF(A50=TartamDíjfiz,C50, SUM(D$37:D51))</f>
        <v>3620376.8314078269</v>
      </c>
      <c r="D51" s="152">
        <f ca="1">SUMIFS(HÓ!G:G,HÓ!$A:$A,Kalkulátor!$A51,HÓ!$B:$B,12)</f>
        <v>276232.87904721237</v>
      </c>
      <c r="E51" s="152">
        <f ca="1">SUMIF(HÓ!A:A,A51,HÓ!AG:AG)</f>
        <v>53897.803197408772</v>
      </c>
      <c r="F51" s="155">
        <f t="shared" si="0"/>
        <v>5000000</v>
      </c>
      <c r="G51" s="152">
        <f ca="1">SUMIFS(HÓ!N:N,HÓ!$A:$A,Kalkulátor!$A51,HÓ!$B:$B,               IF(AND(Töredékhó&gt;0,A51&gt;TartamVálasztott),Töredékhó+1,   12)      )</f>
        <v>0</v>
      </c>
      <c r="H51" s="152">
        <f ca="1">SUMIFS(HÓ!O:O,HÓ!$A:$A,Kalkulátor!$A51,HÓ!$B:$B,              IF(AND(Töredékhó&gt;0,A51&gt;TartamVálasztott),Töredékhó+1,   12)  )
+  SUMIFS(HÓ!P:P,HÓ!$A:$A,Kalkulátor!$A51,HÓ!$B:$B,          IF(AND(Töredékhó&gt;0,A51&gt;TartamVálasztott),Töredékhó+1,   12)                 )</f>
        <v>655287.96306784777</v>
      </c>
      <c r="I51" s="152">
        <f t="shared" ca="1" si="2"/>
        <v>5655287.9630678482</v>
      </c>
      <c r="J51" s="152">
        <f ca="1">SUMIFS(ÉV!$G$17:$G$65,ÉV!$A$17:$A$65,Kalkulátor!$A51)</f>
        <v>3265587.9630678478</v>
      </c>
      <c r="K51" s="152">
        <f ca="1">SUMIFS(ÉV!$H$17:$H$65,ÉV!$A$17:$A$65,Kalkulátor!$A51)</f>
        <v>3546450</v>
      </c>
      <c r="L51" s="132"/>
      <c r="M51" s="132"/>
      <c r="N51" s="132"/>
      <c r="O51" s="121"/>
      <c r="P51" s="121"/>
    </row>
    <row r="52" spans="1:16" ht="12.75" customHeight="1">
      <c r="A52" s="221">
        <f ca="1">IF(MAX(A$37:A51)=IF(Töredékhó&gt;0,TartamVálasztott+1,TartamVálasztott),A51,A51+1)</f>
        <v>16</v>
      </c>
      <c r="B52" s="329">
        <f t="shared" ca="1" si="1"/>
        <v>12</v>
      </c>
      <c r="C52" s="152">
        <f ca="1">IF(A51=TartamDíjfiz,C51, SUM(D$37:D52))</f>
        <v>3902134.3680359833</v>
      </c>
      <c r="D52" s="152">
        <f ca="1">SUMIFS(HÓ!G:G,HÓ!$A:$A,Kalkulátor!$A52,HÓ!$B:$B,12)</f>
        <v>281757.53662815661</v>
      </c>
      <c r="E52" s="152">
        <f ca="1">SUMIF(HÓ!A:A,A52,HÓ!AG:AG)</f>
        <v>54975.759261356972</v>
      </c>
      <c r="F52" s="155">
        <f t="shared" si="0"/>
        <v>5000000</v>
      </c>
      <c r="G52" s="152">
        <f ca="1">SUMIFS(HÓ!N:N,HÓ!$A:$A,Kalkulátor!$A52,HÓ!$B:$B,               IF(AND(Töredékhó&gt;0,A52&gt;TartamVálasztott),Töredékhó+1,   12)      )</f>
        <v>0</v>
      </c>
      <c r="H52" s="152">
        <f ca="1">SUMIFS(HÓ!O:O,HÓ!$A:$A,Kalkulátor!$A52,HÓ!$B:$B,              IF(AND(Töredékhó&gt;0,A52&gt;TartamVálasztott),Töredékhó+1,   12)  )
+  SUMIFS(HÓ!P:P,HÓ!$A:$A,Kalkulátor!$A52,HÓ!$B:$B,          IF(AND(Töredékhó&gt;0,A52&gt;TartamVálasztott),Töredékhó+1,   12)                 )</f>
        <v>710263.72232920479</v>
      </c>
      <c r="I52" s="152">
        <f t="shared" ca="1" si="2"/>
        <v>5710263.7223292049</v>
      </c>
      <c r="J52" s="152">
        <f ca="1">SUMIFS(ÉV!$G$17:$G$65,ÉV!$A$17:$A$65,Kalkulátor!$A52)</f>
        <v>3590963.7223292049</v>
      </c>
      <c r="K52" s="152">
        <f ca="1">SUMIFS(ÉV!$H$17:$H$65,ÉV!$A$17:$A$65,Kalkulátor!$A52)</f>
        <v>3789250</v>
      </c>
      <c r="L52" s="132"/>
      <c r="M52" s="132"/>
      <c r="N52" s="132"/>
      <c r="O52" s="121"/>
      <c r="P52" s="121"/>
    </row>
    <row r="53" spans="1:16" ht="12.75" customHeight="1">
      <c r="A53" s="221">
        <f ca="1">IF(MAX(A$37:A52)=IF(Töredékhó&gt;0,TartamVálasztott+1,TartamVálasztott),A52,A52+1)</f>
        <v>17</v>
      </c>
      <c r="B53" s="329">
        <f t="shared" ca="1" si="1"/>
        <v>12</v>
      </c>
      <c r="C53" s="152">
        <f ca="1">IF(A52=TartamDíjfiz,C52, SUM(D$37:D53))</f>
        <v>4189527.0553967031</v>
      </c>
      <c r="D53" s="152">
        <f ca="1">SUMIFS(HÓ!G:G,HÓ!$A:$A,Kalkulátor!$A53,HÓ!$B:$B,12)</f>
        <v>287392.68736071972</v>
      </c>
      <c r="E53" s="152">
        <f ca="1">SUMIF(HÓ!A:A,A53,HÓ!AG:AG)</f>
        <v>56075.274446584102</v>
      </c>
      <c r="F53" s="155">
        <f t="shared" si="0"/>
        <v>5000000</v>
      </c>
      <c r="G53" s="152">
        <f ca="1">SUMIFS(HÓ!N:N,HÓ!$A:$A,Kalkulátor!$A53,HÓ!$B:$B,               IF(AND(Töredékhó&gt;0,A53&gt;TartamVálasztott),Töredékhó+1,   12)      )</f>
        <v>0</v>
      </c>
      <c r="H53" s="152">
        <f ca="1">SUMIFS(HÓ!O:O,HÓ!$A:$A,Kalkulátor!$A53,HÓ!$B:$B,              IF(AND(Töredékhó&gt;0,A53&gt;TartamVálasztott),Töredékhó+1,   12)  )
+  SUMIFS(HÓ!P:P,HÓ!$A:$A,Kalkulátor!$A53,HÓ!$B:$B,          IF(AND(Töredékhó&gt;0,A53&gt;TartamVálasztott),Töredékhó+1,   12)                 )</f>
        <v>766338.99677578884</v>
      </c>
      <c r="I53" s="152">
        <f t="shared" ca="1" si="2"/>
        <v>5766338.9967757892</v>
      </c>
      <c r="J53" s="152">
        <f ca="1">SUMIFS(ÉV!$G$17:$G$65,ÉV!$A$17:$A$65,Kalkulátor!$A53)</f>
        <v>3929738.9967757887</v>
      </c>
      <c r="K53" s="152">
        <f ca="1">SUMIFS(ÉV!$H$17:$H$65,ÉV!$A$17:$A$65,Kalkulátor!$A53)</f>
        <v>4023600</v>
      </c>
      <c r="L53" s="132"/>
      <c r="M53" s="132"/>
      <c r="N53" s="132"/>
      <c r="O53" s="121"/>
      <c r="P53" s="121"/>
    </row>
    <row r="54" spans="1:16" ht="12.75" customHeight="1">
      <c r="A54" s="221">
        <f ca="1">IF(MAX(A$37:A53)=IF(Töredékhó&gt;0,TartamVálasztott+1,TartamVálasztott),A53,A53+1)</f>
        <v>18</v>
      </c>
      <c r="B54" s="329">
        <f t="shared" ca="1" si="1"/>
        <v>12</v>
      </c>
      <c r="C54" s="152">
        <f ca="1">IF(A53=TartamDíjfiz,C53, SUM(D$37:D54))</f>
        <v>4482667.596504637</v>
      </c>
      <c r="D54" s="152">
        <f ca="1">SUMIFS(HÓ!G:G,HÓ!$A:$A,Kalkulátor!$A54,HÓ!$B:$B,12)</f>
        <v>293140.54110793414</v>
      </c>
      <c r="E54" s="152">
        <f ca="1">SUMIF(HÓ!A:A,A54,HÓ!AG:AG)</f>
        <v>57196.779935515791</v>
      </c>
      <c r="F54" s="155">
        <f t="shared" si="0"/>
        <v>5000000</v>
      </c>
      <c r="G54" s="152">
        <f ca="1">SUMIFS(HÓ!N:N,HÓ!$A:$A,Kalkulátor!$A54,HÓ!$B:$B,               IF(AND(Töredékhó&gt;0,A54&gt;TartamVálasztott),Töredékhó+1,   12)      )</f>
        <v>0</v>
      </c>
      <c r="H54" s="152">
        <f ca="1">SUMIFS(HÓ!O:O,HÓ!$A:$A,Kalkulátor!$A54,HÓ!$B:$B,              IF(AND(Töredékhó&gt;0,A54&gt;TartamVálasztott),Töredékhó+1,   12)  )
+  SUMIFS(HÓ!P:P,HÓ!$A:$A,Kalkulátor!$A54,HÓ!$B:$B,          IF(AND(Töredékhó&gt;0,A54&gt;TartamVálasztott),Töredékhó+1,   12)                 )</f>
        <v>823535.77671130467</v>
      </c>
      <c r="I54" s="152">
        <f t="shared" ca="1" si="2"/>
        <v>5823535.7767113047</v>
      </c>
      <c r="J54" s="152">
        <f ca="1">SUMIFS(ÉV!$G$17:$G$65,ÉV!$A$17:$A$65,Kalkulátor!$A54)</f>
        <v>4282185.7767113047</v>
      </c>
      <c r="K54" s="152">
        <f ca="1">SUMIFS(ÉV!$H$17:$H$65,ÉV!$A$17:$A$65,Kalkulátor!$A54)</f>
        <v>4247900</v>
      </c>
      <c r="L54" s="132"/>
      <c r="M54" s="132"/>
      <c r="N54" s="132"/>
      <c r="O54" s="121"/>
      <c r="P54" s="121"/>
    </row>
    <row r="55" spans="1:16" ht="12.75" customHeight="1">
      <c r="A55" s="221">
        <f ca="1">IF(MAX(A$37:A54)=IF(Töredékhó&gt;0,TartamVálasztott+1,TartamVálasztott),A54,A54+1)</f>
        <v>19</v>
      </c>
      <c r="B55" s="329">
        <f t="shared" ca="1" si="1"/>
        <v>12</v>
      </c>
      <c r="C55" s="152">
        <f ca="1">IF(A54=TartamDíjfiz,C54, SUM(D$37:D55))</f>
        <v>4781670.9484347301</v>
      </c>
      <c r="D55" s="152">
        <f ca="1">SUMIFS(HÓ!G:G,HÓ!$A:$A,Kalkulátor!$A55,HÓ!$B:$B,12)</f>
        <v>299003.35193009285</v>
      </c>
      <c r="E55" s="152">
        <f ca="1">SUMIF(HÓ!A:A,A55,HÓ!AG:AG)</f>
        <v>58340.71553422611</v>
      </c>
      <c r="F55" s="155">
        <f t="shared" si="0"/>
        <v>5000000</v>
      </c>
      <c r="G55" s="152">
        <f ca="1">SUMIFS(HÓ!N:N,HÓ!$A:$A,Kalkulátor!$A55,HÓ!$B:$B,               IF(AND(Töredékhó&gt;0,A55&gt;TartamVálasztott),Töredékhó+1,   12)      )</f>
        <v>0</v>
      </c>
      <c r="H55" s="152">
        <f ca="1">SUMIFS(HÓ!O:O,HÓ!$A:$A,Kalkulátor!$A55,HÓ!$B:$B,              IF(AND(Töredékhó&gt;0,A55&gt;TartamVálasztott),Töredékhó+1,   12)  )
+  SUMIFS(HÓ!P:P,HÓ!$A:$A,Kalkulátor!$A55,HÓ!$B:$B,          IF(AND(Töredékhó&gt;0,A55&gt;TartamVálasztott),Töredékhó+1,   12)                 )</f>
        <v>881876.49224553083</v>
      </c>
      <c r="I55" s="152">
        <f t="shared" ref="I55:I58" ca="1" si="3">F55+G55+H55</f>
        <v>5881876.4922455307</v>
      </c>
      <c r="J55" s="152">
        <f ca="1">SUMIFS(ÉV!$G$17:$G$65,ÉV!$A$17:$A$65,Kalkulátor!$A55)</f>
        <v>4648626.4922455307</v>
      </c>
      <c r="K55" s="152">
        <f ca="1">SUMIFS(ÉV!$H$17:$H$65,ÉV!$A$17:$A$65,Kalkulátor!$A55)</f>
        <v>4460900</v>
      </c>
      <c r="L55" s="132"/>
      <c r="M55" s="132"/>
      <c r="N55" s="132"/>
      <c r="O55" s="121"/>
      <c r="P55" s="121"/>
    </row>
    <row r="56" spans="1:16" ht="12.75" customHeight="1">
      <c r="A56" s="221">
        <f ca="1">IF(MAX(A$37:A55)=IF(Töredékhó&gt;0,TartamVálasztott+1,TartamVálasztott),A55,A55+1)</f>
        <v>20</v>
      </c>
      <c r="B56" s="329">
        <f t="shared" ca="1" si="1"/>
        <v>12</v>
      </c>
      <c r="C56" s="152">
        <f ca="1">IF(A55=TartamDíjfiz,C55, SUM(D$37:D56))</f>
        <v>5086654.3674034243</v>
      </c>
      <c r="D56" s="152">
        <f ca="1">SUMIFS(HÓ!G:G,HÓ!$A:$A,Kalkulátor!$A56,HÓ!$B:$B,12)</f>
        <v>304983.41896869469</v>
      </c>
      <c r="E56" s="152">
        <f ca="1">SUMIF(HÓ!A:A,A56,HÓ!AG:AG)</f>
        <v>59507.529844910634</v>
      </c>
      <c r="F56" s="155">
        <f t="shared" si="0"/>
        <v>5000000</v>
      </c>
      <c r="G56" s="152">
        <f ca="1">SUMIFS(HÓ!N:N,HÓ!$A:$A,Kalkulátor!$A56,HÓ!$B:$B,               IF(AND(Töredékhó&gt;0,A56&gt;TartamVálasztott),Töredékhó+1,   12)      )</f>
        <v>0</v>
      </c>
      <c r="H56" s="152">
        <f ca="1">SUMIFS(HÓ!O:O,HÓ!$A:$A,Kalkulátor!$A56,HÓ!$B:$B,              IF(AND(Töredékhó&gt;0,A56&gt;TartamVálasztott),Töredékhó+1,   12)  )
+  SUMIFS(HÓ!P:P,HÓ!$A:$A,Kalkulátor!$A56,HÓ!$B:$B,          IF(AND(Töredékhó&gt;0,A56&gt;TartamVálasztott),Töredékhó+1,   12)                 )</f>
        <v>941384.02209044143</v>
      </c>
      <c r="I56" s="152">
        <f t="shared" ca="1" si="3"/>
        <v>5941384.0220904415</v>
      </c>
      <c r="J56" s="152">
        <f ca="1">SUMIFS(ÉV!$G$17:$G$65,ÉV!$A$17:$A$65,Kalkulátor!$A56)</f>
        <v>5029234.0220904415</v>
      </c>
      <c r="K56" s="152">
        <f ca="1">SUMIFS(ÉV!$H$17:$H$65,ÉV!$A$17:$A$65,Kalkulátor!$A56)</f>
        <v>4661200</v>
      </c>
      <c r="L56" s="132"/>
      <c r="M56" s="132"/>
      <c r="N56" s="132"/>
      <c r="O56" s="121"/>
      <c r="P56" s="121"/>
    </row>
    <row r="57" spans="1:16" ht="12.75" customHeight="1">
      <c r="A57" s="221">
        <f ca="1">IF(MAX(A$37:A56)=IF(Töredékhó&gt;0,TartamVálasztott+1,TartamVálasztott),A56,A56+1)</f>
        <v>21</v>
      </c>
      <c r="B57" s="329">
        <f t="shared" ca="1" si="1"/>
        <v>12</v>
      </c>
      <c r="C57" s="152">
        <f ca="1">IF(A56=TartamDíjfiz,C56, SUM(D$37:D57))</f>
        <v>5391637.7863721186</v>
      </c>
      <c r="D57" s="152">
        <f ca="1">SUMIFS(HÓ!G:G,HÓ!$A:$A,Kalkulátor!$A57,HÓ!$B:$B,12)</f>
        <v>304983.41896869469</v>
      </c>
      <c r="E57" s="152">
        <f ca="1">SUMIF(HÓ!A:A,A57,HÓ!AG:AG)</f>
        <v>60697.680441808829</v>
      </c>
      <c r="F57" s="155">
        <f t="shared" si="0"/>
        <v>5000000</v>
      </c>
      <c r="G57" s="152">
        <f ca="1">SUMIFS(HÓ!N:N,HÓ!$A:$A,Kalkulátor!$A57,HÓ!$B:$B,               IF(AND(Töredékhó&gt;0,A57&gt;TartamVálasztott),Töredékhó+1,   12)      )</f>
        <v>0</v>
      </c>
      <c r="H57" s="152">
        <f ca="1">SUMIFS(HÓ!O:O,HÓ!$A:$A,Kalkulátor!$A57,HÓ!$B:$B,              IF(AND(Töredékhó&gt;0,A57&gt;TartamVálasztott),Töredékhó+1,   12)  )
+  SUMIFS(HÓ!P:P,HÓ!$A:$A,Kalkulátor!$A57,HÓ!$B:$B,          IF(AND(Töredékhó&gt;0,A57&gt;TartamVálasztott),Töredékhó+1,   12)                 )</f>
        <v>1002081.7025322502</v>
      </c>
      <c r="I57" s="152">
        <f t="shared" ca="1" si="3"/>
        <v>6002081.7025322504</v>
      </c>
      <c r="J57" s="152">
        <f ca="1">SUMIFS(ÉV!$G$17:$G$65,ÉV!$A$17:$A$65,Kalkulátor!$A57)</f>
        <v>5419181.7025322504</v>
      </c>
      <c r="K57" s="152">
        <f ca="1">SUMIFS(ÉV!$H$17:$H$65,ÉV!$A$17:$A$65,Kalkulátor!$A57)</f>
        <v>4841550</v>
      </c>
      <c r="L57" s="132"/>
      <c r="M57" s="132"/>
      <c r="N57" s="132"/>
      <c r="O57" s="121"/>
      <c r="P57" s="121"/>
    </row>
    <row r="58" spans="1:16" ht="12.75" customHeight="1">
      <c r="A58" s="221">
        <f ca="1">IF(MAX(A$37:A57)=IF(Töredékhó&gt;0,TartamVálasztott+1,TartamVálasztott),A57,A57+1)</f>
        <v>22</v>
      </c>
      <c r="B58" s="329">
        <f t="shared" ca="1" si="1"/>
        <v>12</v>
      </c>
      <c r="C58" s="152">
        <f ca="1">IF(A57=TartamDíjfiz,C57, SUM(D$37:D58))</f>
        <v>5696621.2053408129</v>
      </c>
      <c r="D58" s="152">
        <f ca="1">SUMIFS(HÓ!G:G,HÓ!$A:$A,Kalkulátor!$A58,HÓ!$B:$B,12)</f>
        <v>304983.41896869469</v>
      </c>
      <c r="E58" s="152">
        <f ca="1">SUMIF(HÓ!A:A,A58,HÓ!AG:AG)</f>
        <v>60996.683793738928</v>
      </c>
      <c r="F58" s="155">
        <f t="shared" si="0"/>
        <v>5000000</v>
      </c>
      <c r="G58" s="152">
        <f ca="1">SUMIFS(HÓ!N:N,HÓ!$A:$A,Kalkulátor!$A58,HÓ!$B:$B,               IF(AND(Töredékhó&gt;0,A58&gt;TartamVálasztott),Töredékhó+1,   12)      )</f>
        <v>0</v>
      </c>
      <c r="H58" s="152">
        <f ca="1">SUMIFS(HÓ!O:O,HÓ!$A:$A,Kalkulátor!$A58,HÓ!$B:$B,              IF(AND(Töredékhó&gt;0,A58&gt;TartamVálasztott),Töredékhó+1,   12)  )
+  SUMIFS(HÓ!P:P,HÓ!$A:$A,Kalkulátor!$A58,HÓ!$B:$B,          IF(AND(Töredékhó&gt;0,A58&gt;TartamVálasztott),Töredékhó+1,   12)                 )</f>
        <v>1063078.3863259892</v>
      </c>
      <c r="I58" s="152">
        <f t="shared" ca="1" si="3"/>
        <v>6063078.3863259889</v>
      </c>
      <c r="J58" s="152">
        <f ca="1">SUMIFS(ÉV!$G$17:$G$65,ÉV!$A$17:$A$65,Kalkulátor!$A58)</f>
        <v>6063078.3863259871</v>
      </c>
      <c r="K58" s="152">
        <f ca="1">SUMIFS(ÉV!$H$17:$H$65,ÉV!$A$17:$A$65,Kalkulátor!$A58)</f>
        <v>4999999.9999999981</v>
      </c>
      <c r="L58" s="132"/>
      <c r="M58" s="132"/>
      <c r="N58" s="132"/>
      <c r="O58" s="121"/>
      <c r="P58" s="121"/>
    </row>
    <row r="59" spans="1:16" ht="12.75" customHeight="1">
      <c r="A59" s="221">
        <f ca="1">IF(MAX(A$37:A58)=IF(Töredékhó&gt;0,TartamVálasztott+1,TartamVálasztott),A58,A58+1)</f>
        <v>23</v>
      </c>
      <c r="B59" s="329">
        <f t="shared" ca="1" si="1"/>
        <v>3</v>
      </c>
      <c r="C59" s="152">
        <f ca="1">IF(A58=TartamDíjfiz,C58, SUM(D$37:D59))</f>
        <v>5696621.2053408129</v>
      </c>
      <c r="D59" s="152">
        <f ca="1">SUMIFS(HÓ!G:G,HÓ!$A:$A,Kalkulátor!$A59,HÓ!$B:$B,12)</f>
        <v>0</v>
      </c>
      <c r="E59" s="152">
        <f ca="1">SUMIF(HÓ!A:A,A59,HÓ!AG:AG)</f>
        <v>76245.854742173658</v>
      </c>
      <c r="F59" s="155">
        <f t="shared" si="0"/>
        <v>5000000</v>
      </c>
      <c r="G59" s="152">
        <f ca="1">SUMIFS(HÓ!N:N,HÓ!$A:$A,Kalkulátor!$A59,HÓ!$B:$B,               IF(AND(Töredékhó&gt;0,A59&gt;TartamVálasztott),Töredékhó+1,   12)      )</f>
        <v>0</v>
      </c>
      <c r="H59" s="152">
        <f ca="1">SUMIFS(HÓ!O:O,HÓ!$A:$A,Kalkulátor!$A59,HÓ!$B:$B,              IF(AND(Töredékhó&gt;0,A59&gt;TartamVálasztott),Töredékhó+1,   12)  )
+  SUMIFS(HÓ!P:P,HÓ!$A:$A,Kalkulátor!$A59,HÓ!$B:$B,          IF(AND(Töredékhó&gt;0,A59&gt;TartamVálasztott),Töredékhó+1,   12)                 )</f>
        <v>1139324.2410681627</v>
      </c>
      <c r="I59" s="152">
        <f ca="1">F59+G59+H59</f>
        <v>6139324.241068163</v>
      </c>
      <c r="J59" s="152">
        <f ca="1">SUMIFS(ÉV!$G$17:$G$65,ÉV!$A$17:$A$65,Kalkulátor!$A59)</f>
        <v>6139324.2410681611</v>
      </c>
      <c r="K59" s="152">
        <f ca="1">SUMIFS(ÉV!$H$17:$H$65,ÉV!$A$17:$A$65,Kalkulátor!$A59)</f>
        <v>4999999.9999999981</v>
      </c>
      <c r="L59" s="132"/>
      <c r="M59" s="132"/>
      <c r="N59" s="132"/>
      <c r="O59" s="121"/>
      <c r="P59" s="121"/>
    </row>
    <row r="60" spans="1:16" ht="12.75" customHeight="1">
      <c r="A60" s="221">
        <f ca="1">IF(MAX(A$37:A59)=IF(Töredékhó&gt;0,TartamVálasztott+1,TartamVálasztott),A59,A59+1)</f>
        <v>23</v>
      </c>
      <c r="B60" s="329">
        <f t="shared" ca="1" si="1"/>
        <v>3</v>
      </c>
      <c r="C60" s="152">
        <f ca="1">IF(A59=TartamDíjfiz,C59, SUM(D$37:D60))</f>
        <v>5696621.2053408129</v>
      </c>
      <c r="D60" s="152">
        <f ca="1">SUMIFS(HÓ!G:G,HÓ!$A:$A,Kalkulátor!$A60,HÓ!$B:$B,12)</f>
        <v>0</v>
      </c>
      <c r="E60" s="152">
        <f ca="1">SUMIF(HÓ!A:A,A60,HÓ!AG:AG)</f>
        <v>76245.854742173658</v>
      </c>
      <c r="F60" s="155">
        <f t="shared" si="0"/>
        <v>5000000</v>
      </c>
      <c r="G60" s="152">
        <f ca="1">SUMIFS(HÓ!N:N,HÓ!$A:$A,Kalkulátor!$A60,HÓ!$B:$B,               IF(AND(Töredékhó&gt;0,A60&gt;TartamVálasztott),Töredékhó+1,   12)      )</f>
        <v>0</v>
      </c>
      <c r="H60" s="152">
        <f ca="1">SUMIFS(HÓ!O:O,HÓ!$A:$A,Kalkulátor!$A60,HÓ!$B:$B,              IF(AND(Töredékhó&gt;0,A60&gt;TartamVálasztott),Töredékhó+1,   12)  )
+  SUMIFS(HÓ!P:P,HÓ!$A:$A,Kalkulátor!$A60,HÓ!$B:$B,          IF(AND(Töredékhó&gt;0,A60&gt;TartamVálasztott),Töredékhó+1,   12)                 )</f>
        <v>1139324.2410681627</v>
      </c>
      <c r="I60" s="152">
        <f ca="1">F60+G60+H60</f>
        <v>6139324.241068163</v>
      </c>
      <c r="J60" s="152">
        <f ca="1">SUMIFS(ÉV!$G$17:$G$65,ÉV!$A$17:$A$65,Kalkulátor!$A60)</f>
        <v>6139324.2410681611</v>
      </c>
      <c r="K60" s="152">
        <f ca="1">SUMIFS(ÉV!$H$17:$H$65,ÉV!$A$17:$A$65,Kalkulátor!$A60)</f>
        <v>4999999.9999999981</v>
      </c>
      <c r="L60" s="132"/>
      <c r="M60" s="132"/>
      <c r="N60" s="132"/>
      <c r="O60" s="121"/>
      <c r="P60" s="121"/>
    </row>
    <row r="61" spans="1:16" ht="12.75" customHeight="1">
      <c r="A61" s="221">
        <f ca="1">IF(MAX(A$37:A60)=IF(Töredékhó&gt;0,TartamVálasztott+1,TartamVálasztott),A60,A60+1)</f>
        <v>23</v>
      </c>
      <c r="B61" s="329">
        <f t="shared" ca="1" si="1"/>
        <v>3</v>
      </c>
      <c r="C61" s="152">
        <f ca="1">IF(A60=TartamDíjfiz,C60, SUM(D$37:D61))</f>
        <v>5696621.2053408129</v>
      </c>
      <c r="D61" s="152">
        <f ca="1">SUMIFS(HÓ!G:G,HÓ!$A:$A,Kalkulátor!$A61,HÓ!$B:$B,12)</f>
        <v>0</v>
      </c>
      <c r="E61" s="152">
        <f ca="1">SUMIF(HÓ!A:A,A61,HÓ!AG:AG)</f>
        <v>76245.854742173658</v>
      </c>
      <c r="F61" s="155">
        <f t="shared" si="0"/>
        <v>5000000</v>
      </c>
      <c r="G61" s="152">
        <f ca="1">SUMIFS(HÓ!N:N,HÓ!$A:$A,Kalkulátor!$A61,HÓ!$B:$B,               IF(AND(Töredékhó&gt;0,A61&gt;TartamVálasztott),Töredékhó+1,   12)      )</f>
        <v>0</v>
      </c>
      <c r="H61" s="152">
        <f ca="1">SUMIFS(HÓ!O:O,HÓ!$A:$A,Kalkulátor!$A61,HÓ!$B:$B,              IF(AND(Töredékhó&gt;0,A61&gt;TartamVálasztott),Töredékhó+1,   12)  )
+  SUMIFS(HÓ!P:P,HÓ!$A:$A,Kalkulátor!$A61,HÓ!$B:$B,          IF(AND(Töredékhó&gt;0,A61&gt;TartamVálasztott),Töredékhó+1,   12)                 )</f>
        <v>1139324.2410681627</v>
      </c>
      <c r="I61" s="152">
        <f t="shared" ref="I61:I65" ca="1" si="4">F61+G61+H61</f>
        <v>6139324.241068163</v>
      </c>
      <c r="J61" s="152">
        <f ca="1">SUMIFS(ÉV!$G$17:$G$65,ÉV!$A$17:$A$65,Kalkulátor!$A61)</f>
        <v>6139324.2410681611</v>
      </c>
      <c r="K61" s="152">
        <f ca="1">SUMIFS(ÉV!$H$17:$H$65,ÉV!$A$17:$A$65,Kalkulátor!$A61)</f>
        <v>4999999.9999999981</v>
      </c>
      <c r="L61" s="132"/>
      <c r="M61" s="132"/>
      <c r="N61" s="132"/>
      <c r="O61" s="121"/>
      <c r="P61" s="121"/>
    </row>
    <row r="62" spans="1:16" ht="12.75" customHeight="1">
      <c r="A62" s="221">
        <f ca="1">IF(MAX(A$37:A61)=IF(Töredékhó&gt;0,TartamVálasztott+1,TartamVálasztott),A61,A61+1)</f>
        <v>23</v>
      </c>
      <c r="B62" s="329">
        <f t="shared" ca="1" si="1"/>
        <v>3</v>
      </c>
      <c r="C62" s="152">
        <f ca="1">IF(A61=TartamDíjfiz,C61, SUM(D$37:D62))</f>
        <v>5696621.2053408129</v>
      </c>
      <c r="D62" s="152">
        <f ca="1">SUMIFS(HÓ!G:G,HÓ!$A:$A,Kalkulátor!$A62,HÓ!$B:$B,12)</f>
        <v>0</v>
      </c>
      <c r="E62" s="152">
        <f ca="1">SUMIF(HÓ!A:A,A62,HÓ!AG:AG)</f>
        <v>76245.854742173658</v>
      </c>
      <c r="F62" s="155">
        <f t="shared" si="0"/>
        <v>5000000</v>
      </c>
      <c r="G62" s="152">
        <f ca="1">SUMIFS(HÓ!N:N,HÓ!$A:$A,Kalkulátor!$A62,HÓ!$B:$B,               IF(AND(Töredékhó&gt;0,A62&gt;TartamVálasztott),Töredékhó+1,   12)      )</f>
        <v>0</v>
      </c>
      <c r="H62" s="152">
        <f ca="1">SUMIFS(HÓ!O:O,HÓ!$A:$A,Kalkulátor!$A62,HÓ!$B:$B,              IF(AND(Töredékhó&gt;0,A62&gt;TartamVálasztott),Töredékhó+1,   12)  )
+  SUMIFS(HÓ!P:P,HÓ!$A:$A,Kalkulátor!$A62,HÓ!$B:$B,          IF(AND(Töredékhó&gt;0,A62&gt;TartamVálasztott),Töredékhó+1,   12)                 )</f>
        <v>1139324.2410681627</v>
      </c>
      <c r="I62" s="152">
        <f t="shared" ca="1" si="4"/>
        <v>6139324.241068163</v>
      </c>
      <c r="J62" s="152">
        <f ca="1">SUMIFS(ÉV!$G$17:$G$65,ÉV!$A$17:$A$65,Kalkulátor!$A62)</f>
        <v>6139324.2410681611</v>
      </c>
      <c r="K62" s="152">
        <f ca="1">SUMIFS(ÉV!$H$17:$H$65,ÉV!$A$17:$A$65,Kalkulátor!$A62)</f>
        <v>4999999.9999999981</v>
      </c>
      <c r="L62" s="132"/>
      <c r="M62" s="132"/>
      <c r="N62" s="132"/>
      <c r="O62" s="121"/>
      <c r="P62" s="121"/>
    </row>
    <row r="63" spans="1:16" ht="12.75" customHeight="1">
      <c r="A63" s="221">
        <f ca="1">IF(MAX(A$37:A62)=IF(Töredékhó&gt;0,TartamVálasztott+1,TartamVálasztott),A62,A62+1)</f>
        <v>23</v>
      </c>
      <c r="B63" s="329">
        <f t="shared" ca="1" si="1"/>
        <v>3</v>
      </c>
      <c r="C63" s="152">
        <f ca="1">IF(A62=TartamDíjfiz,C62, SUM(D$37:D63))</f>
        <v>5696621.2053408129</v>
      </c>
      <c r="D63" s="152">
        <f ca="1">SUMIFS(HÓ!G:G,HÓ!$A:$A,Kalkulátor!$A63,HÓ!$B:$B,12)</f>
        <v>0</v>
      </c>
      <c r="E63" s="152">
        <f ca="1">SUMIF(HÓ!A:A,A63,HÓ!AG:AG)</f>
        <v>76245.854742173658</v>
      </c>
      <c r="F63" s="155">
        <f t="shared" si="0"/>
        <v>5000000</v>
      </c>
      <c r="G63" s="152">
        <f ca="1">SUMIFS(HÓ!N:N,HÓ!$A:$A,Kalkulátor!$A63,HÓ!$B:$B,               IF(AND(Töredékhó&gt;0,A63&gt;TartamVálasztott),Töredékhó+1,   12)      )</f>
        <v>0</v>
      </c>
      <c r="H63" s="152">
        <f ca="1">SUMIFS(HÓ!O:O,HÓ!$A:$A,Kalkulátor!$A63,HÓ!$B:$B,              IF(AND(Töredékhó&gt;0,A63&gt;TartamVálasztott),Töredékhó+1,   12)  )
+  SUMIFS(HÓ!P:P,HÓ!$A:$A,Kalkulátor!$A63,HÓ!$B:$B,          IF(AND(Töredékhó&gt;0,A63&gt;TartamVálasztott),Töredékhó+1,   12)                 )</f>
        <v>1139324.2410681627</v>
      </c>
      <c r="I63" s="152">
        <f t="shared" ca="1" si="4"/>
        <v>6139324.241068163</v>
      </c>
      <c r="J63" s="152">
        <f ca="1">SUMIFS(ÉV!$G$17:$G$65,ÉV!$A$17:$A$65,Kalkulátor!$A63)</f>
        <v>6139324.2410681611</v>
      </c>
      <c r="K63" s="152">
        <f ca="1">SUMIFS(ÉV!$H$17:$H$65,ÉV!$A$17:$A$65,Kalkulátor!$A63)</f>
        <v>4999999.9999999981</v>
      </c>
      <c r="L63" s="132"/>
      <c r="M63" s="132"/>
      <c r="N63" s="132"/>
      <c r="O63" s="121"/>
      <c r="P63" s="121"/>
    </row>
    <row r="64" spans="1:16" ht="12.75" customHeight="1">
      <c r="A64" s="221">
        <f ca="1">IF(MAX(A$37:A63)=IF(Töredékhó&gt;0,TartamVálasztott+1,TartamVálasztott),A63,A63+1)</f>
        <v>23</v>
      </c>
      <c r="B64" s="329">
        <f t="shared" ca="1" si="1"/>
        <v>3</v>
      </c>
      <c r="C64" s="152">
        <f ca="1">IF(A63=TartamDíjfiz,C63, SUM(D$37:D64))</f>
        <v>5696621.2053408129</v>
      </c>
      <c r="D64" s="152">
        <f ca="1">SUMIFS(HÓ!G:G,HÓ!$A:$A,Kalkulátor!$A64,HÓ!$B:$B,12)</f>
        <v>0</v>
      </c>
      <c r="E64" s="152">
        <f ca="1">SUMIF(HÓ!A:A,A64,HÓ!AG:AG)</f>
        <v>76245.854742173658</v>
      </c>
      <c r="F64" s="155">
        <f t="shared" si="0"/>
        <v>5000000</v>
      </c>
      <c r="G64" s="152">
        <f ca="1">SUMIFS(HÓ!N:N,HÓ!$A:$A,Kalkulátor!$A64,HÓ!$B:$B,               IF(AND(Töredékhó&gt;0,A64&gt;TartamVálasztott),Töredékhó+1,   12)      )</f>
        <v>0</v>
      </c>
      <c r="H64" s="152">
        <f ca="1">SUMIFS(HÓ!O:O,HÓ!$A:$A,Kalkulátor!$A64,HÓ!$B:$B,              IF(AND(Töredékhó&gt;0,A64&gt;TartamVálasztott),Töredékhó+1,   12)  )
+  SUMIFS(HÓ!P:P,HÓ!$A:$A,Kalkulátor!$A64,HÓ!$B:$B,          IF(AND(Töredékhó&gt;0,A64&gt;TartamVálasztott),Töredékhó+1,   12)                 )</f>
        <v>1139324.2410681627</v>
      </c>
      <c r="I64" s="152">
        <f ca="1">F64+G64+H64</f>
        <v>6139324.241068163</v>
      </c>
      <c r="J64" s="152">
        <f ca="1">SUMIFS(ÉV!$G$17:$G$65,ÉV!$A$17:$A$65,Kalkulátor!$A64)</f>
        <v>6139324.2410681611</v>
      </c>
      <c r="K64" s="152">
        <f ca="1">SUMIFS(ÉV!$H$17:$H$65,ÉV!$A$17:$A$65,Kalkulátor!$A64)</f>
        <v>4999999.9999999981</v>
      </c>
      <c r="L64" s="132"/>
      <c r="M64" s="132"/>
      <c r="N64" s="132"/>
      <c r="O64" s="121"/>
      <c r="P64" s="121"/>
    </row>
    <row r="65" spans="1:16" ht="12.75" customHeight="1">
      <c r="A65" s="221">
        <f ca="1">IF(MAX(A$37:A64)=IF(Töredékhó&gt;0,TartamVálasztott+1,TartamVálasztott),A64,A64+1)</f>
        <v>23</v>
      </c>
      <c r="B65" s="329">
        <f t="shared" ca="1" si="1"/>
        <v>3</v>
      </c>
      <c r="C65" s="152">
        <f ca="1">IF(A64=TartamDíjfiz,C64, SUM(D$37:D65))</f>
        <v>5696621.2053408129</v>
      </c>
      <c r="D65" s="152">
        <f ca="1">SUMIFS(HÓ!G:G,HÓ!$A:$A,Kalkulátor!$A65,HÓ!$B:$B,12)</f>
        <v>0</v>
      </c>
      <c r="E65" s="152">
        <f ca="1">SUMIF(HÓ!A:A,A65,HÓ!AG:AG)</f>
        <v>76245.854742173658</v>
      </c>
      <c r="F65" s="155">
        <f t="shared" si="0"/>
        <v>5000000</v>
      </c>
      <c r="G65" s="152">
        <f ca="1">SUMIFS(HÓ!N:N,HÓ!$A:$A,Kalkulátor!$A65,HÓ!$B:$B,               IF(AND(Töredékhó&gt;0,A65&gt;TartamVálasztott),Töredékhó+1,   12)      )</f>
        <v>0</v>
      </c>
      <c r="H65" s="152">
        <f ca="1">SUMIFS(HÓ!O:O,HÓ!$A:$A,Kalkulátor!$A65,HÓ!$B:$B,              IF(AND(Töredékhó&gt;0,A65&gt;TartamVálasztott),Töredékhó+1,   12)  )
+  SUMIFS(HÓ!P:P,HÓ!$A:$A,Kalkulátor!$A65,HÓ!$B:$B,          IF(AND(Töredékhó&gt;0,A65&gt;TartamVálasztott),Töredékhó+1,   12)                 )</f>
        <v>1139324.2410681627</v>
      </c>
      <c r="I65" s="152">
        <f t="shared" ca="1" si="4"/>
        <v>6139324.241068163</v>
      </c>
      <c r="J65" s="152">
        <f ca="1">SUMIFS(ÉV!$G$17:$G$65,ÉV!$A$17:$A$65,Kalkulátor!$A65)</f>
        <v>6139324.2410681611</v>
      </c>
      <c r="K65" s="152">
        <f ca="1">SUMIFS(ÉV!$H$17:$H$65,ÉV!$A$17:$A$65,Kalkulátor!$A65)</f>
        <v>4999999.9999999981</v>
      </c>
      <c r="L65" s="132"/>
      <c r="M65" s="132"/>
      <c r="N65" s="132"/>
      <c r="O65" s="121"/>
      <c r="P65" s="121"/>
    </row>
    <row r="66" spans="1:16" ht="12.75" customHeight="1">
      <c r="A66" s="221">
        <f ca="1">IF(MAX(A$37:A65)=IF(Töredékhó&gt;0,TartamVálasztott+1,TartamVálasztott),A65,A65+1)</f>
        <v>23</v>
      </c>
      <c r="B66" s="329">
        <f t="shared" ca="1" si="1"/>
        <v>3</v>
      </c>
      <c r="C66" s="152">
        <f ca="1">IF(A65=TartamDíjfiz,C65, SUM(D$37:D66))</f>
        <v>5696621.2053408129</v>
      </c>
      <c r="D66" s="152">
        <f ca="1">SUMIFS(HÓ!G:G,HÓ!$A:$A,Kalkulátor!$A66,HÓ!$B:$B,12)</f>
        <v>0</v>
      </c>
      <c r="E66" s="152">
        <f ca="1">SUMIF(HÓ!A:A,A66,HÓ!AG:AG)</f>
        <v>76245.854742173658</v>
      </c>
      <c r="F66" s="155">
        <f t="shared" si="0"/>
        <v>5000000</v>
      </c>
      <c r="G66" s="152">
        <f ca="1">SUMIFS(HÓ!N:N,HÓ!$A:$A,Kalkulátor!$A66,HÓ!$B:$B,               IF(AND(Töredékhó&gt;0,A66&gt;TartamVálasztott),Töredékhó+1,   12)      )</f>
        <v>0</v>
      </c>
      <c r="H66" s="152">
        <f ca="1">SUMIFS(HÓ!O:O,HÓ!$A:$A,Kalkulátor!$A66,HÓ!$B:$B,              IF(AND(Töredékhó&gt;0,A66&gt;TartamVálasztott),Töredékhó+1,   12)  )
+  SUMIFS(HÓ!P:P,HÓ!$A:$A,Kalkulátor!$A66,HÓ!$B:$B,          IF(AND(Töredékhó&gt;0,A66&gt;TartamVálasztott),Töredékhó+1,   12)                 )</f>
        <v>1139324.2410681627</v>
      </c>
      <c r="I66" s="152">
        <f t="shared" ref="I66:I83" ca="1" si="5">F66+G66+H66</f>
        <v>6139324.241068163</v>
      </c>
      <c r="J66" s="152">
        <f ca="1">SUMIFS(ÉV!$G$17:$G$65,ÉV!$A$17:$A$65,Kalkulátor!$A66)</f>
        <v>6139324.2410681611</v>
      </c>
      <c r="K66" s="152">
        <f ca="1">SUMIFS(ÉV!$H$17:$H$65,ÉV!$A$17:$A$65,Kalkulátor!$A66)</f>
        <v>4999999.9999999981</v>
      </c>
      <c r="L66" s="132"/>
      <c r="M66" s="132"/>
      <c r="N66" s="132"/>
      <c r="O66" s="121"/>
      <c r="P66" s="121"/>
    </row>
    <row r="67" spans="1:16" ht="12.75" customHeight="1">
      <c r="A67" s="221">
        <f ca="1">IF(MAX(A$37:A66)=IF(Töredékhó&gt;0,TartamVálasztott+1,TartamVálasztott),A66,A66+1)</f>
        <v>23</v>
      </c>
      <c r="B67" s="329">
        <f t="shared" ca="1" si="1"/>
        <v>3</v>
      </c>
      <c r="C67" s="152">
        <f ca="1">IF(A66=TartamDíjfiz,C66, SUM(D$37:D67))</f>
        <v>5696621.2053408129</v>
      </c>
      <c r="D67" s="152">
        <f ca="1">SUMIFS(HÓ!G:G,HÓ!$A:$A,Kalkulátor!$A67,HÓ!$B:$B,12)</f>
        <v>0</v>
      </c>
      <c r="E67" s="152">
        <f ca="1">SUMIF(HÓ!A:A,A67,HÓ!AG:AG)</f>
        <v>76245.854742173658</v>
      </c>
      <c r="F67" s="155">
        <f t="shared" si="0"/>
        <v>5000000</v>
      </c>
      <c r="G67" s="152">
        <f ca="1">SUMIFS(HÓ!N:N,HÓ!$A:$A,Kalkulátor!$A67,HÓ!$B:$B,               IF(AND(Töredékhó&gt;0,A67&gt;TartamVálasztott),Töredékhó+1,   12)      )</f>
        <v>0</v>
      </c>
      <c r="H67" s="152">
        <f ca="1">SUMIFS(HÓ!O:O,HÓ!$A:$A,Kalkulátor!$A67,HÓ!$B:$B,              IF(AND(Töredékhó&gt;0,A67&gt;TartamVálasztott),Töredékhó+1,   12)  )
+  SUMIFS(HÓ!P:P,HÓ!$A:$A,Kalkulátor!$A67,HÓ!$B:$B,          IF(AND(Töredékhó&gt;0,A67&gt;TartamVálasztott),Töredékhó+1,   12)                 )</f>
        <v>1139324.2410681627</v>
      </c>
      <c r="I67" s="152">
        <f t="shared" ca="1" si="5"/>
        <v>6139324.241068163</v>
      </c>
      <c r="J67" s="152">
        <f ca="1">SUMIFS(ÉV!$G$17:$G$65,ÉV!$A$17:$A$65,Kalkulátor!$A67)</f>
        <v>6139324.2410681611</v>
      </c>
      <c r="K67" s="152">
        <f ca="1">SUMIFS(ÉV!$H$17:$H$65,ÉV!$A$17:$A$65,Kalkulátor!$A67)</f>
        <v>4999999.9999999981</v>
      </c>
      <c r="L67" s="132"/>
      <c r="M67" s="132"/>
      <c r="N67" s="132"/>
      <c r="O67" s="121"/>
      <c r="P67" s="121"/>
    </row>
    <row r="68" spans="1:16" ht="12.75" customHeight="1">
      <c r="A68" s="221">
        <f ca="1">IF(MAX(A$37:A67)=IF(Töredékhó&gt;0,TartamVálasztott+1,TartamVálasztott),A67,A67+1)</f>
        <v>23</v>
      </c>
      <c r="B68" s="329">
        <f t="shared" ca="1" si="1"/>
        <v>3</v>
      </c>
      <c r="C68" s="152">
        <f ca="1">IF(A67=TartamDíjfiz,C67, SUM(D$37:D68))</f>
        <v>5696621.2053408129</v>
      </c>
      <c r="D68" s="152">
        <f ca="1">SUMIFS(HÓ!G:G,HÓ!$A:$A,Kalkulátor!$A68,HÓ!$B:$B,12)</f>
        <v>0</v>
      </c>
      <c r="E68" s="152">
        <f ca="1">SUMIF(HÓ!A:A,A68,HÓ!AG:AG)</f>
        <v>76245.854742173658</v>
      </c>
      <c r="F68" s="155">
        <f t="shared" si="0"/>
        <v>5000000</v>
      </c>
      <c r="G68" s="152">
        <f ca="1">SUMIFS(HÓ!N:N,HÓ!$A:$A,Kalkulátor!$A68,HÓ!$B:$B,               IF(AND(Töredékhó&gt;0,A68&gt;TartamVálasztott),Töredékhó+1,   12)      )</f>
        <v>0</v>
      </c>
      <c r="H68" s="152">
        <f ca="1">SUMIFS(HÓ!O:O,HÓ!$A:$A,Kalkulátor!$A68,HÓ!$B:$B,              IF(AND(Töredékhó&gt;0,A68&gt;TartamVálasztott),Töredékhó+1,   12)  )
+  SUMIFS(HÓ!P:P,HÓ!$A:$A,Kalkulátor!$A68,HÓ!$B:$B,          IF(AND(Töredékhó&gt;0,A68&gt;TartamVálasztott),Töredékhó+1,   12)                 )</f>
        <v>1139324.2410681627</v>
      </c>
      <c r="I68" s="152">
        <f t="shared" ca="1" si="5"/>
        <v>6139324.241068163</v>
      </c>
      <c r="J68" s="152">
        <f ca="1">SUMIFS(ÉV!$G$17:$G$65,ÉV!$A$17:$A$65,Kalkulátor!$A68)</f>
        <v>6139324.2410681611</v>
      </c>
      <c r="K68" s="152">
        <f ca="1">SUMIFS(ÉV!$H$17:$H$65,ÉV!$A$17:$A$65,Kalkulátor!$A68)</f>
        <v>4999999.9999999981</v>
      </c>
      <c r="L68" s="132"/>
      <c r="M68" s="132"/>
      <c r="N68" s="132"/>
      <c r="O68" s="121"/>
      <c r="P68" s="121"/>
    </row>
    <row r="69" spans="1:16" ht="12.75" customHeight="1">
      <c r="A69" s="221">
        <f ca="1">IF(MAX(A$37:A68)=IF(Töredékhó&gt;0,TartamVálasztott+1,TartamVálasztott),A68,A68+1)</f>
        <v>23</v>
      </c>
      <c r="B69" s="329">
        <f t="shared" ca="1" si="1"/>
        <v>3</v>
      </c>
      <c r="C69" s="152">
        <f ca="1">IF(A68=TartamDíjfiz,C68, SUM(D$37:D69))</f>
        <v>5696621.2053408129</v>
      </c>
      <c r="D69" s="152">
        <f ca="1">SUMIFS(HÓ!G:G,HÓ!$A:$A,Kalkulátor!$A69,HÓ!$B:$B,12)</f>
        <v>0</v>
      </c>
      <c r="E69" s="152">
        <f ca="1">SUMIF(HÓ!A:A,A69,HÓ!AG:AG)</f>
        <v>76245.854742173658</v>
      </c>
      <c r="F69" s="155">
        <f t="shared" si="0"/>
        <v>5000000</v>
      </c>
      <c r="G69" s="152">
        <f ca="1">SUMIFS(HÓ!N:N,HÓ!$A:$A,Kalkulátor!$A69,HÓ!$B:$B,               IF(AND(Töredékhó&gt;0,A69&gt;TartamVálasztott),Töredékhó+1,   12)      )</f>
        <v>0</v>
      </c>
      <c r="H69" s="152">
        <f ca="1">SUMIFS(HÓ!O:O,HÓ!$A:$A,Kalkulátor!$A69,HÓ!$B:$B,              IF(AND(Töredékhó&gt;0,A69&gt;TartamVálasztott),Töredékhó+1,   12)  )
+  SUMIFS(HÓ!P:P,HÓ!$A:$A,Kalkulátor!$A69,HÓ!$B:$B,          IF(AND(Töredékhó&gt;0,A69&gt;TartamVálasztott),Töredékhó+1,   12)                 )</f>
        <v>1139324.2410681627</v>
      </c>
      <c r="I69" s="152">
        <f t="shared" ca="1" si="5"/>
        <v>6139324.241068163</v>
      </c>
      <c r="J69" s="152">
        <f ca="1">SUMIFS(ÉV!$G$17:$G$65,ÉV!$A$17:$A$65,Kalkulátor!$A69)</f>
        <v>6139324.2410681611</v>
      </c>
      <c r="K69" s="152">
        <f ca="1">SUMIFS(ÉV!$H$17:$H$65,ÉV!$A$17:$A$65,Kalkulátor!$A69)</f>
        <v>4999999.9999999981</v>
      </c>
      <c r="L69" s="132"/>
      <c r="M69" s="132"/>
      <c r="N69" s="132"/>
      <c r="O69" s="121"/>
      <c r="P69" s="121"/>
    </row>
    <row r="70" spans="1:16" ht="12.75" customHeight="1">
      <c r="A70" s="221">
        <f ca="1">IF(MAX(A$37:A69)=IF(Töredékhó&gt;0,TartamVálasztott+1,TartamVálasztott),A69,A69+1)</f>
        <v>23</v>
      </c>
      <c r="B70" s="329">
        <f t="shared" ca="1" si="1"/>
        <v>3</v>
      </c>
      <c r="C70" s="152">
        <f ca="1">IF(A69=TartamDíjfiz,C69, SUM(D$37:D70))</f>
        <v>5696621.2053408129</v>
      </c>
      <c r="D70" s="152">
        <f ca="1">SUMIFS(HÓ!G:G,HÓ!$A:$A,Kalkulátor!$A70,HÓ!$B:$B,12)</f>
        <v>0</v>
      </c>
      <c r="E70" s="152">
        <f ca="1">SUMIF(HÓ!A:A,A70,HÓ!AG:AG)</f>
        <v>76245.854742173658</v>
      </c>
      <c r="F70" s="155">
        <f t="shared" si="0"/>
        <v>5000000</v>
      </c>
      <c r="G70" s="152">
        <f ca="1">SUMIFS(HÓ!N:N,HÓ!$A:$A,Kalkulátor!$A70,HÓ!$B:$B,               IF(AND(Töredékhó&gt;0,A70&gt;TartamVálasztott),Töredékhó+1,   12)      )</f>
        <v>0</v>
      </c>
      <c r="H70" s="152">
        <f ca="1">SUMIFS(HÓ!O:O,HÓ!$A:$A,Kalkulátor!$A70,HÓ!$B:$B,              IF(AND(Töredékhó&gt;0,A70&gt;TartamVálasztott),Töredékhó+1,   12)  )
+  SUMIFS(HÓ!P:P,HÓ!$A:$A,Kalkulátor!$A70,HÓ!$B:$B,          IF(AND(Töredékhó&gt;0,A70&gt;TartamVálasztott),Töredékhó+1,   12)                 )</f>
        <v>1139324.2410681627</v>
      </c>
      <c r="I70" s="152">
        <f t="shared" ca="1" si="5"/>
        <v>6139324.241068163</v>
      </c>
      <c r="J70" s="152">
        <f ca="1">SUMIFS(ÉV!$G$17:$G$65,ÉV!$A$17:$A$65,Kalkulátor!$A70)</f>
        <v>6139324.2410681611</v>
      </c>
      <c r="K70" s="152">
        <f ca="1">SUMIFS(ÉV!$H$17:$H$65,ÉV!$A$17:$A$65,Kalkulátor!$A70)</f>
        <v>4999999.9999999981</v>
      </c>
      <c r="L70" s="132"/>
      <c r="M70" s="132"/>
      <c r="N70" s="122"/>
      <c r="O70" s="121"/>
      <c r="P70" s="121"/>
    </row>
    <row r="71" spans="1:16" s="134" customFormat="1" ht="12.75" customHeight="1">
      <c r="A71" s="221">
        <f ca="1">IF(MAX(A$37:A70)=IF(Töredékhó&gt;0,TartamVálasztott+1,TartamVálasztott),A70,A70+1)</f>
        <v>23</v>
      </c>
      <c r="B71" s="329">
        <f t="shared" ca="1" si="1"/>
        <v>3</v>
      </c>
      <c r="C71" s="152">
        <f ca="1">IF(A70=TartamDíjfiz,C70, SUM(D$37:D71))</f>
        <v>5696621.2053408129</v>
      </c>
      <c r="D71" s="152">
        <f ca="1">SUMIFS(HÓ!G:G,HÓ!$A:$A,Kalkulátor!$A71,HÓ!$B:$B,12)</f>
        <v>0</v>
      </c>
      <c r="E71" s="152">
        <f ca="1">SUMIF(HÓ!A:A,A71,HÓ!AG:AG)</f>
        <v>76245.854742173658</v>
      </c>
      <c r="F71" s="155">
        <f t="shared" si="0"/>
        <v>5000000</v>
      </c>
      <c r="G71" s="152">
        <f ca="1">SUMIFS(HÓ!N:N,HÓ!$A:$A,Kalkulátor!$A71,HÓ!$B:$B,               IF(AND(Töredékhó&gt;0,A71&gt;TartamVálasztott),Töredékhó+1,   12)      )</f>
        <v>0</v>
      </c>
      <c r="H71" s="152">
        <f ca="1">SUMIFS(HÓ!O:O,HÓ!$A:$A,Kalkulátor!$A71,HÓ!$B:$B,              IF(AND(Töredékhó&gt;0,A71&gt;TartamVálasztott),Töredékhó+1,   12)  )
+  SUMIFS(HÓ!P:P,HÓ!$A:$A,Kalkulátor!$A71,HÓ!$B:$B,          IF(AND(Töredékhó&gt;0,A71&gt;TartamVálasztott),Töredékhó+1,   12)                 )</f>
        <v>1139324.2410681627</v>
      </c>
      <c r="I71" s="152">
        <f t="shared" ca="1" si="5"/>
        <v>6139324.241068163</v>
      </c>
      <c r="J71" s="152">
        <f ca="1">SUMIFS(ÉV!$G$17:$G$65,ÉV!$A$17:$A$65,Kalkulátor!$A71)</f>
        <v>6139324.2410681611</v>
      </c>
      <c r="K71" s="152">
        <f ca="1">SUMIFS(ÉV!$H$17:$H$65,ÉV!$A$17:$A$65,Kalkulátor!$A71)</f>
        <v>4999999.9999999981</v>
      </c>
      <c r="L71" s="132"/>
      <c r="M71" s="132"/>
      <c r="N71" s="122"/>
      <c r="O71" s="122"/>
      <c r="P71" s="122"/>
    </row>
    <row r="72" spans="1:16" ht="12.75" customHeight="1">
      <c r="A72" s="221">
        <f ca="1">IF(MAX(A$37:A71)=IF(Töredékhó&gt;0,TartamVálasztott+1,TartamVálasztott),A71,A71+1)</f>
        <v>23</v>
      </c>
      <c r="B72" s="329">
        <f t="shared" ca="1" si="1"/>
        <v>3</v>
      </c>
      <c r="C72" s="152">
        <f ca="1">IF(A71=TartamDíjfiz,C71, SUM(D$37:D72))</f>
        <v>5696621.2053408129</v>
      </c>
      <c r="D72" s="152">
        <f ca="1">SUMIFS(HÓ!G:G,HÓ!$A:$A,Kalkulátor!$A72,HÓ!$B:$B,12)</f>
        <v>0</v>
      </c>
      <c r="E72" s="152">
        <f ca="1">SUMIF(HÓ!A:A,A72,HÓ!AG:AG)</f>
        <v>76245.854742173658</v>
      </c>
      <c r="F72" s="155">
        <f t="shared" si="0"/>
        <v>5000000</v>
      </c>
      <c r="G72" s="152">
        <f ca="1">SUMIFS(HÓ!N:N,HÓ!$A:$A,Kalkulátor!$A72,HÓ!$B:$B,               IF(AND(Töredékhó&gt;0,A72&gt;TartamVálasztott),Töredékhó+1,   12)      )</f>
        <v>0</v>
      </c>
      <c r="H72" s="152">
        <f ca="1">SUMIFS(HÓ!O:O,HÓ!$A:$A,Kalkulátor!$A72,HÓ!$B:$B,              IF(AND(Töredékhó&gt;0,A72&gt;TartamVálasztott),Töredékhó+1,   12)  )
+  SUMIFS(HÓ!P:P,HÓ!$A:$A,Kalkulátor!$A72,HÓ!$B:$B,          IF(AND(Töredékhó&gt;0,A72&gt;TartamVálasztott),Töredékhó+1,   12)                 )</f>
        <v>1139324.2410681627</v>
      </c>
      <c r="I72" s="152">
        <f t="shared" ca="1" si="5"/>
        <v>6139324.241068163</v>
      </c>
      <c r="J72" s="152">
        <f ca="1">SUMIFS(ÉV!$G$17:$G$65,ÉV!$A$17:$A$65,Kalkulátor!$A72)</f>
        <v>6139324.2410681611</v>
      </c>
      <c r="K72" s="152">
        <f ca="1">SUMIFS(ÉV!$H$17:$H$65,ÉV!$A$17:$A$65,Kalkulátor!$A72)</f>
        <v>4999999.9999999981</v>
      </c>
      <c r="L72" s="132"/>
      <c r="M72" s="132"/>
      <c r="N72" s="122"/>
      <c r="O72" s="121"/>
      <c r="P72" s="121"/>
    </row>
    <row r="73" spans="1:16" ht="12.75" customHeight="1">
      <c r="A73" s="221">
        <f ca="1">IF(MAX(A$37:A72)=IF(Töredékhó&gt;0,TartamVálasztott+1,TartamVálasztott),A72,A72+1)</f>
        <v>23</v>
      </c>
      <c r="B73" s="329">
        <f t="shared" ca="1" si="1"/>
        <v>3</v>
      </c>
      <c r="C73" s="152">
        <f ca="1">IF(A72=TartamDíjfiz,C72, SUM(D$37:D73))</f>
        <v>5696621.2053408129</v>
      </c>
      <c r="D73" s="152">
        <f ca="1">SUMIFS(HÓ!G:G,HÓ!$A:$A,Kalkulátor!$A73,HÓ!$B:$B,12)</f>
        <v>0</v>
      </c>
      <c r="E73" s="152">
        <f ca="1">SUMIF(HÓ!A:A,A73,HÓ!AG:AG)</f>
        <v>76245.854742173658</v>
      </c>
      <c r="F73" s="155">
        <f t="shared" si="0"/>
        <v>5000000</v>
      </c>
      <c r="G73" s="152">
        <f ca="1">SUMIFS(HÓ!N:N,HÓ!$A:$A,Kalkulátor!$A73,HÓ!$B:$B,               IF(AND(Töredékhó&gt;0,A73&gt;TartamVálasztott),Töredékhó+1,   12)      )</f>
        <v>0</v>
      </c>
      <c r="H73" s="152">
        <f ca="1">SUMIFS(HÓ!O:O,HÓ!$A:$A,Kalkulátor!$A73,HÓ!$B:$B,              IF(AND(Töredékhó&gt;0,A73&gt;TartamVálasztott),Töredékhó+1,   12)  )
+  SUMIFS(HÓ!P:P,HÓ!$A:$A,Kalkulátor!$A73,HÓ!$B:$B,          IF(AND(Töredékhó&gt;0,A73&gt;TartamVálasztott),Töredékhó+1,   12)                 )</f>
        <v>1139324.2410681627</v>
      </c>
      <c r="I73" s="152">
        <f t="shared" ca="1" si="5"/>
        <v>6139324.241068163</v>
      </c>
      <c r="J73" s="152">
        <f ca="1">SUMIFS(ÉV!$G$17:$G$65,ÉV!$A$17:$A$65,Kalkulátor!$A73)</f>
        <v>6139324.2410681611</v>
      </c>
      <c r="K73" s="152">
        <f ca="1">SUMIFS(ÉV!$H$17:$H$65,ÉV!$A$17:$A$65,Kalkulátor!$A73)</f>
        <v>4999999.9999999981</v>
      </c>
      <c r="L73" s="132"/>
      <c r="M73" s="132"/>
      <c r="N73" s="122"/>
      <c r="O73" s="121"/>
      <c r="P73" s="121"/>
    </row>
    <row r="74" spans="1:16" ht="12.75" customHeight="1">
      <c r="A74" s="221">
        <f ca="1">IF(MAX(A$37:A73)=IF(Töredékhó&gt;0,TartamVálasztott+1,TartamVálasztott),A73,A73+1)</f>
        <v>23</v>
      </c>
      <c r="B74" s="329">
        <f t="shared" ca="1" si="1"/>
        <v>3</v>
      </c>
      <c r="C74" s="152">
        <f ca="1">IF(A73=TartamDíjfiz,C73, SUM(D$37:D74))</f>
        <v>5696621.2053408129</v>
      </c>
      <c r="D74" s="152">
        <f ca="1">SUMIFS(HÓ!G:G,HÓ!$A:$A,Kalkulátor!$A74,HÓ!$B:$B,12)</f>
        <v>0</v>
      </c>
      <c r="E74" s="152">
        <f ca="1">SUMIF(HÓ!A:A,A74,HÓ!AG:AG)</f>
        <v>76245.854742173658</v>
      </c>
      <c r="F74" s="155">
        <f t="shared" si="0"/>
        <v>5000000</v>
      </c>
      <c r="G74" s="152">
        <f ca="1">SUMIFS(HÓ!N:N,HÓ!$A:$A,Kalkulátor!$A74,HÓ!$B:$B,               IF(AND(Töredékhó&gt;0,A74&gt;TartamVálasztott),Töredékhó+1,   12)      )</f>
        <v>0</v>
      </c>
      <c r="H74" s="152">
        <f ca="1">SUMIFS(HÓ!O:O,HÓ!$A:$A,Kalkulátor!$A74,HÓ!$B:$B,              IF(AND(Töredékhó&gt;0,A74&gt;TartamVálasztott),Töredékhó+1,   12)  )
+  SUMIFS(HÓ!P:P,HÓ!$A:$A,Kalkulátor!$A74,HÓ!$B:$B,          IF(AND(Töredékhó&gt;0,A74&gt;TartamVálasztott),Töredékhó+1,   12)                 )</f>
        <v>1139324.2410681627</v>
      </c>
      <c r="I74" s="152">
        <f t="shared" ca="1" si="5"/>
        <v>6139324.241068163</v>
      </c>
      <c r="J74" s="152">
        <f ca="1">SUMIFS(ÉV!$G$17:$G$65,ÉV!$A$17:$A$65,Kalkulátor!$A74)</f>
        <v>6139324.2410681611</v>
      </c>
      <c r="K74" s="152">
        <f ca="1">SUMIFS(ÉV!$H$17:$H$65,ÉV!$A$17:$A$65,Kalkulátor!$A74)</f>
        <v>4999999.9999999981</v>
      </c>
      <c r="L74" s="132"/>
      <c r="M74" s="132"/>
      <c r="N74" s="122"/>
      <c r="O74" s="121"/>
      <c r="P74" s="121"/>
    </row>
    <row r="75" spans="1:16" ht="12.75" customHeight="1">
      <c r="A75" s="221">
        <f ca="1">IF(MAX(A$37:A74)=IF(Töredékhó&gt;0,TartamVálasztott+1,TartamVálasztott),A74,A74+1)</f>
        <v>23</v>
      </c>
      <c r="B75" s="329">
        <f t="shared" ca="1" si="1"/>
        <v>3</v>
      </c>
      <c r="C75" s="152">
        <f ca="1">IF(A74=TartamDíjfiz,C74, SUM(D$37:D75))</f>
        <v>5696621.2053408129</v>
      </c>
      <c r="D75" s="152">
        <f ca="1">SUMIFS(HÓ!G:G,HÓ!$A:$A,Kalkulátor!$A75,HÓ!$B:$B,12)</f>
        <v>0</v>
      </c>
      <c r="E75" s="152">
        <f ca="1">SUMIF(HÓ!A:A,A75,HÓ!AG:AG)</f>
        <v>76245.854742173658</v>
      </c>
      <c r="F75" s="155">
        <f t="shared" si="0"/>
        <v>5000000</v>
      </c>
      <c r="G75" s="152">
        <f ca="1">SUMIFS(HÓ!N:N,HÓ!$A:$A,Kalkulátor!$A75,HÓ!$B:$B,               IF(AND(Töredékhó&gt;0,A75&gt;TartamVálasztott),Töredékhó+1,   12)      )</f>
        <v>0</v>
      </c>
      <c r="H75" s="152">
        <f ca="1">SUMIFS(HÓ!O:O,HÓ!$A:$A,Kalkulátor!$A75,HÓ!$B:$B,              IF(AND(Töredékhó&gt;0,A75&gt;TartamVálasztott),Töredékhó+1,   12)  )
+  SUMIFS(HÓ!P:P,HÓ!$A:$A,Kalkulátor!$A75,HÓ!$B:$B,          IF(AND(Töredékhó&gt;0,A75&gt;TartamVálasztott),Töredékhó+1,   12)                 )</f>
        <v>1139324.2410681627</v>
      </c>
      <c r="I75" s="152">
        <f t="shared" ca="1" si="5"/>
        <v>6139324.241068163</v>
      </c>
      <c r="J75" s="152">
        <f ca="1">SUMIFS(ÉV!$G$17:$G$65,ÉV!$A$17:$A$65,Kalkulátor!$A75)</f>
        <v>6139324.2410681611</v>
      </c>
      <c r="K75" s="152">
        <f ca="1">SUMIFS(ÉV!$H$17:$H$65,ÉV!$A$17:$A$65,Kalkulátor!$A75)</f>
        <v>4999999.9999999981</v>
      </c>
      <c r="L75" s="122"/>
      <c r="M75" s="122"/>
      <c r="N75" s="122"/>
      <c r="O75" s="121"/>
      <c r="P75" s="121"/>
    </row>
    <row r="76" spans="1:16" ht="12.75" customHeight="1">
      <c r="A76" s="221">
        <f ca="1">IF(MAX(A$37:A75)=IF(Töredékhó&gt;0,TartamVálasztott+1,TartamVálasztott),A75,A75+1)</f>
        <v>23</v>
      </c>
      <c r="B76" s="329">
        <f t="shared" ca="1" si="1"/>
        <v>3</v>
      </c>
      <c r="C76" s="152">
        <f ca="1">IF(A75=TartamDíjfiz,C75, SUM(D$37:D76))</f>
        <v>5696621.2053408129</v>
      </c>
      <c r="D76" s="152">
        <f ca="1">SUMIFS(HÓ!G:G,HÓ!$A:$A,Kalkulátor!$A76,HÓ!$B:$B,12)</f>
        <v>0</v>
      </c>
      <c r="E76" s="152">
        <f ca="1">SUMIF(HÓ!A:A,A76,HÓ!AG:AG)</f>
        <v>76245.854742173658</v>
      </c>
      <c r="F76" s="155">
        <f t="shared" si="0"/>
        <v>5000000</v>
      </c>
      <c r="G76" s="152">
        <f ca="1">SUMIFS(HÓ!N:N,HÓ!$A:$A,Kalkulátor!$A76,HÓ!$B:$B,               IF(AND(Töredékhó&gt;0,A76&gt;TartamVálasztott),Töredékhó+1,   12)      )</f>
        <v>0</v>
      </c>
      <c r="H76" s="152">
        <f ca="1">SUMIFS(HÓ!O:O,HÓ!$A:$A,Kalkulátor!$A76,HÓ!$B:$B,              IF(AND(Töredékhó&gt;0,A76&gt;TartamVálasztott),Töredékhó+1,   12)  )
+  SUMIFS(HÓ!P:P,HÓ!$A:$A,Kalkulátor!$A76,HÓ!$B:$B,          IF(AND(Töredékhó&gt;0,A76&gt;TartamVálasztott),Töredékhó+1,   12)                 )</f>
        <v>1139324.2410681627</v>
      </c>
      <c r="I76" s="152">
        <f t="shared" ca="1" si="5"/>
        <v>6139324.241068163</v>
      </c>
      <c r="J76" s="152">
        <f ca="1">SUMIFS(ÉV!$G$17:$G$65,ÉV!$A$17:$A$65,Kalkulátor!$A76)</f>
        <v>6139324.2410681611</v>
      </c>
      <c r="K76" s="152">
        <f ca="1">SUMIFS(ÉV!$H$17:$H$65,ÉV!$A$17:$A$65,Kalkulátor!$A76)</f>
        <v>4999999.9999999981</v>
      </c>
      <c r="L76" s="122"/>
      <c r="M76" s="122"/>
      <c r="N76" s="122"/>
      <c r="O76" s="121"/>
      <c r="P76" s="121"/>
    </row>
    <row r="77" spans="1:16" ht="12.75" customHeight="1">
      <c r="A77" s="221">
        <f ca="1">IF(MAX(A$37:A76)=IF(Töredékhó&gt;0,TartamVálasztott+1,TartamVálasztott),A76,A76+1)</f>
        <v>23</v>
      </c>
      <c r="B77" s="329">
        <f t="shared" ca="1" si="1"/>
        <v>3</v>
      </c>
      <c r="C77" s="152">
        <f ca="1">IF(A76=TartamDíjfiz,C76, SUM(D$37:D77))</f>
        <v>5696621.2053408129</v>
      </c>
      <c r="D77" s="152">
        <f ca="1">SUMIFS(HÓ!G:G,HÓ!$A:$A,Kalkulátor!$A77,HÓ!$B:$B,12)</f>
        <v>0</v>
      </c>
      <c r="E77" s="152">
        <f ca="1">SUMIF(HÓ!A:A,A77,HÓ!AG:AG)</f>
        <v>76245.854742173658</v>
      </c>
      <c r="F77" s="155">
        <f t="shared" si="0"/>
        <v>5000000</v>
      </c>
      <c r="G77" s="152">
        <f ca="1">SUMIFS(HÓ!N:N,HÓ!$A:$A,Kalkulátor!$A77,HÓ!$B:$B,               IF(AND(Töredékhó&gt;0,A77&gt;TartamVálasztott),Töredékhó+1,   12)      )</f>
        <v>0</v>
      </c>
      <c r="H77" s="152">
        <f ca="1">SUMIFS(HÓ!O:O,HÓ!$A:$A,Kalkulátor!$A77,HÓ!$B:$B,              IF(AND(Töredékhó&gt;0,A77&gt;TartamVálasztott),Töredékhó+1,   12)  )
+  SUMIFS(HÓ!P:P,HÓ!$A:$A,Kalkulátor!$A77,HÓ!$B:$B,          IF(AND(Töredékhó&gt;0,A77&gt;TartamVálasztott),Töredékhó+1,   12)                 )</f>
        <v>1139324.2410681627</v>
      </c>
      <c r="I77" s="152">
        <f t="shared" ca="1" si="5"/>
        <v>6139324.241068163</v>
      </c>
      <c r="J77" s="152">
        <f ca="1">SUMIFS(ÉV!$G$17:$G$65,ÉV!$A$17:$A$65,Kalkulátor!$A77)</f>
        <v>6139324.2410681611</v>
      </c>
      <c r="K77" s="152">
        <f ca="1">SUMIFS(ÉV!$H$17:$H$65,ÉV!$A$17:$A$65,Kalkulátor!$A77)</f>
        <v>4999999.9999999981</v>
      </c>
      <c r="L77" s="122"/>
      <c r="M77" s="122"/>
      <c r="N77" s="122"/>
      <c r="O77" s="121"/>
      <c r="P77" s="121"/>
    </row>
    <row r="78" spans="1:16" ht="12.75" customHeight="1">
      <c r="A78" s="221">
        <f ca="1">IF(MAX(A$37:A77)=IF(Töredékhó&gt;0,TartamVálasztott+1,TartamVálasztott),A77,A77+1)</f>
        <v>23</v>
      </c>
      <c r="B78" s="329">
        <f t="shared" ca="1" si="1"/>
        <v>3</v>
      </c>
      <c r="C78" s="152">
        <f ca="1">IF(A77=TartamDíjfiz,C77, SUM(D$37:D78))</f>
        <v>5696621.2053408129</v>
      </c>
      <c r="D78" s="152">
        <f ca="1">SUMIFS(HÓ!G:G,HÓ!$A:$A,Kalkulátor!$A78,HÓ!$B:$B,12)</f>
        <v>0</v>
      </c>
      <c r="E78" s="152">
        <f ca="1">SUMIF(HÓ!A:A,A78,HÓ!AG:AG)</f>
        <v>76245.854742173658</v>
      </c>
      <c r="F78" s="155">
        <f t="shared" si="0"/>
        <v>5000000</v>
      </c>
      <c r="G78" s="152">
        <f ca="1">SUMIFS(HÓ!N:N,HÓ!$A:$A,Kalkulátor!$A78,HÓ!$B:$B,               IF(AND(Töredékhó&gt;0,A78&gt;TartamVálasztott),Töredékhó+1,   12)      )</f>
        <v>0</v>
      </c>
      <c r="H78" s="152">
        <f ca="1">SUMIFS(HÓ!O:O,HÓ!$A:$A,Kalkulátor!$A78,HÓ!$B:$B,              IF(AND(Töredékhó&gt;0,A78&gt;TartamVálasztott),Töredékhó+1,   12)  )
+  SUMIFS(HÓ!P:P,HÓ!$A:$A,Kalkulátor!$A78,HÓ!$B:$B,          IF(AND(Töredékhó&gt;0,A78&gt;TartamVálasztott),Töredékhó+1,   12)                 )</f>
        <v>1139324.2410681627</v>
      </c>
      <c r="I78" s="152">
        <f t="shared" ca="1" si="5"/>
        <v>6139324.241068163</v>
      </c>
      <c r="J78" s="152">
        <f ca="1">SUMIFS(ÉV!$G$17:$G$65,ÉV!$A$17:$A$65,Kalkulátor!$A78)</f>
        <v>6139324.2410681611</v>
      </c>
      <c r="K78" s="152">
        <f ca="1">SUMIFS(ÉV!$H$17:$H$65,ÉV!$A$17:$A$65,Kalkulátor!$A78)</f>
        <v>4999999.9999999981</v>
      </c>
      <c r="L78" s="122"/>
      <c r="M78" s="122"/>
      <c r="N78" s="122"/>
      <c r="O78" s="121"/>
      <c r="P78" s="121"/>
    </row>
    <row r="79" spans="1:16">
      <c r="A79" s="221">
        <f ca="1">IF(MAX(A$37:A78)=IF(Töredékhó&gt;0,TartamVálasztott+1,TartamVálasztott),A78,A78+1)</f>
        <v>23</v>
      </c>
      <c r="B79" s="329">
        <f t="shared" ca="1" si="1"/>
        <v>3</v>
      </c>
      <c r="C79" s="152">
        <f ca="1">IF(A78=TartamDíjfiz,C78, SUM(D$37:D79))</f>
        <v>5696621.2053408129</v>
      </c>
      <c r="D79" s="152">
        <f ca="1">SUMIFS(HÓ!G:G,HÓ!$A:$A,Kalkulátor!$A79,HÓ!$B:$B,12)</f>
        <v>0</v>
      </c>
      <c r="E79" s="152">
        <f ca="1">SUMIF(HÓ!A:A,A79,HÓ!AG:AG)</f>
        <v>76245.854742173658</v>
      </c>
      <c r="F79" s="155">
        <f t="shared" si="0"/>
        <v>5000000</v>
      </c>
      <c r="G79" s="152">
        <f ca="1">SUMIFS(HÓ!N:N,HÓ!$A:$A,Kalkulátor!$A79,HÓ!$B:$B,               IF(AND(Töredékhó&gt;0,A79&gt;TartamVálasztott),Töredékhó+1,   12)      )</f>
        <v>0</v>
      </c>
      <c r="H79" s="152">
        <f ca="1">SUMIFS(HÓ!O:O,HÓ!$A:$A,Kalkulátor!$A79,HÓ!$B:$B,              IF(AND(Töredékhó&gt;0,A79&gt;TartamVálasztott),Töredékhó+1,   12)  )
+  SUMIFS(HÓ!P:P,HÓ!$A:$A,Kalkulátor!$A79,HÓ!$B:$B,          IF(AND(Töredékhó&gt;0,A79&gt;TartamVálasztott),Töredékhó+1,   12)                 )</f>
        <v>1139324.2410681627</v>
      </c>
      <c r="I79" s="152">
        <f t="shared" ca="1" si="5"/>
        <v>6139324.241068163</v>
      </c>
      <c r="J79" s="152">
        <f ca="1">SUMIFS(ÉV!$G$17:$G$65,ÉV!$A$17:$A$65,Kalkulátor!$A79)</f>
        <v>6139324.2410681611</v>
      </c>
      <c r="K79" s="152">
        <f ca="1">SUMIFS(ÉV!$H$17:$H$65,ÉV!$A$17:$A$65,Kalkulátor!$A79)</f>
        <v>4999999.9999999981</v>
      </c>
      <c r="L79" s="122"/>
      <c r="M79" s="122"/>
      <c r="N79" s="122"/>
      <c r="O79" s="121"/>
      <c r="P79" s="121"/>
    </row>
    <row r="80" spans="1:16">
      <c r="A80" s="221">
        <f ca="1">IF(MAX(A$37:A79)=IF(Töredékhó&gt;0,TartamVálasztott+1,TartamVálasztott),A79,A79+1)</f>
        <v>23</v>
      </c>
      <c r="B80" s="329">
        <f t="shared" ca="1" si="1"/>
        <v>3</v>
      </c>
      <c r="C80" s="152">
        <f ca="1">IF(A79=TartamDíjfiz,C79, SUM(D$37:D80))</f>
        <v>5696621.2053408129</v>
      </c>
      <c r="D80" s="152">
        <f ca="1">SUMIFS(HÓ!G:G,HÓ!$A:$A,Kalkulátor!$A80,HÓ!$B:$B,12)</f>
        <v>0</v>
      </c>
      <c r="E80" s="152">
        <f ca="1">SUMIF(HÓ!A:A,A80,HÓ!AG:AG)</f>
        <v>76245.854742173658</v>
      </c>
      <c r="F80" s="155">
        <f t="shared" si="0"/>
        <v>5000000</v>
      </c>
      <c r="G80" s="152">
        <f ca="1">SUMIFS(HÓ!N:N,HÓ!$A:$A,Kalkulátor!$A80,HÓ!$B:$B,               IF(AND(Töredékhó&gt;0,A80&gt;TartamVálasztott),Töredékhó+1,   12)      )</f>
        <v>0</v>
      </c>
      <c r="H80" s="152">
        <f ca="1">SUMIFS(HÓ!O:O,HÓ!$A:$A,Kalkulátor!$A80,HÓ!$B:$B,              IF(AND(Töredékhó&gt;0,A80&gt;TartamVálasztott),Töredékhó+1,   12)  )
+  SUMIFS(HÓ!P:P,HÓ!$A:$A,Kalkulátor!$A80,HÓ!$B:$B,          IF(AND(Töredékhó&gt;0,A80&gt;TartamVálasztott),Töredékhó+1,   12)                 )</f>
        <v>1139324.2410681627</v>
      </c>
      <c r="I80" s="152">
        <f t="shared" ca="1" si="5"/>
        <v>6139324.241068163</v>
      </c>
      <c r="J80" s="152">
        <f ca="1">SUMIFS(ÉV!$G$17:$G$65,ÉV!$A$17:$A$65,Kalkulátor!$A80)</f>
        <v>6139324.2410681611</v>
      </c>
      <c r="K80" s="152">
        <f ca="1">SUMIFS(ÉV!$H$17:$H$65,ÉV!$A$17:$A$65,Kalkulátor!$A80)</f>
        <v>4999999.9999999981</v>
      </c>
      <c r="L80" s="122"/>
      <c r="M80" s="122"/>
      <c r="N80" s="122"/>
      <c r="O80" s="121"/>
      <c r="P80" s="121"/>
    </row>
    <row r="81" spans="1:17">
      <c r="A81" s="221">
        <f ca="1">IF(MAX(A$37:A80)=IF(Töredékhó&gt;0,TartamVálasztott+1,TartamVálasztott),A80,A80+1)</f>
        <v>23</v>
      </c>
      <c r="B81" s="329">
        <f t="shared" ca="1" si="1"/>
        <v>3</v>
      </c>
      <c r="C81" s="152">
        <f ca="1">IF(A80=TartamDíjfiz,C80, SUM(D$37:D81))</f>
        <v>5696621.2053408129</v>
      </c>
      <c r="D81" s="152">
        <f ca="1">SUMIFS(HÓ!G:G,HÓ!$A:$A,Kalkulátor!$A81,HÓ!$B:$B,12)</f>
        <v>0</v>
      </c>
      <c r="E81" s="152">
        <f ca="1">SUMIF(HÓ!A:A,A81,HÓ!AG:AG)</f>
        <v>76245.854742173658</v>
      </c>
      <c r="F81" s="155">
        <f t="shared" si="0"/>
        <v>5000000</v>
      </c>
      <c r="G81" s="152">
        <f ca="1">SUMIFS(HÓ!N:N,HÓ!$A:$A,Kalkulátor!$A81,HÓ!$B:$B,               IF(AND(Töredékhó&gt;0,A81&gt;TartamVálasztott),Töredékhó+1,   12)      )</f>
        <v>0</v>
      </c>
      <c r="H81" s="152">
        <f ca="1">SUMIFS(HÓ!O:O,HÓ!$A:$A,Kalkulátor!$A81,HÓ!$B:$B,              IF(AND(Töredékhó&gt;0,A81&gt;TartamVálasztott),Töredékhó+1,   12)  )
+  SUMIFS(HÓ!P:P,HÓ!$A:$A,Kalkulátor!$A81,HÓ!$B:$B,          IF(AND(Töredékhó&gt;0,A81&gt;TartamVálasztott),Töredékhó+1,   12)                 )</f>
        <v>1139324.2410681627</v>
      </c>
      <c r="I81" s="152">
        <f t="shared" ca="1" si="5"/>
        <v>6139324.241068163</v>
      </c>
      <c r="J81" s="152">
        <f ca="1">SUMIFS(ÉV!$G$17:$G$65,ÉV!$A$17:$A$65,Kalkulátor!$A81)</f>
        <v>6139324.2410681611</v>
      </c>
      <c r="K81" s="152">
        <f ca="1">SUMIFS(ÉV!$H$17:$H$65,ÉV!$A$17:$A$65,Kalkulátor!$A81)</f>
        <v>4999999.9999999981</v>
      </c>
      <c r="L81" s="122"/>
      <c r="M81" s="122"/>
      <c r="N81" s="122"/>
      <c r="O81" s="121"/>
      <c r="P81" s="121"/>
    </row>
    <row r="82" spans="1:17">
      <c r="A82" s="221">
        <f ca="1">IF(MAX(A$37:A81)=IF(Töredékhó&gt;0,TartamVálasztott+1,TartamVálasztott),A81,A81+1)</f>
        <v>23</v>
      </c>
      <c r="B82" s="329">
        <f t="shared" ca="1" si="1"/>
        <v>3</v>
      </c>
      <c r="C82" s="152">
        <f ca="1">IF(A81=TartamDíjfiz,C81, SUM(D$37:D82))</f>
        <v>5696621.2053408129</v>
      </c>
      <c r="D82" s="152">
        <f ca="1">SUMIFS(HÓ!G:G,HÓ!$A:$A,Kalkulátor!$A82,HÓ!$B:$B,12)</f>
        <v>0</v>
      </c>
      <c r="E82" s="152">
        <f ca="1">SUMIF(HÓ!A:A,A82,HÓ!AG:AG)</f>
        <v>76245.854742173658</v>
      </c>
      <c r="F82" s="155">
        <f t="shared" si="0"/>
        <v>5000000</v>
      </c>
      <c r="G82" s="152">
        <f ca="1">SUMIFS(HÓ!N:N,HÓ!$A:$A,Kalkulátor!$A82,HÓ!$B:$B,               IF(AND(Töredékhó&gt;0,A82&gt;TartamVálasztott),Töredékhó+1,   12)      )</f>
        <v>0</v>
      </c>
      <c r="H82" s="152">
        <f ca="1">SUMIFS(HÓ!O:O,HÓ!$A:$A,Kalkulátor!$A82,HÓ!$B:$B,              IF(AND(Töredékhó&gt;0,A82&gt;TartamVálasztott),Töredékhó+1,   12)  )
+  SUMIFS(HÓ!P:P,HÓ!$A:$A,Kalkulátor!$A82,HÓ!$B:$B,          IF(AND(Töredékhó&gt;0,A82&gt;TartamVálasztott),Töredékhó+1,   12)                 )</f>
        <v>1139324.2410681627</v>
      </c>
      <c r="I82" s="152">
        <f t="shared" ca="1" si="5"/>
        <v>6139324.241068163</v>
      </c>
      <c r="J82" s="152">
        <f ca="1">SUMIFS(ÉV!$G$17:$G$65,ÉV!$A$17:$A$65,Kalkulátor!$A82)</f>
        <v>6139324.2410681611</v>
      </c>
      <c r="K82" s="152">
        <f ca="1">SUMIFS(ÉV!$H$17:$H$65,ÉV!$A$17:$A$65,Kalkulátor!$A82)</f>
        <v>4999999.9999999981</v>
      </c>
      <c r="L82" s="122"/>
      <c r="M82" s="122"/>
      <c r="N82" s="122"/>
      <c r="O82" s="121"/>
      <c r="P82" s="121"/>
    </row>
    <row r="83" spans="1:17">
      <c r="A83" s="221">
        <f ca="1">IF(MAX(A$37:A82)=IF(Töredékhó&gt;0,TartamVálasztott+1,TartamVálasztott),A82,A82+1)</f>
        <v>23</v>
      </c>
      <c r="B83" s="329">
        <f t="shared" ca="1" si="1"/>
        <v>3</v>
      </c>
      <c r="C83" s="152">
        <f ca="1">IF(A82=TartamDíjfiz,C82, SUM(D$37:D83))</f>
        <v>5696621.2053408129</v>
      </c>
      <c r="D83" s="152">
        <f ca="1">SUMIFS(HÓ!G:G,HÓ!$A:$A,Kalkulátor!$A83,HÓ!$B:$B,12)</f>
        <v>0</v>
      </c>
      <c r="E83" s="152">
        <f ca="1">SUMIF(HÓ!A:A,A83,HÓ!AG:AG)</f>
        <v>76245.854742173658</v>
      </c>
      <c r="F83" s="155">
        <f t="shared" si="0"/>
        <v>5000000</v>
      </c>
      <c r="G83" s="152">
        <f ca="1">SUMIFS(HÓ!N:N,HÓ!$A:$A,Kalkulátor!$A83,HÓ!$B:$B,               IF(AND(Töredékhó&gt;0,A83&gt;TartamVálasztott),Töredékhó+1,   12)      )</f>
        <v>0</v>
      </c>
      <c r="H83" s="152">
        <f ca="1">SUMIFS(HÓ!O:O,HÓ!$A:$A,Kalkulátor!$A83,HÓ!$B:$B,              IF(AND(Töredékhó&gt;0,A83&gt;TartamVálasztott),Töredékhó+1,   12)  )
+  SUMIFS(HÓ!P:P,HÓ!$A:$A,Kalkulátor!$A83,HÓ!$B:$B,          IF(AND(Töredékhó&gt;0,A83&gt;TartamVálasztott),Töredékhó+1,   12)                 )</f>
        <v>1139324.2410681627</v>
      </c>
      <c r="I83" s="152">
        <f t="shared" ca="1" si="5"/>
        <v>6139324.241068163</v>
      </c>
      <c r="J83" s="152">
        <f ca="1">SUMIFS(ÉV!$G$17:$G$65,ÉV!$A$17:$A$65,Kalkulátor!$A83)</f>
        <v>6139324.2410681611</v>
      </c>
      <c r="K83" s="152">
        <f ca="1">SUMIFS(ÉV!$H$17:$H$65,ÉV!$A$17:$A$65,Kalkulátor!$A83)</f>
        <v>4999999.9999999981</v>
      </c>
      <c r="L83" s="122"/>
      <c r="M83" s="122"/>
      <c r="N83" s="121"/>
      <c r="O83" s="121"/>
      <c r="P83" s="121"/>
    </row>
    <row r="84" spans="1:17">
      <c r="A84" s="135"/>
      <c r="B84" s="135"/>
      <c r="C84" s="124"/>
      <c r="D84" s="130"/>
      <c r="E84" s="130"/>
      <c r="F84" s="130"/>
      <c r="G84" s="131"/>
      <c r="H84" s="130"/>
      <c r="I84" s="130"/>
      <c r="J84" s="130"/>
      <c r="K84" s="130"/>
      <c r="L84" s="121"/>
      <c r="M84" s="121"/>
      <c r="N84" s="121"/>
      <c r="O84" s="121"/>
      <c r="P84" s="121"/>
      <c r="Q84" s="121"/>
    </row>
    <row r="85" spans="1:17">
      <c r="C85" s="124"/>
      <c r="D85" s="130"/>
      <c r="E85" s="130"/>
      <c r="F85" s="130"/>
      <c r="G85" s="131"/>
      <c r="H85" s="130"/>
      <c r="I85" s="130"/>
      <c r="J85" s="130"/>
      <c r="K85" s="130"/>
    </row>
    <row r="86" spans="1:17">
      <c r="C86" s="124"/>
      <c r="D86" s="130"/>
      <c r="E86" s="130"/>
      <c r="F86" s="130"/>
      <c r="G86" s="131"/>
      <c r="H86" s="130"/>
      <c r="I86" s="130"/>
      <c r="J86" s="130"/>
      <c r="K86" s="130"/>
    </row>
    <row r="87" spans="1:17">
      <c r="C87" s="124"/>
      <c r="D87" s="130"/>
      <c r="E87" s="130"/>
      <c r="F87" s="130"/>
      <c r="G87" s="131"/>
      <c r="H87" s="130"/>
      <c r="I87" s="130"/>
      <c r="J87" s="130"/>
      <c r="K87" s="130"/>
    </row>
    <row r="88" spans="1:17">
      <c r="C88" s="124"/>
      <c r="D88" s="130"/>
      <c r="E88" s="130"/>
      <c r="F88" s="130"/>
      <c r="G88" s="131"/>
      <c r="H88" s="130"/>
      <c r="I88" s="130"/>
      <c r="J88" s="130"/>
      <c r="K88" s="130"/>
    </row>
    <row r="89" spans="1:17">
      <c r="C89" s="124"/>
      <c r="D89" s="130"/>
      <c r="E89" s="130"/>
      <c r="F89" s="130"/>
      <c r="G89" s="131"/>
      <c r="H89" s="130"/>
      <c r="I89" s="130"/>
      <c r="J89" s="130"/>
      <c r="K89" s="130"/>
    </row>
    <row r="90" spans="1:17">
      <c r="C90" s="124"/>
      <c r="D90" s="130"/>
      <c r="E90" s="130"/>
      <c r="F90" s="130"/>
      <c r="G90" s="131"/>
      <c r="H90" s="130"/>
      <c r="I90" s="130"/>
      <c r="J90" s="130"/>
      <c r="K90" s="130"/>
    </row>
    <row r="91" spans="1:17">
      <c r="C91" s="124"/>
      <c r="D91" s="130"/>
      <c r="E91" s="130"/>
      <c r="F91" s="130"/>
      <c r="G91" s="131"/>
      <c r="H91" s="130"/>
      <c r="I91" s="130"/>
      <c r="J91" s="130"/>
      <c r="K91" s="130"/>
    </row>
  </sheetData>
  <sheetProtection password="C32A" sheet="1" objects="1" scenarios="1" selectLockedCells="1"/>
  <protectedRanges>
    <protectedRange sqref="H11:L11" name="Tartomány3"/>
    <protectedRange sqref="G16:G18" name="Tartomány2"/>
  </protectedRanges>
  <dataConsolidate/>
  <mergeCells count="12">
    <mergeCell ref="F2:H2"/>
    <mergeCell ref="A36:B36"/>
    <mergeCell ref="A26:K26"/>
    <mergeCell ref="A27:K27"/>
    <mergeCell ref="A28:K28"/>
    <mergeCell ref="A29:K29"/>
    <mergeCell ref="A31:K31"/>
    <mergeCell ref="A32:K32"/>
    <mergeCell ref="H35:I35"/>
    <mergeCell ref="C34:F34"/>
    <mergeCell ref="F4:H4"/>
    <mergeCell ref="A30:K30"/>
  </mergeCells>
  <conditionalFormatting sqref="K88:K91 C88:I91">
    <cfRule type="expression" dxfId="66" priority="47">
      <formula>$C88&lt;&gt;$C87</formula>
    </cfRule>
  </conditionalFormatting>
  <conditionalFormatting sqref="J88:J91">
    <cfRule type="expression" dxfId="65" priority="46">
      <formula>$C88&lt;&gt;$C87</formula>
    </cfRule>
  </conditionalFormatting>
  <conditionalFormatting sqref="I10">
    <cfRule type="cellIs" dxfId="64" priority="30" operator="lessThan">
      <formula>TartamMin</formula>
    </cfRule>
  </conditionalFormatting>
  <conditionalFormatting sqref="H10">
    <cfRule type="expression" dxfId="63" priority="32">
      <formula>AND(TartamWlFix="fix",Nyug=0)</formula>
    </cfRule>
  </conditionalFormatting>
  <conditionalFormatting sqref="I6">
    <cfRule type="cellIs" dxfId="62" priority="29" operator="greaterThan">
      <formula>KorMax</formula>
    </cfRule>
  </conditionalFormatting>
  <conditionalFormatting sqref="I16">
    <cfRule type="expression" dxfId="61" priority="20">
      <formula>AND(Ért="Quantis",Freq&gt;2)</formula>
    </cfRule>
  </conditionalFormatting>
  <conditionalFormatting sqref="A38:J83">
    <cfRule type="expression" dxfId="60" priority="16">
      <formula>$A38&lt;&gt;$A37</formula>
    </cfRule>
    <cfRule type="expression" dxfId="59" priority="17">
      <formula>$A38&lt;&gt;$A37</formula>
    </cfRule>
  </conditionalFormatting>
  <conditionalFormatting sqref="B38:B83">
    <cfRule type="expression" dxfId="58" priority="9">
      <formula>AND($A38=MAX($A$38:$A$84),$A38&lt;&gt;$A37,Töredékhó&gt;0)</formula>
    </cfRule>
    <cfRule type="cellIs" dxfId="57" priority="12" operator="equal">
      <formula>12</formula>
    </cfRule>
  </conditionalFormatting>
  <conditionalFormatting sqref="A38:J83">
    <cfRule type="expression" dxfId="56" priority="10">
      <formula>AND(Töredékhó&gt;0,$A38=TartamVálasztott+1,$A38&lt;&gt;$A37)</formula>
    </cfRule>
    <cfRule type="expression" dxfId="55" priority="11">
      <formula>AND(Töredékhó=0,$A38=TartamVálasztott,$A38&lt;&gt;$A37)</formula>
    </cfRule>
    <cfRule type="expression" dxfId="54" priority="14">
      <formula>AND(ROUND($A38/5,0)*5=$A38,$A38&lt;&gt;$A37)</formula>
    </cfRule>
    <cfRule type="expression" dxfId="53" priority="15">
      <formula>Ellenőrzés="hiba"</formula>
    </cfRule>
  </conditionalFormatting>
  <conditionalFormatting sqref="K38:K83">
    <cfRule type="expression" dxfId="52" priority="7">
      <formula>$A38&lt;&gt;$A37</formula>
    </cfRule>
    <cfRule type="expression" dxfId="51" priority="8">
      <formula>$A38&lt;&gt;$A37</formula>
    </cfRule>
  </conditionalFormatting>
  <conditionalFormatting sqref="K38:K83">
    <cfRule type="expression" dxfId="50" priority="3">
      <formula>AND(Töredékhó&gt;0,$A38=TartamVálasztott+1,$A38&lt;&gt;$A37)</formula>
    </cfRule>
    <cfRule type="expression" dxfId="49" priority="4">
      <formula>AND(Töredékhó=0,$A38=TartamVálasztott,$A38&lt;&gt;$A37)</formula>
    </cfRule>
    <cfRule type="expression" dxfId="48" priority="5">
      <formula>AND(ROUND($A38/5,0)*5=$A38,$A38&lt;&gt;$A37)</formula>
    </cfRule>
    <cfRule type="expression" dxfId="47" priority="6">
      <formula>Ellenőrzés="hiba"</formula>
    </cfRule>
  </conditionalFormatting>
  <conditionalFormatting sqref="J9:J10 J5:J6 J14">
    <cfRule type="expression" dxfId="46" priority="48">
      <formula>$J5&lt;&gt;"OK"</formula>
    </cfRule>
  </conditionalFormatting>
  <conditionalFormatting sqref="J7">
    <cfRule type="expression" dxfId="45" priority="51">
      <formula>$J7&lt;&gt;"OK"</formula>
    </cfRule>
  </conditionalFormatting>
  <conditionalFormatting sqref="A26:K26">
    <cfRule type="cellIs" dxfId="44" priority="2" operator="equal">
      <formula>""</formula>
    </cfRule>
  </conditionalFormatting>
  <conditionalFormatting sqref="A37:A83">
    <cfRule type="expression" dxfId="43" priority="1">
      <formula>$A37&gt;TartamDíjfiz</formula>
    </cfRule>
  </conditionalFormatting>
  <dataValidations count="3">
    <dataValidation type="list" allowBlank="1" showInputMessage="1" showErrorMessage="1" sqref="I16">
      <formula1>fizmód</formula1>
    </dataValidation>
    <dataValidation type="list" allowBlank="1" showInputMessage="1" showErrorMessage="1" sqref="H15">
      <formula1>Fizgyak</formula1>
    </dataValidation>
    <dataValidation type="decimal" allowBlank="1" showInputMessage="1" showErrorMessage="1" errorTitle="Éves hozam" error="A feltételezett éves hozam 0% és 4,75% közözött lehet." sqref="H18">
      <formula1>0</formula1>
      <formula2>0.0475</formula2>
    </dataValidation>
  </dataValidations>
  <printOptions horizontalCentered="1"/>
  <pageMargins left="0.51181102362204722" right="0.51181102362204722" top="0.51181102362204722" bottom="0.51181102362204722" header="0.51181102362204722" footer="0.23622047244094491"/>
  <pageSetup scale="72" firstPageNumber="0" fitToHeight="2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M95"/>
  <sheetViews>
    <sheetView topLeftCell="A19" workbookViewId="0">
      <selection activeCell="C15" sqref="C15"/>
    </sheetView>
  </sheetViews>
  <sheetFormatPr defaultRowHeight="15"/>
  <cols>
    <col min="1" max="1" width="17.85546875" customWidth="1"/>
  </cols>
  <sheetData>
    <row r="1" spans="1:39">
      <c r="A1" s="2" t="s">
        <v>27</v>
      </c>
      <c r="B1">
        <v>10</v>
      </c>
      <c r="C1">
        <v>11</v>
      </c>
      <c r="D1">
        <v>12</v>
      </c>
      <c r="E1">
        <v>13</v>
      </c>
      <c r="F1">
        <v>14</v>
      </c>
      <c r="G1">
        <v>15</v>
      </c>
      <c r="H1">
        <v>16</v>
      </c>
      <c r="I1">
        <v>17</v>
      </c>
      <c r="J1">
        <v>18</v>
      </c>
      <c r="K1">
        <v>19</v>
      </c>
      <c r="L1">
        <v>20</v>
      </c>
      <c r="M1">
        <v>21</v>
      </c>
      <c r="N1">
        <v>22</v>
      </c>
      <c r="O1">
        <v>23</v>
      </c>
      <c r="P1">
        <v>24</v>
      </c>
      <c r="Q1">
        <v>25</v>
      </c>
      <c r="R1">
        <v>26</v>
      </c>
      <c r="S1">
        <v>27</v>
      </c>
      <c r="T1">
        <v>28</v>
      </c>
      <c r="U1">
        <v>29</v>
      </c>
      <c r="V1">
        <v>30</v>
      </c>
      <c r="W1">
        <v>31</v>
      </c>
      <c r="X1">
        <v>32</v>
      </c>
      <c r="Y1">
        <v>33</v>
      </c>
      <c r="Z1">
        <v>34</v>
      </c>
      <c r="AA1">
        <v>35</v>
      </c>
      <c r="AB1">
        <v>36</v>
      </c>
      <c r="AC1">
        <v>37</v>
      </c>
      <c r="AD1">
        <v>38</v>
      </c>
      <c r="AE1">
        <v>39</v>
      </c>
      <c r="AF1">
        <v>40</v>
      </c>
      <c r="AG1">
        <v>41</v>
      </c>
      <c r="AH1">
        <v>42</v>
      </c>
      <c r="AI1">
        <v>43</v>
      </c>
      <c r="AJ1">
        <v>44</v>
      </c>
      <c r="AK1">
        <v>45</v>
      </c>
      <c r="AL1">
        <v>46</v>
      </c>
      <c r="AM1">
        <v>47</v>
      </c>
    </row>
    <row r="2" spans="1:39">
      <c r="A2" s="2">
        <v>1</v>
      </c>
      <c r="B2" s="1">
        <v>3650.2449598538883</v>
      </c>
      <c r="C2" s="1">
        <v>2793.1189148074018</v>
      </c>
      <c r="D2" s="1">
        <v>2087.9904205264193</v>
      </c>
      <c r="E2" s="1">
        <v>1564.2598272216719</v>
      </c>
      <c r="F2" s="1">
        <v>1439.0232619305623</v>
      </c>
      <c r="G2" s="1">
        <v>1330.5561309220948</v>
      </c>
      <c r="H2" s="1">
        <v>1235.7100119568486</v>
      </c>
      <c r="I2" s="1">
        <v>1152.0788966699245</v>
      </c>
      <c r="J2" s="1">
        <v>1077.7940112540382</v>
      </c>
      <c r="K2" s="1">
        <v>1011.3773516622572</v>
      </c>
      <c r="L2" s="1">
        <v>951.64398086210292</v>
      </c>
      <c r="M2" s="1">
        <v>891.58574430242709</v>
      </c>
      <c r="N2" s="1">
        <v>837.41455183447727</v>
      </c>
      <c r="O2" s="1">
        <v>788.32051116319906</v>
      </c>
      <c r="P2" s="1">
        <v>743.63616659630145</v>
      </c>
      <c r="Q2" s="1">
        <v>702.80631162131806</v>
      </c>
      <c r="R2" s="1">
        <v>665.36505852877735</v>
      </c>
      <c r="S2" s="1">
        <v>630.91856055758569</v>
      </c>
      <c r="T2" s="1">
        <v>599.13209358538711</v>
      </c>
      <c r="U2" s="1">
        <v>569.71957281399273</v>
      </c>
      <c r="V2" s="1">
        <v>542.43464078370607</v>
      </c>
      <c r="W2" s="1">
        <v>517.06431587210966</v>
      </c>
      <c r="X2" s="1">
        <v>493.42257668214381</v>
      </c>
      <c r="Y2" s="1">
        <v>471.34681800863183</v>
      </c>
      <c r="Z2" s="1">
        <v>450.69379670046891</v>
      </c>
      <c r="AA2" s="1">
        <v>431.33735358413395</v>
      </c>
      <c r="AB2" s="1">
        <v>413.16577210573627</v>
      </c>
      <c r="AC2" s="1">
        <v>396.07981038201768</v>
      </c>
      <c r="AD2" s="1">
        <v>379.99063078608469</v>
      </c>
      <c r="AE2" s="1">
        <v>364.81878530999484</v>
      </c>
      <c r="AF2" s="1">
        <v>350.49260868321335</v>
      </c>
      <c r="AG2" s="1">
        <v>336.94780136491443</v>
      </c>
      <c r="AH2" s="1">
        <v>324.12645319358916</v>
      </c>
      <c r="AI2" s="1">
        <v>311.97598916808749</v>
      </c>
      <c r="AJ2" s="1">
        <v>300.44879903255355</v>
      </c>
      <c r="AK2" s="1">
        <v>289.50154157215582</v>
      </c>
      <c r="AL2" s="1">
        <v>279.09467116297009</v>
      </c>
      <c r="AM2" s="1">
        <v>269.19208245681062</v>
      </c>
    </row>
    <row r="3" spans="1:39">
      <c r="A3">
        <v>2</v>
      </c>
      <c r="B3" s="1">
        <v>13513.564017954219</v>
      </c>
      <c r="C3" s="1">
        <v>11645.632751912563</v>
      </c>
      <c r="D3" s="1">
        <v>10101.135192747282</v>
      </c>
      <c r="E3" s="1">
        <v>8748.5213251658461</v>
      </c>
      <c r="F3" s="1">
        <v>7655.5452036310171</v>
      </c>
      <c r="G3" s="1">
        <v>6715.8194000864478</v>
      </c>
      <c r="H3" s="1">
        <v>5900.4508437969171</v>
      </c>
      <c r="I3" s="1">
        <v>5187.25582315252</v>
      </c>
      <c r="J3" s="1">
        <v>4559.1887002048052</v>
      </c>
      <c r="K3" s="1">
        <v>4002.6611067530139</v>
      </c>
      <c r="L3" s="1">
        <v>3507.1410953043169</v>
      </c>
      <c r="M3" s="1">
        <v>3289.2769129183707</v>
      </c>
      <c r="N3" s="1">
        <v>3092.61715772654</v>
      </c>
      <c r="O3" s="1">
        <v>2914.3005735736542</v>
      </c>
      <c r="P3" s="1">
        <v>2751.8514928951199</v>
      </c>
      <c r="Q3" s="1">
        <v>2603.2533096709985</v>
      </c>
      <c r="R3" s="1">
        <v>2466.831545690216</v>
      </c>
      <c r="S3" s="1">
        <v>2341.1975375997222</v>
      </c>
      <c r="T3" s="1">
        <v>2225.169033191984</v>
      </c>
      <c r="U3" s="1">
        <v>2117.6786724161989</v>
      </c>
      <c r="V3" s="1">
        <v>2017.7830063532351</v>
      </c>
      <c r="W3" s="1">
        <v>1924.7137558043262</v>
      </c>
      <c r="X3" s="1">
        <v>1837.7582911234904</v>
      </c>
      <c r="Y3" s="1">
        <v>1756.4179803003774</v>
      </c>
      <c r="Z3" s="1">
        <v>1680.1677303138622</v>
      </c>
      <c r="AA3" s="1">
        <v>1608.6124748525065</v>
      </c>
      <c r="AB3" s="1">
        <v>1541.3223761095612</v>
      </c>
      <c r="AC3" s="1">
        <v>1477.9412755292265</v>
      </c>
      <c r="AD3" s="1">
        <v>1418.1426624243895</v>
      </c>
      <c r="AE3" s="1">
        <v>1361.6959870547864</v>
      </c>
      <c r="AF3" s="1">
        <v>1308.3371336645837</v>
      </c>
      <c r="AG3" s="1">
        <v>1257.8994324747396</v>
      </c>
      <c r="AH3" s="1">
        <v>1210.1370753378178</v>
      </c>
      <c r="AI3" s="1">
        <v>1164.8382871299143</v>
      </c>
      <c r="AJ3" s="1">
        <v>1121.8665979397183</v>
      </c>
      <c r="AK3" s="1">
        <v>1081.0501679614808</v>
      </c>
      <c r="AL3" s="1">
        <v>1042.2584273450393</v>
      </c>
      <c r="AM3" s="1">
        <v>1005.3730563542188</v>
      </c>
    </row>
    <row r="4" spans="1:39">
      <c r="A4">
        <v>3</v>
      </c>
      <c r="B4" s="1">
        <v>23600.450275583727</v>
      </c>
      <c r="C4" s="1">
        <v>20698.942282825166</v>
      </c>
      <c r="D4" s="1">
        <v>18296.553095130348</v>
      </c>
      <c r="E4" s="1">
        <v>16225.028694278382</v>
      </c>
      <c r="F4" s="1">
        <v>14512.450407429051</v>
      </c>
      <c r="G4" s="1">
        <v>13037.283553015735</v>
      </c>
      <c r="H4" s="1">
        <v>11754.692403796498</v>
      </c>
      <c r="I4" s="1">
        <v>10630.268050015109</v>
      </c>
      <c r="J4" s="1">
        <v>9637.3781302881034</v>
      </c>
      <c r="K4" s="1">
        <v>8755.0972518372419</v>
      </c>
      <c r="L4" s="1">
        <v>7966.8938277620418</v>
      </c>
      <c r="M4" s="1">
        <v>7470.451588757719</v>
      </c>
      <c r="N4" s="1">
        <v>7022.6463751010715</v>
      </c>
      <c r="O4" s="1">
        <v>6616.632304713552</v>
      </c>
      <c r="P4" s="1">
        <v>6246.8973986230358</v>
      </c>
      <c r="Q4" s="1">
        <v>5908.7826972032644</v>
      </c>
      <c r="R4" s="1">
        <v>5598.442767069454</v>
      </c>
      <c r="S4" s="1">
        <v>5312.6726036322952</v>
      </c>
      <c r="T4" s="1">
        <v>5048.7718176088165</v>
      </c>
      <c r="U4" s="1">
        <v>4804.372729624868</v>
      </c>
      <c r="V4" s="1">
        <v>4577.3563737117538</v>
      </c>
      <c r="W4" s="1">
        <v>4365.9125876154885</v>
      </c>
      <c r="X4" s="1">
        <v>4168.472338821678</v>
      </c>
      <c r="Y4" s="1">
        <v>3983.7433054668031</v>
      </c>
      <c r="Z4" s="1">
        <v>3810.6308160432159</v>
      </c>
      <c r="AA4" s="1">
        <v>3648.14783354781</v>
      </c>
      <c r="AB4" s="1">
        <v>3495.4101751544486</v>
      </c>
      <c r="AC4" s="1">
        <v>3351.5757375979465</v>
      </c>
      <c r="AD4" s="1">
        <v>3215.9114592266133</v>
      </c>
      <c r="AE4" s="1">
        <v>3087.8138261719123</v>
      </c>
      <c r="AF4" s="1">
        <v>2966.7474203321544</v>
      </c>
      <c r="AG4" s="1">
        <v>2852.2421688395352</v>
      </c>
      <c r="AH4" s="1">
        <v>2743.85156990828</v>
      </c>
      <c r="AI4" s="1">
        <v>2641.0840506711661</v>
      </c>
      <c r="AJ4" s="1">
        <v>2543.5603804118523</v>
      </c>
      <c r="AK4" s="1">
        <v>2450.9454793650862</v>
      </c>
      <c r="AL4" s="1">
        <v>2362.9107041294833</v>
      </c>
      <c r="AM4" s="1">
        <v>2279.1837410471085</v>
      </c>
    </row>
    <row r="5" spans="1:39">
      <c r="A5">
        <v>4</v>
      </c>
      <c r="B5" s="1">
        <v>33913.337494984284</v>
      </c>
      <c r="C5" s="1">
        <v>29955.608963749892</v>
      </c>
      <c r="D5" s="1">
        <v>26676.219943845768</v>
      </c>
      <c r="E5" s="1">
        <v>23870.108708562202</v>
      </c>
      <c r="F5" s="1">
        <v>21524.486800749677</v>
      </c>
      <c r="G5" s="1">
        <v>19502.261579730821</v>
      </c>
      <c r="H5" s="1">
        <v>17742.25265369159</v>
      </c>
      <c r="I5" s="1">
        <v>16197.669322998085</v>
      </c>
      <c r="J5" s="1">
        <v>14832.18009658457</v>
      </c>
      <c r="K5" s="1">
        <v>13617.116721263223</v>
      </c>
      <c r="L5" s="1">
        <v>12529.972313229726</v>
      </c>
      <c r="M5" s="1">
        <v>11748.882519177094</v>
      </c>
      <c r="N5" s="1">
        <v>11044.180548843909</v>
      </c>
      <c r="O5" s="1">
        <v>10405.450175256923</v>
      </c>
      <c r="P5" s="1">
        <v>9823.7927919819576</v>
      </c>
      <c r="Q5" s="1">
        <v>9291.9813115531852</v>
      </c>
      <c r="R5" s="1">
        <v>8803.897022120851</v>
      </c>
      <c r="S5" s="1">
        <v>8354.4586390945897</v>
      </c>
      <c r="T5" s="1">
        <v>7939.3878623771188</v>
      </c>
      <c r="U5" s="1">
        <v>7554.9956107469552</v>
      </c>
      <c r="V5" s="1">
        <v>7198.0248001846421</v>
      </c>
      <c r="W5" s="1">
        <v>6865.6210757378822</v>
      </c>
      <c r="X5" s="1">
        <v>6555.2834882642683</v>
      </c>
      <c r="Y5" s="1">
        <v>6264.952018955124</v>
      </c>
      <c r="Z5" s="1">
        <v>5992.8149220337182</v>
      </c>
      <c r="AA5" s="1">
        <v>5737.3808556873892</v>
      </c>
      <c r="AB5" s="1">
        <v>5497.2299781101119</v>
      </c>
      <c r="AC5" s="1">
        <v>5271.1146764202676</v>
      </c>
      <c r="AD5" s="1">
        <v>5057.8563868105348</v>
      </c>
      <c r="AE5" s="1">
        <v>4856.4787175395386</v>
      </c>
      <c r="AF5" s="1">
        <v>4666.1038715599943</v>
      </c>
      <c r="AG5" s="1">
        <v>4486.0167005288176</v>
      </c>
      <c r="AH5" s="1">
        <v>4315.4912939455999</v>
      </c>
      <c r="AI5" s="1">
        <v>4153.8580588158766</v>
      </c>
      <c r="AJ5" s="1">
        <v>4000.4739445451369</v>
      </c>
      <c r="AK5" s="1">
        <v>3854.7765736958236</v>
      </c>
      <c r="AL5" s="1">
        <v>3716.2886807948444</v>
      </c>
      <c r="AM5" s="1">
        <v>3584.5514627039906</v>
      </c>
    </row>
    <row r="6" spans="1:39">
      <c r="A6">
        <v>5</v>
      </c>
      <c r="B6" s="1">
        <v>44454.722680898798</v>
      </c>
      <c r="C6" s="1">
        <v>39417.672306656423</v>
      </c>
      <c r="D6" s="1">
        <v>35242.396381213912</v>
      </c>
      <c r="E6" s="1">
        <v>31685.477051150596</v>
      </c>
      <c r="F6" s="1">
        <v>28693.29735199314</v>
      </c>
      <c r="G6" s="1">
        <v>26112.335280146486</v>
      </c>
      <c r="H6" s="1">
        <v>23864.708737424891</v>
      </c>
      <c r="I6" s="1">
        <v>21890.924090936907</v>
      </c>
      <c r="J6" s="1">
        <v>20144.859512874482</v>
      </c>
      <c r="K6" s="1">
        <v>18590.04057499714</v>
      </c>
      <c r="L6" s="1">
        <v>17197.59944260995</v>
      </c>
      <c r="M6" s="1">
        <v>16126.101253877794</v>
      </c>
      <c r="N6" s="1">
        <v>15158.93572142154</v>
      </c>
      <c r="O6" s="1">
        <v>14282.165580312183</v>
      </c>
      <c r="P6" s="1">
        <v>13483.935220185855</v>
      </c>
      <c r="Q6" s="1">
        <v>12754.108649105339</v>
      </c>
      <c r="R6" s="1">
        <v>12084.377448200514</v>
      </c>
      <c r="S6" s="1">
        <v>11467.688253942842</v>
      </c>
      <c r="T6" s="1">
        <v>10898.130129254472</v>
      </c>
      <c r="U6" s="1">
        <v>10370.636742482118</v>
      </c>
      <c r="V6" s="1">
        <v>9880.7952497198476</v>
      </c>
      <c r="W6" s="1">
        <v>9424.7484106721658</v>
      </c>
      <c r="X6" s="1">
        <v>8999.0641538714062</v>
      </c>
      <c r="Y6" s="1">
        <v>8600.8407019049901</v>
      </c>
      <c r="Z6" s="1">
        <v>8227.577819958995</v>
      </c>
      <c r="AA6" s="1">
        <v>7877.1313879819145</v>
      </c>
      <c r="AB6" s="1">
        <v>7547.6363129517331</v>
      </c>
      <c r="AC6" s="1">
        <v>7237.3577242434831</v>
      </c>
      <c r="AD6" s="1">
        <v>6944.7545302583676</v>
      </c>
      <c r="AE6" s="1">
        <v>6668.4388210279039</v>
      </c>
      <c r="AF6" s="1">
        <v>6407.1913633628064</v>
      </c>
      <c r="AG6" s="1">
        <v>6159.9798944886488</v>
      </c>
      <c r="AH6" s="1">
        <v>5925.8592110482141</v>
      </c>
      <c r="AI6" s="1">
        <v>5703.9015289535891</v>
      </c>
      <c r="AJ6" s="1">
        <v>5493.3045837835934</v>
      </c>
      <c r="AK6" s="1">
        <v>5293.2578411899631</v>
      </c>
      <c r="AL6" s="1">
        <v>5103.0701459272586</v>
      </c>
      <c r="AM6" s="1">
        <v>4922.1472138256813</v>
      </c>
    </row>
    <row r="7" spans="1:39">
      <c r="A7">
        <v>6</v>
      </c>
      <c r="B7" s="1">
        <v>55226.802749481831</v>
      </c>
      <c r="C7" s="1">
        <v>49087.236246950066</v>
      </c>
      <c r="D7" s="1">
        <v>43996.791532109681</v>
      </c>
      <c r="E7" s="1">
        <v>39673.149849932197</v>
      </c>
      <c r="F7" s="1">
        <v>36020.364539261725</v>
      </c>
      <c r="G7" s="1">
        <v>32868.948728469673</v>
      </c>
      <c r="H7" s="1">
        <v>30123.471112438372</v>
      </c>
      <c r="I7" s="1">
        <v>27711.463334520475</v>
      </c>
      <c r="J7" s="1">
        <v>25576.750548475786</v>
      </c>
      <c r="K7" s="1">
        <v>23675.010586543052</v>
      </c>
      <c r="L7" s="1">
        <v>21970.989384401357</v>
      </c>
      <c r="M7" s="1">
        <v>20603.276540042822</v>
      </c>
      <c r="N7" s="1">
        <v>19368.392761508931</v>
      </c>
      <c r="O7" s="1">
        <v>18248.450973189927</v>
      </c>
      <c r="P7" s="1">
        <v>17228.697674921674</v>
      </c>
      <c r="Q7" s="1">
        <v>16296.528461584898</v>
      </c>
      <c r="R7" s="1">
        <v>15441.11290191596</v>
      </c>
      <c r="S7" s="1">
        <v>14653.516423024224</v>
      </c>
      <c r="T7" s="1">
        <v>13926.105206291088</v>
      </c>
      <c r="U7" s="1">
        <v>13252.385319649029</v>
      </c>
      <c r="V7" s="1">
        <v>12626.73560650824</v>
      </c>
      <c r="W7" s="1">
        <v>12044.281181399432</v>
      </c>
      <c r="X7" s="1">
        <v>11500.703261984549</v>
      </c>
      <c r="Y7" s="1">
        <v>10992.261800162685</v>
      </c>
      <c r="Z7" s="1">
        <v>10515.695345154563</v>
      </c>
      <c r="AA7" s="1">
        <v>10068.237790113912</v>
      </c>
      <c r="AB7" s="1">
        <v>9647.4297116998314</v>
      </c>
      <c r="AC7" s="1">
        <v>9251.1415575342198</v>
      </c>
      <c r="AD7" s="1">
        <v>8877.3876769248291</v>
      </c>
      <c r="AE7" s="1">
        <v>8524.4536848847274</v>
      </c>
      <c r="AF7" s="1">
        <v>8190.7405721733594</v>
      </c>
      <c r="AG7" s="1">
        <v>7874.9006883154589</v>
      </c>
      <c r="AH7" s="1">
        <v>7575.696755520873</v>
      </c>
      <c r="AI7" s="1">
        <v>7292.0043450414387</v>
      </c>
      <c r="AJ7" s="1">
        <v>7022.7806552396851</v>
      </c>
      <c r="AK7" s="1">
        <v>6767.0739114839616</v>
      </c>
      <c r="AL7" s="1">
        <v>6523.9584243617683</v>
      </c>
      <c r="AM7" s="1">
        <v>6292.6381914565582</v>
      </c>
    </row>
    <row r="8" spans="1:39">
      <c r="A8">
        <v>7</v>
      </c>
      <c r="B8" s="1">
        <v>66232.385455001815</v>
      </c>
      <c r="C8" s="1">
        <v>58966.087774683809</v>
      </c>
      <c r="D8" s="1">
        <v>52941.180316559468</v>
      </c>
      <c r="E8" s="1">
        <v>47834.565004037133</v>
      </c>
      <c r="F8" s="1">
        <v>43507.481722137345</v>
      </c>
      <c r="G8" s="1">
        <v>39773.380792087824</v>
      </c>
      <c r="H8" s="1">
        <v>36519.808458293926</v>
      </c>
      <c r="I8" s="1">
        <v>33660.545146807133</v>
      </c>
      <c r="J8" s="1">
        <v>31129.153293451607</v>
      </c>
      <c r="K8" s="1">
        <v>28873.243505001166</v>
      </c>
      <c r="L8" s="1">
        <v>26851.172273396649</v>
      </c>
      <c r="M8" s="1">
        <v>25181.574321733395</v>
      </c>
      <c r="N8" s="1">
        <v>23673.673575099041</v>
      </c>
      <c r="O8" s="1">
        <v>22305.742080646392</v>
      </c>
      <c r="P8" s="1">
        <v>21059.712801330206</v>
      </c>
      <c r="Q8" s="1">
        <v>19920.579138648274</v>
      </c>
      <c r="R8" s="1">
        <v>18875.436401314881</v>
      </c>
      <c r="S8" s="1">
        <v>17913.144261099296</v>
      </c>
      <c r="T8" s="1">
        <v>17024.442557787032</v>
      </c>
      <c r="U8" s="1">
        <v>16201.324296567313</v>
      </c>
      <c r="V8" s="1">
        <v>15436.913341711523</v>
      </c>
      <c r="W8" s="1">
        <v>14725.267460962696</v>
      </c>
      <c r="X8" s="1">
        <v>14061.168740136631</v>
      </c>
      <c r="Y8" s="1">
        <v>13440.085825138483</v>
      </c>
      <c r="Z8" s="1">
        <v>12858.001778750337</v>
      </c>
      <c r="AA8" s="1">
        <v>12311.457124621151</v>
      </c>
      <c r="AB8" s="1">
        <v>11797.430701332687</v>
      </c>
      <c r="AC8" s="1">
        <v>11313.24896774391</v>
      </c>
      <c r="AD8" s="1">
        <v>10856.575914549376</v>
      </c>
      <c r="AE8" s="1">
        <v>10425.288572811451</v>
      </c>
      <c r="AF8" s="1">
        <v>10017.494783847214</v>
      </c>
      <c r="AG8" s="1">
        <v>9631.4935467240448</v>
      </c>
      <c r="AH8" s="1">
        <v>9265.7579082618995</v>
      </c>
      <c r="AI8" s="1">
        <v>8918.8934545385837</v>
      </c>
      <c r="AJ8" s="1">
        <v>8589.6795429948706</v>
      </c>
      <c r="AK8" s="1">
        <v>8276.9409395812054</v>
      </c>
      <c r="AL8" s="1">
        <v>7979.6261791807019</v>
      </c>
      <c r="AM8" s="1">
        <v>7696.7171336036045</v>
      </c>
    </row>
    <row r="9" spans="1:39">
      <c r="A9">
        <v>8</v>
      </c>
      <c r="B9" s="1">
        <v>77474.144087148918</v>
      </c>
      <c r="C9" s="1">
        <v>69056.632300920217</v>
      </c>
      <c r="D9" s="1">
        <v>62077.006117962061</v>
      </c>
      <c r="E9" s="1">
        <v>56171.230159941391</v>
      </c>
      <c r="F9" s="1">
        <v>51155.840765575413</v>
      </c>
      <c r="G9" s="1">
        <v>46827.230765589142</v>
      </c>
      <c r="H9" s="1">
        <v>43054.819919871792</v>
      </c>
      <c r="I9" s="1">
        <v>39739.282093559879</v>
      </c>
      <c r="J9" s="1">
        <v>36803.189230962416</v>
      </c>
      <c r="K9" s="1">
        <v>34185.921388627074</v>
      </c>
      <c r="L9" s="1">
        <v>31839.258398793187</v>
      </c>
      <c r="M9" s="1">
        <v>29861.984268202985</v>
      </c>
      <c r="N9" s="1">
        <v>28075.902596290249</v>
      </c>
      <c r="O9" s="1">
        <v>26455.120264043035</v>
      </c>
      <c r="P9" s="1">
        <v>24978.375986605457</v>
      </c>
      <c r="Q9" s="1">
        <v>23627.856813912793</v>
      </c>
      <c r="R9" s="1">
        <v>22388.655070801728</v>
      </c>
      <c r="S9" s="1">
        <v>21247.876754341891</v>
      </c>
      <c r="T9" s="1">
        <v>20194.318124134261</v>
      </c>
      <c r="U9" s="1">
        <v>19218.559985252468</v>
      </c>
      <c r="V9" s="1">
        <v>18312.389908695495</v>
      </c>
      <c r="W9" s="1">
        <v>17468.75482744442</v>
      </c>
      <c r="X9" s="1">
        <v>16681.49041067026</v>
      </c>
      <c r="Y9" s="1">
        <v>15945.263588533098</v>
      </c>
      <c r="Z9" s="1">
        <v>15255.350888912628</v>
      </c>
      <c r="AA9" s="1">
        <v>14607.607142410836</v>
      </c>
      <c r="AB9" s="1">
        <v>13998.379361263049</v>
      </c>
      <c r="AC9" s="1">
        <v>13424.484087625979</v>
      </c>
      <c r="AD9" s="1">
        <v>12883.085730697427</v>
      </c>
      <c r="AE9" s="1">
        <v>12371.748141888391</v>
      </c>
      <c r="AF9" s="1">
        <v>11888.203951695958</v>
      </c>
      <c r="AG9" s="1">
        <v>11430.486667328254</v>
      </c>
      <c r="AH9" s="1">
        <v>10996.742094983025</v>
      </c>
      <c r="AI9" s="1">
        <v>10585.308789909619</v>
      </c>
      <c r="AJ9" s="1">
        <v>10194.714584705678</v>
      </c>
      <c r="AK9" s="1">
        <v>9823.6243503242749</v>
      </c>
      <c r="AL9" s="1">
        <v>9470.7779764473325</v>
      </c>
      <c r="AM9" s="1">
        <v>9135.0453869303255</v>
      </c>
    </row>
    <row r="10" spans="1:39">
      <c r="A10">
        <v>9</v>
      </c>
      <c r="B10" s="1">
        <v>88731.591708469932</v>
      </c>
      <c r="C10" s="1">
        <v>79361.117812002107</v>
      </c>
      <c r="D10" s="1">
        <v>71406.338426601505</v>
      </c>
      <c r="E10" s="1">
        <v>64684.310012017675</v>
      </c>
      <c r="F10" s="1">
        <v>58966.704006858185</v>
      </c>
      <c r="G10" s="1">
        <v>54031.47540779024</v>
      </c>
      <c r="H10" s="1">
        <v>49729.933798925988</v>
      </c>
      <c r="I10" s="1">
        <v>45948.613185631555</v>
      </c>
      <c r="J10" s="1">
        <v>42599.830809281746</v>
      </c>
      <c r="K10" s="1">
        <v>39614.042380026534</v>
      </c>
      <c r="L10" s="1">
        <v>36936.32274518317</v>
      </c>
      <c r="M10" s="1">
        <v>34645.581225497088</v>
      </c>
      <c r="N10" s="1">
        <v>32576.035473146723</v>
      </c>
      <c r="O10" s="1">
        <v>30697.674232804013</v>
      </c>
      <c r="P10" s="1">
        <v>28985.733510640464</v>
      </c>
      <c r="Q10" s="1">
        <v>27419.720725111867</v>
      </c>
      <c r="R10" s="1">
        <v>25982.331425802975</v>
      </c>
      <c r="S10" s="1">
        <v>24658.992706364745</v>
      </c>
      <c r="T10" s="1">
        <v>23437.011253035213</v>
      </c>
      <c r="U10" s="1">
        <v>22305.245434547691</v>
      </c>
      <c r="V10" s="1">
        <v>21254.250572870777</v>
      </c>
      <c r="W10" s="1">
        <v>20275.785142509882</v>
      </c>
      <c r="X10" s="1">
        <v>19362.697607019862</v>
      </c>
      <c r="Y10" s="1">
        <v>18508.80807077347</v>
      </c>
      <c r="Z10" s="1">
        <v>17708.677771030387</v>
      </c>
      <c r="AA10" s="1">
        <v>16957.526382720087</v>
      </c>
      <c r="AB10" s="1">
        <v>16251.078395815894</v>
      </c>
      <c r="AC10" s="1">
        <v>15585.571639360844</v>
      </c>
      <c r="AD10" s="1">
        <v>14957.706177199092</v>
      </c>
      <c r="AE10" s="1">
        <v>14364.583890666459</v>
      </c>
      <c r="AF10" s="1">
        <v>13803.658366626734</v>
      </c>
      <c r="AG10" s="1">
        <v>13272.615810552525</v>
      </c>
      <c r="AH10" s="1">
        <v>12769.363507778058</v>
      </c>
      <c r="AI10" s="1">
        <v>12291.935820466095</v>
      </c>
      <c r="AJ10" s="1">
        <v>11838.612506685749</v>
      </c>
      <c r="AK10" s="1">
        <v>11407.824685873242</v>
      </c>
      <c r="AL10" s="1">
        <v>10998.167786454746</v>
      </c>
      <c r="AM10" s="1">
        <v>10608.316500701461</v>
      </c>
    </row>
    <row r="11" spans="1:39">
      <c r="A11">
        <v>10</v>
      </c>
      <c r="B11" s="1">
        <v>99999.999999999985</v>
      </c>
      <c r="C11" s="1">
        <v>89677.168275789561</v>
      </c>
      <c r="D11" s="1">
        <v>80931.069758627142</v>
      </c>
      <c r="E11" s="1">
        <v>73375.606375837931</v>
      </c>
      <c r="F11" s="1">
        <v>66940.978923176925</v>
      </c>
      <c r="G11" s="1">
        <v>61387.162711963494</v>
      </c>
      <c r="H11" s="1">
        <v>56545.936664786481</v>
      </c>
      <c r="I11" s="1">
        <v>52289.814590180315</v>
      </c>
      <c r="J11" s="1">
        <v>48519.873145467616</v>
      </c>
      <c r="K11" s="1">
        <v>45158.452283086044</v>
      </c>
      <c r="L11" s="1">
        <v>42143.251432753357</v>
      </c>
      <c r="M11" s="1">
        <v>39533.41042842139</v>
      </c>
      <c r="N11" s="1">
        <v>37175.117341914556</v>
      </c>
      <c r="O11" s="1">
        <v>35034.331166145304</v>
      </c>
      <c r="P11" s="1">
        <v>33082.843374750395</v>
      </c>
      <c r="Q11" s="1">
        <v>31297.186837915448</v>
      </c>
      <c r="R11" s="1">
        <v>29657.792232541451</v>
      </c>
      <c r="S11" s="1">
        <v>28148.023567469343</v>
      </c>
      <c r="T11" s="1">
        <v>26753.775035486444</v>
      </c>
      <c r="U11" s="1">
        <v>25462.63648230258</v>
      </c>
      <c r="V11" s="1">
        <v>24263.627530059461</v>
      </c>
      <c r="W11" s="1">
        <v>23147.42450942584</v>
      </c>
      <c r="X11" s="1">
        <v>22105.814316911306</v>
      </c>
      <c r="Y11" s="1">
        <v>21131.731847643528</v>
      </c>
      <c r="Z11" s="1">
        <v>20218.979840859658</v>
      </c>
      <c r="AA11" s="1">
        <v>19362.135493758309</v>
      </c>
      <c r="AB11" s="1">
        <v>18556.352489629757</v>
      </c>
      <c r="AC11" s="1">
        <v>17797.300629609425</v>
      </c>
      <c r="AD11" s="1">
        <v>17081.148099476646</v>
      </c>
      <c r="AE11" s="1">
        <v>16404.570992079458</v>
      </c>
      <c r="AF11" s="1">
        <v>15764.595744528335</v>
      </c>
      <c r="AG11" s="1">
        <v>15158.65788198808</v>
      </c>
      <c r="AH11" s="1">
        <v>14584.344744418757</v>
      </c>
      <c r="AI11" s="1">
        <v>14039.475732484238</v>
      </c>
      <c r="AJ11" s="1">
        <v>13522.045823936243</v>
      </c>
      <c r="AK11" s="1">
        <v>13030.256248516012</v>
      </c>
      <c r="AL11" s="1">
        <v>12562.484113291834</v>
      </c>
      <c r="AM11" s="1">
        <v>12117.273462332749</v>
      </c>
    </row>
    <row r="12" spans="1:39">
      <c r="A12">
        <v>11</v>
      </c>
      <c r="B12" s="1">
        <v>0</v>
      </c>
      <c r="C12" s="1">
        <v>100000</v>
      </c>
      <c r="D12" s="1">
        <v>90463.901874094765</v>
      </c>
      <c r="E12" s="1">
        <v>82246.728545137172</v>
      </c>
      <c r="F12" s="1">
        <v>75080.216600946718</v>
      </c>
      <c r="G12" s="1">
        <v>68894.975039291865</v>
      </c>
      <c r="H12" s="1">
        <v>63503.687046681502</v>
      </c>
      <c r="I12" s="1">
        <v>58763.503091766303</v>
      </c>
      <c r="J12" s="1">
        <v>54564.455860327973</v>
      </c>
      <c r="K12" s="1">
        <v>50819.815999571918</v>
      </c>
      <c r="L12" s="1">
        <v>47460.775118428814</v>
      </c>
      <c r="M12" s="1">
        <v>44526.337619599457</v>
      </c>
      <c r="N12" s="1">
        <v>41874.168994660613</v>
      </c>
      <c r="O12" s="1">
        <v>39466.111423409908</v>
      </c>
      <c r="P12" s="1">
        <v>37270.609102375907</v>
      </c>
      <c r="Q12" s="1">
        <v>35261.286820692221</v>
      </c>
      <c r="R12" s="1">
        <v>33416.027325981646</v>
      </c>
      <c r="S12" s="1">
        <v>31716.26687778749</v>
      </c>
      <c r="T12" s="1">
        <v>30146.112118644924</v>
      </c>
      <c r="U12" s="1">
        <v>28691.962825450028</v>
      </c>
      <c r="V12" s="1">
        <v>27341.755010869711</v>
      </c>
      <c r="W12" s="1">
        <v>26084.786095567502</v>
      </c>
      <c r="X12" s="1">
        <v>24911.889176873276</v>
      </c>
      <c r="Y12" s="1">
        <v>23815.042581078218</v>
      </c>
      <c r="Z12" s="1">
        <v>22787.254263494633</v>
      </c>
      <c r="AA12" s="1">
        <v>21822.41748589262</v>
      </c>
      <c r="AB12" s="1">
        <v>20915.108997462259</v>
      </c>
      <c r="AC12" s="1">
        <v>20060.483137698393</v>
      </c>
      <c r="AD12" s="1">
        <v>19254.188036307587</v>
      </c>
      <c r="AE12" s="1">
        <v>18492.407766537661</v>
      </c>
      <c r="AF12" s="1">
        <v>17771.778482638339</v>
      </c>
      <c r="AG12" s="1">
        <v>17089.337924773779</v>
      </c>
      <c r="AH12" s="1">
        <v>16442.450230087623</v>
      </c>
      <c r="AI12" s="1">
        <v>15828.638912255838</v>
      </c>
      <c r="AJ12" s="1">
        <v>15245.703642259683</v>
      </c>
      <c r="AK12" s="1">
        <v>14691.579527620757</v>
      </c>
      <c r="AL12" s="1">
        <v>14164.429562784697</v>
      </c>
      <c r="AM12" s="1">
        <v>13662.593443679258</v>
      </c>
    </row>
    <row r="13" spans="1:39">
      <c r="A13">
        <v>12</v>
      </c>
      <c r="B13" s="1">
        <v>0</v>
      </c>
      <c r="C13" s="1">
        <v>0</v>
      </c>
      <c r="D13" s="1">
        <v>100000.00000000003</v>
      </c>
      <c r="E13" s="1">
        <v>91123.146123354498</v>
      </c>
      <c r="F13" s="1">
        <v>83385.760307371122</v>
      </c>
      <c r="G13" s="1">
        <v>76556.244738796362</v>
      </c>
      <c r="H13" s="1">
        <v>70603.667968358408</v>
      </c>
      <c r="I13" s="1">
        <v>65370.368089205956</v>
      </c>
      <c r="J13" s="1">
        <v>60734.042844465119</v>
      </c>
      <c r="K13" s="1">
        <v>56599.149705611853</v>
      </c>
      <c r="L13" s="1">
        <v>52889.440167637433</v>
      </c>
      <c r="M13" s="1">
        <v>49625.083226927862</v>
      </c>
      <c r="N13" s="1">
        <v>46674.040701539787</v>
      </c>
      <c r="O13" s="1">
        <v>43994.015916013625</v>
      </c>
      <c r="P13" s="1">
        <v>41550.030547649694</v>
      </c>
      <c r="Q13" s="1">
        <v>39312.904736561279</v>
      </c>
      <c r="R13" s="1">
        <v>37258.045879347927</v>
      </c>
      <c r="S13" s="1">
        <v>35364.690031846971</v>
      </c>
      <c r="T13" s="1">
        <v>33615.293690975792</v>
      </c>
      <c r="U13" s="1">
        <v>31994.700321913038</v>
      </c>
      <c r="V13" s="1">
        <v>30489.841388521392</v>
      </c>
      <c r="W13" s="1">
        <v>29089.084229428052</v>
      </c>
      <c r="X13" s="1">
        <v>27782.017968222866</v>
      </c>
      <c r="Y13" s="1">
        <v>26559.772968514855</v>
      </c>
      <c r="Z13" s="1">
        <v>25414.493776152813</v>
      </c>
      <c r="AA13" s="1">
        <v>24339.355334999407</v>
      </c>
      <c r="AB13" s="1">
        <v>23328.317579551782</v>
      </c>
      <c r="AC13" s="1">
        <v>22376.01427567334</v>
      </c>
      <c r="AD13" s="1">
        <v>21477.626600765692</v>
      </c>
      <c r="AE13" s="1">
        <v>20628.859408589269</v>
      </c>
      <c r="AF13" s="1">
        <v>19825.893614274115</v>
      </c>
      <c r="AG13" s="1">
        <v>19065.406575327161</v>
      </c>
      <c r="AH13" s="1">
        <v>18344.393357023248</v>
      </c>
      <c r="AI13" s="1">
        <v>17660.17814086908</v>
      </c>
      <c r="AJ13" s="1">
        <v>17010.285016700567</v>
      </c>
      <c r="AK13" s="1">
        <v>16392.47240615289</v>
      </c>
      <c r="AL13" s="1">
        <v>15804.653461133008</v>
      </c>
      <c r="AM13" s="1">
        <v>15244.968032150327</v>
      </c>
    </row>
    <row r="14" spans="1:39">
      <c r="A14">
        <v>13</v>
      </c>
      <c r="B14" s="1">
        <v>0</v>
      </c>
      <c r="C14" s="1">
        <v>0</v>
      </c>
      <c r="D14" s="1">
        <v>0</v>
      </c>
      <c r="E14" s="1">
        <v>99999.999999999985</v>
      </c>
      <c r="F14" s="1">
        <v>91693.99201431546</v>
      </c>
      <c r="G14" s="1">
        <v>84372.082717311365</v>
      </c>
      <c r="H14" s="1">
        <v>77847.018624441975</v>
      </c>
      <c r="I14" s="1">
        <v>72110.714330651856</v>
      </c>
      <c r="J14" s="1">
        <v>67029.171165111227</v>
      </c>
      <c r="K14" s="1">
        <v>62496.778622105528</v>
      </c>
      <c r="L14" s="1">
        <v>58430.150468597953</v>
      </c>
      <c r="M14" s="1">
        <v>54830.195416185546</v>
      </c>
      <c r="N14" s="1">
        <v>51575.446990304255</v>
      </c>
      <c r="O14" s="1">
        <v>48618.88365603306</v>
      </c>
      <c r="P14" s="1">
        <v>45922.09268869146</v>
      </c>
      <c r="Q14" s="1">
        <v>43453.023654851095</v>
      </c>
      <c r="R14" s="1">
        <v>41184.7161734935</v>
      </c>
      <c r="S14" s="1">
        <v>39094.283091616555</v>
      </c>
      <c r="T14" s="1">
        <v>37162.267972082765</v>
      </c>
      <c r="U14" s="1">
        <v>35372.096362596894</v>
      </c>
      <c r="V14" s="1">
        <v>33709.337535935294</v>
      </c>
      <c r="W14" s="1">
        <v>32161.507813410419</v>
      </c>
      <c r="X14" s="1">
        <v>30717.396655308599</v>
      </c>
      <c r="Y14" s="1">
        <v>29367.002885470945</v>
      </c>
      <c r="Z14" s="1">
        <v>28101.716519603586</v>
      </c>
      <c r="AA14" s="1">
        <v>26913.928122866309</v>
      </c>
      <c r="AB14" s="1">
        <v>25796.948133200265</v>
      </c>
      <c r="AC14" s="1">
        <v>24744.851316150522</v>
      </c>
      <c r="AD14" s="1">
        <v>23752.347622533613</v>
      </c>
      <c r="AE14" s="1">
        <v>22814.716105608983</v>
      </c>
      <c r="AF14" s="1">
        <v>21927.69601998321</v>
      </c>
      <c r="AG14" s="1">
        <v>21087.540716571551</v>
      </c>
      <c r="AH14" s="1">
        <v>20290.913935170436</v>
      </c>
      <c r="AI14" s="1">
        <v>19534.796102042579</v>
      </c>
      <c r="AJ14" s="1">
        <v>18816.531858704351</v>
      </c>
      <c r="AK14" s="1">
        <v>18133.623423632245</v>
      </c>
      <c r="AL14" s="1">
        <v>17483.823265018047</v>
      </c>
      <c r="AM14" s="1">
        <v>16865.036193444826</v>
      </c>
    </row>
    <row r="15" spans="1:39">
      <c r="A15">
        <v>14</v>
      </c>
      <c r="B15" s="1">
        <v>0</v>
      </c>
      <c r="C15" s="1">
        <v>0</v>
      </c>
      <c r="D15" s="1">
        <v>0</v>
      </c>
      <c r="E15" s="1">
        <v>0</v>
      </c>
      <c r="F15" s="1">
        <v>100000</v>
      </c>
      <c r="G15" s="1">
        <v>92188.321766361085</v>
      </c>
      <c r="H15" s="1">
        <v>85234.644478694347</v>
      </c>
      <c r="I15" s="1">
        <v>78985.508688383401</v>
      </c>
      <c r="J15" s="1">
        <v>73449.984685871939</v>
      </c>
      <c r="K15" s="1">
        <v>68513.101616158761</v>
      </c>
      <c r="L15" s="1">
        <v>64083.104727699894</v>
      </c>
      <c r="M15" s="1">
        <v>60142.5762705776</v>
      </c>
      <c r="N15" s="1">
        <v>56578.941460254318</v>
      </c>
      <c r="O15" s="1">
        <v>53341.426985860227</v>
      </c>
      <c r="P15" s="1">
        <v>50387.626922976378</v>
      </c>
      <c r="Q15" s="1">
        <v>47682.61605545877</v>
      </c>
      <c r="R15" s="1">
        <v>45197.007752555626</v>
      </c>
      <c r="S15" s="1">
        <v>42905.901796742859</v>
      </c>
      <c r="T15" s="1">
        <v>40788.008904822906</v>
      </c>
      <c r="U15" s="1">
        <v>38825.082886637429</v>
      </c>
      <c r="V15" s="1">
        <v>37001.469325267186</v>
      </c>
      <c r="W15" s="1">
        <v>35303.484357621608</v>
      </c>
      <c r="X15" s="1">
        <v>33719.196337998241</v>
      </c>
      <c r="Y15" s="1">
        <v>32237.91132059164</v>
      </c>
      <c r="Z15" s="1">
        <v>30849.987803761207</v>
      </c>
      <c r="AA15" s="1">
        <v>29547.140685624006</v>
      </c>
      <c r="AB15" s="1">
        <v>28321.967237513356</v>
      </c>
      <c r="AC15" s="1">
        <v>27167.952089598086</v>
      </c>
      <c r="AD15" s="1">
        <v>26079.296867934372</v>
      </c>
      <c r="AE15" s="1">
        <v>25050.851283751032</v>
      </c>
      <c r="AF15" s="1">
        <v>24077.966415656847</v>
      </c>
      <c r="AG15" s="1">
        <v>23156.485861261168</v>
      </c>
      <c r="AH15" s="1">
        <v>22282.679740923581</v>
      </c>
      <c r="AI15" s="1">
        <v>21453.222641172659</v>
      </c>
      <c r="AJ15" s="1">
        <v>20665.13701448993</v>
      </c>
      <c r="AK15" s="1">
        <v>19915.764340160626</v>
      </c>
      <c r="AL15" s="1">
        <v>19202.617755978448</v>
      </c>
      <c r="AM15" s="1">
        <v>18523.455699297952</v>
      </c>
    </row>
    <row r="16" spans="1:39">
      <c r="A16">
        <v>15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100000.00000000003</v>
      </c>
      <c r="H16" s="1">
        <v>92620.641777724537</v>
      </c>
      <c r="I16" s="1">
        <v>85995.473100439529</v>
      </c>
      <c r="J16" s="1">
        <v>79997.295107062484</v>
      </c>
      <c r="K16" s="1">
        <v>74648.116302208291</v>
      </c>
      <c r="L16" s="1">
        <v>69848.575675580243</v>
      </c>
      <c r="M16" s="1">
        <v>65562.450786333313</v>
      </c>
      <c r="N16" s="1">
        <v>61685.427654183419</v>
      </c>
      <c r="O16" s="1">
        <v>58162.20804994637</v>
      </c>
      <c r="P16" s="1">
        <v>54947.3466144224</v>
      </c>
      <c r="Q16" s="1">
        <v>52002.508888328979</v>
      </c>
      <c r="R16" s="1">
        <v>49295.883605698153</v>
      </c>
      <c r="S16" s="1">
        <v>46800.505036832299</v>
      </c>
      <c r="T16" s="1">
        <v>44493.362550000667</v>
      </c>
      <c r="U16" s="1">
        <v>42354.620367166943</v>
      </c>
      <c r="V16" s="1">
        <v>40367.154987048641</v>
      </c>
      <c r="W16" s="1">
        <v>38516.220252539693</v>
      </c>
      <c r="X16" s="1">
        <v>36788.822632867486</v>
      </c>
      <c r="Y16" s="1">
        <v>35173.653074817987</v>
      </c>
      <c r="Z16" s="1">
        <v>33660.470901156157</v>
      </c>
      <c r="AA16" s="1">
        <v>32240.04498165967</v>
      </c>
      <c r="AB16" s="1">
        <v>30904.367560787337</v>
      </c>
      <c r="AC16" s="1">
        <v>29646.271721097994</v>
      </c>
      <c r="AD16" s="1">
        <v>28459.421025847292</v>
      </c>
      <c r="AE16" s="1">
        <v>27338.200010682878</v>
      </c>
      <c r="AF16" s="1">
        <v>26277.568631564551</v>
      </c>
      <c r="AG16" s="1">
        <v>25273.014129867388</v>
      </c>
      <c r="AH16" s="1">
        <v>24320.427788709716</v>
      </c>
      <c r="AI16" s="1">
        <v>23416.117388646882</v>
      </c>
      <c r="AJ16" s="1">
        <v>22556.821161563141</v>
      </c>
      <c r="AK16" s="1">
        <v>21739.578970730654</v>
      </c>
      <c r="AL16" s="1">
        <v>20961.759210310778</v>
      </c>
      <c r="AM16" s="1">
        <v>20220.896278203734</v>
      </c>
    </row>
    <row r="17" spans="1:39">
      <c r="A17">
        <v>16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100000</v>
      </c>
      <c r="I17" s="1">
        <v>93001.989584872295</v>
      </c>
      <c r="J17" s="1">
        <v>86671.658880868417</v>
      </c>
      <c r="K17" s="1">
        <v>80902.493604497417</v>
      </c>
      <c r="L17" s="1">
        <v>75726.42718823161</v>
      </c>
      <c r="M17" s="1">
        <v>71090.124165776084</v>
      </c>
      <c r="N17" s="1">
        <v>66895.159067488727</v>
      </c>
      <c r="O17" s="1">
        <v>63082.134635728638</v>
      </c>
      <c r="P17" s="1">
        <v>59601.82513253278</v>
      </c>
      <c r="Q17" s="1">
        <v>56413.419321651607</v>
      </c>
      <c r="R17" s="1">
        <v>53482.169005091731</v>
      </c>
      <c r="S17" s="1">
        <v>50779.048957043546</v>
      </c>
      <c r="T17" s="1">
        <v>48279.279675411788</v>
      </c>
      <c r="U17" s="1">
        <v>45961.547714932734</v>
      </c>
      <c r="V17" s="1">
        <v>43807.343876616978</v>
      </c>
      <c r="W17" s="1">
        <v>41800.622305523502</v>
      </c>
      <c r="X17" s="1">
        <v>39927.464280234337</v>
      </c>
      <c r="Y17" s="1">
        <v>38175.613202697983</v>
      </c>
      <c r="Z17" s="1">
        <v>36534.305675414704</v>
      </c>
      <c r="AA17" s="1">
        <v>34993.789710445235</v>
      </c>
      <c r="AB17" s="1">
        <v>33545.188812711924</v>
      </c>
      <c r="AC17" s="1">
        <v>32180.791744975955</v>
      </c>
      <c r="AD17" s="1">
        <v>30893.664725089526</v>
      </c>
      <c r="AE17" s="1">
        <v>29677.698680578542</v>
      </c>
      <c r="AF17" s="1">
        <v>28527.427780122565</v>
      </c>
      <c r="AG17" s="1">
        <v>27437.9804989964</v>
      </c>
      <c r="AH17" s="1">
        <v>26404.922408350125</v>
      </c>
      <c r="AI17" s="1">
        <v>25424.20966152467</v>
      </c>
      <c r="AJ17" s="1">
        <v>24492.236670032009</v>
      </c>
      <c r="AK17" s="1">
        <v>23605.779562514861</v>
      </c>
      <c r="AL17" s="1">
        <v>22761.923159840382</v>
      </c>
      <c r="AM17" s="1">
        <v>21958.071344157077</v>
      </c>
    </row>
    <row r="18" spans="1:39">
      <c r="A18">
        <v>17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99999.999999999956</v>
      </c>
      <c r="J18" s="1">
        <v>93340.928902537707</v>
      </c>
      <c r="K18" s="1">
        <v>87276.639636861612</v>
      </c>
      <c r="L18" s="1">
        <v>81717.201674197102</v>
      </c>
      <c r="M18" s="1">
        <v>76725.51563297167</v>
      </c>
      <c r="N18" s="1">
        <v>72208.474924268114</v>
      </c>
      <c r="O18" s="1">
        <v>68101.490614117123</v>
      </c>
      <c r="P18" s="1">
        <v>64351.976901964634</v>
      </c>
      <c r="Q18" s="1">
        <v>60915.934268939985</v>
      </c>
      <c r="R18" s="1">
        <v>57756.587352896626</v>
      </c>
      <c r="S18" s="1">
        <v>54842.359586436396</v>
      </c>
      <c r="T18" s="1">
        <v>52146.711914262225</v>
      </c>
      <c r="U18" s="1">
        <v>49646.809810855797</v>
      </c>
      <c r="V18" s="1">
        <v>47322.869993076645</v>
      </c>
      <c r="W18" s="1">
        <v>45157.630841134196</v>
      </c>
      <c r="X18" s="1">
        <v>43136.01870545539</v>
      </c>
      <c r="Y18" s="1">
        <v>41244.964442857738</v>
      </c>
      <c r="Z18" s="1">
        <v>39472.857832044792</v>
      </c>
      <c r="AA18" s="1">
        <v>37809.501031732209</v>
      </c>
      <c r="AB18" s="1">
        <v>36245.566160432048</v>
      </c>
      <c r="AC18" s="1">
        <v>34772.540625689573</v>
      </c>
      <c r="AD18" s="1">
        <v>33382.9993101867</v>
      </c>
      <c r="AE18" s="1">
        <v>32070.282301508447</v>
      </c>
      <c r="AF18" s="1">
        <v>30828.470739544566</v>
      </c>
      <c r="AG18" s="1">
        <v>29652.300809559685</v>
      </c>
      <c r="AH18" s="1">
        <v>28537.010405746289</v>
      </c>
      <c r="AI18" s="1">
        <v>27478.256740387147</v>
      </c>
      <c r="AJ18" s="1">
        <v>26472.105898610411</v>
      </c>
      <c r="AK18" s="1">
        <v>25515.012043406208</v>
      </c>
      <c r="AL18" s="1">
        <v>24603.814105802609</v>
      </c>
      <c r="AM18" s="1">
        <v>23735.648841321097</v>
      </c>
    </row>
    <row r="19" spans="1:39">
      <c r="A19">
        <v>18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99999.999999999971</v>
      </c>
      <c r="K19" s="1">
        <v>93644.192328902791</v>
      </c>
      <c r="L19" s="1">
        <v>87821.167821845433</v>
      </c>
      <c r="M19" s="1">
        <v>82469.206424049844</v>
      </c>
      <c r="N19" s="1">
        <v>77625.350128265942</v>
      </c>
      <c r="O19" s="1">
        <v>73220.650531761115</v>
      </c>
      <c r="P19" s="1">
        <v>69198.117769249206</v>
      </c>
      <c r="Q19" s="1">
        <v>65510.976858904469</v>
      </c>
      <c r="R19" s="1">
        <v>62119.741126061701</v>
      </c>
      <c r="S19" s="1">
        <v>58991.168693294712</v>
      </c>
      <c r="T19" s="1">
        <v>56096.488192791781</v>
      </c>
      <c r="U19" s="1">
        <v>53411.35582985208</v>
      </c>
      <c r="V19" s="1">
        <v>50914.674307371199</v>
      </c>
      <c r="W19" s="1">
        <v>48588.076924629313</v>
      </c>
      <c r="X19" s="1">
        <v>46415.419065130365</v>
      </c>
      <c r="Y19" s="1">
        <v>44382.596663219098</v>
      </c>
      <c r="Z19" s="1">
        <v>42477.285598606933</v>
      </c>
      <c r="AA19" s="1">
        <v>40688.526407260892</v>
      </c>
      <c r="AB19" s="1">
        <v>39006.613180348577</v>
      </c>
      <c r="AC19" s="1">
        <v>37422.640947536602</v>
      </c>
      <c r="AD19" s="1">
        <v>35928.442917439919</v>
      </c>
      <c r="AE19" s="1">
        <v>34516.912891059292</v>
      </c>
      <c r="AF19" s="1">
        <v>33181.623701408127</v>
      </c>
      <c r="AG19" s="1">
        <v>31916.893139404001</v>
      </c>
      <c r="AH19" s="1">
        <v>30717.598980294784</v>
      </c>
      <c r="AI19" s="1">
        <v>29579.097891035872</v>
      </c>
      <c r="AJ19" s="1">
        <v>28497.179762534557</v>
      </c>
      <c r="AK19" s="1">
        <v>27467.992496947947</v>
      </c>
      <c r="AL19" s="1">
        <v>26488.072291455093</v>
      </c>
      <c r="AM19" s="1">
        <v>25554.326161332763</v>
      </c>
    </row>
    <row r="20" spans="1:39">
      <c r="A20">
        <v>19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99999.999999999985</v>
      </c>
      <c r="L20" s="1">
        <v>93917.166448046817</v>
      </c>
      <c r="M20" s="1">
        <v>88321.520886976141</v>
      </c>
      <c r="N20" s="1">
        <v>83146.405435771929</v>
      </c>
      <c r="O20" s="1">
        <v>78439.645217881844</v>
      </c>
      <c r="P20" s="1">
        <v>74140.658699553329</v>
      </c>
      <c r="Q20" s="1">
        <v>70198.896282039481</v>
      </c>
      <c r="R20" s="1">
        <v>66572.563955494377</v>
      </c>
      <c r="S20" s="1">
        <v>63226.096085269302</v>
      </c>
      <c r="T20" s="1">
        <v>60129.350513679892</v>
      </c>
      <c r="U20" s="1">
        <v>57256.019472526721</v>
      </c>
      <c r="V20" s="1">
        <v>54583.70534880941</v>
      </c>
      <c r="W20" s="1">
        <v>52092.89936166205</v>
      </c>
      <c r="X20" s="1">
        <v>49766.495249356019</v>
      </c>
      <c r="Y20" s="1">
        <v>47589.437515318903</v>
      </c>
      <c r="Z20" s="1">
        <v>45548.472923895039</v>
      </c>
      <c r="AA20" s="1">
        <v>43632.010901801237</v>
      </c>
      <c r="AB20" s="1">
        <v>41829.660101894391</v>
      </c>
      <c r="AC20" s="1">
        <v>40132.194723234454</v>
      </c>
      <c r="AD20" s="1">
        <v>38531.106418534589</v>
      </c>
      <c r="AE20" s="1">
        <v>37018.599095858182</v>
      </c>
      <c r="AF20" s="1">
        <v>35587.840148994692</v>
      </c>
      <c r="AG20" s="1">
        <v>34232.675601868803</v>
      </c>
      <c r="AH20" s="1">
        <v>32947.598068002808</v>
      </c>
      <c r="AI20" s="1">
        <v>31727.632254033906</v>
      </c>
      <c r="AJ20" s="1">
        <v>30568.290570096251</v>
      </c>
      <c r="AK20" s="1">
        <v>29465.466105201605</v>
      </c>
      <c r="AL20" s="1">
        <v>28415.408158308215</v>
      </c>
      <c r="AM20" s="1">
        <v>27414.738565992313</v>
      </c>
    </row>
    <row r="21" spans="1:39">
      <c r="A21">
        <v>20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100000</v>
      </c>
      <c r="M21" s="1">
        <v>94166.747321530303</v>
      </c>
      <c r="N21" s="1">
        <v>88772.020717209816</v>
      </c>
      <c r="O21" s="1">
        <v>83759.135496644914</v>
      </c>
      <c r="P21" s="1">
        <v>79179.686622226305</v>
      </c>
      <c r="Q21" s="1">
        <v>74980.140846929236</v>
      </c>
      <c r="R21" s="1">
        <v>71115.439553979682</v>
      </c>
      <c r="S21" s="1">
        <v>67548.0874677557</v>
      </c>
      <c r="T21" s="1">
        <v>64245.937555591016</v>
      </c>
      <c r="U21" s="1">
        <v>61181.554605529833</v>
      </c>
      <c r="V21" s="1">
        <v>58330.803241062167</v>
      </c>
      <c r="W21" s="1">
        <v>55673.047630479086</v>
      </c>
      <c r="X21" s="1">
        <v>53190.185450231809</v>
      </c>
      <c r="Y21" s="1">
        <v>50866.317276629001</v>
      </c>
      <c r="Z21" s="1">
        <v>48687.343446323961</v>
      </c>
      <c r="AA21" s="1">
        <v>46640.834015418215</v>
      </c>
      <c r="AB21" s="1">
        <v>44715.840049626742</v>
      </c>
      <c r="AC21" s="1">
        <v>42902.515878037382</v>
      </c>
      <c r="AD21" s="1">
        <v>41192.081194676612</v>
      </c>
      <c r="AE21" s="1">
        <v>39576.440872597239</v>
      </c>
      <c r="AF21" s="1">
        <v>38048.12001001199</v>
      </c>
      <c r="AG21" s="1">
        <v>36600.5938732547</v>
      </c>
      <c r="AH21" s="1">
        <v>35227.918382428623</v>
      </c>
      <c r="AI21" s="1">
        <v>33924.762231911416</v>
      </c>
      <c r="AJ21" s="1">
        <v>32686.329942001412</v>
      </c>
      <c r="AK21" s="1">
        <v>31508.258758506912</v>
      </c>
      <c r="AL21" s="1">
        <v>30386.561741083042</v>
      </c>
      <c r="AM21" s="1">
        <v>29317.591442743673</v>
      </c>
    </row>
    <row r="22" spans="1:39">
      <c r="A22">
        <v>21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100000</v>
      </c>
      <c r="N22" s="1">
        <v>94391.416409416444</v>
      </c>
      <c r="O22" s="1">
        <v>89179.556589109052</v>
      </c>
      <c r="P22" s="1">
        <v>84315.902863370356</v>
      </c>
      <c r="Q22" s="1">
        <v>79854.853697036917</v>
      </c>
      <c r="R22" s="1">
        <v>75748.85436040019</v>
      </c>
      <c r="S22" s="1">
        <v>71957.56209491138</v>
      </c>
      <c r="T22" s="1">
        <v>68447.208467125791</v>
      </c>
      <c r="U22" s="1">
        <v>65188.620109807729</v>
      </c>
      <c r="V22" s="1">
        <v>62156.735136653217</v>
      </c>
      <c r="W22" s="1">
        <v>59329.369717188427</v>
      </c>
      <c r="X22" s="1">
        <v>56687.441510172066</v>
      </c>
      <c r="Y22" s="1">
        <v>54214.174903153245</v>
      </c>
      <c r="Z22" s="1">
        <v>51894.729226702977</v>
      </c>
      <c r="AA22" s="1">
        <v>49715.916710222293</v>
      </c>
      <c r="AB22" s="1">
        <v>47666.029395693877</v>
      </c>
      <c r="AC22" s="1">
        <v>45734.726706449212</v>
      </c>
      <c r="AD22" s="1">
        <v>43912.665722530466</v>
      </c>
      <c r="AE22" s="1">
        <v>42191.51982332726</v>
      </c>
      <c r="AF22" s="1">
        <v>40563.553061097067</v>
      </c>
      <c r="AG22" s="1">
        <v>39021.639869731524</v>
      </c>
      <c r="AH22" s="1">
        <v>37559.498461072129</v>
      </c>
      <c r="AI22" s="1">
        <v>36171.391764448388</v>
      </c>
      <c r="AJ22" s="1">
        <v>34852.19330940643</v>
      </c>
      <c r="AK22" s="1">
        <v>33597.255057603994</v>
      </c>
      <c r="AL22" s="1">
        <v>32402.353012979445</v>
      </c>
      <c r="AM22" s="1">
        <v>31263.620222924281</v>
      </c>
    </row>
    <row r="23" spans="1:39">
      <c r="A23">
        <v>22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99999.999999999971</v>
      </c>
      <c r="O23" s="1">
        <v>94594.616561595001</v>
      </c>
      <c r="P23" s="1">
        <v>89549.79779935113</v>
      </c>
      <c r="Q23" s="1">
        <v>84823.777001888229</v>
      </c>
      <c r="R23" s="1">
        <v>80473.007801579777</v>
      </c>
      <c r="S23" s="1">
        <v>76455.045207740244</v>
      </c>
      <c r="T23" s="1">
        <v>72733.618911475991</v>
      </c>
      <c r="U23" s="1">
        <v>69278.189759846704</v>
      </c>
      <c r="V23" s="1">
        <v>66062.181267716616</v>
      </c>
      <c r="W23" s="1">
        <v>63062.647289033703</v>
      </c>
      <c r="X23" s="1">
        <v>60259.120547218605</v>
      </c>
      <c r="Y23" s="1">
        <v>57633.965853502057</v>
      </c>
      <c r="Z23" s="1">
        <v>55171.57121555919</v>
      </c>
      <c r="AA23" s="1">
        <v>52858.094074170491</v>
      </c>
      <c r="AB23" s="1">
        <v>50681.147624760779</v>
      </c>
      <c r="AC23" s="1">
        <v>48629.701638926163</v>
      </c>
      <c r="AD23" s="1">
        <v>46693.972479325261</v>
      </c>
      <c r="AE23" s="1">
        <v>44865.119764485993</v>
      </c>
      <c r="AF23" s="1">
        <v>43135.211908909587</v>
      </c>
      <c r="AG23" s="1">
        <v>41496.893863577592</v>
      </c>
      <c r="AH23" s="1">
        <v>39943.322858689709</v>
      </c>
      <c r="AI23" s="1">
        <v>38468.452866806998</v>
      </c>
      <c r="AJ23" s="1">
        <v>37066.778415994282</v>
      </c>
      <c r="AK23" s="1">
        <v>35733.343983036844</v>
      </c>
      <c r="AL23" s="1">
        <v>34463.660019330833</v>
      </c>
      <c r="AM23" s="1">
        <v>33253.639428172886</v>
      </c>
    </row>
    <row r="24" spans="1:39">
      <c r="A24">
        <v>23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100000.00000000004</v>
      </c>
      <c r="P24" s="1">
        <v>94779.180973142589</v>
      </c>
      <c r="Q24" s="1">
        <v>89887.456079730197</v>
      </c>
      <c r="R24" s="1">
        <v>85288.683161841735</v>
      </c>
      <c r="S24" s="1">
        <v>81040.792549697915</v>
      </c>
      <c r="T24" s="1">
        <v>77105.733489116727</v>
      </c>
      <c r="U24" s="1">
        <v>73450.756347209695</v>
      </c>
      <c r="V24" s="1">
        <v>70048.131057544044</v>
      </c>
      <c r="W24" s="1">
        <v>66873.582905075862</v>
      </c>
      <c r="X24" s="1">
        <v>63906.019818501481</v>
      </c>
      <c r="Y24" s="1">
        <v>61126.557491254564</v>
      </c>
      <c r="Z24" s="1">
        <v>58518.829603409431</v>
      </c>
      <c r="AA24" s="1">
        <v>56068.310147482029</v>
      </c>
      <c r="AB24" s="1">
        <v>53762.033960168112</v>
      </c>
      <c r="AC24" s="1">
        <v>51588.359757277947</v>
      </c>
      <c r="AD24" s="1">
        <v>49536.875024636487</v>
      </c>
      <c r="AE24" s="1">
        <v>47598.344280227175</v>
      </c>
      <c r="AF24" s="1">
        <v>45764.366439388796</v>
      </c>
      <c r="AG24" s="1">
        <v>44027.420185317191</v>
      </c>
      <c r="AH24" s="1">
        <v>42380.462965756436</v>
      </c>
      <c r="AI24" s="1">
        <v>40816.923332536266</v>
      </c>
      <c r="AJ24" s="1">
        <v>39331.011323289385</v>
      </c>
      <c r="AK24" s="1">
        <v>37917.417616941108</v>
      </c>
      <c r="AL24" s="1">
        <v>36571.365773572114</v>
      </c>
      <c r="AM24" s="1">
        <v>35288.520980698631</v>
      </c>
    </row>
    <row r="25" spans="1:39">
      <c r="A25">
        <v>24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100000</v>
      </c>
      <c r="Q25" s="1">
        <v>94947.464321265099</v>
      </c>
      <c r="R25" s="1">
        <v>90196.480480884435</v>
      </c>
      <c r="S25" s="1">
        <v>85715.628734061494</v>
      </c>
      <c r="T25" s="1">
        <v>81563.864242927593</v>
      </c>
      <c r="U25" s="1">
        <v>77706.924272753153</v>
      </c>
      <c r="V25" s="1">
        <v>74115.115015050469</v>
      </c>
      <c r="W25" s="1">
        <v>70763.182508903221</v>
      </c>
      <c r="X25" s="1">
        <v>67628.865051753091</v>
      </c>
      <c r="Y25" s="1">
        <v>64692.763595713652</v>
      </c>
      <c r="Z25" s="1">
        <v>61937.382984376243</v>
      </c>
      <c r="AA25" s="1">
        <v>59347.530841324267</v>
      </c>
      <c r="AB25" s="1">
        <v>56909.636506782757</v>
      </c>
      <c r="AC25" s="1">
        <v>54611.545405896613</v>
      </c>
      <c r="AD25" s="1">
        <v>52442.293006278873</v>
      </c>
      <c r="AE25" s="1">
        <v>50392.067026048382</v>
      </c>
      <c r="AF25" s="1">
        <v>48452.112192023313</v>
      </c>
      <c r="AG25" s="1">
        <v>46614.475464017902</v>
      </c>
      <c r="AH25" s="1">
        <v>44871.975497714506</v>
      </c>
      <c r="AI25" s="1">
        <v>43217.866246592348</v>
      </c>
      <c r="AJ25" s="1">
        <v>41645.863617548988</v>
      </c>
      <c r="AK25" s="1">
        <v>40150.396593348312</v>
      </c>
      <c r="AL25" s="1">
        <v>38726.357192096206</v>
      </c>
      <c r="AM25" s="1">
        <v>37369.142376374744</v>
      </c>
    </row>
    <row r="26" spans="1:39">
      <c r="A26">
        <v>25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100000</v>
      </c>
      <c r="R26" s="1">
        <v>95101.440095028913</v>
      </c>
      <c r="S26" s="1">
        <v>90480.208297886726</v>
      </c>
      <c r="T26" s="1">
        <v>86108.87726316927</v>
      </c>
      <c r="U26" s="1">
        <v>82047.06179575609</v>
      </c>
      <c r="V26" s="1">
        <v>78263.777680856278</v>
      </c>
      <c r="W26" s="1">
        <v>74732.014783479302</v>
      </c>
      <c r="X26" s="1">
        <v>71428.679468064831</v>
      </c>
      <c r="Y26" s="1">
        <v>68333.333778017142</v>
      </c>
      <c r="Z26" s="1">
        <v>65428.062476401035</v>
      </c>
      <c r="AA26" s="1">
        <v>62696.646844083894</v>
      </c>
      <c r="AB26" s="1">
        <v>60124.927772632596</v>
      </c>
      <c r="AC26" s="1">
        <v>57700.211620488975</v>
      </c>
      <c r="AD26" s="1">
        <v>55411.076772361797</v>
      </c>
      <c r="AE26" s="1">
        <v>53247.20908880599</v>
      </c>
      <c r="AF26" s="1">
        <v>51199.323798261597</v>
      </c>
      <c r="AG26" s="1">
        <v>49259.147971823884</v>
      </c>
      <c r="AH26" s="1">
        <v>47419.104450761326</v>
      </c>
      <c r="AI26" s="1">
        <v>45672.331319799043</v>
      </c>
      <c r="AJ26" s="1">
        <v>44012.390611268638</v>
      </c>
      <c r="AK26" s="1">
        <v>42433.246803966009</v>
      </c>
      <c r="AL26" s="1">
        <v>40929.549969377069</v>
      </c>
      <c r="AM26" s="1">
        <v>39496.385826422353</v>
      </c>
    </row>
    <row r="27" spans="1:39">
      <c r="A27">
        <v>26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100000.00000000003</v>
      </c>
      <c r="S27" s="1">
        <v>95242.776053744034</v>
      </c>
      <c r="T27" s="1">
        <v>90741.481336900964</v>
      </c>
      <c r="U27" s="1">
        <v>86472.076557495369</v>
      </c>
      <c r="V27" s="1">
        <v>82494.543388737162</v>
      </c>
      <c r="W27" s="1">
        <v>78780.764641004003</v>
      </c>
      <c r="X27" s="1">
        <v>75306.07028782698</v>
      </c>
      <c r="Y27" s="1">
        <v>72049.309183388919</v>
      </c>
      <c r="Z27" s="1">
        <v>68991.642188450089</v>
      </c>
      <c r="AA27" s="1">
        <v>66116.50731755438</v>
      </c>
      <c r="AB27" s="1">
        <v>63408.81129640311</v>
      </c>
      <c r="AC27" s="1">
        <v>60855.338280085954</v>
      </c>
      <c r="AD27" s="1">
        <v>58444.185065150865</v>
      </c>
      <c r="AE27" s="1">
        <v>56164.627609453491</v>
      </c>
      <c r="AF27" s="1">
        <v>54006.924578098558</v>
      </c>
      <c r="AG27" s="1">
        <v>51962.314115167494</v>
      </c>
      <c r="AH27" s="1">
        <v>50022.931542593586</v>
      </c>
      <c r="AI27" s="1">
        <v>48181.550496104617</v>
      </c>
      <c r="AJ27" s="1">
        <v>46431.635574052161</v>
      </c>
      <c r="AK27" s="1">
        <v>44767.01628346504</v>
      </c>
      <c r="AL27" s="1">
        <v>43181.90477829265</v>
      </c>
      <c r="AM27" s="1">
        <v>41671.162538929399</v>
      </c>
    </row>
    <row r="28" spans="1:39">
      <c r="A28">
        <v>27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100000</v>
      </c>
      <c r="T28" s="1">
        <v>95372.892490624843</v>
      </c>
      <c r="U28" s="1">
        <v>90982.731307066759</v>
      </c>
      <c r="V28" s="1">
        <v>86808.361342900535</v>
      </c>
      <c r="W28" s="1">
        <v>82909.912273081471</v>
      </c>
      <c r="X28" s="1">
        <v>79261.7629569438</v>
      </c>
      <c r="Y28" s="1">
        <v>75841.335838671541</v>
      </c>
      <c r="Z28" s="1">
        <v>72629.181750414427</v>
      </c>
      <c r="AA28" s="1">
        <v>69607.911383938757</v>
      </c>
      <c r="AB28" s="1">
        <v>66762.154890138641</v>
      </c>
      <c r="AC28" s="1">
        <v>64077.842431501587</v>
      </c>
      <c r="AD28" s="1">
        <v>61542.605825024373</v>
      </c>
      <c r="AE28" s="1">
        <v>59145.287729541815</v>
      </c>
      <c r="AF28" s="1">
        <v>56875.779179271471</v>
      </c>
      <c r="AG28" s="1">
        <v>54724.900166591862</v>
      </c>
      <c r="AH28" s="1">
        <v>52684.335678843294</v>
      </c>
      <c r="AI28" s="1">
        <v>50746.599595788612</v>
      </c>
      <c r="AJ28" s="1">
        <v>48904.818937282616</v>
      </c>
      <c r="AK28" s="1">
        <v>47152.742381837423</v>
      </c>
      <c r="AL28" s="1">
        <v>45484.462835544567</v>
      </c>
      <c r="AM28" s="1">
        <v>43894.428409910615</v>
      </c>
    </row>
    <row r="29" spans="1:39">
      <c r="A29">
        <v>28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100000.00000000003</v>
      </c>
      <c r="U29" s="1">
        <v>95493.004911215146</v>
      </c>
      <c r="V29" s="1">
        <v>91206.047932507543</v>
      </c>
      <c r="W29" s="1">
        <v>87120.448385362994</v>
      </c>
      <c r="X29" s="1">
        <v>83296.293271241593</v>
      </c>
      <c r="Y29" s="1">
        <v>79710.179810513131</v>
      </c>
      <c r="Z29" s="1">
        <v>76341.366196304371</v>
      </c>
      <c r="AA29" s="1">
        <v>73171.937631651439</v>
      </c>
      <c r="AB29" s="1">
        <v>70185.783116699269</v>
      </c>
      <c r="AC29" s="1">
        <v>67368.611052737615</v>
      </c>
      <c r="AD29" s="1">
        <v>64707.270185804147</v>
      </c>
      <c r="AE29" s="1">
        <v>62190.18606371052</v>
      </c>
      <c r="AF29" s="1">
        <v>59806.859769642506</v>
      </c>
      <c r="AG29" s="1">
        <v>57547.778922526973</v>
      </c>
      <c r="AH29" s="1">
        <v>55404.246735042994</v>
      </c>
      <c r="AI29" s="1">
        <v>53368.360684037973</v>
      </c>
      <c r="AJ29" s="1">
        <v>51433.011229005868</v>
      </c>
      <c r="AK29" s="1">
        <v>49591.634521111278</v>
      </c>
      <c r="AL29" s="1">
        <v>47838.256055527578</v>
      </c>
      <c r="AM29" s="1">
        <v>46167.218266049997</v>
      </c>
    </row>
    <row r="30" spans="1:39">
      <c r="A30">
        <v>29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100000.00000000003</v>
      </c>
      <c r="V30" s="1">
        <v>95604.15790317682</v>
      </c>
      <c r="W30" s="1">
        <v>91413.242632709997</v>
      </c>
      <c r="X30" s="1">
        <v>87410.693340041849</v>
      </c>
      <c r="Y30" s="1">
        <v>83656.432196600756</v>
      </c>
      <c r="Z30" s="1">
        <v>80129.002250156744</v>
      </c>
      <c r="AA30" s="1">
        <v>76809.31022871907</v>
      </c>
      <c r="AB30" s="1">
        <v>73680.793920818993</v>
      </c>
      <c r="AC30" s="1">
        <v>70728.494493232225</v>
      </c>
      <c r="AD30" s="1">
        <v>67939.084736262972</v>
      </c>
      <c r="AE30" s="1">
        <v>65300.268338286718</v>
      </c>
      <c r="AF30" s="1">
        <v>62801.172191163387</v>
      </c>
      <c r="AG30" s="1">
        <v>60431.930139857672</v>
      </c>
      <c r="AH30" s="1">
        <v>58183.546231175242</v>
      </c>
      <c r="AI30" s="1">
        <v>56047.767831628014</v>
      </c>
      <c r="AJ30" s="1">
        <v>54017.098275465782</v>
      </c>
      <c r="AK30" s="1">
        <v>52084.758496310504</v>
      </c>
      <c r="AL30" s="1">
        <v>50244.483320625324</v>
      </c>
      <c r="AM30" s="1">
        <v>48490.559035841427</v>
      </c>
    </row>
    <row r="31" spans="1:39">
      <c r="A31">
        <v>30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100000.00000000004</v>
      </c>
      <c r="W31" s="1">
        <v>95707.257116574867</v>
      </c>
      <c r="X31" s="1">
        <v>91605.885695096847</v>
      </c>
      <c r="Y31" s="1">
        <v>87681.166363783719</v>
      </c>
      <c r="Z31" s="1">
        <v>83992.735984811297</v>
      </c>
      <c r="AA31" s="1">
        <v>80520.876534013238</v>
      </c>
      <c r="AB31" s="1">
        <v>77247.950665720593</v>
      </c>
      <c r="AC31" s="1">
        <v>74158.610381508668</v>
      </c>
      <c r="AD31" s="1">
        <v>71238.92589722127</v>
      </c>
      <c r="AE31" s="1">
        <v>68476.461131009099</v>
      </c>
      <c r="AF31" s="1">
        <v>65859.677213859541</v>
      </c>
      <c r="AG31" s="1">
        <v>63378.369381070617</v>
      </c>
      <c r="AH31" s="1">
        <v>61023.222016211796</v>
      </c>
      <c r="AI31" s="1">
        <v>58785.711801476013</v>
      </c>
      <c r="AJ31" s="1">
        <v>56658.018880880547</v>
      </c>
      <c r="AK31" s="1">
        <v>54633.004444551283</v>
      </c>
      <c r="AL31" s="1">
        <v>52704.206210905548</v>
      </c>
      <c r="AM31" s="1">
        <v>50865.639500660916</v>
      </c>
    </row>
    <row r="32" spans="1:39">
      <c r="A32">
        <v>31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99999.999999999956</v>
      </c>
      <c r="X32" s="1">
        <v>95803.087444592238</v>
      </c>
      <c r="Y32" s="1">
        <v>91785.357300638905</v>
      </c>
      <c r="Z32" s="1">
        <v>87933.68185317087</v>
      </c>
      <c r="AA32" s="1">
        <v>84307.337229988378</v>
      </c>
      <c r="AB32" s="1">
        <v>80888.141270421082</v>
      </c>
      <c r="AC32" s="1">
        <v>77659.761274630146</v>
      </c>
      <c r="AD32" s="1">
        <v>74607.931256555399</v>
      </c>
      <c r="AE32" s="1">
        <v>71719.667160487734</v>
      </c>
      <c r="AF32" s="1">
        <v>68983.32173618082</v>
      </c>
      <c r="AG32" s="1">
        <v>66388.072855304155</v>
      </c>
      <c r="AH32" s="1">
        <v>63924.299810785087</v>
      </c>
      <c r="AI32" s="1">
        <v>61583.188989091621</v>
      </c>
      <c r="AJ32" s="1">
        <v>59356.673518661715</v>
      </c>
      <c r="AK32" s="1">
        <v>57237.316394549489</v>
      </c>
      <c r="AL32" s="1">
        <v>55218.319679042994</v>
      </c>
      <c r="AM32" s="1">
        <v>53293.517506264187</v>
      </c>
    </row>
    <row r="33" spans="1:39">
      <c r="A33">
        <v>32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100000.00000000004</v>
      </c>
      <c r="Y33" s="1">
        <v>95892.338872488908</v>
      </c>
      <c r="Z33" s="1">
        <v>91952.866872699175</v>
      </c>
      <c r="AA33" s="1">
        <v>88169.847645102273</v>
      </c>
      <c r="AB33" s="1">
        <v>84602.120627143755</v>
      </c>
      <c r="AC33" s="1">
        <v>81232.875526571341</v>
      </c>
      <c r="AD33" s="1">
        <v>78046.942522906378</v>
      </c>
      <c r="AE33" s="1">
        <v>75031.044198575692</v>
      </c>
      <c r="AF33" s="1">
        <v>72173.034963937607</v>
      </c>
      <c r="AG33" s="1">
        <v>69462.008063651781</v>
      </c>
      <c r="AH33" s="1">
        <v>66887.771606139286</v>
      </c>
      <c r="AI33" s="1">
        <v>64441.235666464534</v>
      </c>
      <c r="AJ33" s="1">
        <v>62114.067539282922</v>
      </c>
      <c r="AK33" s="1">
        <v>59898.60495310562</v>
      </c>
      <c r="AL33" s="1">
        <v>57787.773428291322</v>
      </c>
      <c r="AM33" s="1">
        <v>55775.093285222334</v>
      </c>
    </row>
    <row r="34" spans="1:39">
      <c r="A34">
        <v>33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99999.999999999971</v>
      </c>
      <c r="Z34" s="1">
        <v>95975.615886344109</v>
      </c>
      <c r="AA34" s="1">
        <v>92109.486371945852</v>
      </c>
      <c r="AB34" s="1">
        <v>88391.084696246602</v>
      </c>
      <c r="AC34" s="1">
        <v>84878.761803928064</v>
      </c>
      <c r="AD34" s="1">
        <v>81556.928330550829</v>
      </c>
      <c r="AE34" s="1">
        <v>78411.473021743266</v>
      </c>
      <c r="AF34" s="1">
        <v>75429.995045831703</v>
      </c>
      <c r="AG34" s="1">
        <v>72601.13084593958</v>
      </c>
      <c r="AH34" s="1">
        <v>69914.625740594667</v>
      </c>
      <c r="AI34" s="1">
        <v>67360.859909550709</v>
      </c>
      <c r="AJ34" s="1">
        <v>64931.248116771967</v>
      </c>
      <c r="AK34" s="1">
        <v>62617.88479476783</v>
      </c>
      <c r="AL34" s="1">
        <v>60413.48858348409</v>
      </c>
      <c r="AM34" s="1">
        <v>58311.322628683381</v>
      </c>
    </row>
    <row r="35" spans="1:39">
      <c r="A35">
        <v>34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100000.00000000007</v>
      </c>
      <c r="AA35" s="1">
        <v>96053.454390396815</v>
      </c>
      <c r="AB35" s="1">
        <v>92256.163170104774</v>
      </c>
      <c r="AC35" s="1">
        <v>88598.656421806329</v>
      </c>
      <c r="AD35" s="1">
        <v>85138.750671961461</v>
      </c>
      <c r="AE35" s="1">
        <v>81861.962357859593</v>
      </c>
      <c r="AF35" s="1">
        <v>78755.12172489574</v>
      </c>
      <c r="AG35" s="1">
        <v>75806.639882202391</v>
      </c>
      <c r="AH35" s="1">
        <v>73005.844793615775</v>
      </c>
      <c r="AI35" s="1">
        <v>70343.071093770646</v>
      </c>
      <c r="AJ35" s="1">
        <v>67809.239675183271</v>
      </c>
      <c r="AK35" s="1">
        <v>65396.21431040662</v>
      </c>
      <c r="AL35" s="1">
        <v>63096.489478729076</v>
      </c>
      <c r="AM35" s="1">
        <v>60903.137530215754</v>
      </c>
    </row>
    <row r="36" spans="1:39">
      <c r="A36">
        <v>35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100000.00000000004</v>
      </c>
      <c r="AB36" s="1">
        <v>96126.328006378142</v>
      </c>
      <c r="AC36" s="1">
        <v>92393.739673090342</v>
      </c>
      <c r="AD36" s="1">
        <v>88793.685926545193</v>
      </c>
      <c r="AE36" s="1">
        <v>85383.427058557005</v>
      </c>
      <c r="AF36" s="1">
        <v>82149.463627502962</v>
      </c>
      <c r="AG36" s="1">
        <v>79079.493752926908</v>
      </c>
      <c r="AH36" s="1">
        <v>76162.648094683303</v>
      </c>
      <c r="AI36" s="1">
        <v>73388.878615974449</v>
      </c>
      <c r="AJ36" s="1">
        <v>70749.072792420426</v>
      </c>
      <c r="AK36" s="1">
        <v>68234.634503219058</v>
      </c>
      <c r="AL36" s="1">
        <v>65837.846006175023</v>
      </c>
      <c r="AM36" s="1">
        <v>63551.572289021788</v>
      </c>
    </row>
    <row r="37" spans="1:39">
      <c r="A37">
        <v>36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100000.00000000003</v>
      </c>
      <c r="AC37" s="1">
        <v>96194.657918436656</v>
      </c>
      <c r="AD37" s="1">
        <v>92522.964486156547</v>
      </c>
      <c r="AE37" s="1">
        <v>88977.183258010162</v>
      </c>
      <c r="AF37" s="1">
        <v>85613.988005841733</v>
      </c>
      <c r="AG37" s="1">
        <v>82420.780767090706</v>
      </c>
      <c r="AH37" s="1">
        <v>79386.032904067266</v>
      </c>
      <c r="AI37" s="1">
        <v>76499.522549079353</v>
      </c>
      <c r="AJ37" s="1">
        <v>73751.783731682299</v>
      </c>
      <c r="AK37" s="1">
        <v>71134.197291437071</v>
      </c>
      <c r="AL37" s="1">
        <v>68638.61595258351</v>
      </c>
      <c r="AM37" s="1">
        <v>66257.708555977952</v>
      </c>
    </row>
    <row r="38" spans="1:39">
      <c r="A38">
        <v>37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100000.00000000003</v>
      </c>
      <c r="AD38" s="1">
        <v>96258.818276589169</v>
      </c>
      <c r="AE38" s="1">
        <v>92644.510935561149</v>
      </c>
      <c r="AF38" s="1">
        <v>89150.05044340188</v>
      </c>
      <c r="AG38" s="1">
        <v>85831.520110597965</v>
      </c>
      <c r="AH38" s="1">
        <v>82677.126975541076</v>
      </c>
      <c r="AI38" s="1">
        <v>79676.038661661762</v>
      </c>
      <c r="AJ38" s="1">
        <v>76818.633377536433</v>
      </c>
      <c r="AK38" s="1">
        <v>74095.965831809895</v>
      </c>
      <c r="AL38" s="1">
        <v>71499.87269253569</v>
      </c>
      <c r="AM38" s="1">
        <v>69022.621082473517</v>
      </c>
    </row>
    <row r="39" spans="1:39">
      <c r="A39">
        <v>38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99999.999999999971</v>
      </c>
      <c r="AE39" s="1">
        <v>96319.145650672988</v>
      </c>
      <c r="AF39" s="1">
        <v>92758.980011151798</v>
      </c>
      <c r="AG39" s="1">
        <v>89313.106499106449</v>
      </c>
      <c r="AH39" s="1">
        <v>86037.000950474481</v>
      </c>
      <c r="AI39" s="1">
        <v>82919.593907258153</v>
      </c>
      <c r="AJ39" s="1">
        <v>79950.695818292457</v>
      </c>
      <c r="AK39" s="1">
        <v>77121.221869461209</v>
      </c>
      <c r="AL39" s="1">
        <v>74422.706287455803</v>
      </c>
      <c r="AM39" s="1">
        <v>71847.404796609801</v>
      </c>
    </row>
    <row r="40" spans="1:39">
      <c r="A40">
        <v>39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100000</v>
      </c>
      <c r="AF40" s="1">
        <v>96375.940271762462</v>
      </c>
      <c r="AG40" s="1">
        <v>92866.917596109604</v>
      </c>
      <c r="AH40" s="1">
        <v>89467.088346595643</v>
      </c>
      <c r="AI40" s="1">
        <v>86231.309909162563</v>
      </c>
      <c r="AJ40" s="1">
        <v>83149.176950523746</v>
      </c>
      <c r="AK40" s="1">
        <v>80211.077613953559</v>
      </c>
      <c r="AL40" s="1">
        <v>77408.419377309197</v>
      </c>
      <c r="AM40" s="1">
        <v>74733.176662155005</v>
      </c>
    </row>
    <row r="41" spans="1:39">
      <c r="A41">
        <v>40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99999.999999999942</v>
      </c>
      <c r="AG41" s="1">
        <v>96429.474952863951</v>
      </c>
      <c r="AH41" s="1">
        <v>92968.814914850955</v>
      </c>
      <c r="AI41" s="1">
        <v>89612.65865876661</v>
      </c>
      <c r="AJ41" s="1">
        <v>86415.248904210268</v>
      </c>
      <c r="AK41" s="1">
        <v>83366.777643439011</v>
      </c>
      <c r="AL41" s="1">
        <v>80458.162090130354</v>
      </c>
      <c r="AM41" s="1">
        <v>77681.260235570066</v>
      </c>
    </row>
    <row r="42" spans="1:39">
      <c r="A42">
        <v>41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100000</v>
      </c>
      <c r="AH42" s="1">
        <v>96479.995222590602</v>
      </c>
      <c r="AI42" s="1">
        <v>93065.113499408966</v>
      </c>
      <c r="AJ42" s="1">
        <v>89750.421811366599</v>
      </c>
      <c r="AK42" s="1">
        <v>86589.544124832348</v>
      </c>
      <c r="AL42" s="1">
        <v>83573.217424522198</v>
      </c>
      <c r="AM42" s="1">
        <v>80692.843358152211</v>
      </c>
    </row>
    <row r="43" spans="1:39">
      <c r="A43">
        <v>42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100000.00000000003</v>
      </c>
      <c r="AI43" s="1">
        <v>96527.721661853779</v>
      </c>
      <c r="AJ43" s="1">
        <v>93156.216114860799</v>
      </c>
      <c r="AK43" s="1">
        <v>89880.92499979843</v>
      </c>
      <c r="AL43" s="1">
        <v>86754.857125262541</v>
      </c>
      <c r="AM43" s="1">
        <v>83769.24718945421</v>
      </c>
    </row>
    <row r="44" spans="1:39">
      <c r="A44">
        <v>43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99999.999999999971</v>
      </c>
      <c r="AJ44" s="1">
        <v>96572.855526357103</v>
      </c>
      <c r="AK44" s="1">
        <v>93242.487327084062</v>
      </c>
      <c r="AL44" s="1">
        <v>90004.666618919393</v>
      </c>
      <c r="AM44" s="1">
        <v>86911.792604485425</v>
      </c>
    </row>
    <row r="45" spans="1:39">
      <c r="A45">
        <v>44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100000</v>
      </c>
      <c r="AK45" s="1">
        <v>96615.578932637887</v>
      </c>
      <c r="AL45" s="1">
        <v>93324.259110028957</v>
      </c>
      <c r="AM45" s="1">
        <v>90122.102196585969</v>
      </c>
    </row>
    <row r="46" spans="1:39">
      <c r="A46">
        <v>45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100000.00000000004</v>
      </c>
      <c r="AL46" s="1">
        <v>96656.05767265521</v>
      </c>
      <c r="AM46" s="1">
        <v>93401.834859584444</v>
      </c>
    </row>
    <row r="47" spans="1:39">
      <c r="A47">
        <v>46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99999.999999999971</v>
      </c>
      <c r="AM47" s="1">
        <v>96694.44325240521</v>
      </c>
    </row>
    <row r="48" spans="1:39">
      <c r="A48">
        <v>47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99999.999999999942</v>
      </c>
    </row>
    <row r="49" spans="2:39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:39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:39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2:39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:39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:39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:39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39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39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39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2:39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2:39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2:39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2:39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2:39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2:39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2:39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2:39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2:39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2:39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2:39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2:39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2:39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2:39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2:39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2:39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39"/>
  <sheetViews>
    <sheetView workbookViewId="0">
      <selection activeCell="C15" sqref="C15"/>
    </sheetView>
  </sheetViews>
  <sheetFormatPr defaultRowHeight="15"/>
  <sheetData>
    <row r="1" spans="1:3">
      <c r="A1" t="s">
        <v>4</v>
      </c>
      <c r="B1" t="s">
        <v>21</v>
      </c>
      <c r="C1" t="s">
        <v>22</v>
      </c>
    </row>
    <row r="2" spans="1:3">
      <c r="A2">
        <v>10</v>
      </c>
      <c r="B2">
        <v>55</v>
      </c>
      <c r="C2">
        <v>10456</v>
      </c>
    </row>
    <row r="3" spans="1:3">
      <c r="A3">
        <v>11</v>
      </c>
      <c r="B3">
        <v>54</v>
      </c>
      <c r="C3">
        <v>9417</v>
      </c>
    </row>
    <row r="4" spans="1:3">
      <c r="A4">
        <v>12</v>
      </c>
      <c r="B4">
        <v>53</v>
      </c>
      <c r="C4">
        <v>8552</v>
      </c>
    </row>
    <row r="5" spans="1:3">
      <c r="A5">
        <v>13</v>
      </c>
      <c r="B5">
        <v>52</v>
      </c>
      <c r="C5">
        <v>7821</v>
      </c>
    </row>
    <row r="6" spans="1:3">
      <c r="A6">
        <v>14</v>
      </c>
      <c r="B6">
        <v>51</v>
      </c>
      <c r="C6">
        <v>7195</v>
      </c>
    </row>
    <row r="7" spans="1:3">
      <c r="A7">
        <v>15</v>
      </c>
      <c r="B7">
        <v>50</v>
      </c>
      <c r="C7">
        <v>6653</v>
      </c>
    </row>
    <row r="8" spans="1:3">
      <c r="A8">
        <v>16</v>
      </c>
      <c r="B8">
        <v>49</v>
      </c>
      <c r="C8">
        <v>6179</v>
      </c>
    </row>
    <row r="9" spans="1:3">
      <c r="A9">
        <v>17</v>
      </c>
      <c r="B9">
        <v>48</v>
      </c>
      <c r="C9">
        <v>5760</v>
      </c>
    </row>
    <row r="10" spans="1:3">
      <c r="A10">
        <v>18</v>
      </c>
      <c r="B10">
        <v>47</v>
      </c>
      <c r="C10">
        <v>5389</v>
      </c>
    </row>
    <row r="11" spans="1:3">
      <c r="A11">
        <v>19</v>
      </c>
      <c r="B11">
        <v>46</v>
      </c>
      <c r="C11">
        <v>5057</v>
      </c>
    </row>
    <row r="12" spans="1:3">
      <c r="A12">
        <v>20</v>
      </c>
      <c r="B12">
        <v>45</v>
      </c>
      <c r="C12">
        <v>4758</v>
      </c>
    </row>
    <row r="13" spans="1:3">
      <c r="A13">
        <v>21</v>
      </c>
      <c r="B13">
        <v>44</v>
      </c>
      <c r="C13">
        <v>4458</v>
      </c>
    </row>
    <row r="14" spans="1:3">
      <c r="A14">
        <v>22</v>
      </c>
      <c r="B14">
        <v>43</v>
      </c>
      <c r="C14">
        <v>4187</v>
      </c>
    </row>
    <row r="15" spans="1:3">
      <c r="A15">
        <v>23</v>
      </c>
      <c r="B15">
        <v>42</v>
      </c>
      <c r="C15">
        <v>3942</v>
      </c>
    </row>
    <row r="16" spans="1:3">
      <c r="A16">
        <v>24</v>
      </c>
      <c r="B16">
        <v>41</v>
      </c>
      <c r="C16">
        <v>3718</v>
      </c>
    </row>
    <row r="17" spans="1:3">
      <c r="A17">
        <v>25</v>
      </c>
      <c r="B17">
        <v>40</v>
      </c>
      <c r="C17">
        <v>3514</v>
      </c>
    </row>
    <row r="18" spans="1:3">
      <c r="A18">
        <v>26</v>
      </c>
      <c r="B18">
        <v>39</v>
      </c>
      <c r="C18">
        <v>3327</v>
      </c>
    </row>
    <row r="19" spans="1:3">
      <c r="A19">
        <v>27</v>
      </c>
      <c r="B19">
        <v>38</v>
      </c>
      <c r="C19">
        <v>3155</v>
      </c>
    </row>
    <row r="20" spans="1:3">
      <c r="A20">
        <v>28</v>
      </c>
      <c r="B20">
        <v>37</v>
      </c>
      <c r="C20">
        <v>2996</v>
      </c>
    </row>
    <row r="21" spans="1:3">
      <c r="A21">
        <v>29</v>
      </c>
      <c r="B21">
        <v>36</v>
      </c>
      <c r="C21">
        <v>2849</v>
      </c>
    </row>
    <row r="22" spans="1:3">
      <c r="A22">
        <v>30</v>
      </c>
      <c r="B22">
        <v>35</v>
      </c>
      <c r="C22">
        <v>2712</v>
      </c>
    </row>
    <row r="23" spans="1:3">
      <c r="A23">
        <v>31</v>
      </c>
      <c r="B23">
        <v>34</v>
      </c>
      <c r="C23">
        <v>2585</v>
      </c>
    </row>
    <row r="24" spans="1:3">
      <c r="A24">
        <v>32</v>
      </c>
      <c r="B24">
        <v>33</v>
      </c>
      <c r="C24">
        <v>2467</v>
      </c>
    </row>
    <row r="25" spans="1:3">
      <c r="A25">
        <v>33</v>
      </c>
      <c r="B25">
        <v>32</v>
      </c>
      <c r="C25">
        <v>2357</v>
      </c>
    </row>
    <row r="26" spans="1:3">
      <c r="A26">
        <v>34</v>
      </c>
      <c r="B26">
        <v>31</v>
      </c>
      <c r="C26">
        <v>2253</v>
      </c>
    </row>
    <row r="27" spans="1:3">
      <c r="A27">
        <v>35</v>
      </c>
      <c r="B27">
        <v>30</v>
      </c>
      <c r="C27">
        <v>2157</v>
      </c>
    </row>
    <row r="28" spans="1:3">
      <c r="A28">
        <v>36</v>
      </c>
      <c r="B28">
        <v>29</v>
      </c>
      <c r="C28">
        <v>2066</v>
      </c>
    </row>
    <row r="29" spans="1:3">
      <c r="A29">
        <v>37</v>
      </c>
      <c r="B29">
        <v>28</v>
      </c>
      <c r="C29">
        <v>1980</v>
      </c>
    </row>
    <row r="30" spans="1:3">
      <c r="A30">
        <v>38</v>
      </c>
      <c r="B30">
        <v>27</v>
      </c>
      <c r="C30">
        <v>1900</v>
      </c>
    </row>
    <row r="31" spans="1:3">
      <c r="A31">
        <v>39</v>
      </c>
      <c r="B31">
        <v>26</v>
      </c>
      <c r="C31">
        <v>1824</v>
      </c>
    </row>
    <row r="32" spans="1:3">
      <c r="A32">
        <v>40</v>
      </c>
      <c r="B32">
        <v>25</v>
      </c>
      <c r="C32">
        <v>1752</v>
      </c>
    </row>
    <row r="33" spans="1:3">
      <c r="A33">
        <v>41</v>
      </c>
      <c r="B33">
        <v>24</v>
      </c>
      <c r="C33">
        <v>1685</v>
      </c>
    </row>
    <row r="34" spans="1:3">
      <c r="A34">
        <v>42</v>
      </c>
      <c r="B34">
        <v>23</v>
      </c>
      <c r="C34">
        <v>1621</v>
      </c>
    </row>
    <row r="35" spans="1:3">
      <c r="A35">
        <v>43</v>
      </c>
      <c r="B35">
        <v>22</v>
      </c>
      <c r="C35">
        <v>1560</v>
      </c>
    </row>
    <row r="36" spans="1:3">
      <c r="A36">
        <v>44</v>
      </c>
      <c r="B36">
        <v>21</v>
      </c>
      <c r="C36">
        <v>1502</v>
      </c>
    </row>
    <row r="37" spans="1:3">
      <c r="A37">
        <v>45</v>
      </c>
      <c r="B37">
        <v>20</v>
      </c>
      <c r="C37">
        <v>1448</v>
      </c>
    </row>
    <row r="38" spans="1:3">
      <c r="A38">
        <v>46</v>
      </c>
      <c r="B38">
        <v>19</v>
      </c>
      <c r="C38">
        <v>1395</v>
      </c>
    </row>
    <row r="39" spans="1:3">
      <c r="A39">
        <v>47</v>
      </c>
      <c r="B39">
        <v>18</v>
      </c>
      <c r="C39">
        <v>1346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M95"/>
  <sheetViews>
    <sheetView workbookViewId="0">
      <selection activeCell="C15" sqref="C15"/>
    </sheetView>
  </sheetViews>
  <sheetFormatPr defaultRowHeight="15"/>
  <sheetData>
    <row r="1" spans="1:39" ht="30">
      <c r="A1" s="2" t="s">
        <v>27</v>
      </c>
      <c r="B1">
        <v>10</v>
      </c>
      <c r="C1">
        <v>11</v>
      </c>
      <c r="D1">
        <v>12</v>
      </c>
      <c r="E1">
        <v>13</v>
      </c>
      <c r="F1">
        <v>14</v>
      </c>
      <c r="G1">
        <v>15</v>
      </c>
      <c r="H1">
        <v>16</v>
      </c>
      <c r="I1">
        <v>17</v>
      </c>
      <c r="J1">
        <v>18</v>
      </c>
      <c r="K1">
        <v>19</v>
      </c>
      <c r="L1">
        <v>20</v>
      </c>
      <c r="M1">
        <v>21</v>
      </c>
      <c r="N1">
        <v>22</v>
      </c>
      <c r="O1">
        <v>23</v>
      </c>
      <c r="P1">
        <v>24</v>
      </c>
      <c r="Q1">
        <v>25</v>
      </c>
      <c r="R1">
        <v>26</v>
      </c>
      <c r="S1">
        <v>27</v>
      </c>
      <c r="T1">
        <v>28</v>
      </c>
      <c r="U1">
        <v>29</v>
      </c>
      <c r="V1">
        <v>30</v>
      </c>
      <c r="W1">
        <v>31</v>
      </c>
      <c r="X1">
        <v>32</v>
      </c>
      <c r="Y1">
        <v>33</v>
      </c>
      <c r="Z1">
        <v>34</v>
      </c>
      <c r="AA1">
        <v>35</v>
      </c>
      <c r="AB1">
        <v>36</v>
      </c>
      <c r="AC1">
        <v>37</v>
      </c>
      <c r="AD1">
        <v>38</v>
      </c>
      <c r="AE1">
        <v>39</v>
      </c>
      <c r="AF1">
        <v>40</v>
      </c>
      <c r="AG1">
        <v>41</v>
      </c>
      <c r="AH1">
        <v>42</v>
      </c>
      <c r="AI1">
        <v>43</v>
      </c>
      <c r="AJ1">
        <v>44</v>
      </c>
      <c r="AK1">
        <v>45</v>
      </c>
      <c r="AL1">
        <v>46</v>
      </c>
      <c r="AM1">
        <v>47</v>
      </c>
    </row>
    <row r="2" spans="1:39">
      <c r="A2" s="2">
        <v>1</v>
      </c>
      <c r="B2" s="1">
        <v>3737.8628323786161</v>
      </c>
      <c r="C2" s="1">
        <v>2875.016345877596</v>
      </c>
      <c r="D2" s="1">
        <v>2164.6021109469766</v>
      </c>
      <c r="E2" s="1">
        <v>1634.8575084689835</v>
      </c>
      <c r="F2" s="1">
        <v>1498.9458265066114</v>
      </c>
      <c r="G2" s="1">
        <v>1381.6439156714607</v>
      </c>
      <c r="H2" s="1">
        <v>1279.5362294367897</v>
      </c>
      <c r="I2" s="1">
        <v>1189.8592479454824</v>
      </c>
      <c r="J2" s="1">
        <v>1110.5619398534875</v>
      </c>
      <c r="K2" s="1">
        <v>1039.7931384055414</v>
      </c>
      <c r="L2" s="1">
        <v>976.10019553165444</v>
      </c>
      <c r="M2" s="1">
        <v>912.40428281513539</v>
      </c>
      <c r="N2" s="1">
        <v>855.00772644545521</v>
      </c>
      <c r="O2" s="1">
        <v>803.08615742161066</v>
      </c>
      <c r="P2" s="1">
        <v>755.93240916620823</v>
      </c>
      <c r="Q2" s="1">
        <v>712.94669016936291</v>
      </c>
      <c r="R2" s="1">
        <v>673.60810728793626</v>
      </c>
      <c r="S2" s="1">
        <v>637.47763844247743</v>
      </c>
      <c r="T2" s="1">
        <v>604.2193148875989</v>
      </c>
      <c r="U2" s="1">
        <v>573.56195520157746</v>
      </c>
      <c r="V2" s="1">
        <v>545.24120664476959</v>
      </c>
      <c r="W2" s="1">
        <v>519.05560572952345</v>
      </c>
      <c r="X2" s="1">
        <v>494.74809987696074</v>
      </c>
      <c r="Y2" s="1">
        <v>472.14961748861521</v>
      </c>
      <c r="Z2" s="1">
        <v>451.06729962979455</v>
      </c>
      <c r="AA2" s="1">
        <v>431.38326367297213</v>
      </c>
      <c r="AB2" s="1">
        <v>412.97640651496357</v>
      </c>
      <c r="AC2" s="1">
        <v>395.74410123430874</v>
      </c>
      <c r="AD2" s="1">
        <v>379.55450935808955</v>
      </c>
      <c r="AE2" s="1">
        <v>364.32598158210021</v>
      </c>
      <c r="AF2" s="1">
        <v>349.93920590635253</v>
      </c>
      <c r="AG2" s="1">
        <v>336.34921157787102</v>
      </c>
      <c r="AH2" s="1">
        <v>323.50820797269421</v>
      </c>
      <c r="AI2" s="1">
        <v>311.33688601554991</v>
      </c>
      <c r="AJ2" s="1">
        <v>299.79421607247093</v>
      </c>
      <c r="AK2" s="1">
        <v>288.82585508843368</v>
      </c>
      <c r="AL2" s="1">
        <v>278.38165281339906</v>
      </c>
      <c r="AM2" s="1">
        <v>268.42331300997029</v>
      </c>
    </row>
    <row r="3" spans="1:39">
      <c r="A3">
        <v>2</v>
      </c>
      <c r="B3" s="1">
        <v>9923.1966132886755</v>
      </c>
      <c r="C3" s="1">
        <v>8909.2357217992139</v>
      </c>
      <c r="D3" s="1">
        <v>8066.6484439833539</v>
      </c>
      <c r="E3" s="1">
        <v>7235.6246141982228</v>
      </c>
      <c r="F3" s="1">
        <v>6264.6006977907082</v>
      </c>
      <c r="G3" s="1">
        <v>5430.1991537128652</v>
      </c>
      <c r="H3" s="1">
        <v>4706.7329358425195</v>
      </c>
      <c r="I3" s="1">
        <v>4074.5689546413951</v>
      </c>
      <c r="J3" s="1">
        <v>3518.4477717986601</v>
      </c>
      <c r="K3" s="1">
        <v>3026.3141080584141</v>
      </c>
      <c r="L3" s="1">
        <v>2588.5192101440152</v>
      </c>
      <c r="M3" s="1">
        <v>2425.1578037898566</v>
      </c>
      <c r="N3" s="1">
        <v>2277.8094517173063</v>
      </c>
      <c r="O3" s="1">
        <v>2144.2712063893232</v>
      </c>
      <c r="P3" s="1">
        <v>2022.7275549502156</v>
      </c>
      <c r="Q3" s="1">
        <v>1911.6683079254692</v>
      </c>
      <c r="R3" s="1">
        <v>1809.8262274511633</v>
      </c>
      <c r="S3" s="1">
        <v>1716.130030644586</v>
      </c>
      <c r="T3" s="1">
        <v>1629.6692511569206</v>
      </c>
      <c r="U3" s="1">
        <v>1549.6657240327418</v>
      </c>
      <c r="V3" s="1">
        <v>1475.449344663627</v>
      </c>
      <c r="W3" s="1">
        <v>1406.4407923879428</v>
      </c>
      <c r="X3" s="1">
        <v>1342.1340797040959</v>
      </c>
      <c r="Y3" s="1">
        <v>1282.0869123242189</v>
      </c>
      <c r="Z3" s="1">
        <v>1225.9096617150658</v>
      </c>
      <c r="AA3" s="1">
        <v>1173.2591686165802</v>
      </c>
      <c r="AB3" s="1">
        <v>1123.8315584161885</v>
      </c>
      <c r="AC3" s="1">
        <v>1077.3568882295103</v>
      </c>
      <c r="AD3" s="1">
        <v>1033.5935152696816</v>
      </c>
      <c r="AE3" s="1">
        <v>992.32533698240843</v>
      </c>
      <c r="AF3" s="1">
        <v>953.35742024875265</v>
      </c>
      <c r="AG3" s="1">
        <v>916.5148671026966</v>
      </c>
      <c r="AH3" s="1">
        <v>881.64015900908373</v>
      </c>
      <c r="AI3" s="1">
        <v>848.59028933658499</v>
      </c>
      <c r="AJ3" s="1">
        <v>817.23575580849445</v>
      </c>
      <c r="AK3" s="1">
        <v>787.45866815341219</v>
      </c>
      <c r="AL3" s="1">
        <v>759.15146029692494</v>
      </c>
      <c r="AM3" s="1">
        <v>732.21592388671127</v>
      </c>
    </row>
    <row r="4" spans="1:39">
      <c r="A4">
        <v>3</v>
      </c>
      <c r="B4" s="1">
        <v>10119.95980389716</v>
      </c>
      <c r="C4" s="1">
        <v>9086.0319939232486</v>
      </c>
      <c r="D4" s="1">
        <v>8226.8276318159606</v>
      </c>
      <c r="E4" s="1">
        <v>7507.3047594210993</v>
      </c>
      <c r="F4" s="1">
        <v>6885.7422585744771</v>
      </c>
      <c r="G4" s="1">
        <v>6348.3336628405832</v>
      </c>
      <c r="H4" s="1">
        <v>5879.1353436637173</v>
      </c>
      <c r="I4" s="1">
        <v>5466.0119194426015</v>
      </c>
      <c r="J4" s="1">
        <v>5099.5492430169716</v>
      </c>
      <c r="K4" s="1">
        <v>4772.338661252069</v>
      </c>
      <c r="L4" s="1">
        <v>4478.447192073213</v>
      </c>
      <c r="M4" s="1">
        <v>4195.0420979494829</v>
      </c>
      <c r="N4" s="1">
        <v>3939.5026265931797</v>
      </c>
      <c r="O4" s="1">
        <v>3707.9795939543433</v>
      </c>
      <c r="P4" s="1">
        <v>3497.3057920903066</v>
      </c>
      <c r="Q4" s="1">
        <v>3304.8492256566897</v>
      </c>
      <c r="R4" s="1">
        <v>3128.4036907651412</v>
      </c>
      <c r="S4" s="1">
        <v>2966.1046663116717</v>
      </c>
      <c r="T4" s="1">
        <v>2816.3656179456648</v>
      </c>
      <c r="U4" s="1">
        <v>2677.830412828444</v>
      </c>
      <c r="V4" s="1">
        <v>2549.3339585050899</v>
      </c>
      <c r="W4" s="1">
        <v>2429.8677809581791</v>
      </c>
      <c r="X4" s="1">
        <v>2318.5561734292755</v>
      </c>
      <c r="Y4" s="1">
        <v>2214.6302842752571</v>
      </c>
      <c r="Z4" s="1">
        <v>2117.4153592346461</v>
      </c>
      <c r="AA4" s="1">
        <v>2026.3142697703859</v>
      </c>
      <c r="AB4" s="1">
        <v>1940.7993578434928</v>
      </c>
      <c r="AC4" s="1">
        <v>1860.4017448398299</v>
      </c>
      <c r="AD4" s="1">
        <v>1784.7036925980219</v>
      </c>
      <c r="AE4" s="1">
        <v>1713.3297692121471</v>
      </c>
      <c r="AF4" s="1">
        <v>1645.9434360265889</v>
      </c>
      <c r="AG4" s="1">
        <v>1582.2398355344171</v>
      </c>
      <c r="AH4" s="1">
        <v>1521.9449260085466</v>
      </c>
      <c r="AI4" s="1">
        <v>1464.8115232592061</v>
      </c>
      <c r="AJ4" s="1">
        <v>1410.6144482922703</v>
      </c>
      <c r="AK4" s="1">
        <v>1359.1494731583464</v>
      </c>
      <c r="AL4" s="1">
        <v>1310.2302615962922</v>
      </c>
      <c r="AM4" s="1">
        <v>1263.686391096742</v>
      </c>
    </row>
    <row r="5" spans="1:39">
      <c r="A5">
        <v>4</v>
      </c>
      <c r="B5" s="1">
        <v>10320.658258317813</v>
      </c>
      <c r="C5" s="1">
        <v>9266.3641914897617</v>
      </c>
      <c r="D5" s="1">
        <v>8390.210403405219</v>
      </c>
      <c r="E5" s="1">
        <v>7656.3634475223698</v>
      </c>
      <c r="F5" s="1">
        <v>7022.5377496569554</v>
      </c>
      <c r="G5" s="1">
        <v>6474.5135739040115</v>
      </c>
      <c r="H5" s="1">
        <v>5996.0379247509918</v>
      </c>
      <c r="I5" s="1">
        <v>5574.7390012588921</v>
      </c>
      <c r="J5" s="1">
        <v>5201.0190181305152</v>
      </c>
      <c r="K5" s="1">
        <v>4867.3240949414167</v>
      </c>
      <c r="L5" s="1">
        <v>4567.6048323851037</v>
      </c>
      <c r="M5" s="1">
        <v>4278.573000993405</v>
      </c>
      <c r="N5" s="1">
        <v>4017.9583378737375</v>
      </c>
      <c r="O5" s="1">
        <v>3781.8357817706074</v>
      </c>
      <c r="P5" s="1">
        <v>3566.9755921391024</v>
      </c>
      <c r="Q5" s="1">
        <v>3370.6937574359904</v>
      </c>
      <c r="R5" s="1">
        <v>3190.740425675885</v>
      </c>
      <c r="S5" s="1">
        <v>3025.2141770315593</v>
      </c>
      <c r="T5" s="1">
        <v>2872.4971175121341</v>
      </c>
      <c r="U5" s="1">
        <v>2731.2063115606343</v>
      </c>
      <c r="V5" s="1">
        <v>2600.1535859795235</v>
      </c>
      <c r="W5" s="1">
        <v>2478.310512924892</v>
      </c>
      <c r="X5" s="1">
        <v>2364.7839576619176</v>
      </c>
      <c r="Y5" s="1">
        <v>2258.7898343877805</v>
      </c>
      <c r="Z5" s="1">
        <v>2159.6399686737941</v>
      </c>
      <c r="AA5" s="1">
        <v>2066.7254123797252</v>
      </c>
      <c r="AB5" s="1">
        <v>1979.5080409638497</v>
      </c>
      <c r="AC5" s="1">
        <v>1897.5096780364934</v>
      </c>
      <c r="AD5" s="1">
        <v>1820.3042624149207</v>
      </c>
      <c r="AE5" s="1">
        <v>1747.5089188666439</v>
      </c>
      <c r="AF5" s="1">
        <v>1678.7803945587532</v>
      </c>
      <c r="AG5" s="1">
        <v>1613.8078078876513</v>
      </c>
      <c r="AH5" s="1">
        <v>1552.3116916378719</v>
      </c>
      <c r="AI5" s="1">
        <v>1494.0399359719033</v>
      </c>
      <c r="AJ5" s="1">
        <v>1438.762901385008</v>
      </c>
      <c r="AK5" s="1">
        <v>1386.2722993751918</v>
      </c>
      <c r="AL5" s="1">
        <v>1336.378088730105</v>
      </c>
      <c r="AM5" s="1">
        <v>1288.9064643017994</v>
      </c>
    </row>
    <row r="6" spans="1:39">
      <c r="A6">
        <v>5</v>
      </c>
      <c r="B6" s="1">
        <v>10525.370681826882</v>
      </c>
      <c r="C6" s="1">
        <v>9450.3030330076072</v>
      </c>
      <c r="D6" s="1">
        <v>8556.8608304262616</v>
      </c>
      <c r="E6" s="1">
        <v>7808.4033093856651</v>
      </c>
      <c r="F6" s="1">
        <v>7162.0691505610821</v>
      </c>
      <c r="G6" s="1">
        <v>6603.2170831887088</v>
      </c>
      <c r="H6" s="1">
        <v>6115.2785574600102</v>
      </c>
      <c r="I6" s="1">
        <v>5685.6406247115074</v>
      </c>
      <c r="J6" s="1">
        <v>5304.5181887463286</v>
      </c>
      <c r="K6" s="1">
        <v>4964.2092373045507</v>
      </c>
      <c r="L6" s="1">
        <v>4658.5456255032313</v>
      </c>
      <c r="M6" s="1">
        <v>4363.774522098206</v>
      </c>
      <c r="N6" s="1">
        <v>4097.9831633799058</v>
      </c>
      <c r="O6" s="1">
        <v>3857.1690933431964</v>
      </c>
      <c r="P6" s="1">
        <v>3638.0387881888742</v>
      </c>
      <c r="Q6" s="1">
        <v>3437.8551798508774</v>
      </c>
      <c r="R6" s="1">
        <v>3254.3238952848442</v>
      </c>
      <c r="S6" s="1">
        <v>3085.5058779658452</v>
      </c>
      <c r="T6" s="1">
        <v>2929.7512470699326</v>
      </c>
      <c r="U6" s="1">
        <v>2785.6497282674682</v>
      </c>
      <c r="V6" s="1">
        <v>2651.9896060034453</v>
      </c>
      <c r="W6" s="1">
        <v>2527.7220995309394</v>
      </c>
      <c r="X6" s="1">
        <v>2411.9362975792128</v>
      </c>
      <c r="Y6" s="1">
        <v>2303.8325755025548</v>
      </c>
      <c r="Z6" s="1">
        <v>2202.7090703017252</v>
      </c>
      <c r="AA6" s="1">
        <v>2107.9447778412514</v>
      </c>
      <c r="AB6" s="1">
        <v>2018.9908977466139</v>
      </c>
      <c r="AC6" s="1">
        <v>1935.3597698970898</v>
      </c>
      <c r="AD6" s="1">
        <v>1856.6168436281578</v>
      </c>
      <c r="AE6" s="1">
        <v>1782.371651514231</v>
      </c>
      <c r="AF6" s="1">
        <v>1712.274092261561</v>
      </c>
      <c r="AG6" s="1">
        <v>1646.00713968795</v>
      </c>
      <c r="AH6" s="1">
        <v>1583.2857925797837</v>
      </c>
      <c r="AI6" s="1">
        <v>1523.8529169388542</v>
      </c>
      <c r="AJ6" s="1">
        <v>1467.4743235396006</v>
      </c>
      <c r="AK6" s="1">
        <v>1413.937582116374</v>
      </c>
      <c r="AL6" s="1">
        <v>1363.0488724065942</v>
      </c>
      <c r="AM6" s="1">
        <v>1314.6309389709581</v>
      </c>
    </row>
    <row r="7" spans="1:39">
      <c r="A7">
        <v>6</v>
      </c>
      <c r="B7" s="1">
        <v>10734.17735380613</v>
      </c>
      <c r="C7" s="1">
        <v>9637.9206513558074</v>
      </c>
      <c r="D7" s="1">
        <v>8726.8442659877273</v>
      </c>
      <c r="E7" s="1">
        <v>7963.4839684862272</v>
      </c>
      <c r="F7" s="1">
        <v>7304.391179483292</v>
      </c>
      <c r="G7" s="1">
        <v>6734.494662659099</v>
      </c>
      <c r="H7" s="1">
        <v>6236.9040028232093</v>
      </c>
      <c r="I7" s="1">
        <v>5798.7602806331761</v>
      </c>
      <c r="J7" s="1">
        <v>5410.0873427744591</v>
      </c>
      <c r="K7" s="1">
        <v>5063.0320825149483</v>
      </c>
      <c r="L7" s="1">
        <v>4751.3052344837215</v>
      </c>
      <c r="M7" s="1">
        <v>4450.6800736251025</v>
      </c>
      <c r="N7" s="1">
        <v>4179.6084853961966</v>
      </c>
      <c r="O7" s="1">
        <v>3934.0090711472362</v>
      </c>
      <c r="P7" s="1">
        <v>3710.5232481596408</v>
      </c>
      <c r="Q7" s="1">
        <v>3506.3598307140619</v>
      </c>
      <c r="R7" s="1">
        <v>3319.1790342859822</v>
      </c>
      <c r="S7" s="1">
        <v>3147.0034129188161</v>
      </c>
      <c r="T7" s="1">
        <v>2988.1504592188867</v>
      </c>
      <c r="U7" s="1">
        <v>2841.1820133084384</v>
      </c>
      <c r="V7" s="1">
        <v>2704.8623464278462</v>
      </c>
      <c r="W7" s="1">
        <v>2578.1219178691072</v>
      </c>
      <c r="X7" s="1">
        <v>2460.0316842948541</v>
      </c>
      <c r="Y7" s="1">
        <v>2349.7761714396242</v>
      </c>
      <c r="Z7" s="1">
        <v>2246.6395539622144</v>
      </c>
      <c r="AA7" s="1">
        <v>2149.9885306120082</v>
      </c>
      <c r="AB7" s="1">
        <v>2059.2634116650333</v>
      </c>
      <c r="AC7" s="1">
        <v>1973.9668635948983</v>
      </c>
      <c r="AD7" s="1">
        <v>1893.6556764656598</v>
      </c>
      <c r="AE7" s="1">
        <v>1817.9316388147695</v>
      </c>
      <c r="AF7" s="1">
        <v>1746.4376639184247</v>
      </c>
      <c r="AG7" s="1">
        <v>1678.8504581242553</v>
      </c>
      <c r="AH7" s="1">
        <v>1614.8793755405336</v>
      </c>
      <c r="AI7" s="1">
        <v>1554.2621575251442</v>
      </c>
      <c r="AJ7" s="1">
        <v>1496.7599741372851</v>
      </c>
      <c r="AK7" s="1">
        <v>1442.1561705123797</v>
      </c>
      <c r="AL7" s="1">
        <v>1390.2530717566131</v>
      </c>
      <c r="AM7" s="1">
        <v>1340.8699031334997</v>
      </c>
    </row>
    <row r="8" spans="1:39">
      <c r="A8">
        <v>7</v>
      </c>
      <c r="B8" s="1">
        <v>10947.160159224963</v>
      </c>
      <c r="C8" s="1">
        <v>9829.2906220709719</v>
      </c>
      <c r="D8" s="1">
        <v>8900.2273702604198</v>
      </c>
      <c r="E8" s="1">
        <v>8121.6662407688018</v>
      </c>
      <c r="F8" s="1">
        <v>7449.5596489839454</v>
      </c>
      <c r="G8" s="1">
        <v>6868.3977937188974</v>
      </c>
      <c r="H8" s="1">
        <v>6360.9619570936738</v>
      </c>
      <c r="I8" s="1">
        <v>5914.1423296732773</v>
      </c>
      <c r="J8" s="1">
        <v>5517.7678798831512</v>
      </c>
      <c r="K8" s="1">
        <v>5163.8313846295532</v>
      </c>
      <c r="L8" s="1">
        <v>4845.9200356438223</v>
      </c>
      <c r="M8" s="1">
        <v>4539.3237361825368</v>
      </c>
      <c r="N8" s="1">
        <v>4262.8663138528154</v>
      </c>
      <c r="O8" s="1">
        <v>4012.3858485073579</v>
      </c>
      <c r="P8" s="1">
        <v>3784.4573973298238</v>
      </c>
      <c r="Q8" s="1">
        <v>3576.2345745945104</v>
      </c>
      <c r="R8" s="1">
        <v>3385.3312760671424</v>
      </c>
      <c r="S8" s="1">
        <v>3209.7308985708473</v>
      </c>
      <c r="T8" s="1">
        <v>3047.7176556108202</v>
      </c>
      <c r="U8" s="1">
        <v>2897.8249440502286</v>
      </c>
      <c r="V8" s="1">
        <v>2758.7925416607345</v>
      </c>
      <c r="W8" s="1">
        <v>2629.5297325740389</v>
      </c>
      <c r="X8" s="1">
        <v>2509.0889787448082</v>
      </c>
      <c r="Y8" s="1">
        <v>2396.638639295435</v>
      </c>
      <c r="Z8" s="1">
        <v>2291.4486472959138</v>
      </c>
      <c r="AA8" s="1">
        <v>2192.8731584381794</v>
      </c>
      <c r="AB8" s="1">
        <v>2100.3413758618212</v>
      </c>
      <c r="AC8" s="1">
        <v>2013.346099166663</v>
      </c>
      <c r="AD8" s="1">
        <v>1931.4352859599114</v>
      </c>
      <c r="AE8" s="1">
        <v>1854.2028258613193</v>
      </c>
      <c r="AF8" s="1">
        <v>1781.2845070084254</v>
      </c>
      <c r="AG8" s="1">
        <v>1712.3506429292861</v>
      </c>
      <c r="AH8" s="1">
        <v>1647.104830160499</v>
      </c>
      <c r="AI8" s="1">
        <v>1585.27958292316</v>
      </c>
      <c r="AJ8" s="1">
        <v>1526.6313377469232</v>
      </c>
      <c r="AK8" s="1">
        <v>1470.9391306763059</v>
      </c>
      <c r="AL8" s="1">
        <v>1418.0013550936324</v>
      </c>
      <c r="AM8" s="1">
        <v>1367.6336465792926</v>
      </c>
    </row>
    <row r="9" spans="1:39">
      <c r="A9">
        <v>8</v>
      </c>
      <c r="B9" s="1">
        <v>11164.402620752173</v>
      </c>
      <c r="C9" s="1">
        <v>10024.487992200442</v>
      </c>
      <c r="D9" s="1">
        <v>9077.0781366185674</v>
      </c>
      <c r="E9" s="1">
        <v>8283.0121584970275</v>
      </c>
      <c r="F9" s="1">
        <v>7597.6314878746125</v>
      </c>
      <c r="G9" s="1">
        <v>7004.9789873998916</v>
      </c>
      <c r="H9" s="1">
        <v>6487.5010704495462</v>
      </c>
      <c r="I9" s="1">
        <v>6031.8320196941813</v>
      </c>
      <c r="J9" s="1">
        <v>5627.6020277340185</v>
      </c>
      <c r="K9" s="1">
        <v>5266.6466727864499</v>
      </c>
      <c r="L9" s="1">
        <v>4942.4271328271234</v>
      </c>
      <c r="M9" s="1">
        <v>4629.7402719911197</v>
      </c>
      <c r="N9" s="1">
        <v>4347.7892988785652</v>
      </c>
      <c r="O9" s="1">
        <v>4092.3301614146817</v>
      </c>
      <c r="P9" s="1">
        <v>3859.8702294834102</v>
      </c>
      <c r="Q9" s="1">
        <v>3647.5068133525683</v>
      </c>
      <c r="R9" s="1">
        <v>3452.806562683927</v>
      </c>
      <c r="S9" s="1">
        <v>3273.7129339359176</v>
      </c>
      <c r="T9" s="1">
        <v>3108.4761959305924</v>
      </c>
      <c r="U9" s="1">
        <v>2955.6007334068549</v>
      </c>
      <c r="V9" s="1">
        <v>2813.8013407982812</v>
      </c>
      <c r="W9" s="1">
        <v>2681.9657035730688</v>
      </c>
      <c r="X9" s="1">
        <v>2559.1274190837612</v>
      </c>
      <c r="Y9" s="1">
        <v>2444.4383565083626</v>
      </c>
      <c r="Z9" s="1">
        <v>2337.1539224962871</v>
      </c>
      <c r="AA9" s="1">
        <v>2236.6154788208751</v>
      </c>
      <c r="AB9" s="1">
        <v>2142.2408993425447</v>
      </c>
      <c r="AC9" s="1">
        <v>2053.5129194498627</v>
      </c>
      <c r="AD9" s="1">
        <v>1969.970487644048</v>
      </c>
      <c r="AE9" s="1">
        <v>1891.1994366487997</v>
      </c>
      <c r="AF9" s="1">
        <v>1816.8282869602267</v>
      </c>
      <c r="AG9" s="1">
        <v>1746.520831430418</v>
      </c>
      <c r="AH9" s="1">
        <v>1679.9747938728633</v>
      </c>
      <c r="AI9" s="1">
        <v>1616.917356829136</v>
      </c>
      <c r="AJ9" s="1">
        <v>1557.1001286287537</v>
      </c>
      <c r="AK9" s="1">
        <v>1500.2977500435102</v>
      </c>
      <c r="AL9" s="1">
        <v>1446.304604097392</v>
      </c>
      <c r="AM9" s="1">
        <v>1394.9326648940009</v>
      </c>
    </row>
    <row r="10" spans="1:39">
      <c r="A10">
        <v>9</v>
      </c>
      <c r="B10" s="1">
        <v>11164.402620752173</v>
      </c>
      <c r="C10" s="1">
        <v>10223.589309732502</v>
      </c>
      <c r="D10" s="1">
        <v>9257.4659183038766</v>
      </c>
      <c r="E10" s="1">
        <v>8447.5849945798163</v>
      </c>
      <c r="F10" s="1">
        <v>7748.6647635430918</v>
      </c>
      <c r="G10" s="1">
        <v>7144.291804954506</v>
      </c>
      <c r="H10" s="1">
        <v>6616.570966072537</v>
      </c>
      <c r="I10" s="1">
        <v>6151.8755035155036</v>
      </c>
      <c r="J10" s="1">
        <v>5739.6328585419033</v>
      </c>
      <c r="K10" s="1">
        <v>5371.5182667064846</v>
      </c>
      <c r="L10" s="1">
        <v>5040.8643719540923</v>
      </c>
      <c r="M10" s="1">
        <v>4721.965138515875</v>
      </c>
      <c r="N10" s="1">
        <v>4434.4107436048298</v>
      </c>
      <c r="O10" s="1">
        <v>4173.8733605801517</v>
      </c>
      <c r="P10" s="1">
        <v>3936.7913182800676</v>
      </c>
      <c r="Q10" s="1">
        <v>3720.2044968857872</v>
      </c>
      <c r="R10" s="1">
        <v>3521.6313550330469</v>
      </c>
      <c r="S10" s="1">
        <v>3338.9746100082907</v>
      </c>
      <c r="T10" s="1">
        <v>3170.4499070567604</v>
      </c>
      <c r="U10" s="1">
        <v>3014.5320385506129</v>
      </c>
      <c r="V10" s="1">
        <v>2869.9103159185784</v>
      </c>
      <c r="W10" s="1">
        <v>2735.4503939920796</v>
      </c>
      <c r="X10" s="1">
        <v>2610.1666282294927</v>
      </c>
      <c r="Y10" s="1">
        <v>2493.194068065548</v>
      </c>
      <c r="Z10" s="1">
        <v>2383.7733032006677</v>
      </c>
      <c r="AA10" s="1">
        <v>2281.2326456112241</v>
      </c>
      <c r="AB10" s="1">
        <v>2184.9784132928826</v>
      </c>
      <c r="AC10" s="1">
        <v>2094.4830761387266</v>
      </c>
      <c r="AD10" s="1">
        <v>2009.2763933618678</v>
      </c>
      <c r="AE10" s="1">
        <v>1928.9359796520296</v>
      </c>
      <c r="AF10" s="1">
        <v>1853.0829425110637</v>
      </c>
      <c r="AG10" s="1">
        <v>1781.3744237015721</v>
      </c>
      <c r="AH10" s="1">
        <v>1713.5021568594748</v>
      </c>
      <c r="AI10" s="1">
        <v>1649.1878862132314</v>
      </c>
      <c r="AJ10" s="1">
        <v>1588.1782953282211</v>
      </c>
      <c r="AK10" s="1">
        <v>1530.2435417980589</v>
      </c>
      <c r="AL10" s="1">
        <v>1475.1739180812267</v>
      </c>
      <c r="AM10" s="1">
        <v>1422.7776635750038</v>
      </c>
    </row>
    <row r="11" spans="1:39">
      <c r="A11">
        <v>10</v>
      </c>
      <c r="B11" s="1">
        <v>11164.402620752173</v>
      </c>
      <c r="C11" s="1">
        <v>10223.589309732502</v>
      </c>
      <c r="D11" s="1">
        <v>9441.4614556228935</v>
      </c>
      <c r="E11" s="1">
        <v>8615.4492873842628</v>
      </c>
      <c r="F11" s="1">
        <v>7902.7187047249427</v>
      </c>
      <c r="G11" s="1">
        <v>7286.3908788602121</v>
      </c>
      <c r="H11" s="1">
        <v>6748.2222596079864</v>
      </c>
      <c r="I11" s="1">
        <v>6274.3198570132508</v>
      </c>
      <c r="J11" s="1">
        <v>5853.9043059659452</v>
      </c>
      <c r="K11" s="1">
        <v>5478.4872925049212</v>
      </c>
      <c r="L11" s="1">
        <v>5141.2703558635994</v>
      </c>
      <c r="M11" s="1">
        <v>4816.0345023711252</v>
      </c>
      <c r="N11" s="1">
        <v>4522.7646172256209</v>
      </c>
      <c r="O11" s="1">
        <v>4257.0474237289309</v>
      </c>
      <c r="P11" s="1">
        <v>4015.2508288526583</v>
      </c>
      <c r="Q11" s="1">
        <v>3794.3561340896699</v>
      </c>
      <c r="R11" s="1">
        <v>3591.8326432291487</v>
      </c>
      <c r="S11" s="1">
        <v>3405.5415196021108</v>
      </c>
      <c r="T11" s="1">
        <v>3233.6630924054521</v>
      </c>
      <c r="U11" s="1">
        <v>3074.6419697972465</v>
      </c>
      <c r="V11" s="1">
        <v>2927.1414705412813</v>
      </c>
      <c r="W11" s="1">
        <v>2790.0047782194706</v>
      </c>
      <c r="X11" s="1">
        <v>2662.2266215581399</v>
      </c>
      <c r="Y11" s="1">
        <v>2542.9248938538776</v>
      </c>
      <c r="Z11" s="1">
        <v>2431.3250715191361</v>
      </c>
      <c r="AA11" s="1">
        <v>2326.7421557373805</v>
      </c>
      <c r="AB11" s="1">
        <v>2228.5706775222275</v>
      </c>
      <c r="AC11" s="1">
        <v>2136.272635961368</v>
      </c>
      <c r="AD11" s="1">
        <v>2049.368417194044</v>
      </c>
      <c r="AE11" s="1">
        <v>1967.4272535153243</v>
      </c>
      <c r="AF11" s="1">
        <v>1890.0626911729175</v>
      </c>
      <c r="AG11" s="1">
        <v>1816.9250878181494</v>
      </c>
      <c r="AH11" s="1">
        <v>1747.7000671058183</v>
      </c>
      <c r="AI11" s="1">
        <v>1682.1038261850094</v>
      </c>
      <c r="AJ11" s="1">
        <v>1619.8780253616781</v>
      </c>
      <c r="AK11" s="1">
        <v>1560.7882493876987</v>
      </c>
      <c r="AL11" s="1">
        <v>1504.6206183447384</v>
      </c>
      <c r="AM11" s="1">
        <v>1451.1795622296263</v>
      </c>
    </row>
    <row r="12" spans="1:39">
      <c r="A12">
        <v>11</v>
      </c>
      <c r="B12" s="1">
        <v>0</v>
      </c>
      <c r="C12" s="1">
        <v>10223.589309732502</v>
      </c>
      <c r="D12" s="1">
        <v>9441.4614556228935</v>
      </c>
      <c r="E12" s="1">
        <v>8786.6708660447966</v>
      </c>
      <c r="F12" s="1">
        <v>8059.8537247304284</v>
      </c>
      <c r="G12" s="1">
        <v>7431.3319342440327</v>
      </c>
      <c r="H12" s="1">
        <v>6882.5065790141452</v>
      </c>
      <c r="I12" s="1">
        <v>6399.213097580955</v>
      </c>
      <c r="J12" s="1">
        <v>5970.4611823384676</v>
      </c>
      <c r="K12" s="1">
        <v>5587.5956988193257</v>
      </c>
      <c r="L12" s="1">
        <v>5243.6844594512977</v>
      </c>
      <c r="M12" s="1">
        <v>4911.9852535034797</v>
      </c>
      <c r="N12" s="1">
        <v>4612.8855683188267</v>
      </c>
      <c r="O12" s="1">
        <v>4341.8849681406864</v>
      </c>
      <c r="P12" s="1">
        <v>4095.2795296367008</v>
      </c>
      <c r="Q12" s="1">
        <v>3869.9908040376304</v>
      </c>
      <c r="R12" s="1">
        <v>3663.4379571891732</v>
      </c>
      <c r="S12" s="1">
        <v>3473.439767387807</v>
      </c>
      <c r="T12" s="1">
        <v>3298.1405414611163</v>
      </c>
      <c r="U12" s="1">
        <v>3135.9540996688124</v>
      </c>
      <c r="V12" s="1">
        <v>2985.517248256439</v>
      </c>
      <c r="W12" s="1">
        <v>2845.6502501314094</v>
      </c>
      <c r="X12" s="1">
        <v>2715.3278147533597</v>
      </c>
      <c r="Y12" s="1">
        <v>2593.6503361579735</v>
      </c>
      <c r="Z12" s="1">
        <v>2479.8278752039741</v>
      </c>
      <c r="AA12" s="1">
        <v>2373.16185606606</v>
      </c>
      <c r="AB12" s="1">
        <v>2273.0347870361593</v>
      </c>
      <c r="AC12" s="1">
        <v>2178.8979869804621</v>
      </c>
      <c r="AD12" s="1">
        <v>2090.2622815028635</v>
      </c>
      <c r="AE12" s="1">
        <v>2006.6883528558851</v>
      </c>
      <c r="AF12" s="1">
        <v>1927.7820348080083</v>
      </c>
      <c r="AG12" s="1">
        <v>1853.1867652170581</v>
      </c>
      <c r="AH12" s="1">
        <v>1782.5819355570895</v>
      </c>
      <c r="AI12" s="1">
        <v>1715.6780849562226</v>
      </c>
      <c r="AJ12" s="1">
        <v>1652.2117499958035</v>
      </c>
      <c r="AK12" s="1">
        <v>1591.943851129131</v>
      </c>
      <c r="AL12" s="1">
        <v>1534.6562526135203</v>
      </c>
      <c r="AM12" s="1">
        <v>1480.1494988573415</v>
      </c>
    </row>
    <row r="13" spans="1:39">
      <c r="A13">
        <v>12</v>
      </c>
      <c r="B13" s="1">
        <v>0</v>
      </c>
      <c r="C13" s="1">
        <v>0</v>
      </c>
      <c r="D13" s="1">
        <v>9441.4614556228935</v>
      </c>
      <c r="E13" s="1">
        <v>8786.6708660447966</v>
      </c>
      <c r="F13" s="1">
        <v>8220.1314451360267</v>
      </c>
      <c r="G13" s="1">
        <v>7579.17181073553</v>
      </c>
      <c r="H13" s="1">
        <v>7019.476584808428</v>
      </c>
      <c r="I13" s="1">
        <v>6526.6042029600121</v>
      </c>
      <c r="J13" s="1">
        <v>6089.3491962384405</v>
      </c>
      <c r="K13" s="1">
        <v>5698.8862732600182</v>
      </c>
      <c r="L13" s="1">
        <v>5348.1468451107494</v>
      </c>
      <c r="M13" s="1">
        <v>5009.855019658482</v>
      </c>
      <c r="N13" s="1">
        <v>4704.8089384338964</v>
      </c>
      <c r="O13" s="1">
        <v>4428.4192634406763</v>
      </c>
      <c r="P13" s="1">
        <v>4176.9088044364244</v>
      </c>
      <c r="Q13" s="1">
        <v>3947.1381673845499</v>
      </c>
      <c r="R13" s="1">
        <v>3736.4753774283977</v>
      </c>
      <c r="S13" s="1">
        <v>3542.6959801292173</v>
      </c>
      <c r="T13" s="1">
        <v>3363.907539497895</v>
      </c>
      <c r="U13" s="1">
        <v>3198.4924721378102</v>
      </c>
      <c r="V13" s="1">
        <v>3045.0605415258997</v>
      </c>
      <c r="W13" s="1">
        <v>2902.4086314815868</v>
      </c>
      <c r="X13" s="1">
        <v>2769.4910318124835</v>
      </c>
      <c r="Y13" s="1">
        <v>2645.3902873081515</v>
      </c>
      <c r="Z13" s="1">
        <v>2529.3007349625082</v>
      </c>
      <c r="AA13" s="1">
        <v>2420.5099504013128</v>
      </c>
      <c r="AB13" s="1">
        <v>2318.3881787403698</v>
      </c>
      <c r="AC13" s="1">
        <v>2222.375845019938</v>
      </c>
      <c r="AD13" s="1">
        <v>2131.9740230978591</v>
      </c>
      <c r="AE13" s="1">
        <v>2046.7346741832569</v>
      </c>
      <c r="AF13" s="1">
        <v>1966.255765315801</v>
      </c>
      <c r="AG13" s="1">
        <v>1890.1736761639456</v>
      </c>
      <c r="AH13" s="1">
        <v>1818.1614413773855</v>
      </c>
      <c r="AI13" s="1">
        <v>1749.9238289028599</v>
      </c>
      <c r="AJ13" s="1">
        <v>1685.1921491226121</v>
      </c>
      <c r="AK13" s="1">
        <v>1623.7225649053919</v>
      </c>
      <c r="AL13" s="1">
        <v>1565.2925995676776</v>
      </c>
      <c r="AM13" s="1">
        <v>1509.698834217611</v>
      </c>
    </row>
    <row r="14" spans="1:39">
      <c r="A14">
        <v>13</v>
      </c>
      <c r="B14" s="1">
        <v>0</v>
      </c>
      <c r="C14" s="1">
        <v>0</v>
      </c>
      <c r="D14" s="1">
        <v>0</v>
      </c>
      <c r="E14" s="1">
        <v>8786.6708660447966</v>
      </c>
      <c r="F14" s="1">
        <v>8220.1314451360267</v>
      </c>
      <c r="G14" s="1">
        <v>7729.968484756856</v>
      </c>
      <c r="H14" s="1">
        <v>7159.1859907185963</v>
      </c>
      <c r="I14" s="1">
        <v>6656.5431304466501</v>
      </c>
      <c r="J14" s="1">
        <v>6210.6149704164136</v>
      </c>
      <c r="K14" s="1">
        <v>5812.4026591895254</v>
      </c>
      <c r="L14" s="1">
        <v>5454.6984784833903</v>
      </c>
      <c r="M14" s="1">
        <v>5109.6821811365835</v>
      </c>
      <c r="N14" s="1">
        <v>4798.5707759512688</v>
      </c>
      <c r="O14" s="1">
        <v>4516.6842446466662</v>
      </c>
      <c r="P14" s="1">
        <v>4260.1706647321425</v>
      </c>
      <c r="Q14" s="1">
        <v>4025.8284779984087</v>
      </c>
      <c r="R14" s="1">
        <v>3810.9735460724069</v>
      </c>
      <c r="S14" s="1">
        <v>3613.3373171254561</v>
      </c>
      <c r="T14" s="1">
        <v>3430.9898774954086</v>
      </c>
      <c r="U14" s="1">
        <v>3262.2816120561879</v>
      </c>
      <c r="V14" s="1">
        <v>3105.7947006607492</v>
      </c>
      <c r="W14" s="1">
        <v>2960.3021804587684</v>
      </c>
      <c r="X14" s="1">
        <v>2824.7375132127895</v>
      </c>
      <c r="Y14" s="1">
        <v>2698.165037481333</v>
      </c>
      <c r="Z14" s="1">
        <v>2579.763051916213</v>
      </c>
      <c r="AA14" s="1">
        <v>2468.8050066232704</v>
      </c>
      <c r="AB14" s="1">
        <v>2364.6486382786638</v>
      </c>
      <c r="AC14" s="1">
        <v>2266.7232602202034</v>
      </c>
      <c r="AD14" s="1">
        <v>2174.5199995247549</v>
      </c>
      <c r="AE14" s="1">
        <v>2087.581921937176</v>
      </c>
      <c r="AF14" s="1">
        <v>2005.4989704337497</v>
      </c>
      <c r="AG14" s="1">
        <v>1927.9003253297701</v>
      </c>
      <c r="AH14" s="1">
        <v>1854.4525373140877</v>
      </c>
      <c r="AI14" s="1">
        <v>1784.8544877284298</v>
      </c>
      <c r="AJ14" s="1">
        <v>1718.8321562319566</v>
      </c>
      <c r="AK14" s="1">
        <v>1656.1368529571782</v>
      </c>
      <c r="AL14" s="1">
        <v>1596.5416734609182</v>
      </c>
      <c r="AM14" s="1">
        <v>1539.8391562850859</v>
      </c>
    </row>
    <row r="15" spans="1:39">
      <c r="A15">
        <v>14</v>
      </c>
      <c r="B15" s="1">
        <v>0</v>
      </c>
      <c r="C15" s="1">
        <v>0</v>
      </c>
      <c r="D15" s="1">
        <v>0</v>
      </c>
      <c r="E15" s="1">
        <v>0</v>
      </c>
      <c r="F15" s="1">
        <v>8220.1314451360267</v>
      </c>
      <c r="G15" s="1">
        <v>7729.968484756856</v>
      </c>
      <c r="H15" s="1">
        <v>7301.6895847469659</v>
      </c>
      <c r="I15" s="1">
        <v>6789.0808364830218</v>
      </c>
      <c r="J15" s="1">
        <v>6334.3060600779463</v>
      </c>
      <c r="K15" s="1">
        <v>5928.1893728376226</v>
      </c>
      <c r="L15" s="1">
        <v>5563.3811445234851</v>
      </c>
      <c r="M15" s="1">
        <v>5211.505885844248</v>
      </c>
      <c r="N15" s="1">
        <v>4894.207850218987</v>
      </c>
      <c r="O15" s="1">
        <v>4606.7145254767756</v>
      </c>
      <c r="P15" s="1">
        <v>4345.0977622337741</v>
      </c>
      <c r="Q15" s="1">
        <v>4106.0925948245449</v>
      </c>
      <c r="R15" s="1">
        <v>3886.9616780892957</v>
      </c>
      <c r="S15" s="1">
        <v>3685.3914808616191</v>
      </c>
      <c r="T15" s="1">
        <v>3499.4138622528726</v>
      </c>
      <c r="U15" s="1">
        <v>3327.3465347729334</v>
      </c>
      <c r="V15" s="1">
        <v>3167.7435429782954</v>
      </c>
      <c r="W15" s="1">
        <v>3019.3536004154926</v>
      </c>
      <c r="X15" s="1">
        <v>2881.0889242411026</v>
      </c>
      <c r="Y15" s="1">
        <v>2751.9952826579779</v>
      </c>
      <c r="Z15" s="1">
        <v>2631.2346152089926</v>
      </c>
      <c r="AA15" s="1">
        <v>2518.0659639696673</v>
      </c>
      <c r="AB15" s="1">
        <v>2411.8343070077249</v>
      </c>
      <c r="AC15" s="1">
        <v>2311.9576237244746</v>
      </c>
      <c r="AD15" s="1">
        <v>2217.9168954801889</v>
      </c>
      <c r="AE15" s="1">
        <v>2129.2461146461737</v>
      </c>
      <c r="AF15" s="1">
        <v>2045.5270396540573</v>
      </c>
      <c r="AG15" s="1">
        <v>1966.3815074789113</v>
      </c>
      <c r="AH15" s="1">
        <v>1891.4694551695238</v>
      </c>
      <c r="AI15" s="1">
        <v>1820.4837597305116</v>
      </c>
      <c r="AJ15" s="1">
        <v>1753.144963483488</v>
      </c>
      <c r="AK15" s="1">
        <v>1689.1994267700002</v>
      </c>
      <c r="AL15" s="1">
        <v>1628.4157288320232</v>
      </c>
      <c r="AM15" s="1">
        <v>1570.5822847939103</v>
      </c>
    </row>
    <row r="16" spans="1:39">
      <c r="A16">
        <v>15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7729.968484756856</v>
      </c>
      <c r="H16" s="1">
        <v>7301.6895847469659</v>
      </c>
      <c r="I16" s="1">
        <v>6924.26929664012</v>
      </c>
      <c r="J16" s="1">
        <v>6460.470971532709</v>
      </c>
      <c r="K16" s="1">
        <v>6046.2918207586818</v>
      </c>
      <c r="L16" s="1">
        <v>5674.2374638843803</v>
      </c>
      <c r="M16" s="1">
        <v>5315.3660646460658</v>
      </c>
      <c r="N16" s="1">
        <v>4991.7576659720598</v>
      </c>
      <c r="O16" s="1">
        <v>4698.5454119234882</v>
      </c>
      <c r="P16" s="1">
        <v>4431.72340168544</v>
      </c>
      <c r="Q16" s="1">
        <v>4187.9619939872018</v>
      </c>
      <c r="R16" s="1">
        <v>3964.4695727465219</v>
      </c>
      <c r="S16" s="1">
        <v>3758.8867278725061</v>
      </c>
      <c r="T16" s="1">
        <v>3569.2063267054855</v>
      </c>
      <c r="U16" s="1">
        <v>3393.7127559440132</v>
      </c>
      <c r="V16" s="1">
        <v>3230.9313621421934</v>
      </c>
      <c r="W16" s="1">
        <v>3079.5860487713517</v>
      </c>
      <c r="X16" s="1">
        <v>2938.5673634899813</v>
      </c>
      <c r="Y16" s="1">
        <v>2806.9021327381561</v>
      </c>
      <c r="Z16" s="1">
        <v>2683.7356097676275</v>
      </c>
      <c r="AA16" s="1">
        <v>2568.3121404629928</v>
      </c>
      <c r="AB16" s="1">
        <v>2459.9636891113664</v>
      </c>
      <c r="AC16" s="1">
        <v>2358.0966744988305</v>
      </c>
      <c r="AD16" s="1">
        <v>2262.1817293547315</v>
      </c>
      <c r="AE16" s="1">
        <v>2171.7435912093511</v>
      </c>
      <c r="AF16" s="1">
        <v>2086.3556702587712</v>
      </c>
      <c r="AG16" s="1">
        <v>2005.6323132710354</v>
      </c>
      <c r="AH16" s="1">
        <v>1929.2267113820683</v>
      </c>
      <c r="AI16" s="1">
        <v>1856.825617172635</v>
      </c>
      <c r="AJ16" s="1">
        <v>1788.1440268800502</v>
      </c>
      <c r="AK16" s="1">
        <v>1722.9232520590783</v>
      </c>
      <c r="AL16" s="1">
        <v>1660.9272653105504</v>
      </c>
      <c r="AM16" s="1">
        <v>1601.9402758729109</v>
      </c>
    </row>
    <row r="17" spans="1:39">
      <c r="A17">
        <v>16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7301.6895847469659</v>
      </c>
      <c r="I17" s="1">
        <v>6924.26929664012</v>
      </c>
      <c r="J17" s="1">
        <v>6589.159181216567</v>
      </c>
      <c r="K17" s="1">
        <v>6166.7563176381609</v>
      </c>
      <c r="L17" s="1">
        <v>5787.3109096324943</v>
      </c>
      <c r="M17" s="1">
        <v>5421.303447023919</v>
      </c>
      <c r="N17" s="1">
        <v>5091.2584780401958</v>
      </c>
      <c r="O17" s="1">
        <v>4792.2129160991335</v>
      </c>
      <c r="P17" s="1">
        <v>4520.0815539261384</v>
      </c>
      <c r="Q17" s="1">
        <v>4271.4687811331132</v>
      </c>
      <c r="R17" s="1">
        <v>4043.5276252968943</v>
      </c>
      <c r="S17" s="1">
        <v>3833.8518798236105</v>
      </c>
      <c r="T17" s="1">
        <v>3640.3946404471512</v>
      </c>
      <c r="U17" s="1">
        <v>3461.4063015385145</v>
      </c>
      <c r="V17" s="1">
        <v>3295.3829376893696</v>
      </c>
      <c r="W17" s="1">
        <v>3141.0231460943282</v>
      </c>
      <c r="X17" s="1">
        <v>2997.1953715238383</v>
      </c>
      <c r="Y17" s="1">
        <v>2862.9071198199376</v>
      </c>
      <c r="Z17" s="1">
        <v>2737.2866242174355</v>
      </c>
      <c r="AA17" s="1">
        <v>2619.563240486184</v>
      </c>
      <c r="AB17" s="1">
        <v>2509.0556588570807</v>
      </c>
      <c r="AC17" s="1">
        <v>2405.1585062886743</v>
      </c>
      <c r="AD17" s="1">
        <v>2307.3318599067643</v>
      </c>
      <c r="AE17" s="1">
        <v>2215.0910173037923</v>
      </c>
      <c r="AF17" s="1">
        <v>2128.0008734755788</v>
      </c>
      <c r="AG17" s="1">
        <v>2045.6681351790019</v>
      </c>
      <c r="AH17" s="1">
        <v>1967.7391127188644</v>
      </c>
      <c r="AI17" s="1">
        <v>1893.8943117636009</v>
      </c>
      <c r="AJ17" s="1">
        <v>1823.8430715445436</v>
      </c>
      <c r="AK17" s="1">
        <v>1757.3215538539387</v>
      </c>
      <c r="AL17" s="1">
        <v>1694.0890325186485</v>
      </c>
      <c r="AM17" s="1">
        <v>1633.9254267734918</v>
      </c>
    </row>
    <row r="18" spans="1:39">
      <c r="A18">
        <v>17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6924.26929664012</v>
      </c>
      <c r="J18" s="1">
        <v>6589.159181216567</v>
      </c>
      <c r="K18" s="1">
        <v>6289.630104455231</v>
      </c>
      <c r="L18" s="1">
        <v>5902.6458242955687</v>
      </c>
      <c r="M18" s="1">
        <v>5529.3595770493293</v>
      </c>
      <c r="N18" s="1">
        <v>5192.7493063496931</v>
      </c>
      <c r="O18" s="1">
        <v>4887.753770358293</v>
      </c>
      <c r="P18" s="1">
        <v>4610.2068692116509</v>
      </c>
      <c r="Q18" s="1">
        <v>4356.645704021942</v>
      </c>
      <c r="R18" s="1">
        <v>4124.1668388982735</v>
      </c>
      <c r="S18" s="1">
        <v>3910.3163348137364</v>
      </c>
      <c r="T18" s="1">
        <v>3713.0067204636507</v>
      </c>
      <c r="U18" s="1">
        <v>3530.4537180449061</v>
      </c>
      <c r="V18" s="1">
        <v>3361.1235447474887</v>
      </c>
      <c r="W18" s="1">
        <v>3203.688985363764</v>
      </c>
      <c r="X18" s="1">
        <v>3056.9959397183716</v>
      </c>
      <c r="Y18" s="1">
        <v>2920.0322066433546</v>
      </c>
      <c r="Z18" s="1">
        <v>2791.9086589562389</v>
      </c>
      <c r="AA18" s="1">
        <v>2671.8393625098388</v>
      </c>
      <c r="AB18" s="1">
        <v>2559.1294679977095</v>
      </c>
      <c r="AC18" s="1">
        <v>2453.1615747143142</v>
      </c>
      <c r="AD18" s="1">
        <v>2353.3849930698384</v>
      </c>
      <c r="AE18" s="1">
        <v>2259.3053919201225</v>
      </c>
      <c r="AF18" s="1">
        <v>2170.4789807567236</v>
      </c>
      <c r="AG18" s="1">
        <v>2086.5046735251276</v>
      </c>
      <c r="AH18" s="1">
        <v>2007.021762082396</v>
      </c>
      <c r="AI18" s="1">
        <v>1931.7043802463859</v>
      </c>
      <c r="AJ18" s="1">
        <v>1860.2560971023265</v>
      </c>
      <c r="AK18" s="1">
        <v>1792.4078216846956</v>
      </c>
      <c r="AL18" s="1">
        <v>1727.9140350709085</v>
      </c>
      <c r="AM18" s="1">
        <v>1666.5502806920845</v>
      </c>
    </row>
    <row r="19" spans="1:39">
      <c r="A19">
        <v>18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6589.159181216567</v>
      </c>
      <c r="K19" s="1">
        <v>6289.630104455231</v>
      </c>
      <c r="L19" s="1">
        <v>6020.2874372519063</v>
      </c>
      <c r="M19" s="1">
        <v>5639.5768296752485</v>
      </c>
      <c r="N19" s="1">
        <v>5296.2699512253812</v>
      </c>
      <c r="O19" s="1">
        <v>4985.2054417026357</v>
      </c>
      <c r="P19" s="1">
        <v>4702.1346908028727</v>
      </c>
      <c r="Q19" s="1">
        <v>4443.5261653685475</v>
      </c>
      <c r="R19" s="1">
        <v>4206.4188367716797</v>
      </c>
      <c r="S19" s="1">
        <v>3988.3100789036653</v>
      </c>
      <c r="T19" s="1">
        <v>3787.0710420804789</v>
      </c>
      <c r="U19" s="1">
        <v>3600.8820828814255</v>
      </c>
      <c r="V19" s="1">
        <v>3428.1789639467702</v>
      </c>
      <c r="W19" s="1">
        <v>3267.6081414185892</v>
      </c>
      <c r="X19" s="1">
        <v>3117.992519276796</v>
      </c>
      <c r="Y19" s="1">
        <v>2978.2997952032401</v>
      </c>
      <c r="Z19" s="1">
        <v>2847.6231343898185</v>
      </c>
      <c r="AA19" s="1">
        <v>2725.1610069739677</v>
      </c>
      <c r="AB19" s="1">
        <v>2610.2047533211507</v>
      </c>
      <c r="AC19" s="1">
        <v>2502.1247045084674</v>
      </c>
      <c r="AD19" s="1">
        <v>2400.3591888961737</v>
      </c>
      <c r="AE19" s="1">
        <v>2304.4040540287788</v>
      </c>
      <c r="AF19" s="1">
        <v>2213.8066501834901</v>
      </c>
      <c r="AG19" s="1">
        <v>2128.1579426381763</v>
      </c>
      <c r="AH19" s="1">
        <v>2047.090064433198</v>
      </c>
      <c r="AI19" s="1">
        <v>1970.2706500988261</v>
      </c>
      <c r="AJ19" s="1">
        <v>1897.3973831712656</v>
      </c>
      <c r="AK19" s="1">
        <v>1828.195814872068</v>
      </c>
      <c r="AL19" s="1">
        <v>1762.4155376742137</v>
      </c>
      <c r="AM19" s="1">
        <v>1699.8276316890485</v>
      </c>
    </row>
    <row r="20" spans="1:39">
      <c r="A20">
        <v>19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6289.630104455231</v>
      </c>
      <c r="L20" s="1">
        <v>6020.2874372519063</v>
      </c>
      <c r="M20" s="1">
        <v>5751.9984273536847</v>
      </c>
      <c r="N20" s="1">
        <v>5401.8610089985823</v>
      </c>
      <c r="O20" s="1">
        <v>5084.606146473865</v>
      </c>
      <c r="P20" s="1">
        <v>4795.9010688259195</v>
      </c>
      <c r="Q20" s="1">
        <v>4532.1442359420862</v>
      </c>
      <c r="R20" s="1">
        <v>4290.3158746025547</v>
      </c>
      <c r="S20" s="1">
        <v>4067.8636978753934</v>
      </c>
      <c r="T20" s="1">
        <v>3862.6166501296439</v>
      </c>
      <c r="U20" s="1">
        <v>3672.7190150146757</v>
      </c>
      <c r="V20" s="1">
        <v>3496.5754915300363</v>
      </c>
      <c r="W20" s="1">
        <v>3332.8056805945102</v>
      </c>
      <c r="X20" s="1">
        <v>3180.2090304263884</v>
      </c>
      <c r="Y20" s="1">
        <v>3037.7327355343232</v>
      </c>
      <c r="Z20" s="1">
        <v>2904.4518993320703</v>
      </c>
      <c r="AA20" s="1">
        <v>2779.5490843273783</v>
      </c>
      <c r="AB20" s="1">
        <v>2662.3015443510608</v>
      </c>
      <c r="AC20" s="1">
        <v>2552.0670968985032</v>
      </c>
      <c r="AD20" s="1">
        <v>2448.2728686390356</v>
      </c>
      <c r="AE20" s="1">
        <v>2350.4046893796085</v>
      </c>
      <c r="AF20" s="1">
        <v>2258.0008729987921</v>
      </c>
      <c r="AG20" s="1">
        <v>2170.644277133486</v>
      </c>
      <c r="AH20" s="1">
        <v>2087.9597328310165</v>
      </c>
      <c r="AI20" s="1">
        <v>2009.6082453483154</v>
      </c>
      <c r="AJ20" s="1">
        <v>1935.2814949615833</v>
      </c>
      <c r="AK20" s="1">
        <v>1864.6995679231879</v>
      </c>
      <c r="AL20" s="1">
        <v>1797.607070329585</v>
      </c>
      <c r="AM20" s="1">
        <v>1733.7705297059524</v>
      </c>
    </row>
    <row r="21" spans="1:39">
      <c r="A21">
        <v>20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6020.2874372519063</v>
      </c>
      <c r="M21" s="1">
        <v>5751.9984273536847</v>
      </c>
      <c r="N21" s="1">
        <v>5509.5638879272474</v>
      </c>
      <c r="O21" s="1">
        <v>5185.994865340519</v>
      </c>
      <c r="P21" s="1">
        <v>4891.5427744094277</v>
      </c>
      <c r="Q21" s="1">
        <v>4622.5346679270942</v>
      </c>
      <c r="R21" s="1">
        <v>4375.890853190047</v>
      </c>
      <c r="S21" s="1">
        <v>4149.0083892265548</v>
      </c>
      <c r="T21" s="1">
        <v>3939.6731703397927</v>
      </c>
      <c r="U21" s="1">
        <v>3745.9926857905903</v>
      </c>
      <c r="V21" s="1">
        <v>3566.339949664969</v>
      </c>
      <c r="W21" s="1">
        <v>3399.3071705539501</v>
      </c>
      <c r="X21" s="1">
        <v>3243.6698717989739</v>
      </c>
      <c r="Y21" s="1">
        <v>3098.354334672028</v>
      </c>
      <c r="Z21" s="1">
        <v>2962.4172395731662</v>
      </c>
      <c r="AA21" s="1">
        <v>2835.0249232278575</v>
      </c>
      <c r="AB21" s="1">
        <v>2715.440271201569</v>
      </c>
      <c r="AC21" s="1">
        <v>2603.0083371363403</v>
      </c>
      <c r="AD21" s="1">
        <v>2497.1448219767553</v>
      </c>
      <c r="AE21" s="1">
        <v>2397.3253374374544</v>
      </c>
      <c r="AF21" s="1">
        <v>2303.0789802704012</v>
      </c>
      <c r="AG21" s="1">
        <v>2213.9803383187013</v>
      </c>
      <c r="AH21" s="1">
        <v>2129.6467945967911</v>
      </c>
      <c r="AI21" s="1">
        <v>2049.7325925027949</v>
      </c>
      <c r="AJ21" s="1">
        <v>1973.9232889877073</v>
      </c>
      <c r="AK21" s="1">
        <v>1901.9333960353304</v>
      </c>
      <c r="AL21" s="1">
        <v>1833.5024336380636</v>
      </c>
      <c r="AM21" s="1">
        <v>1768.3922856831939</v>
      </c>
    </row>
    <row r="22" spans="1:39">
      <c r="A22">
        <v>21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5751.9984273536847</v>
      </c>
      <c r="N22" s="1">
        <v>5509.5638879272474</v>
      </c>
      <c r="O22" s="1">
        <v>5289.4113585845053</v>
      </c>
      <c r="P22" s="1">
        <v>4989.0973141046061</v>
      </c>
      <c r="Q22" s="1">
        <v>4714.732908551804</v>
      </c>
      <c r="R22" s="1">
        <v>4463.1773313492895</v>
      </c>
      <c r="S22" s="1">
        <v>4231.7759744047407</v>
      </c>
      <c r="T22" s="1">
        <v>4018.2708209541443</v>
      </c>
      <c r="U22" s="1">
        <v>3820.7318299820236</v>
      </c>
      <c r="V22" s="1">
        <v>3637.4996969626004</v>
      </c>
      <c r="W22" s="1">
        <v>3467.1386903125781</v>
      </c>
      <c r="X22" s="1">
        <v>3308.3999299990096</v>
      </c>
      <c r="Y22" s="1">
        <v>3160.1883657924873</v>
      </c>
      <c r="Z22" s="1">
        <v>3021.5418866190844</v>
      </c>
      <c r="AA22" s="1">
        <v>2891.6102789063461</v>
      </c>
      <c r="AB22" s="1">
        <v>2769.6417725890879</v>
      </c>
      <c r="AC22" s="1">
        <v>2654.968402178934</v>
      </c>
      <c r="AD22" s="1">
        <v>2546.9942143812286</v>
      </c>
      <c r="AE22" s="1">
        <v>2445.1843984564575</v>
      </c>
      <c r="AF22" s="1">
        <v>2349.0586496874412</v>
      </c>
      <c r="AG22" s="1">
        <v>2258.1831207276209</v>
      </c>
      <c r="AH22" s="1">
        <v>2172.1675975978815</v>
      </c>
      <c r="AI22" s="1">
        <v>2090.6594266003635</v>
      </c>
      <c r="AJ22" s="1">
        <v>2013.3379188943538</v>
      </c>
      <c r="AK22" s="1">
        <v>1939.9119007097152</v>
      </c>
      <c r="AL22" s="1">
        <v>1870.115704212712</v>
      </c>
      <c r="AM22" s="1">
        <v>1803.7064767799809</v>
      </c>
    </row>
    <row r="23" spans="1:39">
      <c r="A23">
        <v>22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5509.5638879272474</v>
      </c>
      <c r="O23" s="1">
        <v>5289.4113585845053</v>
      </c>
      <c r="P23" s="1">
        <v>5088.6029445936874</v>
      </c>
      <c r="Q23" s="1">
        <v>4808.7751139890061</v>
      </c>
      <c r="R23" s="1">
        <v>4552.2095390717159</v>
      </c>
      <c r="S23" s="1">
        <v>4316.1989112864903</v>
      </c>
      <c r="T23" s="1">
        <v>4098.4404245807827</v>
      </c>
      <c r="U23" s="1">
        <v>3896.9657570572858</v>
      </c>
      <c r="V23" s="1">
        <v>3710.0826392061836</v>
      </c>
      <c r="W23" s="1">
        <v>3536.3268404663791</v>
      </c>
      <c r="X23" s="1">
        <v>3374.4245893630468</v>
      </c>
      <c r="Y23" s="1">
        <v>3223.2590775353551</v>
      </c>
      <c r="Z23" s="1">
        <v>3081.8490266059212</v>
      </c>
      <c r="AA23" s="1">
        <v>2949.3273416984048</v>
      </c>
      <c r="AB23" s="1">
        <v>2824.9273040043568</v>
      </c>
      <c r="AC23" s="1">
        <v>2707.967668522379</v>
      </c>
      <c r="AD23" s="1">
        <v>2597.8405946337921</v>
      </c>
      <c r="AE23" s="1">
        <v>2494.0006406958414</v>
      </c>
      <c r="AF23" s="1">
        <v>2395.9579124928227</v>
      </c>
      <c r="AG23" s="1">
        <v>2303.2699587847192</v>
      </c>
      <c r="AH23" s="1">
        <v>2215.5388166589933</v>
      </c>
      <c r="AI23" s="1">
        <v>2132.4047973798838</v>
      </c>
      <c r="AJ23" s="1">
        <v>2053.5408413991331</v>
      </c>
      <c r="AK23" s="1">
        <v>1978.649975477588</v>
      </c>
      <c r="AL23" s="1">
        <v>1907.4612401988534</v>
      </c>
      <c r="AM23" s="1">
        <v>1839.726951698703</v>
      </c>
    </row>
    <row r="24" spans="1:39">
      <c r="A24">
        <v>23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5289.4113585845053</v>
      </c>
      <c r="P24" s="1">
        <v>5088.6029445936874</v>
      </c>
      <c r="Q24" s="1">
        <v>4904.698163534953</v>
      </c>
      <c r="R24" s="1">
        <v>4643.0223909485912</v>
      </c>
      <c r="S24" s="1">
        <v>4402.3103069058743</v>
      </c>
      <c r="T24" s="1">
        <v>4180.2134202799543</v>
      </c>
      <c r="U24" s="1">
        <v>3974.7243626740528</v>
      </c>
      <c r="V24" s="1">
        <v>3784.117240294639</v>
      </c>
      <c r="W24" s="1">
        <v>3606.8987536232553</v>
      </c>
      <c r="X24" s="1">
        <v>3441.7697419143647</v>
      </c>
      <c r="Y24" s="1">
        <v>3287.5912035130809</v>
      </c>
      <c r="Z24" s="1">
        <v>3143.3623093924944</v>
      </c>
      <c r="AA24" s="1">
        <v>3008.1987457463042</v>
      </c>
      <c r="AB24" s="1">
        <v>2881.3185460479308</v>
      </c>
      <c r="AC24" s="1">
        <v>2762.0269201926935</v>
      </c>
      <c r="AD24" s="1">
        <v>2649.7039024914066</v>
      </c>
      <c r="AE24" s="1">
        <v>2543.7932077800119</v>
      </c>
      <c r="AF24" s="1">
        <v>2443.7951605543117</v>
      </c>
      <c r="AG24" s="1">
        <v>2349.2585336029597</v>
      </c>
      <c r="AH24" s="1">
        <v>2259.777460101328</v>
      </c>
      <c r="AI24" s="1">
        <v>2174.9850755749944</v>
      </c>
      <c r="AJ24" s="1">
        <v>2094.5478223540081</v>
      </c>
      <c r="AK24" s="1">
        <v>2018.1628117408184</v>
      </c>
      <c r="AL24" s="1">
        <v>1945.5536869047173</v>
      </c>
      <c r="AM24" s="1">
        <v>1876.4678361157996</v>
      </c>
    </row>
    <row r="25" spans="1:39">
      <c r="A25">
        <v>24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5088.6029445936874</v>
      </c>
      <c r="Q25" s="1">
        <v>4904.698163534953</v>
      </c>
      <c r="R25" s="1">
        <v>4735.6514998630046</v>
      </c>
      <c r="S25" s="1">
        <v>4490.1439304376445</v>
      </c>
      <c r="T25" s="1">
        <v>4263.62187589311</v>
      </c>
      <c r="U25" s="1">
        <v>4054.0381404031559</v>
      </c>
      <c r="V25" s="1">
        <v>3859.6325334048638</v>
      </c>
      <c r="W25" s="1">
        <v>3678.8821050432698</v>
      </c>
      <c r="X25" s="1">
        <v>3510.4617975167089</v>
      </c>
      <c r="Y25" s="1">
        <v>3353.2099720103606</v>
      </c>
      <c r="Z25" s="1">
        <v>3206.1058578347997</v>
      </c>
      <c r="AA25" s="1">
        <v>3068.2475778751623</v>
      </c>
      <c r="AB25" s="1">
        <v>2938.8376129323769</v>
      </c>
      <c r="AC25" s="1">
        <v>2817.1673568964143</v>
      </c>
      <c r="AD25" s="1">
        <v>2702.6044765061729</v>
      </c>
      <c r="AE25" s="1">
        <v>2594.5816262058661</v>
      </c>
      <c r="AF25" s="1">
        <v>2492.5891535770306</v>
      </c>
      <c r="AG25" s="1">
        <v>2396.1668799175645</v>
      </c>
      <c r="AH25" s="1">
        <v>2304.9008764125088</v>
      </c>
      <c r="AI25" s="1">
        <v>2218.4169593340075</v>
      </c>
      <c r="AJ25" s="1">
        <v>2136.3749429279806</v>
      </c>
      <c r="AK25" s="1">
        <v>2058.465904729313</v>
      </c>
      <c r="AL25" s="1">
        <v>1984.4079825446986</v>
      </c>
      <c r="AM25" s="1">
        <v>1913.9435382212382</v>
      </c>
    </row>
    <row r="26" spans="1:39">
      <c r="A26">
        <v>25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4904.698163534953</v>
      </c>
      <c r="R26" s="1">
        <v>4735.6514998630046</v>
      </c>
      <c r="S26" s="1">
        <v>4579.7342264400522</v>
      </c>
      <c r="T26" s="1">
        <v>4348.6985006185278</v>
      </c>
      <c r="U26" s="1">
        <v>4134.9381936868403</v>
      </c>
      <c r="V26" s="1">
        <v>3936.658132377293</v>
      </c>
      <c r="W26" s="1">
        <v>3752.3051234916852</v>
      </c>
      <c r="X26" s="1">
        <v>3580.5276942311002</v>
      </c>
      <c r="Y26" s="1">
        <v>3420.1411158775863</v>
      </c>
      <c r="Z26" s="1">
        <v>3270.1042772459514</v>
      </c>
      <c r="AA26" s="1">
        <v>3129.4973866465971</v>
      </c>
      <c r="AB26" s="1">
        <v>2997.5070611545111</v>
      </c>
      <c r="AC26" s="1">
        <v>2873.4106023342092</v>
      </c>
      <c r="AD26" s="1">
        <v>2756.5630620012348</v>
      </c>
      <c r="AE26" s="1">
        <v>2646.3858130002377</v>
      </c>
      <c r="AF26" s="1">
        <v>2542.3590264602039</v>
      </c>
      <c r="AG26" s="1">
        <v>2444.0133931584619</v>
      </c>
      <c r="AH26" s="1">
        <v>2350.9267610499128</v>
      </c>
      <c r="AI26" s="1">
        <v>2262.7174807682009</v>
      </c>
      <c r="AJ26" s="1">
        <v>2179.038605913433</v>
      </c>
      <c r="AK26" s="1">
        <v>2099.5750595775776</v>
      </c>
      <c r="AL26" s="1">
        <v>2024.0393640974796</v>
      </c>
      <c r="AM26" s="1">
        <v>1952.1687543687858</v>
      </c>
    </row>
    <row r="27" spans="1:39">
      <c r="A27">
        <v>26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4735.6514998630046</v>
      </c>
      <c r="S27" s="1">
        <v>4579.7342264400522</v>
      </c>
      <c r="T27" s="1">
        <v>4435.4766578384542</v>
      </c>
      <c r="U27" s="1">
        <v>4217.4562480361974</v>
      </c>
      <c r="V27" s="1">
        <v>4015.2242433291708</v>
      </c>
      <c r="W27" s="1">
        <v>3827.1966023090681</v>
      </c>
      <c r="X27" s="1">
        <v>3651.9949088797794</v>
      </c>
      <c r="Y27" s="1">
        <v>3488.4108826221568</v>
      </c>
      <c r="Z27" s="1">
        <v>3335.3826650453252</v>
      </c>
      <c r="AA27" s="1">
        <v>3191.9721915934606</v>
      </c>
      <c r="AB27" s="1">
        <v>3057.3498983410886</v>
      </c>
      <c r="AC27" s="1">
        <v>2930.7787126807602</v>
      </c>
      <c r="AD27" s="1">
        <v>2811.6008192061981</v>
      </c>
      <c r="AE27" s="1">
        <v>2699.2260835304965</v>
      </c>
      <c r="AF27" s="1">
        <v>2593.1242968010406</v>
      </c>
      <c r="AG27" s="1">
        <v>2492.8168366641771</v>
      </c>
      <c r="AH27" s="1">
        <v>2397.8731633800653</v>
      </c>
      <c r="AI27" s="1">
        <v>2307.9040126310774</v>
      </c>
      <c r="AJ27" s="1">
        <v>2222.5555421585937</v>
      </c>
      <c r="AK27" s="1">
        <v>2141.5063975228077</v>
      </c>
      <c r="AL27" s="1">
        <v>2064.4633732813159</v>
      </c>
      <c r="AM27" s="1">
        <v>1991.1584748392841</v>
      </c>
    </row>
    <row r="28" spans="1:39">
      <c r="A28">
        <v>27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4579.7342264400522</v>
      </c>
      <c r="T28" s="1">
        <v>4435.4766578384542</v>
      </c>
      <c r="U28" s="1">
        <v>4301.624663472543</v>
      </c>
      <c r="V28" s="1">
        <v>4095.3616765000861</v>
      </c>
      <c r="W28" s="1">
        <v>3903.5859107027982</v>
      </c>
      <c r="X28" s="1">
        <v>3724.8914678214319</v>
      </c>
      <c r="Y28" s="1">
        <v>3558.0460447016176</v>
      </c>
      <c r="Z28" s="1">
        <v>3401.9666206006868</v>
      </c>
      <c r="AA28" s="1">
        <v>3255.6964926392616</v>
      </c>
      <c r="AB28" s="1">
        <v>3118.3895922713973</v>
      </c>
      <c r="AC28" s="1">
        <v>2989.2941852342424</v>
      </c>
      <c r="AD28" s="1">
        <v>2867.7393315552608</v>
      </c>
      <c r="AE28" s="1">
        <v>2753.1231594713599</v>
      </c>
      <c r="AF28" s="1">
        <v>2644.9048725486941</v>
      </c>
      <c r="AG28" s="1">
        <v>2542.5963490400063</v>
      </c>
      <c r="AH28" s="1">
        <v>2445.7584937568213</v>
      </c>
      <c r="AI28" s="1">
        <v>2353.9942751312124</v>
      </c>
      <c r="AJ28" s="1">
        <v>2266.9428171286581</v>
      </c>
      <c r="AK28" s="1">
        <v>2184.2763622269422</v>
      </c>
      <c r="AL28" s="1">
        <v>2105.6958626488295</v>
      </c>
      <c r="AM28" s="1">
        <v>2030.9279897191925</v>
      </c>
    </row>
    <row r="29" spans="1:39">
      <c r="A29">
        <v>28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4435.4766578384542</v>
      </c>
      <c r="U29" s="1">
        <v>4301.624663472543</v>
      </c>
      <c r="V29" s="1">
        <v>4177.1018583344194</v>
      </c>
      <c r="W29" s="1">
        <v>3981.5030052644029</v>
      </c>
      <c r="X29" s="1">
        <v>3799.2459579419178</v>
      </c>
      <c r="Y29" s="1">
        <v>3629.0739100226683</v>
      </c>
      <c r="Z29" s="1">
        <v>3469.8822552671559</v>
      </c>
      <c r="AA29" s="1">
        <v>3320.6952797059785</v>
      </c>
      <c r="AB29" s="1">
        <v>3180.6500800803128</v>
      </c>
      <c r="AC29" s="1">
        <v>3048.9799672387935</v>
      </c>
      <c r="AD29" s="1">
        <v>2925.0006141513045</v>
      </c>
      <c r="AE29" s="1">
        <v>2808.0981769310415</v>
      </c>
      <c r="AF29" s="1">
        <v>2697.7210598113002</v>
      </c>
      <c r="AG29" s="1">
        <v>2593.3714516633522</v>
      </c>
      <c r="AH29" s="1">
        <v>2494.6015307411121</v>
      </c>
      <c r="AI29" s="1">
        <v>2401.0063428813492</v>
      </c>
      <c r="AJ29" s="1">
        <v>2312.2178375981234</v>
      </c>
      <c r="AK29" s="1">
        <v>2227.9017262251596</v>
      </c>
      <c r="AL29" s="1">
        <v>2147.7530018036932</v>
      </c>
      <c r="AM29" s="1">
        <v>2071.492894896699</v>
      </c>
    </row>
    <row r="30" spans="1:39">
      <c r="A30">
        <v>29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4301.624663472543</v>
      </c>
      <c r="V30" s="1">
        <v>4177.1018583344194</v>
      </c>
      <c r="W30" s="1">
        <v>4060.9784417172405</v>
      </c>
      <c r="X30" s="1">
        <v>3875.0875378648129</v>
      </c>
      <c r="Y30" s="1">
        <v>3701.52233265014</v>
      </c>
      <c r="Z30" s="1">
        <v>3539.1562026269535</v>
      </c>
      <c r="AA30" s="1">
        <v>3386.9940425140294</v>
      </c>
      <c r="AB30" s="1">
        <v>3244.1557776454065</v>
      </c>
      <c r="AC30" s="1">
        <v>3109.8594648834364</v>
      </c>
      <c r="AD30" s="1">
        <v>2983.4071223992692</v>
      </c>
      <c r="AE30" s="1">
        <v>2864.1726947399166</v>
      </c>
      <c r="AF30" s="1">
        <v>2751.5935708191587</v>
      </c>
      <c r="AG30" s="1">
        <v>2645.1620563391652</v>
      </c>
      <c r="AH30" s="1">
        <v>2544.4214284650884</v>
      </c>
      <c r="AI30" s="1">
        <v>2448.9586519864897</v>
      </c>
      <c r="AJ30" s="1">
        <v>2358.3983584769785</v>
      </c>
      <c r="AK30" s="1">
        <v>2272.3995975033413</v>
      </c>
      <c r="AL30" s="1">
        <v>2190.651283741654</v>
      </c>
      <c r="AM30" s="1">
        <v>2112.8690981777554</v>
      </c>
    </row>
    <row r="31" spans="1:39">
      <c r="A31">
        <v>30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4177.1018583344194</v>
      </c>
      <c r="W31" s="1">
        <v>4060.9784417172405</v>
      </c>
      <c r="X31" s="1">
        <v>3952.4459493861664</v>
      </c>
      <c r="Y31" s="1">
        <v>3775.4197237301619</v>
      </c>
      <c r="Z31" s="1">
        <v>3609.8156289339477</v>
      </c>
      <c r="AA31" s="1">
        <v>3454.618780578242</v>
      </c>
      <c r="AB31" s="1">
        <v>3308.9315891618016</v>
      </c>
      <c r="AC31" s="1">
        <v>3171.9565524809723</v>
      </c>
      <c r="AD31" s="1">
        <v>3042.9817608121934</v>
      </c>
      <c r="AE31" s="1">
        <v>2921.3687029049684</v>
      </c>
      <c r="AF31" s="1">
        <v>2806.5435320471743</v>
      </c>
      <c r="AG31" s="1">
        <v>2697.988473108494</v>
      </c>
      <c r="AH31" s="1">
        <v>2595.2377241435447</v>
      </c>
      <c r="AI31" s="1">
        <v>2497.8700072737324</v>
      </c>
      <c r="AJ31" s="1">
        <v>2405.5024897734102</v>
      </c>
      <c r="AK31" s="1">
        <v>2317.7874262070864</v>
      </c>
      <c r="AL31" s="1">
        <v>2234.4075313183739</v>
      </c>
      <c r="AM31" s="1">
        <v>2155.0728255244335</v>
      </c>
    </row>
    <row r="32" spans="1:39">
      <c r="A32">
        <v>31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4060.9784417172405</v>
      </c>
      <c r="X32" s="1">
        <v>3952.4459493861664</v>
      </c>
      <c r="Y32" s="1">
        <v>3850.7950626317838</v>
      </c>
      <c r="Z32" s="1">
        <v>3681.8882437670813</v>
      </c>
      <c r="AA32" s="1">
        <v>3523.5960134037382</v>
      </c>
      <c r="AB32" s="1">
        <v>3375.0029169085246</v>
      </c>
      <c r="AC32" s="1">
        <v>3235.2955818304581</v>
      </c>
      <c r="AD32" s="1">
        <v>3103.747891993376</v>
      </c>
      <c r="AE32" s="1">
        <v>2979.7086312333217</v>
      </c>
      <c r="AF32" s="1">
        <v>2862.5924924997503</v>
      </c>
      <c r="AG32" s="1">
        <v>2751.8714182132103</v>
      </c>
      <c r="AH32" s="1">
        <v>2647.0703457355698</v>
      </c>
      <c r="AI32" s="1">
        <v>2547.7595896667199</v>
      </c>
      <c r="AJ32" s="1">
        <v>2453.5487036957711</v>
      </c>
      <c r="AK32" s="1">
        <v>2364.0830114849064</v>
      </c>
      <c r="AL32" s="1">
        <v>2279.0389038466283</v>
      </c>
      <c r="AM32" s="1">
        <v>2198.1206274180445</v>
      </c>
    </row>
    <row r="33" spans="1:39">
      <c r="A33">
        <v>32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3952.4459493861664</v>
      </c>
      <c r="Y33" s="1">
        <v>3850.7950626317838</v>
      </c>
      <c r="Z33" s="1">
        <v>3755.4023108968777</v>
      </c>
      <c r="AA33" s="1">
        <v>3593.9527908857453</v>
      </c>
      <c r="AB33" s="1">
        <v>3442.3956712101822</v>
      </c>
      <c r="AC33" s="1">
        <v>3299.9013917669345</v>
      </c>
      <c r="AD33" s="1">
        <v>3165.7293457981823</v>
      </c>
      <c r="AE33" s="1">
        <v>3039.2153581282423</v>
      </c>
      <c r="AF33" s="1">
        <v>2919.762432161378</v>
      </c>
      <c r="AG33" s="1">
        <v>2806.83202222002</v>
      </c>
      <c r="AH33" s="1">
        <v>2699.939619759436</v>
      </c>
      <c r="AI33" s="1">
        <v>2598.646963707567</v>
      </c>
      <c r="AJ33" s="1">
        <v>2502.5558418965788</v>
      </c>
      <c r="AK33" s="1">
        <v>2411.3045084682831</v>
      </c>
      <c r="AL33" s="1">
        <v>2324.5629038254478</v>
      </c>
      <c r="AM33" s="1">
        <v>2242.0293853495282</v>
      </c>
    </row>
    <row r="34" spans="1:39">
      <c r="A34">
        <v>33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3850.7950626317838</v>
      </c>
      <c r="Z34" s="1">
        <v>3755.4023108968777</v>
      </c>
      <c r="AA34" s="1">
        <v>3665.7167039173919</v>
      </c>
      <c r="AB34" s="1">
        <v>3511.1362805978729</v>
      </c>
      <c r="AC34" s="1">
        <v>3365.79931790214</v>
      </c>
      <c r="AD34" s="1">
        <v>3228.9504286790843</v>
      </c>
      <c r="AE34" s="1">
        <v>3099.9122195610612</v>
      </c>
      <c r="AF34" s="1">
        <v>2978.0757706162385</v>
      </c>
      <c r="AG34" s="1">
        <v>2862.8918383069663</v>
      </c>
      <c r="AH34" s="1">
        <v>2753.8662792637788</v>
      </c>
      <c r="AI34" s="1">
        <v>2650.5520852292316</v>
      </c>
      <c r="AJ34" s="1">
        <v>2552.5431228614029</v>
      </c>
      <c r="AK34" s="1">
        <v>2459.4704353913271</v>
      </c>
      <c r="AL34" s="1">
        <v>2370.9973838038441</v>
      </c>
      <c r="AM34" s="1">
        <v>2286.8163184396417</v>
      </c>
    </row>
    <row r="35" spans="1:39">
      <c r="A35">
        <v>34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3755.4023108968777</v>
      </c>
      <c r="AA35" s="1">
        <v>3665.7167039173919</v>
      </c>
      <c r="AB35" s="1">
        <v>3581.2517021733174</v>
      </c>
      <c r="AC35" s="1">
        <v>3433.0152025600496</v>
      </c>
      <c r="AD35" s="1">
        <v>3293.4359332176045</v>
      </c>
      <c r="AE35" s="1">
        <v>3161.8230182225366</v>
      </c>
      <c r="AF35" s="1">
        <v>3037.5553758401957</v>
      </c>
      <c r="AG35" s="1">
        <v>2920.0728507156514</v>
      </c>
      <c r="AH35" s="1">
        <v>2808.871471958209</v>
      </c>
      <c r="AI35" s="1">
        <v>2703.4953091813295</v>
      </c>
      <c r="AJ35" s="1">
        <v>2603.530149445523</v>
      </c>
      <c r="AK35" s="1">
        <v>2508.5996808528325</v>
      </c>
      <c r="AL35" s="1">
        <v>2418.3605533818077</v>
      </c>
      <c r="AM35" s="1">
        <v>2332.4989901915569</v>
      </c>
    </row>
    <row r="36" spans="1:39">
      <c r="A36">
        <v>35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3665.7167039173919</v>
      </c>
      <c r="AB36" s="1">
        <v>3581.2517021733174</v>
      </c>
      <c r="AC36" s="1">
        <v>3501.5754049111169</v>
      </c>
      <c r="AD36" s="1">
        <v>3359.2111478468951</v>
      </c>
      <c r="AE36" s="1">
        <v>3224.9720328572416</v>
      </c>
      <c r="AF36" s="1">
        <v>3098.2245731686317</v>
      </c>
      <c r="AG36" s="1">
        <v>2978.3974833725101</v>
      </c>
      <c r="AH36" s="1">
        <v>2864.9767685065276</v>
      </c>
      <c r="AI36" s="1">
        <v>2757.4973976124693</v>
      </c>
      <c r="AJ36" s="1">
        <v>2655.5369165613261</v>
      </c>
      <c r="AK36" s="1">
        <v>2558.7115112235674</v>
      </c>
      <c r="AL36" s="1">
        <v>2466.6709863513306</v>
      </c>
      <c r="AM36" s="1">
        <v>2379.0953153785108</v>
      </c>
    </row>
    <row r="37" spans="1:39">
      <c r="A37">
        <v>36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3581.2517021733174</v>
      </c>
      <c r="AC37" s="1">
        <v>3501.5754049111169</v>
      </c>
      <c r="AD37" s="1">
        <v>3426.3018667687716</v>
      </c>
      <c r="AE37" s="1">
        <v>3289.3840277846407</v>
      </c>
      <c r="AF37" s="1">
        <v>3160.1071544436363</v>
      </c>
      <c r="AG37" s="1">
        <v>3037.8886086825064</v>
      </c>
      <c r="AH37" s="1">
        <v>2922.2041709858122</v>
      </c>
      <c r="AI37" s="1">
        <v>2812.5795278122314</v>
      </c>
      <c r="AJ37" s="1">
        <v>2708.5838190194449</v>
      </c>
      <c r="AK37" s="1">
        <v>2609.8255782017172</v>
      </c>
      <c r="AL37" s="1">
        <v>2515.9476279802443</v>
      </c>
      <c r="AM37" s="1">
        <v>2426.6235670692035</v>
      </c>
    </row>
    <row r="38" spans="1:39">
      <c r="A38">
        <v>37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3501.5754049111169</v>
      </c>
      <c r="AD38" s="1">
        <v>3426.3018667687716</v>
      </c>
      <c r="AE38" s="1">
        <v>3355.0842626105873</v>
      </c>
      <c r="AF38" s="1">
        <v>3223.2273873441422</v>
      </c>
      <c r="AG38" s="1">
        <v>3098.5695564987022</v>
      </c>
      <c r="AH38" s="1">
        <v>2980.5761215146822</v>
      </c>
      <c r="AI38" s="1">
        <v>2868.763300615989</v>
      </c>
      <c r="AJ38" s="1">
        <v>2762.6916595267262</v>
      </c>
      <c r="AK38" s="1">
        <v>2661.9619265194297</v>
      </c>
      <c r="AL38" s="1">
        <v>2566.209802441736</v>
      </c>
      <c r="AM38" s="1">
        <v>2475.1023837937105</v>
      </c>
    </row>
    <row r="39" spans="1:39">
      <c r="A39">
        <v>38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3426.3018667687716</v>
      </c>
      <c r="AE39" s="1">
        <v>3355.0842626105873</v>
      </c>
      <c r="AF39" s="1">
        <v>3287.6100249026576</v>
      </c>
      <c r="AG39" s="1">
        <v>3160.4641232712229</v>
      </c>
      <c r="AH39" s="1">
        <v>3040.1155110541308</v>
      </c>
      <c r="AI39" s="1">
        <v>2926.0707488758217</v>
      </c>
      <c r="AJ39" s="1">
        <v>2817.881656844153</v>
      </c>
      <c r="AK39" s="1">
        <v>2715.1410018034967</v>
      </c>
      <c r="AL39" s="1">
        <v>2617.4772203924576</v>
      </c>
      <c r="AM39" s="1">
        <v>2524.5507768527077</v>
      </c>
    </row>
    <row r="40" spans="1:39">
      <c r="A40">
        <v>39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3355.0842626105873</v>
      </c>
      <c r="AF40" s="1">
        <v>3287.6100249026576</v>
      </c>
      <c r="AG40" s="1">
        <v>3223.5965813791927</v>
      </c>
      <c r="AH40" s="1">
        <v>3100.8456883843673</v>
      </c>
      <c r="AI40" s="1">
        <v>2984.5243461008513</v>
      </c>
      <c r="AJ40" s="1">
        <v>2874.1754541079285</v>
      </c>
      <c r="AK40" s="1">
        <v>2769.3836585932449</v>
      </c>
      <c r="AL40" s="1">
        <v>2669.7699867021938</v>
      </c>
      <c r="AM40" s="1">
        <v>2574.9881377728843</v>
      </c>
    </row>
    <row r="41" spans="1:39">
      <c r="A41">
        <v>40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3287.6100249026576</v>
      </c>
      <c r="AG41" s="1">
        <v>3223.5965813791927</v>
      </c>
      <c r="AH41" s="1">
        <v>3162.7904692612092</v>
      </c>
      <c r="AI41" s="1">
        <v>3044.1470152703814</v>
      </c>
      <c r="AJ41" s="1">
        <v>2931.5951273169799</v>
      </c>
      <c r="AK41" s="1">
        <v>2824.7111685187883</v>
      </c>
      <c r="AL41" s="1">
        <v>2723.1086083381247</v>
      </c>
      <c r="AM41" s="1">
        <v>2626.434245911465</v>
      </c>
    </row>
    <row r="42" spans="1:39">
      <c r="A42">
        <v>41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3223.5965813791927</v>
      </c>
      <c r="AH42" s="1">
        <v>3162.7904692612092</v>
      </c>
      <c r="AI42" s="1">
        <v>3104.9621378233019</v>
      </c>
      <c r="AJ42" s="1">
        <v>2990.1631939902118</v>
      </c>
      <c r="AK42" s="1">
        <v>2881.1452286428425</v>
      </c>
      <c r="AL42" s="1">
        <v>2777.5140024067741</v>
      </c>
      <c r="AM42" s="1">
        <v>2678.9092762128171</v>
      </c>
    </row>
    <row r="43" spans="1:39">
      <c r="A43">
        <v>42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3162.7904692612092</v>
      </c>
      <c r="AI43" s="1">
        <v>3104.9621378233019</v>
      </c>
      <c r="AJ43" s="1">
        <v>3049.9026219969082</v>
      </c>
      <c r="AK43" s="1">
        <v>2938.7079699693777</v>
      </c>
      <c r="AL43" s="1">
        <v>2833.0075043567967</v>
      </c>
      <c r="AM43" s="1">
        <v>2732.433807120196</v>
      </c>
    </row>
    <row r="44" spans="1:39">
      <c r="A44">
        <v>43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3104.9621378233019</v>
      </c>
      <c r="AJ44" s="1">
        <v>3049.9026219969082</v>
      </c>
      <c r="AK44" s="1">
        <v>2997.4219661224438</v>
      </c>
      <c r="AL44" s="1">
        <v>2889.6108763458201</v>
      </c>
      <c r="AM44" s="1">
        <v>2787.0288286457226</v>
      </c>
    </row>
    <row r="45" spans="1:39">
      <c r="A45">
        <v>44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3049.9026219969082</v>
      </c>
      <c r="AK45" s="1">
        <v>2997.4219661224438</v>
      </c>
      <c r="AL45" s="1">
        <v>2947.3463157746232</v>
      </c>
      <c r="AM45" s="1">
        <v>2842.7157506017593</v>
      </c>
    </row>
    <row r="46" spans="1:39">
      <c r="A46">
        <v>45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2997.4219661224438</v>
      </c>
      <c r="AL46" s="1">
        <v>2947.3463157746232</v>
      </c>
      <c r="AM46" s="1">
        <v>2899.5164109969173</v>
      </c>
    </row>
    <row r="47" spans="1:39">
      <c r="A47">
        <v>46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2947.3463157746232</v>
      </c>
      <c r="AM47" s="1">
        <v>2899.5164109969173</v>
      </c>
    </row>
    <row r="48" spans="1:39">
      <c r="A48">
        <v>47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2899.5164109969173</v>
      </c>
    </row>
    <row r="49" spans="2:39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:39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:39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2:39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:39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:39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:39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39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39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39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2:39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2:39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2:39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2:39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2:39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2:39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2:39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2:39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2:39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2:39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2:39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2:39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2:39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2:39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2:39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2:39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33CC"/>
    <pageSetUpPr fitToPage="1"/>
  </sheetPr>
  <dimension ref="A2:H52"/>
  <sheetViews>
    <sheetView showGridLines="0" zoomScaleNormal="100" zoomScaleSheetLayoutView="100" workbookViewId="0">
      <selection activeCell="B40" sqref="B40:G40"/>
    </sheetView>
  </sheetViews>
  <sheetFormatPr defaultColWidth="11.5703125" defaultRowHeight="15"/>
  <cols>
    <col min="1" max="1" width="4.28515625" style="286" customWidth="1"/>
    <col min="2" max="7" width="15.85546875" style="286" customWidth="1"/>
    <col min="8" max="8" width="4.28515625" style="286" customWidth="1"/>
    <col min="9" max="16384" width="11.5703125" style="286"/>
  </cols>
  <sheetData>
    <row r="2" spans="2:8" ht="59.25" customHeight="1"/>
    <row r="3" spans="2:8" ht="23.25">
      <c r="B3" s="428" t="str">
        <f>Terméknév&amp;" nyugdíjbiztosítás előzetes kalkuláció*"</f>
        <v>Jövőkulcs Classic nyugdíjbiztosítás előzetes kalkuláció*</v>
      </c>
      <c r="C3" s="428"/>
      <c r="D3" s="428"/>
      <c r="E3" s="428"/>
      <c r="F3" s="428"/>
      <c r="G3" s="428"/>
    </row>
    <row r="5" spans="2:8" ht="15.75">
      <c r="B5" s="326" t="str">
        <f>"Tisztelt "&amp;Kalkulátor!F4&amp;"!"</f>
        <v>Tisztelt Biztosított Neve!</v>
      </c>
      <c r="C5" s="325"/>
      <c r="D5" s="325"/>
      <c r="E5" s="325"/>
    </row>
    <row r="6" spans="2:8" ht="14.25" customHeight="1"/>
    <row r="7" spans="2:8" ht="25.5" customHeight="1">
      <c r="B7" s="430" t="str">
        <f ca="1">"Amennyiben Ön "&amp;Kalkulátor!H15&amp;" "&amp;TEXT(Kalkulátor!I15,"# ##0")&amp;" forint kezdeti havi díjjal "&amp; PM!C2&amp;" nyugdíjbiztosítás köt,  a nyugdíjkiegészítésére garantált összeg az Ön esetében 65. életéve betöltésekor:"</f>
        <v>Amennyiben Ön havi 17 446 forint kezdeti havi díjjal Jövőkulcs Classic nyugdíjbiztosítás köt,  a nyugdíjkiegészítésére garantált összeg az Ön esetében 65. életéve betöltésekor:</v>
      </c>
      <c r="C7" s="430"/>
      <c r="D7" s="430"/>
      <c r="E7" s="430"/>
      <c r="F7" s="430"/>
      <c r="G7" s="430"/>
    </row>
    <row r="8" spans="2:8" ht="25.5" customHeight="1">
      <c r="B8" s="430"/>
      <c r="C8" s="430"/>
      <c r="D8" s="430"/>
      <c r="E8" s="430"/>
      <c r="F8" s="430"/>
      <c r="G8" s="430"/>
    </row>
    <row r="9" spans="2:8" ht="19.5" customHeight="1">
      <c r="B9" s="429">
        <f>BiztÖsszeg</f>
        <v>5000000</v>
      </c>
      <c r="C9" s="429"/>
      <c r="D9" s="429"/>
      <c r="E9" s="429"/>
      <c r="F9" s="429"/>
      <c r="G9" s="429"/>
    </row>
    <row r="10" spans="2:8" ht="20.25" customHeight="1" thickBot="1"/>
    <row r="11" spans="2:8" ht="33.75" customHeight="1" thickTop="1">
      <c r="B11" s="431" t="s">
        <v>222</v>
      </c>
      <c r="C11" s="432"/>
      <c r="D11" s="432"/>
      <c r="E11" s="432"/>
      <c r="F11" s="432"/>
      <c r="G11" s="433"/>
      <c r="H11" s="287"/>
    </row>
    <row r="12" spans="2:8" ht="33.75" customHeight="1">
      <c r="B12" s="434" t="str">
        <f>"A maximális adójóváírás mellett ez az összeg - a feltételezett hozamok hatásával is megnövelve - a lejáratkor: "</f>
        <v xml:space="preserve">A maximális adójóváírás mellett ez az összeg - a feltételezett hozamok hatásával is megnövelve - a lejáratkor: </v>
      </c>
      <c r="C12" s="435"/>
      <c r="D12" s="435"/>
      <c r="E12" s="435"/>
      <c r="F12" s="435"/>
      <c r="G12" s="436"/>
      <c r="H12" s="287"/>
    </row>
    <row r="13" spans="2:8" ht="16.5" customHeight="1" thickBot="1">
      <c r="B13" s="425">
        <f ca="1">Kalkulátor!I22</f>
        <v>1139324.2410681627</v>
      </c>
      <c r="C13" s="426"/>
      <c r="D13" s="426"/>
      <c r="E13" s="426"/>
      <c r="F13" s="426"/>
      <c r="G13" s="427"/>
      <c r="H13" s="287"/>
    </row>
    <row r="14" spans="2:8" ht="16.5" thickTop="1">
      <c r="B14" s="290"/>
      <c r="C14" s="290"/>
      <c r="E14" s="291"/>
      <c r="F14" s="291"/>
      <c r="G14" s="290"/>
    </row>
    <row r="15" spans="2:8" ht="16.5" customHeight="1">
      <c r="B15" s="439" t="s">
        <v>230</v>
      </c>
      <c r="C15" s="439"/>
      <c r="D15" s="439"/>
      <c r="E15" s="439"/>
      <c r="F15" s="439"/>
      <c r="G15" s="439"/>
    </row>
    <row r="16" spans="2:8">
      <c r="B16" s="439"/>
      <c r="C16" s="439"/>
      <c r="D16" s="439"/>
      <c r="E16" s="439"/>
      <c r="F16" s="439"/>
      <c r="G16" s="439"/>
    </row>
    <row r="18" spans="2:7" ht="19.5" customHeight="1" thickBot="1">
      <c r="B18" s="440" t="s">
        <v>56</v>
      </c>
      <c r="C18" s="441"/>
      <c r="E18" s="288"/>
    </row>
    <row r="19" spans="2:7" ht="16.5" customHeight="1" thickTop="1">
      <c r="B19" s="292" t="s">
        <v>24</v>
      </c>
      <c r="C19" s="290"/>
      <c r="D19" s="290"/>
      <c r="E19" s="290"/>
      <c r="F19" s="446">
        <f ca="1">TartamVálasztott</f>
        <v>22</v>
      </c>
      <c r="G19" s="447"/>
    </row>
    <row r="20" spans="2:7" ht="16.5" customHeight="1">
      <c r="B20" s="287" t="s">
        <v>223</v>
      </c>
      <c r="C20" s="288"/>
      <c r="D20" s="288"/>
      <c r="E20" s="288"/>
      <c r="F20" s="297"/>
      <c r="G20" s="327">
        <f>LejáratNyug</f>
        <v>50963</v>
      </c>
    </row>
    <row r="21" spans="2:7" ht="16.5" customHeight="1">
      <c r="B21" s="287" t="s">
        <v>180</v>
      </c>
      <c r="C21" s="288"/>
      <c r="D21" s="288"/>
      <c r="E21" s="288"/>
      <c r="F21" s="444">
        <f ca="1">Kalkulátor!I14</f>
        <v>209350</v>
      </c>
      <c r="G21" s="445"/>
    </row>
    <row r="22" spans="2:7" ht="16.5" customHeight="1">
      <c r="B22" s="287" t="s">
        <v>181</v>
      </c>
      <c r="C22" s="288"/>
      <c r="D22" s="288"/>
      <c r="E22" s="288"/>
      <c r="F22" s="444">
        <f ca="1">Kalkulátor!I19</f>
        <v>5696621.2053408129</v>
      </c>
      <c r="G22" s="445"/>
    </row>
    <row r="23" spans="2:7" ht="16.5" customHeight="1">
      <c r="B23" s="287" t="s">
        <v>182</v>
      </c>
      <c r="C23" s="288"/>
      <c r="D23" s="288"/>
      <c r="E23" s="288"/>
      <c r="F23" s="444">
        <f ca="1">SUM(HÓ!AE:AE)</f>
        <v>1139324.2410681627</v>
      </c>
      <c r="G23" s="445"/>
    </row>
    <row r="24" spans="2:7" ht="16.5" customHeight="1" thickBot="1">
      <c r="B24" s="293" t="str">
        <f>Kalkulátor!D18</f>
        <v>Feltételezett éves átlagos hozam</v>
      </c>
      <c r="C24" s="294"/>
      <c r="D24" s="294"/>
      <c r="E24" s="294"/>
      <c r="F24" s="295"/>
      <c r="G24" s="296">
        <f>Kalkulátor!H18</f>
        <v>0</v>
      </c>
    </row>
    <row r="25" spans="2:7" ht="16.5" customHeight="1">
      <c r="B25" s="287" t="str">
        <f>Kalkulátor!D17</f>
        <v>Díj index (kivéve a tartam utolsó két évében)</v>
      </c>
      <c r="C25" s="288"/>
      <c r="D25" s="288"/>
      <c r="E25" s="288"/>
      <c r="F25" s="297"/>
      <c r="G25" s="298">
        <f>DíjIndex</f>
        <v>0.02</v>
      </c>
    </row>
    <row r="26" spans="2:7">
      <c r="B26" s="287" t="str">
        <f>Kalkulátor!D20</f>
        <v xml:space="preserve">Garantált biztosítási összeg </v>
      </c>
      <c r="C26" s="288"/>
      <c r="D26" s="288"/>
      <c r="E26" s="288"/>
      <c r="F26" s="444">
        <f>Kalkulátor!I20</f>
        <v>5000000</v>
      </c>
      <c r="G26" s="445"/>
    </row>
    <row r="27" spans="2:7">
      <c r="B27" s="287" t="str">
        <f>Kalkulátor!D21</f>
        <v xml:space="preserve">Nyereségszámla </v>
      </c>
      <c r="C27" s="288"/>
      <c r="D27" s="288"/>
      <c r="E27" s="288"/>
      <c r="F27" s="444">
        <f ca="1">Kalkulátor!I21</f>
        <v>0</v>
      </c>
      <c r="G27" s="445"/>
    </row>
    <row r="28" spans="2:7">
      <c r="B28" s="287" t="str">
        <f>Kalkulátor!D22</f>
        <v>Adójóváírás a hozamok hatásával megnövelve</v>
      </c>
      <c r="C28" s="288"/>
      <c r="D28" s="288"/>
      <c r="E28" s="288"/>
      <c r="F28" s="444">
        <f ca="1">Kalkulátor!I22</f>
        <v>1139324.2410681627</v>
      </c>
      <c r="G28" s="445"/>
    </row>
    <row r="29" spans="2:7" ht="16.5" thickBot="1">
      <c r="B29" s="299" t="str">
        <f>"Az Ön megtakarítása"</f>
        <v>Az Ön megtakarítása</v>
      </c>
      <c r="C29" s="289"/>
      <c r="D29" s="289"/>
      <c r="E29" s="289"/>
      <c r="F29" s="448">
        <f ca="1">Kalkulátor!I23</f>
        <v>6139324.241068163</v>
      </c>
      <c r="G29" s="449"/>
    </row>
    <row r="30" spans="2:7" ht="15.75" thickTop="1">
      <c r="D30" s="288"/>
      <c r="E30" s="288"/>
      <c r="F30" s="288"/>
    </row>
    <row r="31" spans="2:7" ht="33" customHeight="1">
      <c r="B31" s="439" t="s">
        <v>214</v>
      </c>
      <c r="C31" s="439"/>
      <c r="D31" s="439"/>
      <c r="E31" s="439"/>
      <c r="F31" s="439"/>
    </row>
    <row r="32" spans="2:7" ht="15" customHeight="1">
      <c r="B32" s="300"/>
      <c r="C32" s="300"/>
      <c r="D32" s="300"/>
      <c r="E32" s="300"/>
      <c r="F32" s="300"/>
    </row>
    <row r="33" spans="1:7" ht="30.75" customHeight="1">
      <c r="B33" s="450" t="str">
        <f ca="1">Kalkulátor!A26</f>
        <v>* A szerződés tartama: 22 év + 3 hónap, ebből díjfizetési időszak: 22 év. A 23. évben, a tartam utolsó 3 hónapjában a szerződés díjfizetés nélkül van érvényben.</v>
      </c>
      <c r="C33" s="450"/>
      <c r="D33" s="450"/>
      <c r="E33" s="450"/>
      <c r="F33" s="450"/>
      <c r="G33" s="450"/>
    </row>
    <row r="34" spans="1:7" ht="30.75" customHeight="1">
      <c r="B34" s="450" t="str">
        <f ca="1">Kalkulátor!A27</f>
        <v xml:space="preserve">A modell a választott, a tartam során állandó éves hozam feltételezésével mutatja a szerződés értékének alakulását. A számítás az előírt, automatikusan indexálódó díj megfizetését veszi figyelembe. </v>
      </c>
      <c r="C34" s="450"/>
      <c r="D34" s="450"/>
      <c r="E34" s="450"/>
      <c r="F34" s="450"/>
      <c r="G34" s="450"/>
    </row>
    <row r="35" spans="1:7" ht="30.75" customHeight="1">
      <c r="B35" s="450" t="str">
        <f>Kalkulátor!A28</f>
        <v xml:space="preserve">A termék klasszikus (hagyományos) nyugdíjbiztosítás, melynél a szerződéskötéskor rögzített szolgáltatás (biztosítási összeg) nagyságát a biztosító garantálja. </v>
      </c>
      <c r="C35" s="450"/>
      <c r="D35" s="450"/>
      <c r="E35" s="450"/>
      <c r="F35" s="450"/>
      <c r="G35" s="450"/>
    </row>
    <row r="36" spans="1:7" ht="30.75" customHeight="1">
      <c r="B36" s="450" t="str">
        <f>Kalkulátor!A29</f>
        <v xml:space="preserve">A kifizetések nagyságát jóváírt többlethozamok is növelhetik. A többlethozam mértékére vonatkozóan az UNIQA Biztosító Zrt. semmilyen garanciát nem vállal. </v>
      </c>
      <c r="C36" s="450"/>
      <c r="D36" s="450"/>
      <c r="E36" s="450"/>
      <c r="F36" s="450"/>
      <c r="G36" s="450"/>
    </row>
    <row r="37" spans="1:7" ht="30.75" customHeight="1">
      <c r="B37" s="450" t="str">
        <f>Kalkulátor!A30</f>
        <v>Az elért hozamból a szerződő a biztosítási feltételekben meghatározott arányban részesedik, a hozamok nem teljes mértékben kerülnek jóváírásra a szerződésen.</v>
      </c>
      <c r="C37" s="450"/>
      <c r="D37" s="450"/>
      <c r="E37" s="450"/>
      <c r="F37" s="450"/>
      <c r="G37" s="450"/>
    </row>
    <row r="38" spans="1:7" ht="30.75" customHeight="1">
      <c r="B38" s="450" t="str">
        <f>Kalkulátor!A31</f>
        <v>Az adójóváírások könyvelése a modellben július hónapban történik, utolsó naptári évben fizetett díjak utáni adójóváírás a modellben a lejárat hónapjában jelenik meg</v>
      </c>
      <c r="C38" s="450"/>
      <c r="D38" s="450"/>
      <c r="E38" s="450"/>
      <c r="F38" s="450"/>
      <c r="G38" s="450"/>
    </row>
    <row r="39" spans="1:7" ht="29.25" customHeight="1">
      <c r="B39" s="450" t="str">
        <f>Kalkulátor!A32</f>
        <v>(akkor is, ha az adóhivataltól a tényleges utalás csak a szerződés lejáratát követően érkezik meg, így az külön kerül kifizetésre).</v>
      </c>
      <c r="C39" s="450"/>
      <c r="D39" s="450"/>
      <c r="E39" s="450"/>
      <c r="F39" s="450"/>
      <c r="G39" s="450"/>
    </row>
    <row r="40" spans="1:7" ht="29.25" customHeight="1">
      <c r="B40" s="450" t="s">
        <v>229</v>
      </c>
      <c r="C40" s="450"/>
      <c r="D40" s="450"/>
      <c r="E40" s="450"/>
      <c r="F40" s="450"/>
      <c r="G40" s="450"/>
    </row>
    <row r="41" spans="1:7">
      <c r="D41" s="288"/>
      <c r="E41" s="288"/>
      <c r="F41" s="288"/>
    </row>
    <row r="43" spans="1:7">
      <c r="A43" s="286" t="s">
        <v>58</v>
      </c>
    </row>
    <row r="44" spans="1:7">
      <c r="A44" s="442" t="s">
        <v>59</v>
      </c>
      <c r="B44" s="442"/>
      <c r="C44" s="301">
        <f ca="1">TODAY()</f>
        <v>42799</v>
      </c>
    </row>
    <row r="48" spans="1:7" ht="16.5" customHeight="1">
      <c r="A48" s="286" t="s">
        <v>60</v>
      </c>
      <c r="D48" s="443" t="s">
        <v>61</v>
      </c>
      <c r="E48" s="443"/>
      <c r="F48" s="443"/>
    </row>
    <row r="49" spans="1:7" ht="16.5" customHeight="1">
      <c r="A49" s="286" t="s">
        <v>62</v>
      </c>
      <c r="D49" s="443" t="s">
        <v>63</v>
      </c>
      <c r="E49" s="443"/>
      <c r="F49" s="443"/>
    </row>
    <row r="50" spans="1:7" ht="16.5" customHeight="1">
      <c r="A50" s="286" t="s">
        <v>64</v>
      </c>
      <c r="D50" s="443" t="s">
        <v>65</v>
      </c>
      <c r="E50" s="443"/>
      <c r="F50" s="443"/>
    </row>
    <row r="51" spans="1:7" ht="16.5" customHeight="1">
      <c r="A51" s="286" t="s">
        <v>185</v>
      </c>
      <c r="D51" s="443" t="s">
        <v>186</v>
      </c>
      <c r="E51" s="443"/>
      <c r="F51" s="443"/>
    </row>
    <row r="52" spans="1:7" ht="28.5" customHeight="1">
      <c r="A52" s="437"/>
      <c r="B52" s="438"/>
      <c r="C52" s="438"/>
      <c r="D52" s="438"/>
      <c r="E52" s="438"/>
      <c r="F52" s="438"/>
      <c r="G52" s="438"/>
    </row>
  </sheetData>
  <sheetProtection selectLockedCells="1"/>
  <mergeCells count="31">
    <mergeCell ref="B38:G38"/>
    <mergeCell ref="B39:G39"/>
    <mergeCell ref="B40:G40"/>
    <mergeCell ref="D51:F51"/>
    <mergeCell ref="B33:G33"/>
    <mergeCell ref="B34:G34"/>
    <mergeCell ref="B35:G35"/>
    <mergeCell ref="B36:G36"/>
    <mergeCell ref="B37:G37"/>
    <mergeCell ref="A52:G52"/>
    <mergeCell ref="B15:G16"/>
    <mergeCell ref="B18:C18"/>
    <mergeCell ref="B31:F31"/>
    <mergeCell ref="A44:B44"/>
    <mergeCell ref="D48:F48"/>
    <mergeCell ref="D49:F49"/>
    <mergeCell ref="D50:F50"/>
    <mergeCell ref="F26:G26"/>
    <mergeCell ref="F27:G27"/>
    <mergeCell ref="F19:G19"/>
    <mergeCell ref="F28:G28"/>
    <mergeCell ref="F21:G21"/>
    <mergeCell ref="F29:G29"/>
    <mergeCell ref="F22:G22"/>
    <mergeCell ref="F23:G23"/>
    <mergeCell ref="B13:G13"/>
    <mergeCell ref="B3:G3"/>
    <mergeCell ref="B9:G9"/>
    <mergeCell ref="B7:G8"/>
    <mergeCell ref="B11:G11"/>
    <mergeCell ref="B12:G1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61"/>
  <sheetViews>
    <sheetView showGridLines="0" zoomScaleNormal="100" zoomScaleSheetLayoutView="100" workbookViewId="0">
      <selection activeCell="B2" sqref="B2"/>
    </sheetView>
  </sheetViews>
  <sheetFormatPr defaultRowHeight="12.75"/>
  <cols>
    <col min="1" max="1" width="2.7109375" style="345" customWidth="1"/>
    <col min="2" max="2" width="16" style="357" customWidth="1"/>
    <col min="3" max="6" width="16" style="345" customWidth="1"/>
    <col min="7" max="7" width="16" style="357" customWidth="1"/>
    <col min="8" max="8" width="2.7109375" style="345" customWidth="1"/>
    <col min="9" max="9" width="20.7109375" style="345" customWidth="1"/>
    <col min="10" max="10" width="22" style="345" customWidth="1"/>
    <col min="11" max="11" width="9.42578125" style="345" customWidth="1"/>
    <col min="12" max="12" width="9" style="345" customWidth="1"/>
    <col min="13" max="13" width="13" style="345" customWidth="1"/>
    <col min="14" max="22" width="14.28515625" style="345" customWidth="1"/>
    <col min="23" max="16384" width="9.140625" style="345"/>
  </cols>
  <sheetData>
    <row r="1" spans="1:17" ht="27" customHeight="1">
      <c r="A1" s="368"/>
      <c r="B1" s="369" t="s">
        <v>236</v>
      </c>
      <c r="C1" s="369"/>
      <c r="D1" s="369"/>
      <c r="E1" s="369"/>
      <c r="F1" s="369"/>
      <c r="G1" s="369"/>
      <c r="H1" s="370"/>
      <c r="I1" s="331"/>
      <c r="J1" s="331"/>
      <c r="K1" s="331"/>
      <c r="L1" s="331"/>
      <c r="M1" s="331"/>
      <c r="N1" s="331"/>
      <c r="O1" s="344"/>
      <c r="P1" s="344"/>
      <c r="Q1" s="344"/>
    </row>
    <row r="2" spans="1:17" ht="18.75" customHeight="1">
      <c r="A2" s="371"/>
      <c r="B2" s="390">
        <v>10</v>
      </c>
      <c r="C2" s="372" t="s">
        <v>231</v>
      </c>
      <c r="D2" s="373"/>
      <c r="E2" s="373"/>
      <c r="F2" s="373"/>
      <c r="G2" s="373"/>
      <c r="H2" s="374"/>
      <c r="I2" s="331"/>
      <c r="J2" s="331"/>
      <c r="K2" s="331"/>
      <c r="L2" s="331"/>
      <c r="M2" s="331"/>
      <c r="N2" s="331"/>
      <c r="O2" s="344"/>
      <c r="P2" s="344"/>
      <c r="Q2" s="344"/>
    </row>
    <row r="3" spans="1:17" ht="12.75" customHeight="1">
      <c r="A3" s="371"/>
      <c r="B3" s="375"/>
      <c r="C3" s="376"/>
      <c r="D3" s="377"/>
      <c r="E3" s="378"/>
      <c r="F3" s="379"/>
      <c r="G3" s="380"/>
      <c r="H3" s="381"/>
      <c r="I3" s="346"/>
      <c r="J3" s="346"/>
      <c r="K3" s="347"/>
      <c r="L3" s="347"/>
      <c r="M3" s="347"/>
      <c r="N3" s="347"/>
      <c r="O3" s="348"/>
      <c r="P3" s="348"/>
    </row>
    <row r="4" spans="1:17" ht="18.75" customHeight="1">
      <c r="A4" s="371"/>
      <c r="B4" s="349" t="s">
        <v>216</v>
      </c>
      <c r="C4" s="335"/>
      <c r="D4" s="335"/>
      <c r="E4" s="335"/>
      <c r="F4" s="335"/>
      <c r="G4" s="350">
        <f>Kalkulátor!H13</f>
        <v>5000000</v>
      </c>
      <c r="H4" s="374"/>
      <c r="I4" s="331"/>
      <c r="J4" s="331"/>
      <c r="K4" s="331"/>
      <c r="L4" s="331"/>
      <c r="M4" s="331"/>
      <c r="N4" s="331"/>
      <c r="O4" s="344"/>
      <c r="P4" s="344"/>
      <c r="Q4" s="344"/>
    </row>
    <row r="5" spans="1:17" ht="12.75" customHeight="1">
      <c r="A5" s="371"/>
      <c r="B5" s="375"/>
      <c r="C5" s="376"/>
      <c r="D5" s="377"/>
      <c r="E5" s="378"/>
      <c r="F5" s="379"/>
      <c r="G5" s="380"/>
      <c r="H5" s="381"/>
      <c r="I5" s="347"/>
      <c r="J5" s="347"/>
      <c r="K5" s="347"/>
      <c r="L5" s="347"/>
      <c r="M5" s="347"/>
      <c r="N5" s="347"/>
      <c r="O5" s="348"/>
      <c r="P5" s="348"/>
    </row>
    <row r="6" spans="1:17" ht="18.75" customHeight="1">
      <c r="A6" s="371"/>
      <c r="B6" s="393" t="s">
        <v>238</v>
      </c>
      <c r="C6" s="336"/>
      <c r="D6" s="336"/>
      <c r="E6" s="336"/>
      <c r="F6" s="336"/>
      <c r="G6" s="394">
        <f ca="1">SUMIFS(ÉV!B18:B65,ÉV!A18:A65,"&lt;="&amp;'Szolgáltatás&amp;Maradékjog'!B2)</f>
        <v>2292324.0912951203</v>
      </c>
      <c r="H6" s="374"/>
      <c r="I6" s="331"/>
      <c r="J6" s="331"/>
      <c r="K6" s="331"/>
      <c r="L6" s="331"/>
      <c r="M6" s="331"/>
      <c r="N6" s="331"/>
      <c r="O6" s="344"/>
      <c r="P6" s="344"/>
      <c r="Q6" s="344"/>
    </row>
    <row r="7" spans="1:17" ht="18.75" customHeight="1">
      <c r="A7" s="371"/>
      <c r="B7" s="339" t="s">
        <v>237</v>
      </c>
      <c r="C7" s="340"/>
      <c r="D7" s="340"/>
      <c r="E7" s="340"/>
      <c r="F7" s="340"/>
      <c r="G7" s="367">
        <f ca="1">Kalkulátor!I14</f>
        <v>209350</v>
      </c>
      <c r="H7" s="374"/>
      <c r="I7" s="331"/>
      <c r="J7" s="331"/>
      <c r="K7" s="331"/>
      <c r="L7" s="331"/>
      <c r="M7" s="331"/>
      <c r="N7" s="331"/>
      <c r="O7" s="344"/>
      <c r="P7" s="344"/>
      <c r="Q7" s="344"/>
    </row>
    <row r="8" spans="1:17" ht="12.75" customHeight="1">
      <c r="A8" s="371"/>
      <c r="B8" s="375"/>
      <c r="C8" s="376"/>
      <c r="D8" s="377"/>
      <c r="E8" s="378"/>
      <c r="F8" s="379"/>
      <c r="G8" s="380"/>
      <c r="H8" s="381"/>
      <c r="I8" s="347"/>
      <c r="J8" s="347"/>
      <c r="K8" s="347"/>
      <c r="L8" s="347"/>
      <c r="M8" s="347"/>
      <c r="N8" s="347"/>
      <c r="O8" s="348"/>
      <c r="P8" s="348"/>
    </row>
    <row r="9" spans="1:17" ht="18.75" customHeight="1">
      <c r="A9" s="371"/>
      <c r="B9" s="349" t="s">
        <v>217</v>
      </c>
      <c r="C9" s="335"/>
      <c r="D9" s="335"/>
      <c r="E9" s="335"/>
      <c r="F9" s="335"/>
      <c r="G9" s="350">
        <f ca="1">SUMIFS(ÉV!H18:H65,ÉV!A18:A65,'Szolgáltatás&amp;Maradékjog'!B2)</f>
        <v>2256050</v>
      </c>
      <c r="H9" s="374"/>
      <c r="I9" s="331"/>
      <c r="J9" s="331"/>
      <c r="K9" s="331"/>
      <c r="L9" s="331"/>
      <c r="M9" s="331"/>
      <c r="N9" s="331"/>
      <c r="O9" s="344"/>
      <c r="P9" s="344"/>
      <c r="Q9" s="344"/>
    </row>
    <row r="10" spans="1:17" ht="12.75" customHeight="1">
      <c r="A10" s="371"/>
      <c r="B10" s="375"/>
      <c r="C10" s="376"/>
      <c r="D10" s="377"/>
      <c r="E10" s="378"/>
      <c r="F10" s="379"/>
      <c r="G10" s="380"/>
      <c r="H10" s="381"/>
      <c r="I10" s="347"/>
      <c r="J10" s="347"/>
      <c r="K10" s="347"/>
      <c r="L10" s="347"/>
      <c r="M10" s="347"/>
      <c r="N10" s="347"/>
      <c r="O10" s="348"/>
      <c r="P10" s="348"/>
    </row>
    <row r="11" spans="1:17" ht="19.5" customHeight="1">
      <c r="A11" s="371"/>
      <c r="B11" s="343" t="s">
        <v>240</v>
      </c>
      <c r="C11" s="336"/>
      <c r="D11" s="336"/>
      <c r="E11" s="336"/>
      <c r="F11" s="336"/>
      <c r="G11" s="342">
        <f ca="1">G12+G16</f>
        <v>1506117.6104319668</v>
      </c>
      <c r="H11" s="381"/>
      <c r="I11" s="347"/>
      <c r="J11" s="347"/>
      <c r="K11" s="347"/>
      <c r="L11" s="347"/>
      <c r="M11" s="347"/>
      <c r="N11" s="347"/>
      <c r="O11" s="348"/>
      <c r="P11" s="348"/>
    </row>
    <row r="12" spans="1:17" ht="19.5" customHeight="1">
      <c r="A12" s="371"/>
      <c r="B12" s="343" t="s">
        <v>235</v>
      </c>
      <c r="C12" s="336"/>
      <c r="D12" s="336"/>
      <c r="E12" s="336"/>
      <c r="F12" s="336"/>
      <c r="G12" s="399">
        <f ca="1">SUM(G13:G15)</f>
        <v>1981511.9478401667</v>
      </c>
      <c r="H12" s="374"/>
      <c r="I12" s="332"/>
      <c r="J12" s="331"/>
      <c r="K12" s="331"/>
      <c r="L12" s="331"/>
      <c r="M12" s="331"/>
      <c r="N12" s="331"/>
      <c r="O12" s="344"/>
      <c r="P12" s="344"/>
      <c r="Q12" s="344"/>
    </row>
    <row r="13" spans="1:17" ht="18.75" customHeight="1">
      <c r="A13" s="371"/>
      <c r="B13" s="337" t="s">
        <v>69</v>
      </c>
      <c r="C13" s="334"/>
      <c r="D13" s="334"/>
      <c r="E13" s="334"/>
      <c r="F13" s="334"/>
      <c r="G13" s="338">
        <f ca="1">SUMIFS(ÉV!I:I,    ÉV!A:A,    B2)</f>
        <v>1585350</v>
      </c>
      <c r="H13" s="374"/>
      <c r="I13" s="332"/>
      <c r="J13" s="331"/>
      <c r="K13" s="331"/>
      <c r="L13" s="331"/>
      <c r="M13" s="331"/>
      <c r="N13" s="331"/>
      <c r="O13" s="344"/>
      <c r="P13" s="344"/>
      <c r="Q13" s="344"/>
    </row>
    <row r="14" spans="1:17" ht="18.75" customHeight="1">
      <c r="A14" s="371"/>
      <c r="B14" s="337" t="str">
        <f>"Nyereségszámla értékének 50%-a "&amp;TEXT(ÉV!$B$12,"0,0#%")&amp;" feltételezett hozam estén:"</f>
        <v>Nyereségszámla értékének 50%-a 0,0% feltételezett hozam estén:</v>
      </c>
      <c r="C14" s="334"/>
      <c r="D14" s="334"/>
      <c r="E14" s="334"/>
      <c r="F14" s="334"/>
      <c r="G14" s="338">
        <f ca="1">SUMIFS(HÓ!N:N,HÓ!A:A,$B$2,HÓ!B:B,12)*0.5</f>
        <v>0</v>
      </c>
      <c r="H14" s="374"/>
      <c r="I14" s="332"/>
      <c r="J14" s="331"/>
      <c r="K14" s="331"/>
      <c r="L14" s="331"/>
      <c r="M14" s="331"/>
      <c r="N14" s="331"/>
      <c r="O14" s="344"/>
      <c r="P14" s="344"/>
      <c r="Q14" s="344"/>
    </row>
    <row r="15" spans="1:17" ht="18.75" customHeight="1">
      <c r="A15" s="371"/>
      <c r="B15" s="337" t="str">
        <f>Kalkulátor!$D$22</f>
        <v>Adójóváírás a hozamok hatásával megnövelve</v>
      </c>
      <c r="C15" s="334"/>
      <c r="D15" s="334"/>
      <c r="E15" s="334"/>
      <c r="F15" s="334"/>
      <c r="G15" s="338">
        <f ca="1">SUMIFS(HÓ!O:O,HÓ!$A:$A,$B$2,HÓ!$B:$B,           12)
+  SUMIFS(HÓ!P:P,HÓ!$A:$A,$B$2,HÓ!$B:$B,          12)</f>
        <v>396161.94784016669</v>
      </c>
      <c r="H15" s="374"/>
      <c r="I15" s="332"/>
      <c r="J15" s="331"/>
      <c r="K15" s="331"/>
      <c r="L15" s="331"/>
      <c r="M15" s="331"/>
      <c r="N15" s="331"/>
      <c r="O15" s="344"/>
      <c r="P15" s="344"/>
      <c r="Q15" s="344"/>
    </row>
    <row r="16" spans="1:17" ht="18.75" customHeight="1">
      <c r="A16" s="371"/>
      <c r="B16" s="398" t="s">
        <v>241</v>
      </c>
      <c r="C16" s="335"/>
      <c r="D16" s="335"/>
      <c r="E16" s="335"/>
      <c r="F16" s="335"/>
      <c r="G16" s="400">
        <f ca="1">SUMIFS(HÓ!AH:AH,HÓ!A:A,$B$2,HÓ!B:B,12)*-1.2</f>
        <v>-475394.33740820002</v>
      </c>
      <c r="H16" s="374"/>
      <c r="I16" s="332"/>
      <c r="J16" s="401"/>
      <c r="K16" s="331"/>
      <c r="L16" s="331"/>
      <c r="M16" s="331"/>
      <c r="N16" s="331"/>
      <c r="O16" s="344"/>
      <c r="P16" s="344"/>
      <c r="Q16" s="344"/>
    </row>
    <row r="17" spans="1:17" ht="12.75" customHeight="1">
      <c r="A17" s="371"/>
      <c r="B17" s="375"/>
      <c r="C17" s="376"/>
      <c r="D17" s="377"/>
      <c r="E17" s="378"/>
      <c r="F17" s="379"/>
      <c r="G17" s="380"/>
      <c r="H17" s="381"/>
      <c r="I17" s="347"/>
      <c r="J17" s="347"/>
      <c r="K17" s="347"/>
      <c r="L17" s="347"/>
      <c r="M17" s="347"/>
      <c r="N17" s="347"/>
      <c r="O17" s="348"/>
      <c r="P17" s="348"/>
    </row>
    <row r="18" spans="1:17" ht="18.75" customHeight="1">
      <c r="A18" s="371"/>
      <c r="B18" s="343" t="str">
        <f>"Lejárat előtti nyugdíjszolgáltatás "&amp;TEXT(ÉV!$B$12,"0,0#%")&amp;" feltételezett hozam esetén, adójóváírással együtt"</f>
        <v>Lejárat előtti nyugdíjszolgáltatás 0,0% feltételezett hozam esetén, adójóváírással együtt</v>
      </c>
      <c r="C18" s="336"/>
      <c r="D18" s="336"/>
      <c r="E18" s="336"/>
      <c r="F18" s="336"/>
      <c r="G18" s="342">
        <f ca="1">G19+G21+G20</f>
        <v>1981511.9478401667</v>
      </c>
      <c r="H18" s="374"/>
      <c r="I18" s="331"/>
      <c r="J18" s="331"/>
      <c r="K18" s="331"/>
      <c r="L18" s="331"/>
      <c r="M18" s="331"/>
      <c r="N18" s="331"/>
      <c r="O18" s="344"/>
      <c r="P18" s="344"/>
      <c r="Q18" s="344"/>
    </row>
    <row r="19" spans="1:17" ht="18.75" customHeight="1">
      <c r="A19" s="371"/>
      <c r="B19" s="337" t="str">
        <f>B12</f>
        <v>Visszavásárlási érték összesen:</v>
      </c>
      <c r="C19" s="334"/>
      <c r="D19" s="334"/>
      <c r="E19" s="334"/>
      <c r="F19" s="334"/>
      <c r="G19" s="338">
        <f ca="1">G13</f>
        <v>1585350</v>
      </c>
      <c r="H19" s="374"/>
      <c r="I19" s="331"/>
      <c r="J19" s="331"/>
      <c r="K19" s="331"/>
      <c r="L19" s="331"/>
      <c r="M19" s="331"/>
      <c r="N19" s="331"/>
      <c r="O19" s="344"/>
      <c r="P19" s="344"/>
      <c r="Q19" s="344"/>
    </row>
    <row r="20" spans="1:17" ht="18.75" customHeight="1">
      <c r="A20" s="371"/>
      <c r="B20" s="337" t="str">
        <f>"Nyereségszámla "&amp;TEXT(ÉV!$B$12,"0,0#%")&amp;" feltételezett hozam estén:"</f>
        <v>Nyereségszámla 0,0% feltételezett hozam estén:</v>
      </c>
      <c r="C20" s="334"/>
      <c r="D20" s="334"/>
      <c r="E20" s="334"/>
      <c r="F20" s="334"/>
      <c r="G20" s="338">
        <f ca="1">SUMIFS(HÓ!N:N,HÓ!A:A,$B$2,HÓ!B:B,12)</f>
        <v>0</v>
      </c>
      <c r="H20" s="374"/>
      <c r="I20" s="331"/>
      <c r="J20" s="331"/>
      <c r="K20" s="331"/>
      <c r="L20" s="331"/>
      <c r="M20" s="331"/>
      <c r="N20" s="331"/>
      <c r="O20" s="344"/>
      <c r="P20" s="344"/>
      <c r="Q20" s="344"/>
    </row>
    <row r="21" spans="1:17" ht="20.100000000000001" customHeight="1">
      <c r="A21" s="371"/>
      <c r="B21" s="339" t="str">
        <f>Kalkulátor!$D$22</f>
        <v>Adójóváírás a hozamok hatásával megnövelve</v>
      </c>
      <c r="C21" s="340"/>
      <c r="D21" s="340"/>
      <c r="E21" s="340"/>
      <c r="F21" s="340"/>
      <c r="G21" s="341">
        <f ca="1">SUMIFS(HÓ!O:O,HÓ!$A:$A,$B$2,HÓ!$B:$B,           12)
+  SUMIFS(HÓ!P:P,HÓ!$A:$A,$B$2,HÓ!$B:$B,          12)</f>
        <v>396161.94784016669</v>
      </c>
      <c r="H21" s="374"/>
      <c r="I21" s="330"/>
      <c r="J21" s="330"/>
      <c r="K21" s="331"/>
      <c r="L21" s="331"/>
      <c r="M21" s="331"/>
      <c r="N21" s="331"/>
      <c r="O21" s="344"/>
      <c r="P21" s="344"/>
      <c r="Q21" s="344"/>
    </row>
    <row r="22" spans="1:17" ht="12.75" customHeight="1">
      <c r="A22" s="371"/>
      <c r="B22" s="375"/>
      <c r="C22" s="376"/>
      <c r="D22" s="377"/>
      <c r="E22" s="378"/>
      <c r="F22" s="379"/>
      <c r="G22" s="380"/>
      <c r="H22" s="381"/>
      <c r="I22" s="347"/>
      <c r="J22" s="347"/>
      <c r="K22" s="347"/>
      <c r="L22" s="347"/>
      <c r="M22" s="347"/>
      <c r="N22" s="347"/>
      <c r="O22" s="348"/>
      <c r="P22" s="348"/>
    </row>
    <row r="23" spans="1:17" ht="18.75" customHeight="1">
      <c r="A23" s="371"/>
      <c r="B23" s="343" t="str">
        <f>"40% rokkantsági szolgáltatás "&amp;TEXT(ÉV!$B$12,"0,0#%")&amp;" feltételezett hozam esetén, adójóváírással együtt"</f>
        <v>40% rokkantsági szolgáltatás 0,0% feltételezett hozam esetén, adójóváírással együtt</v>
      </c>
      <c r="C23" s="336"/>
      <c r="D23" s="336"/>
      <c r="E23" s="336"/>
      <c r="F23" s="336"/>
      <c r="G23" s="342">
        <f ca="1">G24+G21+G20</f>
        <v>2060779.4478401667</v>
      </c>
      <c r="H23" s="374"/>
      <c r="I23" s="108"/>
      <c r="J23" s="331"/>
      <c r="K23" s="331"/>
      <c r="L23" s="331"/>
      <c r="M23" s="331"/>
      <c r="N23" s="331"/>
      <c r="O23" s="344"/>
      <c r="P23" s="344"/>
      <c r="Q23" s="344"/>
    </row>
    <row r="24" spans="1:17" ht="18.75" customHeight="1">
      <c r="A24" s="371"/>
      <c r="B24" s="337" t="s">
        <v>70</v>
      </c>
      <c r="C24" s="334"/>
      <c r="D24" s="334"/>
      <c r="E24" s="334"/>
      <c r="F24" s="334"/>
      <c r="G24" s="338">
        <f ca="1">G13*1.05</f>
        <v>1664617.5</v>
      </c>
      <c r="H24" s="374"/>
      <c r="I24" s="332"/>
      <c r="J24" s="331"/>
      <c r="K24" s="331"/>
      <c r="L24" s="331"/>
      <c r="M24" s="331"/>
      <c r="N24" s="331"/>
      <c r="O24" s="344"/>
      <c r="P24" s="344"/>
      <c r="Q24" s="344"/>
    </row>
    <row r="25" spans="1:17" ht="18.75" customHeight="1">
      <c r="A25" s="371"/>
      <c r="B25" s="337" t="str">
        <f>B20</f>
        <v>Nyereségszámla 0,0% feltételezett hozam estén:</v>
      </c>
      <c r="C25" s="391"/>
      <c r="D25" s="391"/>
      <c r="E25" s="391"/>
      <c r="F25" s="333"/>
      <c r="G25" s="338">
        <f ca="1">G20</f>
        <v>0</v>
      </c>
      <c r="H25" s="374"/>
      <c r="I25" s="331"/>
      <c r="J25" s="331"/>
      <c r="K25" s="331"/>
      <c r="L25" s="331"/>
      <c r="M25" s="331"/>
      <c r="N25" s="331"/>
      <c r="O25" s="344"/>
      <c r="P25" s="344"/>
      <c r="Q25" s="344"/>
    </row>
    <row r="26" spans="1:17" ht="18.75" customHeight="1">
      <c r="A26" s="371"/>
      <c r="B26" s="339" t="str">
        <f>B21</f>
        <v>Adójóváírás a hozamok hatásával megnövelve</v>
      </c>
      <c r="C26" s="392"/>
      <c r="D26" s="392"/>
      <c r="E26" s="392"/>
      <c r="F26" s="392"/>
      <c r="G26" s="341">
        <f ca="1">G21</f>
        <v>396161.94784016669</v>
      </c>
      <c r="H26" s="374"/>
      <c r="I26" s="331"/>
      <c r="J26" s="331"/>
      <c r="K26" s="331"/>
      <c r="L26" s="331"/>
      <c r="M26" s="331"/>
      <c r="N26" s="331"/>
      <c r="O26" s="344"/>
      <c r="P26" s="344"/>
      <c r="Q26" s="344"/>
    </row>
    <row r="27" spans="1:17" ht="12.75" customHeight="1">
      <c r="A27" s="371"/>
      <c r="B27" s="375"/>
      <c r="C27" s="376"/>
      <c r="D27" s="377"/>
      <c r="E27" s="378"/>
      <c r="F27" s="379"/>
      <c r="G27" s="380"/>
      <c r="H27" s="381"/>
      <c r="I27" s="347"/>
      <c r="J27" s="347"/>
      <c r="K27" s="347"/>
      <c r="L27" s="347"/>
      <c r="M27" s="347"/>
      <c r="N27" s="347"/>
      <c r="O27" s="348"/>
      <c r="P27" s="348"/>
    </row>
    <row r="28" spans="1:17" ht="29.25" customHeight="1">
      <c r="A28" s="371"/>
      <c r="B28" s="457" t="str">
        <f ca="1">Kalkulátor!A26</f>
        <v>* A szerződés tartama: 22 év + 3 hónap, ebből díjfizetési időszak: 22 év. A 23. évben, a tartam utolsó 3 hónapjában a szerződés díjfizetés nélkül van érvényben.</v>
      </c>
      <c r="C28" s="458"/>
      <c r="D28" s="458"/>
      <c r="E28" s="458"/>
      <c r="F28" s="458"/>
      <c r="G28" s="459"/>
      <c r="H28" s="381"/>
      <c r="I28" s="346"/>
      <c r="J28" s="346"/>
      <c r="K28" s="347"/>
      <c r="L28" s="347"/>
      <c r="M28" s="347"/>
      <c r="N28" s="347"/>
      <c r="O28" s="348"/>
      <c r="P28" s="348"/>
    </row>
    <row r="29" spans="1:17" ht="29.25" customHeight="1">
      <c r="A29" s="371"/>
      <c r="B29" s="451" t="str">
        <f ca="1">Kalkulátor!A27</f>
        <v xml:space="preserve">A modell a választott, a tartam során állandó éves hozam feltételezésével mutatja a szerződés értékének alakulását. A számítás az előírt, automatikusan indexálódó díj megfizetését veszi figyelembe. </v>
      </c>
      <c r="C29" s="452"/>
      <c r="D29" s="452"/>
      <c r="E29" s="452"/>
      <c r="F29" s="452"/>
      <c r="G29" s="453"/>
      <c r="H29" s="381"/>
      <c r="I29" s="346"/>
      <c r="J29" s="346"/>
      <c r="K29" s="347"/>
      <c r="L29" s="347"/>
      <c r="M29" s="347"/>
      <c r="N29" s="347"/>
      <c r="O29" s="348"/>
      <c r="P29" s="348"/>
    </row>
    <row r="30" spans="1:17" ht="29.25" customHeight="1">
      <c r="A30" s="371"/>
      <c r="B30" s="451" t="str">
        <f>Kalkulátor!A28</f>
        <v xml:space="preserve">A termék klasszikus (hagyományos) nyugdíjbiztosítás, melynél a szerződéskötéskor rögzített szolgáltatás (biztosítási összeg) nagyságát a biztosító garantálja. </v>
      </c>
      <c r="C30" s="452"/>
      <c r="D30" s="452"/>
      <c r="E30" s="452"/>
      <c r="F30" s="452"/>
      <c r="G30" s="453"/>
      <c r="H30" s="381"/>
      <c r="I30" s="346"/>
      <c r="J30" s="346"/>
      <c r="K30" s="347"/>
      <c r="L30" s="347"/>
      <c r="M30" s="347"/>
      <c r="N30" s="347"/>
      <c r="O30" s="348"/>
      <c r="P30" s="348"/>
    </row>
    <row r="31" spans="1:17" ht="29.25" customHeight="1">
      <c r="A31" s="371"/>
      <c r="B31" s="451" t="str">
        <f>Kalkulátor!A29</f>
        <v xml:space="preserve">A kifizetések nagyságát jóváírt többlethozamok is növelhetik. A többlethozam mértékére vonatkozóan az UNIQA Biztosító Zrt. semmilyen garanciát nem vállal. </v>
      </c>
      <c r="C31" s="452"/>
      <c r="D31" s="452"/>
      <c r="E31" s="452"/>
      <c r="F31" s="452"/>
      <c r="G31" s="453"/>
      <c r="H31" s="381"/>
      <c r="I31" s="346"/>
      <c r="J31" s="346"/>
      <c r="K31" s="347"/>
      <c r="L31" s="347"/>
      <c r="M31" s="347"/>
      <c r="N31" s="347"/>
      <c r="O31" s="348"/>
      <c r="P31" s="348"/>
    </row>
    <row r="32" spans="1:17" ht="29.25" customHeight="1">
      <c r="A32" s="371"/>
      <c r="B32" s="451" t="str">
        <f>Kalkulátor!A30</f>
        <v>Az elért hozamból a szerződő a biztosítási feltételekben meghatározott arányban részesedik, a hozamok nem teljes mértékben kerülnek jóváírásra a szerződésen.</v>
      </c>
      <c r="C32" s="452"/>
      <c r="D32" s="452"/>
      <c r="E32" s="452"/>
      <c r="F32" s="452"/>
      <c r="G32" s="453"/>
      <c r="H32" s="381"/>
      <c r="I32" s="346"/>
      <c r="J32" s="346"/>
      <c r="K32" s="347"/>
      <c r="L32" s="347"/>
      <c r="M32" s="347"/>
      <c r="N32" s="347"/>
      <c r="O32" s="348"/>
      <c r="P32" s="348"/>
    </row>
    <row r="33" spans="1:16" ht="42" customHeight="1">
      <c r="A33" s="371"/>
      <c r="B33" s="451" t="str">
        <f>Kalkulátor!A31&amp;" "&amp;Kalkulátor!A32</f>
        <v>Az adójóváírások könyvelése a modellben július hónapban történik, utolsó naptári évben fizetett díjak utáni adójóváírás a modellben a lejárat hónapjában jelenik meg (akkor is, ha az adóhivataltól a tényleges utalás csak a szerződés lejáratát követően érkezik meg, így az külön kerül kifizetésre).</v>
      </c>
      <c r="C33" s="452"/>
      <c r="D33" s="452"/>
      <c r="E33" s="452"/>
      <c r="F33" s="452"/>
      <c r="G33" s="453"/>
      <c r="H33" s="381"/>
      <c r="I33" s="346"/>
      <c r="J33" s="346"/>
      <c r="K33" s="347"/>
      <c r="L33" s="347"/>
      <c r="M33" s="347"/>
      <c r="N33" s="347"/>
      <c r="O33" s="348"/>
      <c r="P33" s="348"/>
    </row>
    <row r="34" spans="1:16" ht="29.25" customHeight="1">
      <c r="A34" s="371"/>
      <c r="B34" s="454" t="s">
        <v>184</v>
      </c>
      <c r="C34" s="455"/>
      <c r="D34" s="455"/>
      <c r="E34" s="455"/>
      <c r="F34" s="455"/>
      <c r="G34" s="456"/>
      <c r="H34" s="381"/>
      <c r="I34" s="346"/>
      <c r="J34" s="346"/>
      <c r="K34" s="347"/>
      <c r="L34" s="347"/>
      <c r="M34" s="347"/>
      <c r="N34" s="347"/>
      <c r="O34" s="348"/>
      <c r="P34" s="348"/>
    </row>
    <row r="35" spans="1:16" ht="12.75" customHeight="1">
      <c r="A35" s="382"/>
      <c r="B35" s="383"/>
      <c r="C35" s="384"/>
      <c r="D35" s="385"/>
      <c r="E35" s="386"/>
      <c r="F35" s="387"/>
      <c r="G35" s="388"/>
      <c r="H35" s="389"/>
      <c r="I35" s="346"/>
      <c r="J35" s="346"/>
      <c r="K35" s="347"/>
      <c r="L35" s="347"/>
      <c r="M35" s="347"/>
      <c r="N35" s="347"/>
      <c r="O35" s="348"/>
      <c r="P35" s="348"/>
    </row>
    <row r="36" spans="1:16" ht="12.75" customHeight="1">
      <c r="B36" s="351"/>
      <c r="C36" s="352"/>
      <c r="D36" s="353"/>
      <c r="E36" s="354"/>
      <c r="F36" s="355"/>
      <c r="G36" s="356"/>
      <c r="H36" s="347"/>
      <c r="I36" s="347"/>
      <c r="J36" s="347"/>
      <c r="K36" s="347"/>
      <c r="L36" s="347"/>
      <c r="M36" s="347"/>
      <c r="N36" s="347"/>
      <c r="O36" s="348"/>
      <c r="P36" s="348"/>
    </row>
    <row r="37" spans="1:16" ht="12.75" customHeight="1">
      <c r="B37" s="351"/>
      <c r="C37" s="352"/>
      <c r="D37" s="353"/>
      <c r="E37" s="354"/>
      <c r="F37" s="355"/>
      <c r="G37" s="356"/>
      <c r="H37" s="347"/>
      <c r="I37" s="347"/>
      <c r="J37" s="347"/>
      <c r="K37" s="347"/>
      <c r="L37" s="347"/>
      <c r="M37" s="347"/>
      <c r="N37" s="347"/>
      <c r="O37" s="348"/>
      <c r="P37" s="348"/>
    </row>
    <row r="38" spans="1:16" ht="12.75" customHeight="1">
      <c r="C38" s="352"/>
      <c r="D38" s="353"/>
      <c r="E38" s="354"/>
      <c r="F38" s="355"/>
      <c r="G38" s="356"/>
      <c r="H38" s="347"/>
      <c r="I38" s="347"/>
      <c r="J38" s="347"/>
      <c r="K38" s="347"/>
      <c r="L38" s="347"/>
      <c r="M38" s="347"/>
      <c r="N38" s="347"/>
      <c r="O38" s="348"/>
      <c r="P38" s="348"/>
    </row>
    <row r="39" spans="1:16" ht="12.75" customHeight="1">
      <c r="C39" s="352"/>
      <c r="D39" s="353"/>
      <c r="E39" s="354"/>
      <c r="F39" s="355"/>
      <c r="G39" s="356"/>
      <c r="H39" s="347"/>
      <c r="I39" s="347"/>
      <c r="J39" s="347"/>
      <c r="K39" s="347"/>
      <c r="L39" s="347"/>
      <c r="M39" s="347"/>
      <c r="N39" s="347"/>
      <c r="O39" s="348"/>
      <c r="P39" s="348"/>
    </row>
    <row r="40" spans="1:16" ht="12.75" customHeight="1">
      <c r="C40" s="352"/>
      <c r="D40" s="353"/>
      <c r="E40" s="354"/>
      <c r="F40" s="355"/>
      <c r="G40" s="356"/>
      <c r="H40" s="347"/>
      <c r="I40" s="347"/>
      <c r="J40" s="347"/>
      <c r="K40" s="347"/>
      <c r="L40" s="347"/>
      <c r="M40" s="347"/>
      <c r="N40" s="347"/>
      <c r="O40" s="348"/>
      <c r="P40" s="348"/>
    </row>
    <row r="41" spans="1:16" ht="12.75" customHeight="1">
      <c r="B41" s="352"/>
      <c r="C41" s="352"/>
      <c r="D41" s="353"/>
      <c r="E41" s="354"/>
      <c r="F41" s="355"/>
      <c r="G41" s="356"/>
      <c r="H41" s="347"/>
      <c r="I41" s="347"/>
      <c r="J41" s="347"/>
      <c r="K41" s="347"/>
      <c r="L41" s="347"/>
      <c r="M41" s="347"/>
      <c r="N41" s="347"/>
      <c r="O41" s="348"/>
      <c r="P41" s="348"/>
    </row>
    <row r="42" spans="1:16" ht="12.75" customHeight="1">
      <c r="B42" s="352"/>
      <c r="C42" s="352"/>
      <c r="D42" s="353"/>
      <c r="E42" s="354"/>
      <c r="F42" s="355"/>
      <c r="G42" s="356"/>
      <c r="H42" s="347"/>
      <c r="I42" s="347"/>
      <c r="J42" s="347"/>
      <c r="K42" s="347"/>
      <c r="L42" s="347"/>
      <c r="M42" s="347"/>
      <c r="N42" s="347"/>
      <c r="O42" s="348"/>
      <c r="P42" s="348"/>
    </row>
    <row r="43" spans="1:16" ht="12.75" customHeight="1">
      <c r="B43" s="352"/>
      <c r="C43" s="352"/>
      <c r="D43" s="353"/>
      <c r="E43" s="354"/>
      <c r="F43" s="355"/>
      <c r="G43" s="356"/>
      <c r="H43" s="347"/>
      <c r="I43" s="347"/>
      <c r="J43" s="347"/>
      <c r="K43" s="347"/>
      <c r="L43" s="347"/>
      <c r="M43" s="347"/>
      <c r="N43" s="347"/>
      <c r="O43" s="348"/>
      <c r="P43" s="348"/>
    </row>
    <row r="44" spans="1:16" ht="12.75" customHeight="1">
      <c r="B44" s="352"/>
      <c r="C44" s="352"/>
      <c r="D44" s="353"/>
      <c r="E44" s="354"/>
      <c r="F44" s="355"/>
      <c r="G44" s="356"/>
      <c r="H44" s="347"/>
      <c r="I44" s="347"/>
      <c r="J44" s="347"/>
      <c r="K44" s="347"/>
      <c r="L44" s="347"/>
      <c r="M44" s="347"/>
      <c r="N44" s="347"/>
      <c r="O44" s="348"/>
      <c r="P44" s="348"/>
    </row>
    <row r="45" spans="1:16" ht="12.75" customHeight="1">
      <c r="B45" s="355"/>
      <c r="C45" s="352"/>
      <c r="D45" s="353"/>
      <c r="E45" s="354"/>
      <c r="F45" s="355"/>
      <c r="G45" s="356"/>
      <c r="H45" s="347"/>
      <c r="I45" s="347"/>
      <c r="J45" s="347"/>
      <c r="K45" s="347"/>
      <c r="L45" s="347"/>
      <c r="M45" s="347"/>
      <c r="N45" s="347"/>
      <c r="O45" s="348"/>
      <c r="P45" s="348"/>
    </row>
    <row r="46" spans="1:16" ht="12.75" customHeight="1">
      <c r="B46" s="355"/>
      <c r="C46" s="352"/>
      <c r="D46" s="353"/>
      <c r="E46" s="354"/>
      <c r="F46" s="355"/>
      <c r="G46" s="356"/>
      <c r="H46" s="347"/>
      <c r="I46" s="347"/>
      <c r="J46" s="347"/>
      <c r="K46" s="347"/>
      <c r="L46" s="347"/>
      <c r="M46" s="347"/>
      <c r="N46" s="347"/>
      <c r="O46" s="348"/>
      <c r="P46" s="348"/>
    </row>
    <row r="47" spans="1:16" ht="12.75" customHeight="1">
      <c r="B47" s="355"/>
      <c r="C47" s="352"/>
      <c r="D47" s="353"/>
      <c r="E47" s="354"/>
      <c r="F47" s="355"/>
      <c r="G47" s="356"/>
      <c r="H47" s="347"/>
      <c r="I47" s="347"/>
      <c r="J47" s="347"/>
      <c r="K47" s="347"/>
      <c r="L47" s="347"/>
      <c r="M47" s="347"/>
      <c r="N47" s="358"/>
      <c r="O47" s="348"/>
      <c r="P47" s="348"/>
    </row>
    <row r="48" spans="1:16" s="359" customFormat="1" ht="12.75" customHeight="1">
      <c r="B48" s="355"/>
      <c r="C48" s="352"/>
      <c r="D48" s="353"/>
      <c r="E48" s="354"/>
      <c r="F48" s="355"/>
      <c r="G48" s="356"/>
      <c r="H48" s="347"/>
      <c r="I48" s="347"/>
      <c r="J48" s="347"/>
      <c r="K48" s="347"/>
      <c r="L48" s="347"/>
      <c r="M48" s="347"/>
      <c r="N48" s="360"/>
      <c r="O48" s="358"/>
      <c r="P48" s="358"/>
    </row>
    <row r="49" spans="2:16" ht="12.75" customHeight="1">
      <c r="B49" s="355"/>
      <c r="C49" s="352"/>
      <c r="D49" s="353"/>
      <c r="E49" s="354"/>
      <c r="F49" s="355"/>
      <c r="G49" s="356"/>
      <c r="H49" s="347"/>
      <c r="I49" s="347"/>
      <c r="J49" s="347"/>
      <c r="K49" s="347"/>
      <c r="L49" s="347"/>
      <c r="M49" s="347"/>
      <c r="N49" s="358"/>
      <c r="O49" s="348"/>
      <c r="P49" s="348"/>
    </row>
    <row r="50" spans="2:16" ht="12.75" customHeight="1">
      <c r="B50" s="355"/>
      <c r="C50" s="352"/>
      <c r="D50" s="353"/>
      <c r="E50" s="354"/>
      <c r="F50" s="355"/>
      <c r="G50" s="356"/>
      <c r="H50" s="347"/>
      <c r="I50" s="347"/>
      <c r="J50" s="347"/>
      <c r="K50" s="347"/>
      <c r="L50" s="347"/>
      <c r="M50" s="347"/>
      <c r="N50" s="358"/>
      <c r="O50" s="348"/>
      <c r="P50" s="348"/>
    </row>
    <row r="51" spans="2:16" ht="12.75" customHeight="1">
      <c r="B51" s="355"/>
      <c r="C51" s="352"/>
      <c r="D51" s="353"/>
      <c r="E51" s="354"/>
      <c r="F51" s="355"/>
      <c r="G51" s="356"/>
      <c r="H51" s="347"/>
      <c r="I51" s="347"/>
      <c r="J51" s="347"/>
      <c r="K51" s="347"/>
      <c r="L51" s="347"/>
      <c r="M51" s="347"/>
      <c r="N51" s="358"/>
      <c r="O51" s="348"/>
      <c r="P51" s="348"/>
    </row>
    <row r="52" spans="2:16" ht="12.75" customHeight="1">
      <c r="B52" s="361"/>
      <c r="C52" s="358"/>
      <c r="D52" s="358"/>
      <c r="E52" s="358"/>
      <c r="F52" s="358"/>
      <c r="G52" s="361"/>
      <c r="H52" s="358"/>
      <c r="I52" s="358"/>
      <c r="J52" s="358"/>
      <c r="K52" s="358"/>
      <c r="L52" s="358"/>
      <c r="M52" s="358"/>
      <c r="N52" s="358"/>
      <c r="O52" s="348"/>
      <c r="P52" s="348"/>
    </row>
    <row r="53" spans="2:16" ht="12.75" customHeight="1">
      <c r="B53" s="361"/>
      <c r="C53" s="358"/>
      <c r="D53" s="358"/>
      <c r="E53" s="358"/>
      <c r="F53" s="358"/>
      <c r="G53" s="361"/>
      <c r="H53" s="358"/>
      <c r="I53" s="358"/>
      <c r="J53" s="358"/>
      <c r="K53" s="358"/>
      <c r="L53" s="358"/>
      <c r="M53" s="358"/>
      <c r="N53" s="358"/>
      <c r="O53" s="348"/>
      <c r="P53" s="348"/>
    </row>
    <row r="54" spans="2:16" ht="12.75" customHeight="1">
      <c r="B54" s="361"/>
      <c r="C54" s="358"/>
      <c r="D54" s="358"/>
      <c r="E54" s="358"/>
      <c r="F54" s="358"/>
      <c r="G54" s="361"/>
      <c r="H54" s="358"/>
      <c r="I54" s="358"/>
      <c r="J54" s="358"/>
      <c r="K54" s="358"/>
      <c r="L54" s="358"/>
      <c r="M54" s="358"/>
      <c r="N54" s="358"/>
      <c r="O54" s="348"/>
      <c r="P54" s="348"/>
    </row>
    <row r="55" spans="2:16" ht="12.75" customHeight="1">
      <c r="B55" s="361"/>
      <c r="C55" s="358"/>
      <c r="D55" s="358"/>
      <c r="E55" s="358"/>
      <c r="F55" s="358"/>
      <c r="G55" s="361"/>
      <c r="H55" s="358"/>
      <c r="I55" s="358"/>
      <c r="J55" s="358"/>
      <c r="K55" s="358"/>
      <c r="L55" s="358"/>
      <c r="M55" s="358"/>
      <c r="N55" s="358"/>
      <c r="O55" s="348"/>
      <c r="P55" s="348"/>
    </row>
    <row r="56" spans="2:16">
      <c r="B56" s="361"/>
      <c r="C56" s="358"/>
      <c r="D56" s="358"/>
      <c r="E56" s="358"/>
      <c r="F56" s="358"/>
      <c r="G56" s="361"/>
      <c r="H56" s="358"/>
      <c r="I56" s="358"/>
      <c r="J56" s="358"/>
      <c r="K56" s="358"/>
      <c r="L56" s="358"/>
      <c r="M56" s="358"/>
      <c r="N56" s="358"/>
      <c r="O56" s="348"/>
      <c r="P56" s="348"/>
    </row>
    <row r="57" spans="2:16">
      <c r="B57" s="361"/>
      <c r="C57" s="358"/>
      <c r="D57" s="358"/>
      <c r="E57" s="358"/>
      <c r="F57" s="358"/>
      <c r="G57" s="361"/>
      <c r="H57" s="358"/>
      <c r="I57" s="358"/>
      <c r="J57" s="358"/>
      <c r="K57" s="358"/>
      <c r="L57" s="358"/>
      <c r="M57" s="358"/>
      <c r="N57" s="358"/>
      <c r="O57" s="348"/>
      <c r="P57" s="348"/>
    </row>
    <row r="58" spans="2:16">
      <c r="B58" s="361"/>
      <c r="C58" s="358"/>
      <c r="D58" s="358"/>
      <c r="E58" s="358"/>
      <c r="F58" s="358"/>
      <c r="G58" s="361"/>
      <c r="H58" s="358"/>
      <c r="I58" s="358"/>
      <c r="J58" s="358"/>
      <c r="K58" s="358"/>
      <c r="L58" s="358"/>
      <c r="M58" s="358"/>
      <c r="N58" s="358"/>
      <c r="O58" s="348"/>
      <c r="P58" s="348"/>
    </row>
    <row r="59" spans="2:16">
      <c r="B59" s="361"/>
      <c r="C59" s="358"/>
      <c r="D59" s="358"/>
      <c r="E59" s="358"/>
      <c r="F59" s="358"/>
      <c r="G59" s="361"/>
      <c r="H59" s="358"/>
      <c r="I59" s="358"/>
      <c r="J59" s="358"/>
      <c r="K59" s="358"/>
      <c r="L59" s="358"/>
      <c r="M59" s="358"/>
      <c r="N59" s="358"/>
      <c r="O59" s="348"/>
      <c r="P59" s="348"/>
    </row>
    <row r="60" spans="2:16">
      <c r="B60" s="361"/>
      <c r="C60" s="358"/>
      <c r="D60" s="358"/>
      <c r="E60" s="358"/>
      <c r="F60" s="358"/>
      <c r="G60" s="361"/>
      <c r="H60" s="358"/>
      <c r="I60" s="358"/>
      <c r="J60" s="358"/>
      <c r="K60" s="358"/>
      <c r="L60" s="358"/>
      <c r="M60" s="358"/>
      <c r="N60" s="348"/>
      <c r="O60" s="348"/>
      <c r="P60" s="348"/>
    </row>
    <row r="61" spans="2:16">
      <c r="B61" s="362"/>
      <c r="C61" s="348"/>
      <c r="D61" s="348"/>
      <c r="E61" s="348"/>
      <c r="F61" s="348"/>
      <c r="G61" s="362"/>
      <c r="H61" s="348"/>
      <c r="I61" s="348"/>
      <c r="J61" s="348"/>
      <c r="K61" s="348"/>
      <c r="L61" s="348"/>
      <c r="M61" s="348"/>
      <c r="N61" s="348"/>
      <c r="O61" s="348"/>
      <c r="P61" s="348"/>
    </row>
  </sheetData>
  <sheetProtection password="C32A" sheet="1" objects="1" scenarios="1" selectLockedCells="1"/>
  <dataConsolidate/>
  <mergeCells count="7">
    <mergeCell ref="B31:G31"/>
    <mergeCell ref="B33:G33"/>
    <mergeCell ref="B34:G34"/>
    <mergeCell ref="B28:G28"/>
    <mergeCell ref="B29:G29"/>
    <mergeCell ref="B30:G30"/>
    <mergeCell ref="B32:G32"/>
  </mergeCells>
  <conditionalFormatting sqref="B41:B45 F3 B3 F28:F31 F5 B5 B28:B31 B33:B37 F33:F45">
    <cfRule type="expression" dxfId="42" priority="20" stopIfTrue="1">
      <formula>ISERROR(B3)</formula>
    </cfRule>
  </conditionalFormatting>
  <conditionalFormatting sqref="F46">
    <cfRule type="expression" dxfId="41" priority="19" stopIfTrue="1">
      <formula>ISERROR(F46)</formula>
    </cfRule>
  </conditionalFormatting>
  <conditionalFormatting sqref="B46">
    <cfRule type="expression" dxfId="40" priority="18" stopIfTrue="1">
      <formula>ISERROR(B46)</formula>
    </cfRule>
  </conditionalFormatting>
  <conditionalFormatting sqref="F47">
    <cfRule type="expression" dxfId="39" priority="17" stopIfTrue="1">
      <formula>ISERROR(F47)</formula>
    </cfRule>
  </conditionalFormatting>
  <conditionalFormatting sqref="B47">
    <cfRule type="expression" dxfId="38" priority="16" stopIfTrue="1">
      <formula>ISERROR(B47)</formula>
    </cfRule>
  </conditionalFormatting>
  <conditionalFormatting sqref="F48">
    <cfRule type="expression" dxfId="37" priority="15" stopIfTrue="1">
      <formula>ISERROR(F48)</formula>
    </cfRule>
  </conditionalFormatting>
  <conditionalFormatting sqref="B48">
    <cfRule type="expression" dxfId="36" priority="14" stopIfTrue="1">
      <formula>ISERROR(B48)</formula>
    </cfRule>
  </conditionalFormatting>
  <conditionalFormatting sqref="F49">
    <cfRule type="expression" dxfId="35" priority="13" stopIfTrue="1">
      <formula>ISERROR(F49)</formula>
    </cfRule>
  </conditionalFormatting>
  <conditionalFormatting sqref="B49">
    <cfRule type="expression" dxfId="34" priority="12" stopIfTrue="1">
      <formula>ISERROR(B49)</formula>
    </cfRule>
  </conditionalFormatting>
  <conditionalFormatting sqref="F50">
    <cfRule type="expression" dxfId="33" priority="11" stopIfTrue="1">
      <formula>ISERROR(F50)</formula>
    </cfRule>
  </conditionalFormatting>
  <conditionalFormatting sqref="B50">
    <cfRule type="expression" dxfId="32" priority="10" stopIfTrue="1">
      <formula>ISERROR(B50)</formula>
    </cfRule>
  </conditionalFormatting>
  <conditionalFormatting sqref="F51">
    <cfRule type="expression" dxfId="31" priority="9" stopIfTrue="1">
      <formula>ISERROR(F51)</formula>
    </cfRule>
  </conditionalFormatting>
  <conditionalFormatting sqref="B51">
    <cfRule type="expression" dxfId="30" priority="8" stopIfTrue="1">
      <formula>ISERROR(B51)</formula>
    </cfRule>
  </conditionalFormatting>
  <conditionalFormatting sqref="B2">
    <cfRule type="cellIs" dxfId="29" priority="7" operator="greaterThan">
      <formula>#REF!-1</formula>
    </cfRule>
  </conditionalFormatting>
  <conditionalFormatting sqref="F8 B8">
    <cfRule type="expression" dxfId="28" priority="6" stopIfTrue="1">
      <formula>ISERROR(B8)</formula>
    </cfRule>
  </conditionalFormatting>
  <conditionalFormatting sqref="F10 B10">
    <cfRule type="expression" dxfId="27" priority="5" stopIfTrue="1">
      <formula>ISERROR(B10)</formula>
    </cfRule>
  </conditionalFormatting>
  <conditionalFormatting sqref="F17 B17">
    <cfRule type="expression" dxfId="26" priority="4" stopIfTrue="1">
      <formula>ISERROR(B17)</formula>
    </cfRule>
  </conditionalFormatting>
  <conditionalFormatting sqref="F27 B27">
    <cfRule type="expression" dxfId="25" priority="3" stopIfTrue="1">
      <formula>ISERROR(B27)</formula>
    </cfRule>
  </conditionalFormatting>
  <conditionalFormatting sqref="F22 B22">
    <cfRule type="expression" dxfId="24" priority="2" stopIfTrue="1">
      <formula>ISERROR(B22)</formula>
    </cfRule>
  </conditionalFormatting>
  <conditionalFormatting sqref="F32 B32">
    <cfRule type="expression" dxfId="23" priority="1" stopIfTrue="1">
      <formula>ISERROR(B32)</formula>
    </cfRule>
  </conditionalFormatting>
  <printOptions horizontalCentered="1"/>
  <pageMargins left="0.51181102362204722" right="0.51181102362204722" top="0.51181102362204722" bottom="0.51181102362204722" header="0.51181102362204722" footer="0.23622047244094491"/>
  <pageSetup scale="9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63"/>
  <sheetViews>
    <sheetView showGridLines="0" zoomScale="75" zoomScaleNormal="75" zoomScaleSheetLayoutView="100" workbookViewId="0">
      <selection activeCell="E25" sqref="E25:F26"/>
    </sheetView>
  </sheetViews>
  <sheetFormatPr defaultRowHeight="12.75"/>
  <cols>
    <col min="1" max="1" width="15.5703125" style="4" customWidth="1"/>
    <col min="2" max="2" width="10.28515625" style="3" customWidth="1"/>
    <col min="3" max="3" width="16.5703125" style="3" customWidth="1"/>
    <col min="4" max="4" width="29.5703125" style="3" customWidth="1"/>
    <col min="5" max="5" width="25.28515625" style="3" customWidth="1"/>
    <col min="6" max="6" width="24.5703125" style="4" customWidth="1"/>
    <col min="7" max="7" width="18" style="3" customWidth="1"/>
    <col min="8" max="8" width="20.7109375" style="3" customWidth="1"/>
    <col min="9" max="9" width="22" style="3" customWidth="1"/>
    <col min="10" max="10" width="9.42578125" style="3" customWidth="1"/>
    <col min="11" max="11" width="9" style="3" customWidth="1"/>
    <col min="12" max="12" width="13" style="3" customWidth="1"/>
    <col min="13" max="21" width="14.28515625" style="3" customWidth="1"/>
    <col min="22" max="16384" width="9.140625" style="3"/>
  </cols>
  <sheetData>
    <row r="1" spans="1:16" ht="20.100000000000001" customHeight="1">
      <c r="A1" s="9"/>
      <c r="B1" s="12"/>
      <c r="C1" s="12"/>
      <c r="D1" s="466" t="s">
        <v>225</v>
      </c>
      <c r="E1" s="466"/>
      <c r="F1" s="466"/>
      <c r="H1" s="12"/>
      <c r="I1" s="12"/>
      <c r="J1" s="12"/>
      <c r="K1" s="12"/>
      <c r="L1" s="12"/>
      <c r="M1" s="12"/>
      <c r="N1" s="13"/>
      <c r="O1" s="13"/>
      <c r="P1" s="13"/>
    </row>
    <row r="2" spans="1:16" ht="20.100000000000001" customHeight="1">
      <c r="A2" s="9"/>
      <c r="B2" s="12"/>
      <c r="C2" s="12"/>
      <c r="D2" s="12"/>
      <c r="E2" s="12"/>
      <c r="F2" s="12"/>
      <c r="H2" s="12"/>
      <c r="I2" s="12"/>
      <c r="J2" s="12"/>
      <c r="K2" s="12"/>
      <c r="L2" s="12"/>
      <c r="M2" s="12"/>
      <c r="N2" s="13"/>
      <c r="O2" s="13"/>
      <c r="P2" s="13"/>
    </row>
    <row r="3" spans="1:16" ht="29.25" customHeight="1">
      <c r="A3" s="9"/>
      <c r="B3" s="12"/>
      <c r="D3" s="467" t="s">
        <v>216</v>
      </c>
      <c r="E3" s="467"/>
      <c r="F3" s="32">
        <f>Kalkulátor!H13</f>
        <v>5000000</v>
      </c>
      <c r="H3" s="12"/>
      <c r="I3" s="12"/>
      <c r="J3" s="12"/>
      <c r="K3" s="12"/>
      <c r="L3" s="12"/>
      <c r="M3" s="12"/>
      <c r="N3" s="13"/>
      <c r="O3" s="13"/>
      <c r="P3" s="13"/>
    </row>
    <row r="4" spans="1:16" ht="20.100000000000001" customHeight="1">
      <c r="A4" s="9"/>
      <c r="B4" s="12"/>
      <c r="C4" s="12"/>
      <c r="D4" s="468" t="s">
        <v>215</v>
      </c>
      <c r="E4" s="468"/>
      <c r="F4" s="33">
        <f ca="1">SUMIFS(ÉV!B18:B65,ÉV!A18:A65,"&lt;="&amp;Maradékjogok!F7)</f>
        <v>2292324.0912951203</v>
      </c>
      <c r="H4" s="12"/>
      <c r="I4" s="12"/>
      <c r="J4" s="12"/>
      <c r="K4" s="12"/>
      <c r="L4" s="12"/>
      <c r="M4" s="12"/>
      <c r="N4" s="13"/>
      <c r="O4" s="13"/>
      <c r="P4" s="13"/>
    </row>
    <row r="5" spans="1:16" ht="20.100000000000001" customHeight="1">
      <c r="A5" s="9"/>
      <c r="B5" s="12"/>
      <c r="C5" s="12"/>
      <c r="D5" s="12"/>
      <c r="E5" s="12"/>
      <c r="F5" s="12"/>
      <c r="H5" s="12"/>
      <c r="I5" s="12"/>
      <c r="J5" s="12"/>
      <c r="K5" s="12"/>
      <c r="L5" s="12"/>
      <c r="M5" s="12"/>
      <c r="N5" s="13"/>
      <c r="O5" s="13"/>
      <c r="P5" s="13"/>
    </row>
    <row r="6" spans="1:16" ht="20.100000000000001" customHeight="1">
      <c r="A6" s="9"/>
      <c r="B6" s="14"/>
      <c r="C6" s="14"/>
      <c r="D6" s="14"/>
      <c r="E6" s="366" t="s">
        <v>66</v>
      </c>
      <c r="F6" s="365"/>
      <c r="H6" s="34"/>
      <c r="I6" s="12"/>
      <c r="J6" s="12"/>
      <c r="K6" s="12"/>
      <c r="L6" s="12"/>
      <c r="M6" s="12"/>
      <c r="N6" s="13"/>
      <c r="O6" s="13"/>
      <c r="P6" s="13"/>
    </row>
    <row r="7" spans="1:16" ht="20.100000000000001" customHeight="1">
      <c r="A7" s="9"/>
      <c r="B7" s="15"/>
      <c r="C7" s="5"/>
      <c r="D7" s="5"/>
      <c r="E7" s="35" t="s">
        <v>67</v>
      </c>
      <c r="F7" s="36">
        <v>10</v>
      </c>
      <c r="H7" s="37"/>
      <c r="I7" s="12"/>
      <c r="J7" s="12"/>
      <c r="K7" s="12"/>
      <c r="L7" s="12"/>
      <c r="M7" s="12"/>
      <c r="N7" s="13"/>
      <c r="O7" s="13"/>
      <c r="P7" s="13"/>
    </row>
    <row r="8" spans="1:16" ht="20.100000000000001" customHeight="1">
      <c r="A8" s="9"/>
      <c r="B8" s="15"/>
      <c r="C8" s="5"/>
      <c r="D8" s="5"/>
      <c r="E8" s="7" t="s">
        <v>215</v>
      </c>
      <c r="F8" s="38">
        <f ca="1">F4</f>
        <v>2292324.0912951203</v>
      </c>
      <c r="H8" s="34"/>
      <c r="I8" s="12"/>
      <c r="J8" s="12"/>
      <c r="K8" s="12"/>
      <c r="L8" s="12"/>
      <c r="M8" s="12"/>
      <c r="N8" s="13"/>
      <c r="O8" s="13"/>
      <c r="P8" s="13"/>
    </row>
    <row r="9" spans="1:16" ht="20.100000000000001" customHeight="1">
      <c r="A9" s="9"/>
      <c r="B9" s="15"/>
      <c r="C9" s="5"/>
      <c r="D9" s="263"/>
      <c r="E9" s="264" t="s">
        <v>217</v>
      </c>
      <c r="F9" s="262">
        <f ca="1">SUMIFS(ÉV!H18:H65,ÉV!A18:A65,Maradékjogok!F7)</f>
        <v>2256050</v>
      </c>
      <c r="H9" s="5"/>
      <c r="I9" s="12"/>
      <c r="J9" s="12"/>
      <c r="K9" s="12"/>
      <c r="L9" s="12"/>
      <c r="M9" s="12"/>
      <c r="N9" s="13"/>
      <c r="O9" s="13"/>
      <c r="P9" s="13"/>
    </row>
    <row r="10" spans="1:16" ht="20.100000000000001" customHeight="1">
      <c r="A10" s="9"/>
      <c r="B10" s="15"/>
      <c r="C10" s="5"/>
      <c r="D10" s="5"/>
      <c r="E10" s="7"/>
      <c r="F10" s="38"/>
      <c r="H10" s="5"/>
      <c r="I10" s="12"/>
      <c r="J10" s="12"/>
      <c r="K10" s="12"/>
      <c r="L10" s="12"/>
      <c r="M10" s="12"/>
      <c r="N10" s="13"/>
      <c r="O10" s="13"/>
      <c r="P10" s="13"/>
    </row>
    <row r="11" spans="1:16" ht="20.100000000000001" customHeight="1">
      <c r="A11" s="9"/>
      <c r="B11" s="5"/>
      <c r="C11" s="5"/>
      <c r="D11" s="5"/>
      <c r="E11" s="363" t="s">
        <v>68</v>
      </c>
      <c r="F11" s="365"/>
      <c r="H11" s="5"/>
      <c r="I11" s="12"/>
      <c r="J11" s="12"/>
      <c r="K11" s="12"/>
      <c r="L11" s="12"/>
      <c r="M11" s="12"/>
      <c r="N11" s="13"/>
      <c r="O11" s="13"/>
      <c r="P11" s="13"/>
    </row>
    <row r="12" spans="1:16" ht="20.100000000000001" customHeight="1">
      <c r="A12" s="9"/>
      <c r="B12" s="5"/>
      <c r="C12" s="5"/>
      <c r="D12" s="5"/>
      <c r="E12" s="35" t="s">
        <v>67</v>
      </c>
      <c r="F12" s="39">
        <f>$F$7</f>
        <v>10</v>
      </c>
      <c r="G12" s="304"/>
      <c r="H12" s="305"/>
      <c r="I12" s="306"/>
      <c r="J12" s="12"/>
      <c r="K12" s="12"/>
      <c r="L12" s="12"/>
      <c r="M12" s="12"/>
      <c r="N12" s="13"/>
      <c r="O12" s="13"/>
      <c r="P12" s="13"/>
    </row>
    <row r="13" spans="1:16" ht="20.100000000000001" customHeight="1">
      <c r="A13" s="9"/>
      <c r="B13" s="5"/>
      <c r="C13" s="5"/>
      <c r="D13" s="5"/>
      <c r="E13" s="7" t="s">
        <v>215</v>
      </c>
      <c r="F13" s="38">
        <f ca="1">F8</f>
        <v>2292324.0912951203</v>
      </c>
      <c r="G13" s="304"/>
      <c r="H13" s="305"/>
      <c r="I13" s="306"/>
      <c r="J13" s="12"/>
      <c r="K13" s="12"/>
      <c r="L13" s="12"/>
      <c r="M13" s="12"/>
      <c r="N13" s="13"/>
      <c r="O13" s="13"/>
      <c r="P13" s="13"/>
    </row>
    <row r="14" spans="1:16" ht="20.100000000000001" customHeight="1">
      <c r="A14" s="9"/>
      <c r="B14" s="5"/>
      <c r="C14" s="5"/>
      <c r="D14" s="5"/>
      <c r="E14" s="264" t="s">
        <v>69</v>
      </c>
      <c r="F14" s="262">
        <f ca="1">SUMIFS(ÉV!I:I,    ÉV!A:A,    F7)</f>
        <v>1585350</v>
      </c>
      <c r="G14" s="307"/>
      <c r="H14" s="308"/>
      <c r="I14" s="306"/>
      <c r="J14" s="12"/>
      <c r="K14" s="12"/>
      <c r="L14" s="12"/>
      <c r="M14" s="12"/>
      <c r="N14" s="13"/>
      <c r="O14" s="13"/>
      <c r="P14" s="13"/>
    </row>
    <row r="15" spans="1:16" ht="20.100000000000001" customHeight="1">
      <c r="A15" s="9"/>
      <c r="B15" s="8"/>
      <c r="C15" s="8"/>
      <c r="D15" s="5"/>
      <c r="E15" s="7" t="s">
        <v>70</v>
      </c>
      <c r="F15" s="40">
        <f ca="1">F14*1.05</f>
        <v>1664617.5</v>
      </c>
      <c r="G15" s="309"/>
      <c r="H15" s="303"/>
      <c r="I15" s="306"/>
      <c r="J15" s="12"/>
      <c r="K15" s="12"/>
      <c r="L15" s="12"/>
      <c r="M15" s="12"/>
      <c r="N15" s="13"/>
      <c r="O15" s="13"/>
      <c r="P15" s="13"/>
    </row>
    <row r="16" spans="1:16" ht="20.100000000000001" customHeight="1">
      <c r="A16" s="9"/>
      <c r="B16" s="8"/>
      <c r="C16" s="8"/>
      <c r="D16" s="5"/>
      <c r="E16" s="5"/>
      <c r="F16" s="5"/>
      <c r="G16" s="304"/>
      <c r="H16" s="305"/>
      <c r="I16" s="306"/>
      <c r="J16" s="12"/>
      <c r="K16" s="12"/>
      <c r="L16" s="12"/>
      <c r="M16" s="12"/>
      <c r="N16" s="13"/>
      <c r="O16" s="13"/>
      <c r="P16" s="13"/>
    </row>
    <row r="17" spans="1:16" ht="20.100000000000001" customHeight="1">
      <c r="A17" s="9"/>
      <c r="B17" s="6"/>
      <c r="C17" s="6"/>
      <c r="D17" s="263"/>
      <c r="E17" s="264" t="str">
        <f>"Nyereségszámla "&amp;TEXT(ÉV!$B$12,"0,0#%")&amp;" feltételezett hozam estén:"</f>
        <v>Nyereségszámla 0,0% feltételezett hozam estén:</v>
      </c>
      <c r="F17" s="262">
        <f ca="1">SUMIFS(HÓ!N:N,HÓ!A:A,F12,HÓ!B:B,12)*0.5</f>
        <v>0</v>
      </c>
      <c r="G17" s="304"/>
      <c r="H17" s="305"/>
      <c r="I17" s="306"/>
      <c r="J17" s="12"/>
      <c r="K17" s="12"/>
      <c r="L17" s="12"/>
      <c r="M17" s="12"/>
      <c r="N17" s="13"/>
      <c r="O17" s="13"/>
      <c r="P17" s="13"/>
    </row>
    <row r="18" spans="1:16" ht="20.100000000000001" customHeight="1">
      <c r="A18" s="9"/>
      <c r="B18" s="6"/>
      <c r="C18" s="6"/>
      <c r="D18" s="143"/>
      <c r="E18" s="144"/>
      <c r="F18" s="145"/>
      <c r="G18" s="304"/>
      <c r="H18" s="305"/>
      <c r="I18" s="306"/>
      <c r="J18" s="12"/>
      <c r="K18" s="12"/>
      <c r="L18" s="12"/>
      <c r="M18" s="12"/>
      <c r="N18" s="13"/>
      <c r="O18" s="13"/>
      <c r="P18" s="13"/>
    </row>
    <row r="19" spans="1:16" ht="20.100000000000001" customHeight="1">
      <c r="A19" s="9"/>
      <c r="B19" s="8"/>
      <c r="C19" s="8"/>
      <c r="D19" s="263"/>
      <c r="E19" s="264" t="str">
        <f>Kalkulátor!D22</f>
        <v>Adójóváírás a hozamok hatásával megnövelve</v>
      </c>
      <c r="F19" s="262">
        <f ca="1">SUMIFS(HÓ!O:O,HÓ!$A:$A,F12,HÓ!$B:$B,           12)
+  SUMIFS(HÓ!P:P,HÓ!$A:$A,F12,HÓ!$B:$B,          12)</f>
        <v>396161.94784016669</v>
      </c>
      <c r="G19" s="304"/>
      <c r="H19" s="305"/>
      <c r="I19" s="306"/>
      <c r="J19" s="12"/>
      <c r="K19" s="12"/>
      <c r="L19" s="12"/>
      <c r="M19" s="12"/>
      <c r="N19" s="13"/>
      <c r="O19" s="13"/>
      <c r="P19" s="13"/>
    </row>
    <row r="20" spans="1:16" ht="20.100000000000001" customHeight="1">
      <c r="A20" s="9"/>
      <c r="B20" s="8"/>
      <c r="C20" s="8"/>
      <c r="D20" s="5"/>
      <c r="E20" s="10"/>
      <c r="F20" s="10"/>
      <c r="G20" s="304"/>
      <c r="H20" s="305"/>
      <c r="I20" s="306"/>
      <c r="J20" s="12"/>
      <c r="K20" s="12"/>
      <c r="L20" s="12"/>
      <c r="M20" s="12"/>
      <c r="N20" s="13"/>
      <c r="O20" s="13"/>
      <c r="P20" s="13"/>
    </row>
    <row r="21" spans="1:16" ht="20.100000000000001" customHeight="1">
      <c r="A21" s="9"/>
      <c r="B21" s="8"/>
      <c r="C21" s="8"/>
      <c r="D21" s="5"/>
      <c r="E21" s="363" t="s">
        <v>232</v>
      </c>
      <c r="F21" s="364"/>
      <c r="G21" s="304"/>
      <c r="H21" s="305"/>
      <c r="I21" s="306"/>
      <c r="J21" s="12"/>
      <c r="K21" s="12"/>
      <c r="L21" s="12"/>
      <c r="M21" s="12"/>
      <c r="N21" s="13"/>
      <c r="O21" s="13"/>
      <c r="P21" s="13"/>
    </row>
    <row r="22" spans="1:16" ht="20.100000000000001" customHeight="1">
      <c r="A22" s="9"/>
      <c r="B22" s="8"/>
      <c r="C22" s="8"/>
      <c r="D22" s="5"/>
      <c r="E22" s="35" t="s">
        <v>67</v>
      </c>
      <c r="F22" s="39">
        <f>$F$7</f>
        <v>10</v>
      </c>
      <c r="G22" s="304"/>
      <c r="H22" s="305"/>
      <c r="I22" s="306"/>
      <c r="J22" s="12"/>
      <c r="K22" s="12"/>
      <c r="L22" s="12"/>
      <c r="M22" s="12"/>
      <c r="N22" s="13"/>
      <c r="O22" s="13"/>
      <c r="P22" s="13"/>
    </row>
    <row r="23" spans="1:16" ht="20.100000000000001" customHeight="1">
      <c r="A23" s="16"/>
      <c r="B23" s="5"/>
      <c r="C23" s="5"/>
      <c r="D23" s="5"/>
      <c r="E23" s="7" t="str">
        <f>"Lejárat előtti nyugdíjszolgáltatás "&amp;TEXT(ÉV!$B$12,"0,0#%")&amp;" feltételezett hozam esetén, adójóváírással együtt"</f>
        <v>Lejárat előtti nyugdíjszolgáltatás 0,0% feltételezett hozam esetén, adójóváírással együtt</v>
      </c>
      <c r="F23" s="38">
        <f ca="1">F14+F19+F17</f>
        <v>1981511.9478401667</v>
      </c>
      <c r="G23" s="302"/>
      <c r="H23" s="303"/>
      <c r="I23" s="306"/>
      <c r="J23" s="12"/>
      <c r="K23" s="12"/>
      <c r="L23" s="12"/>
      <c r="M23" s="12"/>
      <c r="N23" s="13"/>
      <c r="O23" s="13"/>
      <c r="P23" s="13"/>
    </row>
    <row r="24" spans="1:16" ht="20.100000000000001" customHeight="1">
      <c r="A24" s="9"/>
      <c r="B24" s="5"/>
      <c r="C24" s="5"/>
      <c r="D24" s="5"/>
      <c r="E24" s="7"/>
      <c r="F24" s="38"/>
      <c r="G24" s="304"/>
      <c r="H24" s="310"/>
      <c r="I24" s="306"/>
      <c r="J24" s="12"/>
      <c r="K24" s="12"/>
      <c r="L24" s="12"/>
      <c r="M24" s="12"/>
      <c r="N24" s="13"/>
      <c r="O24" s="13"/>
      <c r="P24" s="13"/>
    </row>
    <row r="25" spans="1:16" ht="20.100000000000001" customHeight="1">
      <c r="A25" s="9"/>
      <c r="B25" s="5"/>
      <c r="C25" s="5"/>
      <c r="D25" s="5"/>
      <c r="E25" s="363" t="s">
        <v>233</v>
      </c>
      <c r="F25" s="364"/>
      <c r="G25" s="304"/>
      <c r="H25" s="310"/>
      <c r="I25" s="306"/>
      <c r="J25" s="12"/>
      <c r="K25" s="12"/>
      <c r="L25" s="12"/>
      <c r="M25" s="12"/>
      <c r="N25" s="13"/>
      <c r="O25" s="13"/>
      <c r="P25" s="13"/>
    </row>
    <row r="26" spans="1:16" ht="20.100000000000001" customHeight="1">
      <c r="A26" s="9"/>
      <c r="B26" s="5"/>
      <c r="C26" s="5"/>
      <c r="D26" s="5"/>
      <c r="E26" s="35" t="s">
        <v>67</v>
      </c>
      <c r="F26" s="39">
        <f>$F$7</f>
        <v>10</v>
      </c>
      <c r="G26" s="304"/>
      <c r="H26" s="310"/>
      <c r="I26" s="306"/>
      <c r="J26" s="12"/>
      <c r="K26" s="12"/>
      <c r="L26" s="12"/>
      <c r="M26" s="12"/>
      <c r="N26" s="13"/>
      <c r="O26" s="13"/>
      <c r="P26" s="13"/>
    </row>
    <row r="27" spans="1:16" ht="20.100000000000001" customHeight="1">
      <c r="A27" s="16"/>
      <c r="B27" s="5"/>
      <c r="C27" s="5"/>
      <c r="D27" s="5"/>
      <c r="E27" s="7" t="str">
        <f>"40% rokkantsági szolgáltatás "&amp;TEXT(ÉV!$B$12,"0,0#%")&amp;" feltételezett hozam esetén, adójóváírással együtt"</f>
        <v>40% rokkantsági szolgáltatás 0,0% feltételezett hozam esetén, adójóváírással együtt</v>
      </c>
      <c r="F27" s="38">
        <f ca="1">F15+F19+F17</f>
        <v>2060779.4478401667</v>
      </c>
      <c r="G27" s="302"/>
      <c r="H27" s="303"/>
      <c r="I27" s="306"/>
      <c r="J27" s="12"/>
      <c r="K27" s="12"/>
      <c r="L27" s="12"/>
      <c r="M27" s="12"/>
      <c r="N27" s="13"/>
      <c r="O27" s="13"/>
      <c r="P27" s="13"/>
    </row>
    <row r="28" spans="1:16" ht="36" customHeight="1">
      <c r="A28" s="16"/>
      <c r="B28" s="12"/>
      <c r="C28" s="12"/>
      <c r="D28" s="12"/>
      <c r="E28" s="12"/>
      <c r="F28" s="12"/>
      <c r="G28" s="304"/>
      <c r="H28" s="306"/>
      <c r="I28" s="306"/>
      <c r="J28" s="12"/>
      <c r="K28" s="12"/>
      <c r="L28" s="12"/>
      <c r="M28" s="12"/>
      <c r="N28" s="13"/>
      <c r="O28" s="13"/>
      <c r="P28" s="13"/>
    </row>
    <row r="29" spans="1:16" ht="29.25" customHeight="1">
      <c r="A29" s="469" t="str">
        <f ca="1">Kalkulátor!A26</f>
        <v>* A szerződés tartama: 22 év + 3 hónap, ebből díjfizetési időszak: 22 év. A 23. évben, a tartam utolsó 3 hónapjában a szerződés díjfizetés nélkül van érvényben.</v>
      </c>
      <c r="B29" s="470"/>
      <c r="C29" s="470"/>
      <c r="D29" s="470"/>
      <c r="E29" s="470"/>
      <c r="F29" s="471"/>
      <c r="G29" s="311"/>
      <c r="H29" s="311"/>
      <c r="I29" s="311"/>
      <c r="J29" s="21"/>
      <c r="K29" s="21"/>
      <c r="L29" s="21"/>
      <c r="M29" s="21"/>
      <c r="N29" s="11"/>
      <c r="O29" s="11"/>
    </row>
    <row r="30" spans="1:16" ht="29.25" customHeight="1">
      <c r="A30" s="460" t="str">
        <f ca="1">Kalkulátor!A27</f>
        <v xml:space="preserve">A modell a választott, a tartam során állandó éves hozam feltételezésével mutatja a szerződés értékének alakulását. A számítás az előírt, automatikusan indexálódó díj megfizetését veszi figyelembe. </v>
      </c>
      <c r="B30" s="461"/>
      <c r="C30" s="461"/>
      <c r="D30" s="461"/>
      <c r="E30" s="461"/>
      <c r="F30" s="462"/>
      <c r="G30" s="311"/>
      <c r="H30" s="311"/>
      <c r="I30" s="311"/>
      <c r="J30" s="21"/>
      <c r="K30" s="21"/>
      <c r="L30" s="21"/>
      <c r="M30" s="21"/>
      <c r="N30" s="11"/>
      <c r="O30" s="11"/>
    </row>
    <row r="31" spans="1:16" ht="29.25" customHeight="1">
      <c r="A31" s="460" t="str">
        <f>Kalkulátor!A28</f>
        <v xml:space="preserve">A termék klasszikus (hagyományos) nyugdíjbiztosítás, melynél a szerződéskötéskor rögzített szolgáltatás (biztosítási összeg) nagyságát a biztosító garantálja. </v>
      </c>
      <c r="B31" s="461"/>
      <c r="C31" s="461"/>
      <c r="D31" s="461"/>
      <c r="E31" s="461"/>
      <c r="F31" s="462"/>
      <c r="G31" s="311"/>
      <c r="H31" s="311"/>
      <c r="I31" s="311"/>
      <c r="J31" s="21"/>
      <c r="K31" s="21"/>
      <c r="L31" s="21"/>
      <c r="M31" s="21"/>
      <c r="N31" s="11"/>
      <c r="O31" s="11"/>
    </row>
    <row r="32" spans="1:16" ht="29.25" customHeight="1">
      <c r="A32" s="460" t="str">
        <f>Kalkulátor!A29</f>
        <v xml:space="preserve">A kifizetések nagyságát jóváírt többlethozamok is növelhetik. A többlethozam mértékére vonatkozóan az UNIQA Biztosító Zrt. semmilyen garanciát nem vállal. </v>
      </c>
      <c r="B32" s="461"/>
      <c r="C32" s="461"/>
      <c r="D32" s="461"/>
      <c r="E32" s="461"/>
      <c r="F32" s="462"/>
      <c r="G32" s="311"/>
      <c r="H32" s="311"/>
      <c r="I32" s="311"/>
      <c r="J32" s="21"/>
      <c r="K32" s="21"/>
      <c r="L32" s="21"/>
      <c r="M32" s="21"/>
      <c r="N32" s="11"/>
      <c r="O32" s="11"/>
    </row>
    <row r="33" spans="1:15" ht="42" customHeight="1">
      <c r="A33" s="460" t="str">
        <f>Kalkulátor!A31&amp;" "&amp;Kalkulátor!A32</f>
        <v>Az adójóváírások könyvelése a modellben július hónapban történik, utolsó naptári évben fizetett díjak utáni adójóváírás a modellben a lejárat hónapjában jelenik meg (akkor is, ha az adóhivataltól a tényleges utalás csak a szerződés lejáratát követően érkezik meg, így az külön kerül kifizetésre).</v>
      </c>
      <c r="B33" s="461"/>
      <c r="C33" s="461"/>
      <c r="D33" s="461"/>
      <c r="E33" s="461"/>
      <c r="F33" s="462"/>
      <c r="G33" s="311"/>
      <c r="H33" s="311"/>
      <c r="I33" s="311"/>
      <c r="J33" s="21"/>
      <c r="K33" s="21"/>
      <c r="L33" s="21"/>
      <c r="M33" s="21"/>
      <c r="N33" s="11"/>
      <c r="O33" s="11"/>
    </row>
    <row r="34" spans="1:15" ht="29.25" customHeight="1">
      <c r="A34" s="463" t="s">
        <v>184</v>
      </c>
      <c r="B34" s="464"/>
      <c r="C34" s="464"/>
      <c r="D34" s="464"/>
      <c r="E34" s="464"/>
      <c r="F34" s="465"/>
      <c r="G34" s="311"/>
      <c r="H34" s="311"/>
      <c r="I34" s="311"/>
      <c r="J34" s="21"/>
      <c r="K34" s="21"/>
      <c r="L34" s="21"/>
      <c r="M34" s="21"/>
      <c r="N34" s="11"/>
      <c r="O34" s="11"/>
    </row>
    <row r="35" spans="1:15" ht="12.75" customHeight="1">
      <c r="A35" s="16"/>
      <c r="B35" s="22"/>
      <c r="C35" s="17"/>
      <c r="D35" s="18"/>
      <c r="E35" s="19"/>
      <c r="F35" s="20"/>
      <c r="G35" s="311"/>
      <c r="H35" s="311"/>
      <c r="I35" s="311"/>
      <c r="J35" s="21"/>
      <c r="K35" s="21"/>
      <c r="L35" s="21"/>
      <c r="M35" s="21"/>
      <c r="N35" s="11"/>
      <c r="O35" s="11"/>
    </row>
    <row r="36" spans="1:15" ht="12.75" customHeight="1">
      <c r="A36" s="16"/>
      <c r="B36" s="22"/>
      <c r="C36" s="17"/>
      <c r="D36" s="18"/>
      <c r="E36" s="19"/>
      <c r="F36" s="20"/>
      <c r="G36" s="311"/>
      <c r="H36" s="311"/>
      <c r="I36" s="311"/>
      <c r="J36" s="21"/>
      <c r="K36" s="21"/>
      <c r="L36" s="21"/>
      <c r="M36" s="21"/>
      <c r="N36" s="11"/>
      <c r="O36" s="11"/>
    </row>
    <row r="37" spans="1:15" ht="12.75" customHeight="1">
      <c r="A37" s="16"/>
      <c r="B37" s="22"/>
      <c r="C37" s="17"/>
      <c r="D37" s="18"/>
      <c r="E37" s="19"/>
      <c r="F37" s="20"/>
      <c r="G37" s="21"/>
      <c r="H37" s="21"/>
      <c r="I37" s="21"/>
      <c r="J37" s="21"/>
      <c r="K37" s="21"/>
      <c r="L37" s="21"/>
      <c r="M37" s="21"/>
      <c r="N37" s="11"/>
      <c r="O37" s="11"/>
    </row>
    <row r="38" spans="1:15" ht="12.75" customHeight="1">
      <c r="A38" s="23"/>
      <c r="B38" s="22"/>
      <c r="C38" s="17"/>
      <c r="D38" s="18"/>
      <c r="E38" s="19"/>
      <c r="F38" s="20"/>
      <c r="G38" s="21"/>
      <c r="H38" s="21"/>
      <c r="I38" s="21"/>
      <c r="J38" s="21"/>
      <c r="K38" s="21"/>
      <c r="L38" s="21"/>
      <c r="M38" s="21"/>
      <c r="N38" s="11"/>
      <c r="O38" s="11"/>
    </row>
    <row r="39" spans="1:15" ht="12.75" customHeight="1">
      <c r="A39" s="23"/>
      <c r="B39" s="22"/>
      <c r="C39" s="17"/>
      <c r="D39" s="18"/>
      <c r="E39" s="19"/>
      <c r="F39" s="20"/>
      <c r="G39" s="21"/>
      <c r="H39" s="21"/>
      <c r="I39" s="21"/>
      <c r="J39" s="21"/>
      <c r="K39" s="21"/>
      <c r="L39" s="21"/>
      <c r="M39" s="21"/>
      <c r="N39" s="11"/>
      <c r="O39" s="11"/>
    </row>
    <row r="40" spans="1:15" ht="12.75" customHeight="1">
      <c r="B40" s="22"/>
      <c r="C40" s="17"/>
      <c r="D40" s="18"/>
      <c r="E40" s="19"/>
      <c r="F40" s="20"/>
      <c r="G40" s="21"/>
      <c r="H40" s="21"/>
      <c r="I40" s="21"/>
      <c r="J40" s="21"/>
      <c r="K40" s="21"/>
      <c r="L40" s="21"/>
      <c r="M40" s="21"/>
      <c r="N40" s="11"/>
      <c r="O40" s="11"/>
    </row>
    <row r="41" spans="1:15" ht="12.75" customHeight="1">
      <c r="B41" s="22"/>
      <c r="C41" s="17"/>
      <c r="D41" s="18"/>
      <c r="E41" s="19"/>
      <c r="F41" s="20"/>
      <c r="G41" s="21"/>
      <c r="H41" s="21"/>
      <c r="I41" s="21"/>
      <c r="J41" s="21"/>
      <c r="K41" s="21"/>
      <c r="L41" s="21"/>
      <c r="M41" s="21"/>
      <c r="N41" s="11"/>
      <c r="O41" s="11"/>
    </row>
    <row r="42" spans="1:15" ht="12.75" customHeight="1">
      <c r="B42" s="22"/>
      <c r="C42" s="17"/>
      <c r="D42" s="18"/>
      <c r="E42" s="19"/>
      <c r="F42" s="20"/>
      <c r="G42" s="21"/>
      <c r="H42" s="21"/>
      <c r="I42" s="21"/>
      <c r="J42" s="21"/>
      <c r="K42" s="21"/>
      <c r="L42" s="21"/>
      <c r="M42" s="21"/>
      <c r="N42" s="11"/>
      <c r="O42" s="11"/>
    </row>
    <row r="43" spans="1:15" ht="12.75" customHeight="1">
      <c r="A43" s="24"/>
      <c r="B43" s="22"/>
      <c r="C43" s="17"/>
      <c r="D43" s="18"/>
      <c r="E43" s="19"/>
      <c r="F43" s="20"/>
      <c r="G43" s="21"/>
      <c r="H43" s="21"/>
      <c r="I43" s="21"/>
      <c r="J43" s="21"/>
      <c r="K43" s="21"/>
      <c r="L43" s="21"/>
      <c r="M43" s="21"/>
      <c r="N43" s="11"/>
      <c r="O43" s="11"/>
    </row>
    <row r="44" spans="1:15" ht="12.75" customHeight="1">
      <c r="A44" s="24"/>
      <c r="B44" s="22"/>
      <c r="C44" s="17"/>
      <c r="D44" s="18"/>
      <c r="E44" s="19"/>
      <c r="F44" s="20"/>
      <c r="G44" s="21"/>
      <c r="H44" s="21"/>
      <c r="I44" s="21"/>
      <c r="J44" s="21"/>
      <c r="K44" s="21"/>
      <c r="L44" s="21"/>
      <c r="M44" s="21"/>
      <c r="N44" s="11"/>
      <c r="O44" s="11"/>
    </row>
    <row r="45" spans="1:15" ht="12.75" customHeight="1">
      <c r="A45" s="24"/>
      <c r="B45" s="22"/>
      <c r="C45" s="17"/>
      <c r="D45" s="18"/>
      <c r="E45" s="19"/>
      <c r="F45" s="20"/>
      <c r="G45" s="21"/>
      <c r="H45" s="21"/>
      <c r="I45" s="21"/>
      <c r="J45" s="21"/>
      <c r="K45" s="21"/>
      <c r="L45" s="21"/>
      <c r="M45" s="21"/>
      <c r="N45" s="11"/>
      <c r="O45" s="11"/>
    </row>
    <row r="46" spans="1:15" ht="12.75" customHeight="1">
      <c r="A46" s="24"/>
      <c r="B46" s="22"/>
      <c r="C46" s="17"/>
      <c r="D46" s="18"/>
      <c r="E46" s="19"/>
      <c r="F46" s="20"/>
      <c r="G46" s="21"/>
      <c r="H46" s="21"/>
      <c r="I46" s="21"/>
      <c r="J46" s="21"/>
      <c r="K46" s="21"/>
      <c r="L46" s="21"/>
      <c r="M46" s="21"/>
      <c r="N46" s="11"/>
      <c r="O46" s="11"/>
    </row>
    <row r="47" spans="1:15" ht="12.75" customHeight="1">
      <c r="A47" s="25"/>
      <c r="B47" s="22"/>
      <c r="C47" s="17"/>
      <c r="D47" s="18"/>
      <c r="E47" s="19"/>
      <c r="F47" s="20"/>
      <c r="G47" s="21"/>
      <c r="H47" s="21"/>
      <c r="I47" s="21"/>
      <c r="J47" s="21"/>
      <c r="K47" s="21"/>
      <c r="L47" s="21"/>
      <c r="M47" s="21"/>
      <c r="N47" s="11"/>
      <c r="O47" s="11"/>
    </row>
    <row r="48" spans="1:15" ht="12.75" customHeight="1">
      <c r="A48" s="25"/>
      <c r="B48" s="22"/>
      <c r="C48" s="17"/>
      <c r="D48" s="18"/>
      <c r="E48" s="19"/>
      <c r="F48" s="20"/>
      <c r="G48" s="21"/>
      <c r="H48" s="21"/>
      <c r="I48" s="21"/>
      <c r="J48" s="21"/>
      <c r="K48" s="21"/>
      <c r="L48" s="21"/>
      <c r="M48" s="21"/>
      <c r="N48" s="11"/>
      <c r="O48" s="11"/>
    </row>
    <row r="49" spans="1:15" ht="12.75" customHeight="1">
      <c r="A49" s="25"/>
      <c r="B49" s="22"/>
      <c r="C49" s="17"/>
      <c r="D49" s="18"/>
      <c r="E49" s="19"/>
      <c r="F49" s="20"/>
      <c r="G49" s="21"/>
      <c r="H49" s="21"/>
      <c r="I49" s="21"/>
      <c r="J49" s="21"/>
      <c r="K49" s="21"/>
      <c r="L49" s="21"/>
      <c r="M49" s="26"/>
      <c r="N49" s="11"/>
      <c r="O49" s="11"/>
    </row>
    <row r="50" spans="1:15" s="29" customFormat="1" ht="12.75" customHeight="1">
      <c r="A50" s="25"/>
      <c r="B50" s="22"/>
      <c r="C50" s="17"/>
      <c r="D50" s="18"/>
      <c r="E50" s="19"/>
      <c r="F50" s="20"/>
      <c r="G50" s="21"/>
      <c r="H50" s="21"/>
      <c r="I50" s="21"/>
      <c r="J50" s="21"/>
      <c r="K50" s="21"/>
      <c r="L50" s="21"/>
      <c r="M50" s="27"/>
      <c r="N50" s="28"/>
      <c r="O50" s="28"/>
    </row>
    <row r="51" spans="1:15" ht="12.75" customHeight="1">
      <c r="A51" s="25"/>
      <c r="B51" s="22"/>
      <c r="C51" s="17"/>
      <c r="D51" s="18"/>
      <c r="E51" s="19"/>
      <c r="F51" s="20"/>
      <c r="G51" s="21"/>
      <c r="H51" s="21"/>
      <c r="I51" s="21"/>
      <c r="J51" s="21"/>
      <c r="K51" s="21"/>
      <c r="L51" s="21"/>
      <c r="M51" s="26"/>
      <c r="N51" s="11"/>
      <c r="O51" s="11"/>
    </row>
    <row r="52" spans="1:15" ht="12.75" customHeight="1">
      <c r="A52" s="25"/>
      <c r="B52" s="22"/>
      <c r="C52" s="17"/>
      <c r="D52" s="18"/>
      <c r="E52" s="19"/>
      <c r="F52" s="20"/>
      <c r="G52" s="21"/>
      <c r="H52" s="21"/>
      <c r="I52" s="21"/>
      <c r="J52" s="21"/>
      <c r="K52" s="21"/>
      <c r="L52" s="21"/>
      <c r="M52" s="26"/>
      <c r="N52" s="11"/>
      <c r="O52" s="11"/>
    </row>
    <row r="53" spans="1:15" ht="12.75" customHeight="1">
      <c r="A53" s="25"/>
      <c r="B53" s="22"/>
      <c r="C53" s="17"/>
      <c r="D53" s="18"/>
      <c r="E53" s="19"/>
      <c r="F53" s="20"/>
      <c r="G53" s="21"/>
      <c r="H53" s="21"/>
      <c r="I53" s="21"/>
      <c r="J53" s="21"/>
      <c r="K53" s="21"/>
      <c r="L53" s="21"/>
      <c r="M53" s="26"/>
      <c r="N53" s="11"/>
      <c r="O53" s="11"/>
    </row>
    <row r="54" spans="1:15" ht="12.75" customHeight="1">
      <c r="A54" s="30"/>
      <c r="B54" s="26"/>
      <c r="C54" s="26"/>
      <c r="D54" s="26"/>
      <c r="E54" s="26"/>
      <c r="F54" s="30"/>
      <c r="G54" s="26"/>
      <c r="H54" s="26"/>
      <c r="I54" s="26"/>
      <c r="J54" s="26"/>
      <c r="K54" s="26"/>
      <c r="L54" s="26"/>
      <c r="M54" s="26"/>
      <c r="N54" s="11"/>
      <c r="O54" s="11"/>
    </row>
    <row r="55" spans="1:15" ht="12.75" customHeight="1">
      <c r="A55" s="30"/>
      <c r="B55" s="26"/>
      <c r="C55" s="26"/>
      <c r="D55" s="26"/>
      <c r="E55" s="26"/>
      <c r="F55" s="30"/>
      <c r="G55" s="26"/>
      <c r="H55" s="26"/>
      <c r="I55" s="26"/>
      <c r="J55" s="26"/>
      <c r="K55" s="26"/>
      <c r="L55" s="26"/>
      <c r="M55" s="26"/>
      <c r="N55" s="11"/>
      <c r="O55" s="11"/>
    </row>
    <row r="56" spans="1:15" ht="12.75" customHeight="1">
      <c r="A56" s="30"/>
      <c r="B56" s="26"/>
      <c r="C56" s="26"/>
      <c r="D56" s="26"/>
      <c r="E56" s="26"/>
      <c r="F56" s="30"/>
      <c r="G56" s="26"/>
      <c r="H56" s="26"/>
      <c r="I56" s="26"/>
      <c r="J56" s="26"/>
      <c r="K56" s="26"/>
      <c r="L56" s="26"/>
      <c r="M56" s="26"/>
      <c r="N56" s="11"/>
      <c r="O56" s="11"/>
    </row>
    <row r="57" spans="1:15" ht="12.75" customHeight="1">
      <c r="A57" s="30"/>
      <c r="B57" s="26"/>
      <c r="C57" s="26"/>
      <c r="D57" s="26"/>
      <c r="E57" s="26"/>
      <c r="F57" s="30"/>
      <c r="G57" s="26"/>
      <c r="H57" s="26"/>
      <c r="I57" s="26"/>
      <c r="J57" s="26"/>
      <c r="K57" s="26"/>
      <c r="L57" s="26"/>
      <c r="M57" s="26"/>
      <c r="N57" s="11"/>
      <c r="O57" s="11"/>
    </row>
    <row r="58" spans="1:15">
      <c r="A58" s="30"/>
      <c r="B58" s="26"/>
      <c r="C58" s="26"/>
      <c r="D58" s="26"/>
      <c r="E58" s="26"/>
      <c r="F58" s="30"/>
      <c r="G58" s="26"/>
      <c r="H58" s="26"/>
      <c r="I58" s="26"/>
      <c r="J58" s="26"/>
      <c r="K58" s="26"/>
      <c r="L58" s="26"/>
      <c r="M58" s="26"/>
      <c r="N58" s="11"/>
      <c r="O58" s="11"/>
    </row>
    <row r="59" spans="1:15">
      <c r="A59" s="30"/>
      <c r="B59" s="26"/>
      <c r="C59" s="26"/>
      <c r="D59" s="26"/>
      <c r="E59" s="26"/>
      <c r="F59" s="30"/>
      <c r="G59" s="26"/>
      <c r="H59" s="26"/>
      <c r="I59" s="26"/>
      <c r="J59" s="26"/>
      <c r="K59" s="26"/>
      <c r="L59" s="26"/>
      <c r="M59" s="26"/>
      <c r="N59" s="11"/>
      <c r="O59" s="11"/>
    </row>
    <row r="60" spans="1:15">
      <c r="A60" s="30"/>
      <c r="B60" s="26"/>
      <c r="C60" s="26"/>
      <c r="D60" s="26"/>
      <c r="E60" s="26"/>
      <c r="F60" s="30"/>
      <c r="G60" s="26"/>
      <c r="H60" s="26"/>
      <c r="I60" s="26"/>
      <c r="J60" s="26"/>
      <c r="K60" s="26"/>
      <c r="L60" s="26"/>
      <c r="M60" s="26"/>
      <c r="N60" s="11"/>
      <c r="O60" s="11"/>
    </row>
    <row r="61" spans="1:15">
      <c r="A61" s="30"/>
      <c r="B61" s="26"/>
      <c r="C61" s="26"/>
      <c r="D61" s="26"/>
      <c r="E61" s="26"/>
      <c r="F61" s="30"/>
      <c r="G61" s="26"/>
      <c r="H61" s="26"/>
      <c r="I61" s="26"/>
      <c r="J61" s="26"/>
      <c r="K61" s="26"/>
      <c r="L61" s="26"/>
      <c r="M61" s="26"/>
      <c r="N61" s="11"/>
      <c r="O61" s="11"/>
    </row>
    <row r="62" spans="1:15">
      <c r="A62" s="30"/>
      <c r="B62" s="26"/>
      <c r="C62" s="26"/>
      <c r="D62" s="26"/>
      <c r="E62" s="26"/>
      <c r="F62" s="30"/>
      <c r="G62" s="26"/>
      <c r="H62" s="26"/>
      <c r="I62" s="26"/>
      <c r="J62" s="26"/>
      <c r="K62" s="26"/>
      <c r="L62" s="26"/>
      <c r="M62" s="11"/>
      <c r="N62" s="11"/>
      <c r="O62" s="11"/>
    </row>
    <row r="63" spans="1:15">
      <c r="A63" s="31"/>
      <c r="B63" s="11"/>
      <c r="C63" s="11"/>
      <c r="D63" s="11"/>
      <c r="E63" s="11"/>
      <c r="F63" s="31"/>
      <c r="G63" s="11"/>
      <c r="H63" s="11"/>
      <c r="I63" s="11"/>
      <c r="J63" s="11"/>
      <c r="K63" s="11"/>
      <c r="L63" s="11"/>
      <c r="M63" s="11"/>
      <c r="N63" s="11"/>
      <c r="O63" s="11"/>
    </row>
  </sheetData>
  <dataConsolidate/>
  <mergeCells count="9">
    <mergeCell ref="A31:F31"/>
    <mergeCell ref="A32:F32"/>
    <mergeCell ref="A33:F33"/>
    <mergeCell ref="A34:F34"/>
    <mergeCell ref="D1:F1"/>
    <mergeCell ref="D3:E3"/>
    <mergeCell ref="D4:E4"/>
    <mergeCell ref="A29:F29"/>
    <mergeCell ref="A30:F30"/>
  </mergeCells>
  <conditionalFormatting sqref="A43:A47 E29:E47 A27:A39">
    <cfRule type="expression" dxfId="22" priority="14" stopIfTrue="1">
      <formula>ISERROR(A27)</formula>
    </cfRule>
  </conditionalFormatting>
  <conditionalFormatting sqref="E48">
    <cfRule type="expression" dxfId="21" priority="13" stopIfTrue="1">
      <formula>ISERROR(E48)</formula>
    </cfRule>
  </conditionalFormatting>
  <conditionalFormatting sqref="A48">
    <cfRule type="expression" dxfId="20" priority="12" stopIfTrue="1">
      <formula>ISERROR(A48)</formula>
    </cfRule>
  </conditionalFormatting>
  <conditionalFormatting sqref="E49">
    <cfRule type="expression" dxfId="19" priority="11" stopIfTrue="1">
      <formula>ISERROR(E49)</formula>
    </cfRule>
  </conditionalFormatting>
  <conditionalFormatting sqref="A49">
    <cfRule type="expression" dxfId="18" priority="10" stopIfTrue="1">
      <formula>ISERROR(A49)</formula>
    </cfRule>
  </conditionalFormatting>
  <conditionalFormatting sqref="E50">
    <cfRule type="expression" dxfId="17" priority="9" stopIfTrue="1">
      <formula>ISERROR(E50)</formula>
    </cfRule>
  </conditionalFormatting>
  <conditionalFormatting sqref="A50">
    <cfRule type="expression" dxfId="16" priority="8" stopIfTrue="1">
      <formula>ISERROR(A50)</formula>
    </cfRule>
  </conditionalFormatting>
  <conditionalFormatting sqref="E51">
    <cfRule type="expression" dxfId="15" priority="7" stopIfTrue="1">
      <formula>ISERROR(E51)</formula>
    </cfRule>
  </conditionalFormatting>
  <conditionalFormatting sqref="A51">
    <cfRule type="expression" dxfId="14" priority="6" stopIfTrue="1">
      <formula>ISERROR(A51)</formula>
    </cfRule>
  </conditionalFormatting>
  <conditionalFormatting sqref="E52">
    <cfRule type="expression" dxfId="13" priority="5" stopIfTrue="1">
      <formula>ISERROR(E52)</formula>
    </cfRule>
  </conditionalFormatting>
  <conditionalFormatting sqref="A52">
    <cfRule type="expression" dxfId="12" priority="4" stopIfTrue="1">
      <formula>ISERROR(A52)</formula>
    </cfRule>
  </conditionalFormatting>
  <conditionalFormatting sqref="E53">
    <cfRule type="expression" dxfId="11" priority="3" stopIfTrue="1">
      <formula>ISERROR(E53)</formula>
    </cfRule>
  </conditionalFormatting>
  <conditionalFormatting sqref="A53">
    <cfRule type="expression" dxfId="10" priority="2" stopIfTrue="1">
      <formula>ISERROR(A53)</formula>
    </cfRule>
  </conditionalFormatting>
  <conditionalFormatting sqref="F7">
    <cfRule type="cellIs" dxfId="9" priority="1" operator="greaterThan">
      <formula>#REF!-1</formula>
    </cfRule>
  </conditionalFormatting>
  <printOptions horizontalCentered="1"/>
  <pageMargins left="0.51181102362204722" right="0.51181102362204722" top="0.51181102362204722" bottom="0.51181102362204722" header="0.51181102362204722" footer="0.23622047244094491"/>
  <pageSetup scale="78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43"/>
  <sheetViews>
    <sheetView showGridLines="0" zoomScaleNormal="100" workbookViewId="0">
      <selection activeCell="E25" sqref="E25:F26"/>
    </sheetView>
  </sheetViews>
  <sheetFormatPr defaultRowHeight="12.75"/>
  <cols>
    <col min="1" max="16384" width="9.140625" style="41"/>
  </cols>
  <sheetData>
    <row r="2" spans="1:8">
      <c r="A2" s="41" t="s">
        <v>72</v>
      </c>
    </row>
    <row r="4" spans="1:8">
      <c r="A4" s="41" t="s">
        <v>189</v>
      </c>
    </row>
    <row r="5" spans="1:8">
      <c r="A5" s="41" t="s">
        <v>73</v>
      </c>
    </row>
    <row r="7" spans="1:8">
      <c r="A7" s="41" t="s">
        <v>74</v>
      </c>
    </row>
    <row r="8" spans="1:8">
      <c r="A8" s="41" t="s">
        <v>75</v>
      </c>
    </row>
    <row r="10" spans="1:8">
      <c r="A10" s="472" t="s">
        <v>76</v>
      </c>
      <c r="B10" s="472"/>
      <c r="C10" s="41" t="s">
        <v>77</v>
      </c>
    </row>
    <row r="11" spans="1:8">
      <c r="C11" s="41" t="s">
        <v>78</v>
      </c>
    </row>
    <row r="12" spans="1:8">
      <c r="C12" s="41" t="s">
        <v>79</v>
      </c>
    </row>
    <row r="13" spans="1:8">
      <c r="C13" s="41" t="s">
        <v>80</v>
      </c>
    </row>
    <row r="15" spans="1:8">
      <c r="A15" s="473" t="s">
        <v>187</v>
      </c>
      <c r="B15" s="473"/>
      <c r="C15" s="42" t="s">
        <v>121</v>
      </c>
      <c r="D15" s="43"/>
      <c r="E15" s="43"/>
      <c r="F15" s="43"/>
      <c r="G15" s="43"/>
      <c r="H15" s="43"/>
    </row>
    <row r="16" spans="1:8">
      <c r="A16" s="473"/>
      <c r="B16" s="473"/>
      <c r="C16" s="43" t="s">
        <v>120</v>
      </c>
      <c r="D16" s="43"/>
      <c r="E16" s="43"/>
      <c r="F16" s="43"/>
      <c r="G16" s="43"/>
      <c r="H16" s="43"/>
    </row>
    <row r="17" spans="1:8">
      <c r="C17" s="43" t="s">
        <v>119</v>
      </c>
      <c r="D17" s="43"/>
      <c r="E17" s="43"/>
      <c r="F17" s="43"/>
      <c r="G17" s="43"/>
      <c r="H17" s="43"/>
    </row>
    <row r="18" spans="1:8">
      <c r="C18" s="43" t="s">
        <v>118</v>
      </c>
      <c r="D18" s="43"/>
      <c r="E18" s="43"/>
      <c r="F18" s="43"/>
      <c r="G18" s="43"/>
      <c r="H18" s="43"/>
    </row>
    <row r="20" spans="1:8">
      <c r="A20" s="474" t="s">
        <v>53</v>
      </c>
      <c r="B20" s="474"/>
      <c r="C20" s="41" t="s">
        <v>81</v>
      </c>
    </row>
    <row r="21" spans="1:8">
      <c r="C21" s="41" t="s">
        <v>82</v>
      </c>
    </row>
    <row r="23" spans="1:8">
      <c r="A23" s="473" t="s">
        <v>83</v>
      </c>
      <c r="B23" s="473"/>
      <c r="C23" s="41" t="s">
        <v>84</v>
      </c>
    </row>
    <row r="24" spans="1:8">
      <c r="A24" s="473"/>
      <c r="B24" s="473"/>
      <c r="C24" s="41" t="s">
        <v>226</v>
      </c>
    </row>
    <row r="25" spans="1:8">
      <c r="C25" s="41" t="s">
        <v>85</v>
      </c>
    </row>
    <row r="27" spans="1:8">
      <c r="A27" s="41" t="s">
        <v>86</v>
      </c>
    </row>
    <row r="28" spans="1:8">
      <c r="A28" s="41" t="s">
        <v>227</v>
      </c>
    </row>
    <row r="29" spans="1:8">
      <c r="A29" s="41" t="s">
        <v>87</v>
      </c>
    </row>
    <row r="31" spans="1:8">
      <c r="A31" s="41" t="s">
        <v>88</v>
      </c>
    </row>
    <row r="32" spans="1:8">
      <c r="A32" s="41" t="s">
        <v>89</v>
      </c>
    </row>
    <row r="33" spans="1:1">
      <c r="A33" s="41" t="s">
        <v>188</v>
      </c>
    </row>
    <row r="34" spans="1:1">
      <c r="A34" s="41" t="s">
        <v>228</v>
      </c>
    </row>
    <row r="35" spans="1:1">
      <c r="A35" s="41" t="s">
        <v>90</v>
      </c>
    </row>
    <row r="39" spans="1:1">
      <c r="A39" s="44"/>
    </row>
    <row r="43" spans="1:1">
      <c r="A43" s="44"/>
    </row>
  </sheetData>
  <mergeCells count="4">
    <mergeCell ref="A10:B10"/>
    <mergeCell ref="A15:B16"/>
    <mergeCell ref="A20:B20"/>
    <mergeCell ref="A23:B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119"/>
  <sheetViews>
    <sheetView workbookViewId="0">
      <pane ySplit="3" topLeftCell="A91" activePane="bottomLeft" state="frozen"/>
      <selection activeCell="E25" sqref="E25:F26"/>
      <selection pane="bottomLeft" activeCell="E25" sqref="E25:F26"/>
    </sheetView>
  </sheetViews>
  <sheetFormatPr defaultRowHeight="11.25"/>
  <cols>
    <col min="1" max="1" width="26.140625" style="45" customWidth="1"/>
    <col min="2" max="2" width="23.140625" style="45" customWidth="1"/>
    <col min="3" max="3" width="27.140625" style="45" customWidth="1"/>
    <col min="4" max="4" width="12.140625" style="45" customWidth="1"/>
    <col min="5" max="16384" width="9.140625" style="45"/>
  </cols>
  <sheetData>
    <row r="1" spans="1:5" ht="18">
      <c r="A1" s="63" t="s">
        <v>102</v>
      </c>
      <c r="B1" s="64" t="s">
        <v>103</v>
      </c>
      <c r="C1" s="65">
        <v>208</v>
      </c>
      <c r="D1" s="45">
        <v>220</v>
      </c>
      <c r="E1" s="45">
        <v>208</v>
      </c>
    </row>
    <row r="2" spans="1:5" ht="18">
      <c r="A2" s="66" t="s">
        <v>104</v>
      </c>
      <c r="B2" s="64" t="s">
        <v>105</v>
      </c>
      <c r="C2" s="67" t="s">
        <v>245</v>
      </c>
      <c r="D2" s="45" t="s">
        <v>167</v>
      </c>
      <c r="E2" s="45" t="s">
        <v>245</v>
      </c>
    </row>
    <row r="3" spans="1:5" ht="18">
      <c r="A3" s="45" t="s">
        <v>106</v>
      </c>
      <c r="B3" s="64" t="s">
        <v>106</v>
      </c>
      <c r="C3" s="67"/>
    </row>
    <row r="5" spans="1:5">
      <c r="A5" s="68" t="s">
        <v>107</v>
      </c>
    </row>
    <row r="6" spans="1:5">
      <c r="A6" s="45" t="s">
        <v>108</v>
      </c>
      <c r="B6" s="45" t="s">
        <v>5</v>
      </c>
      <c r="C6" s="45" t="s">
        <v>109</v>
      </c>
    </row>
    <row r="7" spans="1:5">
      <c r="A7" s="45">
        <v>1952</v>
      </c>
      <c r="B7" s="45">
        <v>62</v>
      </c>
      <c r="C7" s="45">
        <v>183</v>
      </c>
    </row>
    <row r="8" spans="1:5">
      <c r="A8" s="45">
        <v>1953</v>
      </c>
      <c r="B8" s="45">
        <v>63</v>
      </c>
    </row>
    <row r="9" spans="1:5">
      <c r="A9" s="45">
        <v>1954</v>
      </c>
      <c r="B9" s="45">
        <v>63</v>
      </c>
      <c r="C9" s="45">
        <v>183</v>
      </c>
    </row>
    <row r="10" spans="1:5">
      <c r="A10" s="45">
        <v>1955</v>
      </c>
      <c r="B10" s="45">
        <v>64</v>
      </c>
    </row>
    <row r="11" spans="1:5">
      <c r="A11" s="45">
        <v>1956</v>
      </c>
      <c r="B11" s="45">
        <v>64</v>
      </c>
      <c r="C11" s="45">
        <v>183</v>
      </c>
    </row>
    <row r="12" spans="1:5">
      <c r="A12" s="45">
        <v>1957</v>
      </c>
      <c r="B12" s="45">
        <v>65</v>
      </c>
    </row>
    <row r="14" spans="1:5">
      <c r="A14" s="68" t="s">
        <v>110</v>
      </c>
    </row>
    <row r="15" spans="1:5" ht="12.75">
      <c r="A15" s="69" t="s">
        <v>111</v>
      </c>
      <c r="B15" s="64" t="s">
        <v>112</v>
      </c>
      <c r="C15" s="96">
        <v>120000</v>
      </c>
    </row>
    <row r="17" spans="1:4">
      <c r="A17" s="45" t="s">
        <v>105</v>
      </c>
      <c r="B17" s="45" t="s">
        <v>113</v>
      </c>
      <c r="C17" s="45" t="s">
        <v>4</v>
      </c>
      <c r="D17" s="45" t="s">
        <v>114</v>
      </c>
    </row>
    <row r="18" spans="1:4">
      <c r="A18" s="45" t="s">
        <v>115</v>
      </c>
      <c r="B18" s="45">
        <v>129</v>
      </c>
      <c r="C18" s="45">
        <v>10</v>
      </c>
      <c r="D18" s="71">
        <v>240000</v>
      </c>
    </row>
    <row r="19" spans="1:4">
      <c r="A19" s="45" t="s">
        <v>115</v>
      </c>
      <c r="B19" s="45">
        <v>129</v>
      </c>
      <c r="C19" s="45">
        <v>11</v>
      </c>
      <c r="D19" s="71">
        <v>228000</v>
      </c>
    </row>
    <row r="20" spans="1:4">
      <c r="A20" s="45" t="s">
        <v>115</v>
      </c>
      <c r="B20" s="45">
        <v>129</v>
      </c>
      <c r="C20" s="45">
        <v>12</v>
      </c>
      <c r="D20" s="71">
        <v>216000</v>
      </c>
    </row>
    <row r="21" spans="1:4">
      <c r="A21" s="45" t="s">
        <v>115</v>
      </c>
      <c r="B21" s="45">
        <v>129</v>
      </c>
      <c r="C21" s="45">
        <v>13</v>
      </c>
      <c r="D21" s="71">
        <v>204000</v>
      </c>
    </row>
    <row r="22" spans="1:4">
      <c r="A22" s="45" t="s">
        <v>115</v>
      </c>
      <c r="B22" s="45">
        <v>129</v>
      </c>
      <c r="C22" s="45">
        <v>14</v>
      </c>
      <c r="D22" s="71">
        <v>192000</v>
      </c>
    </row>
    <row r="23" spans="1:4">
      <c r="A23" s="45" t="s">
        <v>115</v>
      </c>
      <c r="B23" s="45">
        <v>129</v>
      </c>
      <c r="C23" s="45">
        <v>15</v>
      </c>
      <c r="D23" s="71">
        <v>180000</v>
      </c>
    </row>
    <row r="24" spans="1:4">
      <c r="A24" s="45" t="s">
        <v>115</v>
      </c>
      <c r="B24" s="45">
        <v>129</v>
      </c>
      <c r="C24" s="45">
        <v>16</v>
      </c>
      <c r="D24" s="71">
        <v>168000</v>
      </c>
    </row>
    <row r="25" spans="1:4">
      <c r="A25" s="45" t="s">
        <v>115</v>
      </c>
      <c r="B25" s="45">
        <v>129</v>
      </c>
      <c r="C25" s="45">
        <v>17</v>
      </c>
      <c r="D25" s="71">
        <v>156000</v>
      </c>
    </row>
    <row r="26" spans="1:4">
      <c r="A26" s="45" t="s">
        <v>115</v>
      </c>
      <c r="B26" s="45">
        <v>129</v>
      </c>
      <c r="C26" s="45">
        <v>18</v>
      </c>
      <c r="D26" s="71">
        <v>144000</v>
      </c>
    </row>
    <row r="28" spans="1:4" ht="12.75">
      <c r="A28" s="68" t="s">
        <v>116</v>
      </c>
      <c r="B28" s="64" t="s">
        <v>117</v>
      </c>
      <c r="C28" s="72" t="s">
        <v>170</v>
      </c>
    </row>
    <row r="29" spans="1:4">
      <c r="A29" s="45" t="s">
        <v>118</v>
      </c>
      <c r="B29" s="45">
        <v>1</v>
      </c>
    </row>
    <row r="30" spans="1:4">
      <c r="A30" s="45" t="s">
        <v>119</v>
      </c>
      <c r="B30" s="45">
        <v>2</v>
      </c>
    </row>
    <row r="31" spans="1:4">
      <c r="A31" s="45" t="s">
        <v>120</v>
      </c>
      <c r="B31" s="45">
        <v>4</v>
      </c>
    </row>
    <row r="32" spans="1:4">
      <c r="A32" s="45" t="s">
        <v>121</v>
      </c>
      <c r="B32" s="45">
        <v>12</v>
      </c>
    </row>
    <row r="34" spans="1:3">
      <c r="A34" s="68" t="s">
        <v>122</v>
      </c>
    </row>
    <row r="35" spans="1:3">
      <c r="A35" s="45" t="s">
        <v>123</v>
      </c>
      <c r="B35" s="45" t="s">
        <v>122</v>
      </c>
      <c r="C35" s="45" t="s">
        <v>190</v>
      </c>
    </row>
    <row r="36" spans="1:3" ht="12.75">
      <c r="A36" s="45" t="s">
        <v>124</v>
      </c>
      <c r="B36" s="64" t="s">
        <v>125</v>
      </c>
      <c r="C36" s="73">
        <v>0.01</v>
      </c>
    </row>
    <row r="39" spans="1:3" ht="12.75">
      <c r="A39" s="68" t="s">
        <v>126</v>
      </c>
      <c r="B39" s="64" t="s">
        <v>127</v>
      </c>
      <c r="C39" s="89" t="s">
        <v>128</v>
      </c>
    </row>
    <row r="40" spans="1:3" ht="12.75">
      <c r="A40" s="68"/>
      <c r="B40" s="64" t="s">
        <v>126</v>
      </c>
      <c r="C40" s="89" t="s">
        <v>130</v>
      </c>
    </row>
    <row r="41" spans="1:3">
      <c r="A41" s="45" t="s">
        <v>128</v>
      </c>
      <c r="B41" s="45" t="s">
        <v>129</v>
      </c>
      <c r="C41" s="45" t="s">
        <v>130</v>
      </c>
    </row>
    <row r="42" spans="1:3">
      <c r="A42" s="45" t="s">
        <v>131</v>
      </c>
      <c r="B42" s="45" t="s">
        <v>132</v>
      </c>
      <c r="C42" s="45" t="s">
        <v>133</v>
      </c>
    </row>
    <row r="43" spans="1:3">
      <c r="A43" s="45" t="s">
        <v>134</v>
      </c>
      <c r="B43" s="45" t="s">
        <v>135</v>
      </c>
      <c r="C43" s="45" t="s">
        <v>136</v>
      </c>
    </row>
    <row r="45" spans="1:3">
      <c r="A45" s="68" t="s">
        <v>4</v>
      </c>
    </row>
    <row r="46" spans="1:3">
      <c r="A46" s="68" t="s">
        <v>137</v>
      </c>
      <c r="C46" s="74" t="s">
        <v>171</v>
      </c>
    </row>
    <row r="47" spans="1:3">
      <c r="A47" s="45" t="s">
        <v>138</v>
      </c>
      <c r="B47" s="63" t="b">
        <f>IF(C47="fix","fix",    IF(C47="wl / fix", "fix vagy élethosszig szóló", IF(C47="wl", "élethosszig szóló")    )   )</f>
        <v>0</v>
      </c>
      <c r="C47" s="74"/>
    </row>
    <row r="48" spans="1:3" ht="12.75">
      <c r="A48" s="69" t="s">
        <v>139</v>
      </c>
      <c r="B48" s="64" t="s">
        <v>140</v>
      </c>
      <c r="C48" s="89">
        <v>10</v>
      </c>
    </row>
    <row r="49" spans="1:4" ht="12.75">
      <c r="A49" s="69" t="s">
        <v>141</v>
      </c>
      <c r="B49" s="64" t="s">
        <v>142</v>
      </c>
      <c r="C49" s="90">
        <v>47</v>
      </c>
    </row>
    <row r="50" spans="1:4">
      <c r="A50" s="45" t="s">
        <v>4</v>
      </c>
      <c r="B50" s="56"/>
      <c r="C50" s="97">
        <f ca="1">YEAR(C52)-YEAR(Kalkulátor!I8)</f>
        <v>22</v>
      </c>
    </row>
    <row r="51" spans="1:4">
      <c r="A51" s="45" t="s">
        <v>143</v>
      </c>
      <c r="B51" s="95"/>
    </row>
    <row r="52" spans="1:4">
      <c r="A52" s="94" t="s">
        <v>144</v>
      </c>
      <c r="B52" s="91"/>
      <c r="C52" s="87">
        <f ca="1">Kalkulátor!I9</f>
        <v>50860</v>
      </c>
    </row>
    <row r="53" spans="1:4">
      <c r="A53" s="94" t="s">
        <v>145</v>
      </c>
      <c r="B53" s="91"/>
      <c r="C53" s="87">
        <f ca="1">DATE(YEAR(Kalkulátor!I11),MONTH(Kalkulátor!I8),DAY(Kalkulátor!I8))</f>
        <v>50861</v>
      </c>
      <c r="D53" s="76"/>
    </row>
    <row r="54" spans="1:4">
      <c r="A54" s="88" t="str">
        <f ca="1">YEAR(C54)-YEAR(Kalkulátor!I8)&amp;". bizt. év vége:"</f>
        <v>22. bizt. év vége:</v>
      </c>
      <c r="B54" s="56"/>
      <c r="C54" s="87">
        <f ca="1">DATE(YEAR(Kalkulátor!I11),MONTH(Kalkulátor!I8),DAY(Kalkulátor!I8))-1</f>
        <v>50860</v>
      </c>
      <c r="D54" s="76"/>
    </row>
    <row r="55" spans="1:4">
      <c r="A55" s="92">
        <f>VLOOKUP(YEAR(Kalkulátor!$I$5),PM!$A$6:$C$12,2)</f>
        <v>65</v>
      </c>
      <c r="B55" s="93" t="s">
        <v>57</v>
      </c>
      <c r="C55" s="92">
        <f>VLOOKUP(YEAR(Kalkulátor!$I$5),PM!$A$6:$C$12,3)</f>
        <v>0</v>
      </c>
      <c r="D55" s="93" t="s">
        <v>109</v>
      </c>
    </row>
    <row r="56" spans="1:4">
      <c r="B56" s="56"/>
    </row>
    <row r="57" spans="1:4">
      <c r="A57" s="68" t="s">
        <v>146</v>
      </c>
    </row>
    <row r="58" spans="1:4" ht="12.75">
      <c r="A58" s="45" t="s">
        <v>147</v>
      </c>
      <c r="B58" s="64" t="s">
        <v>148</v>
      </c>
      <c r="C58" s="72">
        <v>18</v>
      </c>
    </row>
    <row r="59" spans="1:4" ht="12.75">
      <c r="A59" s="45" t="s">
        <v>149</v>
      </c>
      <c r="B59" s="77" t="str">
        <f>IF(TartamWlFix="fix","KorMax","KorMaxWL")</f>
        <v>KorMax</v>
      </c>
      <c r="C59" s="75">
        <v>55</v>
      </c>
    </row>
    <row r="60" spans="1:4">
      <c r="A60" s="45" t="s">
        <v>150</v>
      </c>
      <c r="B60" s="45" t="s">
        <v>151</v>
      </c>
      <c r="C60" s="45">
        <v>65</v>
      </c>
    </row>
    <row r="64" spans="1:4">
      <c r="A64" s="78" t="s">
        <v>152</v>
      </c>
      <c r="B64" s="78"/>
      <c r="C64" s="78"/>
      <c r="D64" s="78"/>
    </row>
    <row r="65" spans="1:11">
      <c r="A65" s="45" t="s">
        <v>5</v>
      </c>
      <c r="B65" s="45" t="s">
        <v>153</v>
      </c>
    </row>
    <row r="66" spans="1:11">
      <c r="A66" s="45">
        <v>1</v>
      </c>
      <c r="B66" s="79">
        <v>0.8</v>
      </c>
    </row>
    <row r="67" spans="1:11">
      <c r="A67" s="45">
        <v>2</v>
      </c>
      <c r="B67" s="79">
        <v>0.5</v>
      </c>
    </row>
    <row r="68" spans="1:11">
      <c r="A68" s="45">
        <v>3</v>
      </c>
      <c r="B68" s="79">
        <v>0.2</v>
      </c>
    </row>
    <row r="69" spans="1:11">
      <c r="A69" s="45">
        <v>4</v>
      </c>
      <c r="B69" s="79">
        <v>0</v>
      </c>
    </row>
    <row r="70" spans="1:11">
      <c r="A70" s="68" t="s">
        <v>154</v>
      </c>
    </row>
    <row r="71" spans="1:11" ht="45">
      <c r="A71" s="45" t="s">
        <v>155</v>
      </c>
      <c r="C71" s="50" t="s">
        <v>156</v>
      </c>
      <c r="D71" s="50" t="s">
        <v>156</v>
      </c>
      <c r="E71" s="50" t="s">
        <v>157</v>
      </c>
      <c r="F71" s="50" t="s">
        <v>158</v>
      </c>
    </row>
    <row r="72" spans="1:11">
      <c r="A72" s="51">
        <v>1</v>
      </c>
      <c r="B72" s="80" t="s">
        <v>192</v>
      </c>
      <c r="C72" s="81">
        <v>1.7000000000000001E-2</v>
      </c>
      <c r="D72" s="81">
        <v>1.7000000000000001E-2</v>
      </c>
      <c r="E72" s="81">
        <v>1.7000000000000001E-2</v>
      </c>
      <c r="F72" s="81">
        <v>1.2E-2</v>
      </c>
      <c r="G72" s="51"/>
      <c r="H72" s="51"/>
      <c r="I72" s="51"/>
      <c r="J72" s="51"/>
      <c r="K72" s="51"/>
    </row>
    <row r="73" spans="1:11">
      <c r="A73" s="51">
        <v>2</v>
      </c>
      <c r="B73" s="80" t="s">
        <v>193</v>
      </c>
      <c r="C73" s="81">
        <v>1.95E-2</v>
      </c>
      <c r="D73" s="81">
        <v>1.95E-2</v>
      </c>
      <c r="E73" s="81">
        <v>1.95E-2</v>
      </c>
      <c r="F73" s="81">
        <v>1.4499999999999999E-2</v>
      </c>
      <c r="G73" s="51"/>
      <c r="H73" s="51"/>
      <c r="I73" s="51"/>
      <c r="J73" s="51"/>
      <c r="K73" s="51"/>
    </row>
    <row r="74" spans="1:11">
      <c r="A74" s="51">
        <v>3</v>
      </c>
      <c r="B74" s="80" t="s">
        <v>194</v>
      </c>
      <c r="C74" s="81">
        <v>1.95E-2</v>
      </c>
      <c r="D74" s="81">
        <v>1.95E-2</v>
      </c>
      <c r="E74" s="81">
        <v>1.95E-2</v>
      </c>
      <c r="F74" s="81">
        <v>1.4499999999999999E-2</v>
      </c>
      <c r="G74" s="51"/>
      <c r="H74" s="51"/>
      <c r="I74" s="51"/>
      <c r="J74" s="51"/>
      <c r="K74" s="51"/>
    </row>
    <row r="75" spans="1:11">
      <c r="A75" s="51">
        <v>4</v>
      </c>
      <c r="B75" s="80" t="s">
        <v>195</v>
      </c>
      <c r="C75" s="81">
        <v>1.95E-2</v>
      </c>
      <c r="D75" s="81">
        <v>1.95E-2</v>
      </c>
      <c r="E75" s="81">
        <v>1.95E-2</v>
      </c>
      <c r="F75" s="81">
        <v>1.4499999999999999E-2</v>
      </c>
      <c r="G75" s="51"/>
      <c r="H75" s="51"/>
      <c r="I75" s="51"/>
      <c r="J75" s="51"/>
      <c r="K75" s="51"/>
    </row>
    <row r="76" spans="1:11">
      <c r="A76" s="51">
        <v>5</v>
      </c>
      <c r="B76" s="80" t="s">
        <v>196</v>
      </c>
      <c r="C76" s="81">
        <v>1.95E-2</v>
      </c>
      <c r="D76" s="81">
        <v>1.95E-2</v>
      </c>
      <c r="E76" s="81">
        <v>1.95E-2</v>
      </c>
      <c r="F76" s="81">
        <v>1.4499999999999999E-2</v>
      </c>
      <c r="G76" s="51"/>
      <c r="H76" s="51"/>
      <c r="I76" s="51"/>
      <c r="J76" s="51"/>
      <c r="K76" s="51"/>
    </row>
    <row r="77" spans="1:11">
      <c r="A77" s="51">
        <v>6</v>
      </c>
      <c r="B77" s="80" t="s">
        <v>197</v>
      </c>
      <c r="C77" s="81">
        <v>1.95E-2</v>
      </c>
      <c r="D77" s="81">
        <v>1.95E-2</v>
      </c>
      <c r="E77" s="81">
        <v>1.95E-2</v>
      </c>
      <c r="F77" s="81">
        <v>1.4499999999999999E-2</v>
      </c>
      <c r="G77" s="51"/>
      <c r="H77" s="51"/>
      <c r="I77" s="51"/>
      <c r="J77" s="51"/>
      <c r="K77" s="51"/>
    </row>
    <row r="78" spans="1:11">
      <c r="A78" s="51">
        <v>7</v>
      </c>
      <c r="B78" s="80" t="s">
        <v>198</v>
      </c>
      <c r="C78" s="81">
        <v>2.9000000000000001E-2</v>
      </c>
      <c r="D78" s="81">
        <v>2.9000000000000001E-2</v>
      </c>
      <c r="E78" s="81">
        <v>2.9000000000000001E-2</v>
      </c>
      <c r="F78" s="81">
        <v>2.4E-2</v>
      </c>
      <c r="G78" s="51"/>
      <c r="H78" s="51"/>
      <c r="I78" s="51"/>
      <c r="J78" s="51"/>
      <c r="K78" s="51"/>
    </row>
    <row r="79" spans="1:11">
      <c r="A79" s="51">
        <v>8</v>
      </c>
      <c r="B79" s="80" t="s">
        <v>199</v>
      </c>
      <c r="C79" s="81">
        <v>2.5999999999999999E-2</v>
      </c>
      <c r="D79" s="81">
        <v>2.5999999999999999E-2</v>
      </c>
      <c r="E79" s="81">
        <v>2.5999999999999999E-2</v>
      </c>
      <c r="F79" s="81">
        <v>2.0999999999999998E-2</v>
      </c>
      <c r="G79" s="51"/>
      <c r="H79" s="51"/>
      <c r="I79" s="51"/>
      <c r="J79" s="51"/>
      <c r="K79" s="51"/>
    </row>
    <row r="80" spans="1:11">
      <c r="A80" s="51">
        <v>9</v>
      </c>
      <c r="B80" s="80" t="s">
        <v>200</v>
      </c>
      <c r="C80" s="81">
        <v>1.95E-2</v>
      </c>
      <c r="D80" s="81">
        <v>1.95E-2</v>
      </c>
      <c r="E80" s="81">
        <v>1.95E-2</v>
      </c>
      <c r="F80" s="81">
        <v>1.4499999999999999E-2</v>
      </c>
      <c r="G80" s="51"/>
      <c r="H80" s="51"/>
      <c r="I80" s="51"/>
      <c r="J80" s="51"/>
      <c r="K80" s="51"/>
    </row>
    <row r="81" spans="1:12">
      <c r="A81" s="51">
        <v>10</v>
      </c>
      <c r="B81" s="80" t="s">
        <v>201</v>
      </c>
      <c r="C81" s="81">
        <v>2.9499999999999998E-2</v>
      </c>
      <c r="D81" s="81">
        <v>2.9499999999999998E-2</v>
      </c>
      <c r="E81" s="81">
        <v>2.9499999999999998E-2</v>
      </c>
      <c r="F81" s="81">
        <v>2.4499999999999997E-2</v>
      </c>
      <c r="G81" s="51"/>
      <c r="H81" s="51"/>
      <c r="I81" s="51"/>
      <c r="J81" s="51"/>
      <c r="K81" s="51"/>
    </row>
    <row r="82" spans="1:12">
      <c r="A82" s="51">
        <v>11</v>
      </c>
      <c r="B82" s="80" t="s">
        <v>202</v>
      </c>
      <c r="C82" s="81">
        <v>2.1000000000000001E-2</v>
      </c>
      <c r="D82" s="81">
        <v>2.1000000000000001E-2</v>
      </c>
      <c r="E82" s="81">
        <v>2.1000000000000001E-2</v>
      </c>
      <c r="F82" s="81">
        <v>1.6E-2</v>
      </c>
      <c r="G82" s="51"/>
      <c r="H82" s="51"/>
      <c r="I82" s="51"/>
      <c r="J82" s="51"/>
      <c r="K82" s="51"/>
    </row>
    <row r="83" spans="1:12">
      <c r="A83" s="51">
        <v>12</v>
      </c>
      <c r="B83" s="80" t="s">
        <v>203</v>
      </c>
      <c r="C83" s="81">
        <v>1.95E-2</v>
      </c>
      <c r="D83" s="81">
        <v>1.95E-2</v>
      </c>
      <c r="E83" s="81">
        <v>1.95E-2</v>
      </c>
      <c r="F83" s="81">
        <v>1.4499999999999999E-2</v>
      </c>
      <c r="G83" s="51"/>
      <c r="H83" s="51"/>
      <c r="I83" s="51"/>
      <c r="J83" s="51"/>
      <c r="K83" s="51"/>
    </row>
    <row r="84" spans="1:12">
      <c r="A84" s="51">
        <v>13</v>
      </c>
      <c r="B84" s="80" t="s">
        <v>204</v>
      </c>
      <c r="C84" s="81">
        <v>2.9000000000000001E-2</v>
      </c>
      <c r="D84" s="81">
        <v>2.9000000000000001E-2</v>
      </c>
      <c r="E84" s="81">
        <v>2.9000000000000001E-2</v>
      </c>
      <c r="F84" s="81">
        <v>2.4E-2</v>
      </c>
      <c r="G84" s="51"/>
      <c r="H84" s="51"/>
      <c r="I84" s="51"/>
      <c r="J84" s="51"/>
      <c r="K84" s="51"/>
    </row>
    <row r="85" spans="1:12">
      <c r="A85" s="51">
        <v>14</v>
      </c>
      <c r="B85" s="80" t="s">
        <v>205</v>
      </c>
      <c r="C85" s="81">
        <v>1.95E-2</v>
      </c>
      <c r="D85" s="81">
        <v>1.95E-2</v>
      </c>
      <c r="E85" s="81">
        <v>1.95E-2</v>
      </c>
      <c r="F85" s="81">
        <v>1.4499999999999999E-2</v>
      </c>
      <c r="G85" s="51"/>
      <c r="H85" s="51"/>
      <c r="I85" s="51"/>
      <c r="J85" s="51"/>
      <c r="K85" s="51"/>
    </row>
    <row r="86" spans="1:12">
      <c r="A86" s="51">
        <v>15</v>
      </c>
      <c r="B86" s="80" t="s">
        <v>206</v>
      </c>
      <c r="C86" s="81">
        <v>2.9000000000000001E-2</v>
      </c>
      <c r="D86" s="81">
        <v>2.9000000000000001E-2</v>
      </c>
      <c r="E86" s="81">
        <v>2.9000000000000001E-2</v>
      </c>
      <c r="F86" s="81">
        <v>2.4E-2</v>
      </c>
      <c r="G86" s="51"/>
      <c r="H86" s="51"/>
      <c r="I86" s="51"/>
      <c r="J86" s="51"/>
      <c r="K86" s="51"/>
    </row>
    <row r="87" spans="1:12">
      <c r="A87" s="51">
        <v>16</v>
      </c>
      <c r="B87" s="80" t="s">
        <v>207</v>
      </c>
      <c r="C87" s="81">
        <v>2.9000000000000001E-2</v>
      </c>
      <c r="D87" s="81">
        <v>2.9000000000000001E-2</v>
      </c>
      <c r="E87" s="81">
        <v>2.9000000000000001E-2</v>
      </c>
      <c r="F87" s="81">
        <v>2.4E-2</v>
      </c>
      <c r="G87" s="51"/>
      <c r="H87" s="51"/>
      <c r="I87" s="51"/>
      <c r="J87" s="51"/>
      <c r="K87" s="51"/>
    </row>
    <row r="88" spans="1:12">
      <c r="A88" s="51">
        <v>17</v>
      </c>
      <c r="B88" s="80" t="s">
        <v>208</v>
      </c>
      <c r="C88" s="81">
        <v>2.8500000000000001E-2</v>
      </c>
      <c r="D88" s="81">
        <v>2.8500000000000001E-2</v>
      </c>
      <c r="E88" s="81">
        <v>2.8500000000000001E-2</v>
      </c>
      <c r="F88" s="81">
        <v>2.35E-2</v>
      </c>
      <c r="G88" s="51"/>
      <c r="H88" s="51"/>
      <c r="I88" s="51"/>
      <c r="J88" s="51"/>
      <c r="K88" s="51"/>
    </row>
    <row r="89" spans="1:12">
      <c r="A89" s="51">
        <v>18</v>
      </c>
      <c r="B89" s="80" t="s">
        <v>209</v>
      </c>
      <c r="C89" s="81">
        <v>2.9000000000000001E-2</v>
      </c>
      <c r="D89" s="81">
        <v>2.9000000000000001E-2</v>
      </c>
      <c r="E89" s="81">
        <v>2.9000000000000001E-2</v>
      </c>
      <c r="F89" s="81">
        <v>2.4E-2</v>
      </c>
      <c r="G89" s="51"/>
      <c r="H89" s="51"/>
      <c r="I89" s="51"/>
      <c r="J89" s="51"/>
      <c r="K89" s="51"/>
    </row>
    <row r="90" spans="1:12">
      <c r="A90" s="51">
        <v>19</v>
      </c>
      <c r="B90" s="80" t="s">
        <v>210</v>
      </c>
      <c r="C90" s="81">
        <v>1.95E-2</v>
      </c>
      <c r="D90" s="81">
        <v>1.95E-2</v>
      </c>
      <c r="E90" s="81">
        <v>1.95E-2</v>
      </c>
      <c r="F90" s="81">
        <v>1.4499999999999999E-2</v>
      </c>
      <c r="G90" s="51"/>
      <c r="H90" s="51"/>
      <c r="I90" s="51"/>
      <c r="J90" s="51"/>
      <c r="K90" s="51"/>
    </row>
    <row r="91" spans="1:12">
      <c r="A91" s="51">
        <v>20</v>
      </c>
      <c r="B91" s="80" t="s">
        <v>211</v>
      </c>
      <c r="C91" s="81">
        <v>2.9000000000000001E-2</v>
      </c>
      <c r="D91" s="81">
        <v>2.9000000000000001E-2</v>
      </c>
      <c r="E91" s="81">
        <v>2.9000000000000001E-2</v>
      </c>
      <c r="F91" s="81">
        <v>2.4E-2</v>
      </c>
      <c r="G91" s="51"/>
      <c r="H91" s="51"/>
      <c r="I91" s="51"/>
      <c r="J91" s="51"/>
      <c r="K91" s="51"/>
    </row>
    <row r="92" spans="1:12">
      <c r="A92" s="51">
        <v>21</v>
      </c>
      <c r="B92" s="80" t="s">
        <v>212</v>
      </c>
      <c r="C92" s="81">
        <v>2.9499999999999998E-2</v>
      </c>
      <c r="D92" s="81">
        <v>2.9499999999999998E-2</v>
      </c>
      <c r="E92" s="81">
        <v>2.9499999999999998E-2</v>
      </c>
      <c r="F92" s="81">
        <v>2.4499999999999997E-2</v>
      </c>
      <c r="G92" s="51"/>
      <c r="H92" s="51"/>
      <c r="I92" s="51"/>
      <c r="J92" s="51"/>
      <c r="K92" s="51"/>
    </row>
    <row r="94" spans="1:12">
      <c r="A94" s="45" t="str">
        <f>Terméknév&amp;" nyugdíjbiztosítás értékei*"</f>
        <v>Jövőkulcs Classic nyugdíjbiztosítás értékei*</v>
      </c>
    </row>
    <row r="95" spans="1:12">
      <c r="A95" s="82" t="str">
        <f>Kalkulátor!F2&amp;" - "&amp;Kalkulátor!I3&amp;" "&amp;Kalkulátor!I4</f>
        <v>Jövőkulcs Classic kalkulátor* - folyamatos díjas nyugdíjbiztosítás</v>
      </c>
    </row>
    <row r="96" spans="1:12">
      <c r="A96" s="82" t="str">
        <f ca="1">"Kezdeti éves díj: "&amp;TEXT(Kalkulátor!I14,"# ##0")&amp;" Ft díj,"&amp;Kalkulátor!H15&amp;" díjfizetés, éves díjemelés: "&amp;TEXT(DíjIndex,"0,0%")&amp;", feltételezett éves hozam: "&amp;TEXT(HozamFeltételezés,"0,0#%")&amp;", garantált biztosítási összeg:  "&amp;TEXT(BiztÖsszeg,"# ##0")&amp;" forint."</f>
        <v>Kezdeti éves díj: 209 350 Ft díj,havi díjfizetés, éves díjemelés: 2,0%, feltételezett éves hozam: 0,0%, garantált biztosítási összeg:  5 000 000 forint.</v>
      </c>
      <c r="L96" s="45">
        <f ca="1">LEN(A96)</f>
        <v>152</v>
      </c>
    </row>
    <row r="97" spans="1:12">
      <c r="A97" s="82" t="str">
        <f ca="1">Kalkulátor!A27</f>
        <v xml:space="preserve">A modell a választott, a tartam során állandó éves hozam feltételezésével mutatja a szerződés értékének alakulását. A számítás az előírt, automatikusan indexálódó díj megfizetését veszi figyelembe. </v>
      </c>
      <c r="L97" s="45">
        <f t="shared" ref="L97:L102" ca="1" si="0">LEN(A97)</f>
        <v>198</v>
      </c>
    </row>
    <row r="98" spans="1:12">
      <c r="A98" s="82" t="str">
        <f>Kalkulátor!A28</f>
        <v xml:space="preserve">A termék klasszikus (hagyományos) nyugdíjbiztosítás, melynél a szerződéskötéskor rögzített szolgáltatás (biztosítási összeg) nagyságát a biztosító garantálja. </v>
      </c>
      <c r="L98" s="45">
        <f t="shared" si="0"/>
        <v>159</v>
      </c>
    </row>
    <row r="99" spans="1:12">
      <c r="A99" s="82" t="str">
        <f>Kalkulátor!A29</f>
        <v xml:space="preserve">A kifizetések nagyságát jóváírt többlethozamok is növelhetik. A többlethozam mértékére vonatkozóan az UNIQA Biztosító Zrt. semmilyen garanciát nem vállal. </v>
      </c>
      <c r="L99" s="45">
        <f t="shared" si="0"/>
        <v>155</v>
      </c>
    </row>
    <row r="100" spans="1:12">
      <c r="A100" s="82" t="str">
        <f>Kalkulátor!A30</f>
        <v>Az elért hozamból a szerződő a biztosítási feltételekben meghatározott arányban részesedik, a hozamok nem teljes mértékben kerülnek jóváírásra a szerződésen.</v>
      </c>
      <c r="L100" s="45">
        <f t="shared" ref="L100" si="1">LEN(A100)</f>
        <v>157</v>
      </c>
    </row>
    <row r="101" spans="1:12">
      <c r="A101" s="82" t="str">
        <f ca="1">Kalkulátor!A26</f>
        <v>* A szerződés tartama: 22 év + 3 hónap, ebből díjfizetési időszak: 22 év. A 23. évben, a tartam utolsó 3 hónapjában a szerződés díjfizetés nélkül van érvényben.</v>
      </c>
      <c r="L101" s="45">
        <f t="shared" ca="1" si="0"/>
        <v>160</v>
      </c>
    </row>
    <row r="102" spans="1:12">
      <c r="A102" s="82" t="str">
        <f>Kalkulátor!A31</f>
        <v>Az adójóváírások könyvelése a modellben július hónapban történik, utolsó naptári évben fizetett díjak utáni adójóváírás a modellben a lejárat hónapjában jelenik meg</v>
      </c>
      <c r="L102" s="45">
        <f t="shared" si="0"/>
        <v>164</v>
      </c>
    </row>
    <row r="103" spans="1:12">
      <c r="A103" s="82" t="str">
        <f>Kalkulátor!A32</f>
        <v>(akkor is, ha az adóhivataltól a tényleges utalás csak a szerződés lejáratát követően érkezik meg, így az külön kerül kifizetésre).</v>
      </c>
      <c r="L103" s="45">
        <f t="shared" ref="L103" si="2">LEN(A103)</f>
        <v>131</v>
      </c>
    </row>
    <row r="104" spans="1:12">
      <c r="A104" s="285">
        <f ca="1">Kalkulátor!A39</f>
        <v>3</v>
      </c>
    </row>
    <row r="105" spans="1:12">
      <c r="A105" s="83" t="s">
        <v>191</v>
      </c>
    </row>
    <row r="110" spans="1:12">
      <c r="A110" s="84" t="s">
        <v>159</v>
      </c>
      <c r="B110" s="85" t="s">
        <v>160</v>
      </c>
      <c r="C110" s="85" t="s">
        <v>153</v>
      </c>
    </row>
    <row r="111" spans="1:12">
      <c r="A111" s="45">
        <v>0</v>
      </c>
      <c r="B111" s="51">
        <v>0</v>
      </c>
      <c r="C111" s="79">
        <v>0</v>
      </c>
    </row>
    <row r="112" spans="1:12">
      <c r="A112" s="45">
        <v>1</v>
      </c>
      <c r="B112" s="70" t="e">
        <v>#VALUE!</v>
      </c>
      <c r="C112" s="86" t="e">
        <v>#VALUE!</v>
      </c>
    </row>
    <row r="113" spans="1:3">
      <c r="A113" s="45">
        <v>2</v>
      </c>
      <c r="B113" s="70" t="e">
        <v>#VALUE!</v>
      </c>
      <c r="C113" s="86" t="e">
        <v>#VALUE!</v>
      </c>
    </row>
    <row r="114" spans="1:3">
      <c r="A114" s="45">
        <v>3</v>
      </c>
      <c r="B114" s="70" t="e">
        <v>#VALUE!</v>
      </c>
      <c r="C114" s="86" t="e">
        <v>#VALUE!</v>
      </c>
    </row>
    <row r="115" spans="1:3">
      <c r="A115" s="45">
        <v>4</v>
      </c>
      <c r="B115" s="70" t="e">
        <v>#VALUE!</v>
      </c>
      <c r="C115" s="86" t="e">
        <v>#VALUE!</v>
      </c>
    </row>
    <row r="116" spans="1:3">
      <c r="A116" s="45">
        <v>5</v>
      </c>
      <c r="B116" s="70" t="e">
        <v>#VALUE!</v>
      </c>
      <c r="C116" s="86" t="e">
        <v>#VALUE!</v>
      </c>
    </row>
    <row r="117" spans="1:3">
      <c r="A117" s="45">
        <v>6</v>
      </c>
      <c r="B117" s="70" t="e">
        <v>#VALUE!</v>
      </c>
      <c r="C117" s="86" t="e">
        <v>#VALUE!</v>
      </c>
    </row>
    <row r="119" spans="1:3" ht="12.75">
      <c r="A119" s="45" t="s">
        <v>243</v>
      </c>
      <c r="B119" s="64" t="s">
        <v>244</v>
      </c>
      <c r="C119" s="64">
        <v>7</v>
      </c>
    </row>
  </sheetData>
  <conditionalFormatting sqref="A2">
    <cfRule type="expression" dxfId="8" priority="1">
      <formula>AND(YEAR($E2)&lt;YEAR(TODAY())+1,$E2&lt;&gt;0)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FF00"/>
  </sheetPr>
  <dimension ref="A1:L65"/>
  <sheetViews>
    <sheetView workbookViewId="0">
      <pane ySplit="17" topLeftCell="A18" activePane="bottomLeft" state="frozen"/>
      <selection activeCell="E25" sqref="E25:F26"/>
      <selection pane="bottomLeft" activeCell="E25" sqref="E25:F26"/>
    </sheetView>
  </sheetViews>
  <sheetFormatPr defaultRowHeight="11.25"/>
  <cols>
    <col min="1" max="1" width="17.5703125" style="45" bestFit="1" customWidth="1"/>
    <col min="2" max="3" width="13.42578125" style="45" bestFit="1" customWidth="1"/>
    <col min="4" max="4" width="17" style="45" bestFit="1" customWidth="1"/>
    <col min="5" max="5" width="16.5703125" style="45" bestFit="1" customWidth="1"/>
    <col min="6" max="7" width="19.42578125" style="45" bestFit="1" customWidth="1"/>
    <col min="8" max="8" width="19.140625" style="45" bestFit="1" customWidth="1"/>
    <col min="9" max="9" width="19" style="45" customWidth="1"/>
    <col min="10" max="10" width="9.42578125" style="45" bestFit="1" customWidth="1"/>
    <col min="11" max="11" width="11" style="45" customWidth="1"/>
    <col min="12" max="16384" width="9.140625" style="45"/>
  </cols>
  <sheetData>
    <row r="1" spans="1:10">
      <c r="G1" s="45" t="s">
        <v>24</v>
      </c>
      <c r="I1" s="45" t="s">
        <v>42</v>
      </c>
      <c r="J1" s="45" t="s">
        <v>43</v>
      </c>
    </row>
    <row r="2" spans="1:10">
      <c r="A2" s="45" t="s">
        <v>7</v>
      </c>
      <c r="B2" s="45" t="s">
        <v>8</v>
      </c>
      <c r="C2" s="45" t="s">
        <v>9</v>
      </c>
      <c r="G2" s="45">
        <f ca="1">YEAR($E$6)-YEAR($D$6)-IF(OR($B$6&gt;$B$3,AND($B$6=$B$3,$C$6&gt;=$C$3)),1,0)</f>
        <v>22</v>
      </c>
      <c r="I2" s="45">
        <f ca="1">G2+IF(AND(B3=12,C3=31,B6=1,C6=1),0,IF(B6&lt;=B3,1,2))</f>
        <v>23</v>
      </c>
      <c r="J2" s="45">
        <f>MONTH(E6)</f>
        <v>7</v>
      </c>
    </row>
    <row r="3" spans="1:10">
      <c r="A3" s="100">
        <f>YEAR(D3)</f>
        <v>1974</v>
      </c>
      <c r="B3" s="100">
        <f>MONTH(D3)</f>
        <v>7</v>
      </c>
      <c r="C3" s="100">
        <f>DAY(D3)</f>
        <v>12</v>
      </c>
      <c r="D3" s="103">
        <f>Kalkulátor!I5</f>
        <v>27222</v>
      </c>
    </row>
    <row r="4" spans="1:10" ht="19.5" customHeight="1">
      <c r="G4" s="46">
        <f ca="1">(DATE(YEAR(E6),MONTH(D6),DAY(D6))-1)</f>
        <v>50860</v>
      </c>
    </row>
    <row r="5" spans="1:10">
      <c r="A5" s="45" t="s">
        <v>10</v>
      </c>
      <c r="B5" s="45" t="s">
        <v>8</v>
      </c>
      <c r="C5" s="45" t="s">
        <v>9</v>
      </c>
      <c r="D5" s="45" t="s">
        <v>11</v>
      </c>
      <c r="E5" s="45" t="s">
        <v>12</v>
      </c>
      <c r="G5" s="45">
        <f ca="1">E6-G4</f>
        <v>103</v>
      </c>
    </row>
    <row r="6" spans="1:10">
      <c r="A6" s="45">
        <f ca="1">YEAR(D6)</f>
        <v>2017</v>
      </c>
      <c r="B6" s="45">
        <f ca="1">MONTH(D6)</f>
        <v>4</v>
      </c>
      <c r="C6" s="45">
        <f ca="1">DAY(D6)</f>
        <v>1</v>
      </c>
      <c r="D6" s="103">
        <f ca="1">Kezdet</f>
        <v>42826</v>
      </c>
      <c r="E6" s="46">
        <f>DATE(A3+65,B3,C3)</f>
        <v>50963</v>
      </c>
    </row>
    <row r="7" spans="1:10" ht="3.75" customHeight="1"/>
    <row r="8" spans="1:10">
      <c r="A8" s="45" t="s">
        <v>13</v>
      </c>
      <c r="B8" s="104">
        <f ca="1">VLOOKUP(G2,Bruttó_díj!$A$2:$C$39,3,0)/100000*C10</f>
        <v>209350</v>
      </c>
    </row>
    <row r="9" spans="1:10" ht="22.5">
      <c r="A9" s="48" t="s">
        <v>28</v>
      </c>
      <c r="B9" s="105">
        <v>0.02</v>
      </c>
    </row>
    <row r="10" spans="1:10">
      <c r="A10" s="45" t="s">
        <v>20</v>
      </c>
      <c r="B10" s="52">
        <f ca="1">B8/(VLOOKUP(G2,Bruttó_díj!$A$2:$C$39,3,0)/100000)</f>
        <v>5000000</v>
      </c>
      <c r="C10" s="102">
        <f>BiztÖsszeg</f>
        <v>5000000</v>
      </c>
    </row>
    <row r="11" spans="1:10" ht="3.75" customHeight="1"/>
    <row r="12" spans="1:10">
      <c r="A12" s="45" t="s">
        <v>14</v>
      </c>
      <c r="B12" s="101">
        <f>Kalkulátor!H18</f>
        <v>0</v>
      </c>
    </row>
    <row r="13" spans="1:10" ht="3" customHeight="1"/>
    <row r="14" spans="1:10">
      <c r="A14" s="45" t="s">
        <v>17</v>
      </c>
      <c r="B14" s="104">
        <f ca="1">SUMIFS(F18:F65,A18:A65,G2+IF(AND(B6=B3,C6=C3),0,1))</f>
        <v>6139324.2410681611</v>
      </c>
    </row>
    <row r="15" spans="1:10">
      <c r="C15" s="49">
        <f ca="1">B14/B16</f>
        <v>1.0777132654199117</v>
      </c>
      <c r="D15" s="45">
        <f ca="1">B16/BiztÖsszeg</f>
        <v>1.1393242410681625</v>
      </c>
    </row>
    <row r="16" spans="1:10">
      <c r="A16" s="45" t="s">
        <v>18</v>
      </c>
      <c r="B16" s="47">
        <f ca="1">SUM(B18:B65)</f>
        <v>5696621.2053408129</v>
      </c>
    </row>
    <row r="17" spans="1:12" s="50" customFormat="1" ht="33.75">
      <c r="A17" s="50" t="s">
        <v>15</v>
      </c>
      <c r="B17" s="50" t="s">
        <v>18</v>
      </c>
      <c r="C17" s="50" t="s">
        <v>25</v>
      </c>
      <c r="D17" s="54" t="s">
        <v>23</v>
      </c>
      <c r="E17" s="50" t="s">
        <v>16</v>
      </c>
      <c r="F17" s="50" t="s">
        <v>26</v>
      </c>
      <c r="G17" s="54" t="s">
        <v>19</v>
      </c>
      <c r="H17" s="50" t="s">
        <v>52</v>
      </c>
      <c r="I17" s="50" t="s">
        <v>71</v>
      </c>
      <c r="J17" s="50" t="s">
        <v>91</v>
      </c>
      <c r="L17" s="54" t="s">
        <v>37</v>
      </c>
    </row>
    <row r="18" spans="1:12">
      <c r="A18" s="45">
        <v>1</v>
      </c>
      <c r="B18" s="47">
        <f ca="1">B8</f>
        <v>209350</v>
      </c>
      <c r="C18" s="47">
        <f ca="1">INDEX(Tartalék!$B$2:$AM$95,ÉV!$A18,$G$2-9)/100000*$B$10</f>
        <v>41870.727591723866</v>
      </c>
      <c r="D18" s="47">
        <f ca="1">SUMIFS(HÓ!$Q$2:$Q$578,HÓ!$A$2:$A$578,$A18,HÓ!$B$2:$B$578,12)*IF(A18&gt;$G$2,0,1)+IF(A18&gt;$G$2,SUMIFS(HÓ!$Q$2:$Q$578,HÓ!$A$2:$A$578,$A18,HÓ!$D$2:$D$578,$J$2),0)</f>
        <v>0</v>
      </c>
      <c r="E18" s="47">
        <f ca="1">SUMIFS(HÓ!$O$2:$O$578,HÓ!$A$2:$A$578,$A18,HÓ!$B$2:$B$578,12)*IF(A18&gt;$G$2,0,1)+IF(A18&gt;$G$2,SUMIFS(HÓ!$O$2:$O$578,HÓ!$A$2:$A$578,$A18,HÓ!$D$2:$D$578,$J$2),0)</f>
        <v>0</v>
      </c>
      <c r="F18" s="47">
        <f ca="1">C18+D18+E18</f>
        <v>41870.727591723866</v>
      </c>
      <c r="G18" s="47">
        <f ca="1">IF(A18&lt;$G$2,IFERROR(VLOOKUP(CONCATENATE($G$2,A18),vv_értékek!$E$2:$G$1046,3,0)/100000*$B$10,0)+(D18-L18)*0.5+E18+L18,F18)</f>
        <v>40200</v>
      </c>
      <c r="H18" s="47">
        <f ca="1">IF(A18&lt;$G$2,IFERROR(VLOOKUP(CONCATENATE($G$2,A18),vv_értékek!$E$2:$G$1046,2,0)/100000*$B$10,0),C18)</f>
        <v>51600</v>
      </c>
      <c r="I18" s="47">
        <f ca="1">IF(A18&lt;$G$2,IFERROR(VLOOKUP(CONCATENATE($G$2,A18),vv_értékek!$E$2:$G$1046,3,0)/100000*$B$10,0),C18)</f>
        <v>40200</v>
      </c>
      <c r="L18" s="47">
        <f ca="1">D18-Kalkulátor!G37</f>
        <v>0</v>
      </c>
    </row>
    <row r="19" spans="1:12">
      <c r="A19" s="45">
        <v>2</v>
      </c>
      <c r="B19" s="47">
        <f ca="1">IF(A19&lt;=$G$2,IF(A19&gt;$G$2-2,B18,B18*(1+$B$9)),0)</f>
        <v>213537</v>
      </c>
      <c r="C19" s="47">
        <f ca="1">INDEX(Tartalék!$B$2:$AM$95,ÉV!$A19,$G$2-9)/100000*$B$10+IF(AND($I$2&gt;$G$2,A19=$G$2+1),VALUE(C18),0)</f>
        <v>154630.85788632699</v>
      </c>
      <c r="D19" s="47">
        <f ca="1">SUMIFS(HÓ!$Q$2:$Q$578,HÓ!$A$2:$A$578,$A19,HÓ!$B$2:$B$578,12)*IF(A19&gt;$G$2,0,1)+IF(A19&gt;$G$2,SUMIFS(HÓ!$Q$2:$Q$578,HÓ!$A$2:$A$578,$A19,HÓ!$D$2:$D$578,$J$2),0)</f>
        <v>0</v>
      </c>
      <c r="E19" s="47">
        <f ca="1">SUMIFS(HÓ!$O$2:$O$578,HÓ!$A$2:$A$578,$A19,HÓ!$B$2:$B$578,12)*IF(A19&gt;$G$2,0,1)+IF(A19&gt;$G$2,SUMIFS(HÓ!$O$2:$O$578,HÓ!$A$2:$A$578,$A19,HÓ!$D$2:$D$578,$J$2),0)</f>
        <v>31402.5</v>
      </c>
      <c r="F19" s="47">
        <f t="shared" ref="F19:F65" ca="1" si="0">C19+D19+E19</f>
        <v>186033.35788632699</v>
      </c>
      <c r="G19" s="47">
        <f ca="1">IF(A19&lt;$G$2,IFERROR(VLOOKUP(CONCATENATE($G$2,A19),vv_értékek!$E$2:$G$1046,3,0)/100000*$B$10,0)+(D19-L19)*0.5+E19+L19,F19)</f>
        <v>179852.5</v>
      </c>
      <c r="H19" s="47">
        <f ca="1">IF(A19&lt;$G$2,IFERROR(VLOOKUP(CONCATENATE($G$2,A19),vv_értékek!$E$2:$G$1046,2,0)/100000*$B$10,0),C19)</f>
        <v>193000</v>
      </c>
      <c r="I19" s="47">
        <f ca="1">IF(A19&lt;$G$2,IFERROR(VLOOKUP(CONCATENATE($G$2,A19),vv_értékek!$E$2:$G$1046,3,0)/100000*$B$10,0),C19)</f>
        <v>148450</v>
      </c>
      <c r="J19" s="51">
        <f ca="1">MIN(B18*0.2,  130000)</f>
        <v>41870</v>
      </c>
      <c r="L19" s="47">
        <f ca="1">D19-Kalkulátor!G38</f>
        <v>0</v>
      </c>
    </row>
    <row r="20" spans="1:12">
      <c r="A20" s="45">
        <v>3</v>
      </c>
      <c r="B20" s="47">
        <f t="shared" ref="B20:B65" ca="1" si="1">IF(A20&lt;=$G$2,IF(A20&gt;$G$2-2,B19,B19*(1+$B$9)),0)</f>
        <v>217807.74</v>
      </c>
      <c r="C20" s="47">
        <f ca="1">INDEX(Tartalék!$B$2:$AM$95,ÉV!$A20,$G$2-9)/100000*$B$10+IF(AND($I$2&gt;$G$2,A20=$G$2+1),VALUE(C19),0)</f>
        <v>351132.31875505357</v>
      </c>
      <c r="D20" s="47">
        <f ca="1">SUMIFS(HÓ!$Q$2:$Q$578,HÓ!$A$2:$A$578,$A20,HÓ!$B$2:$B$578,12)*IF(A20&gt;$G$2,0,1)+IF(A20&gt;$G$2,SUMIFS(HÓ!$Q$2:$Q$578,HÓ!$A$2:$A$578,$A20,HÓ!$D$2:$D$578,$J$2),0)</f>
        <v>0</v>
      </c>
      <c r="E20" s="47">
        <f ca="1">SUMIFS(HÓ!$O$2:$O$578,HÓ!$A$2:$A$578,$A20,HÓ!$B$2:$B$578,12)*IF(A20&gt;$G$2,0,1)+IF(A20&gt;$G$2,SUMIFS(HÓ!$O$2:$O$578,HÓ!$A$2:$A$578,$A20,HÓ!$D$2:$D$578,$J$2),0)</f>
        <v>73900.55</v>
      </c>
      <c r="F20" s="47">
        <f ca="1">C20+D20+E20</f>
        <v>425032.86875505355</v>
      </c>
      <c r="G20" s="47">
        <f ca="1">IF(A20&lt;$G$2,IFERROR(VLOOKUP(CONCATENATE($G$2,A20),vv_értékek!$E$2:$G$1046,3,0)/100000*$B$10,0)+(D20-L20)*0.5+E20+L20,F20)</f>
        <v>398050.55</v>
      </c>
      <c r="H20" s="47">
        <f ca="1">IF(A20&lt;$G$2,IFERROR(VLOOKUP(CONCATENATE($G$2,A20),vv_értékek!$E$2:$G$1046,2,0)/100000*$B$10,0),C20)</f>
        <v>439700</v>
      </c>
      <c r="I20" s="47">
        <f ca="1">IF(A20&lt;$G$2,IFERROR(VLOOKUP(CONCATENATE($G$2,A20),vv_értékek!$E$2:$G$1046,3,0)/100000*$B$10,0),C20)</f>
        <v>324150</v>
      </c>
      <c r="J20" s="51">
        <f ca="1">MIN(B19*0.2,  130000)  +    J19</f>
        <v>84577.4</v>
      </c>
      <c r="L20" s="47">
        <f ca="1">D20-Kalkulátor!G39</f>
        <v>0</v>
      </c>
    </row>
    <row r="21" spans="1:12" ht="12" thickBot="1">
      <c r="A21" s="45">
        <v>4</v>
      </c>
      <c r="B21" s="47">
        <f t="shared" ca="1" si="1"/>
        <v>222163.89479999998</v>
      </c>
      <c r="C21" s="47">
        <f ca="1">INDEX(Tartalék!$B$2:$AM$95,ÉV!$A21,$G$2-9)/100000*$B$10+IF(AND($I$2&gt;$G$2,A21=$G$2+1),VALUE(C20),0)</f>
        <v>552209.02744219545</v>
      </c>
      <c r="D21" s="47">
        <f ca="1">SUMIFS(HÓ!$Q$2:$Q$578,HÓ!$A$2:$A$578,$A21,HÓ!$B$2:$B$578,12)*IF(A21&gt;$G$2,0,1)+IF(A21&gt;$G$2,SUMIFS(HÓ!$Q$2:$Q$578,HÓ!$A$2:$A$578,$A21,HÓ!$D$2:$D$578,$J$2),0)</f>
        <v>0</v>
      </c>
      <c r="E21" s="47">
        <f ca="1">SUMIFS(HÓ!$O$2:$O$578,HÓ!$A$2:$A$578,$A21,HÓ!$B$2:$B$578,12)*IF(A21&gt;$G$2,0,1)+IF(A21&gt;$G$2,SUMIFS(HÓ!$O$2:$O$578,HÓ!$A$2:$A$578,$A21,HÓ!$D$2:$D$578,$J$2),0)</f>
        <v>117248.561</v>
      </c>
      <c r="F21" s="47">
        <f t="shared" ca="1" si="0"/>
        <v>669457.58844219544</v>
      </c>
      <c r="G21" s="47">
        <f ca="1">IF(A21&lt;$G$2,IFERROR(VLOOKUP(CONCATENATE($G$2,A21),vv_értékek!$E$2:$G$1046,3,0)/100000*$B$10,0)+(D21-L21)*0.5+E21+L21,F21)</f>
        <v>605048.56099999999</v>
      </c>
      <c r="H21" s="47">
        <f ca="1">IF(A21&lt;$G$2,IFERROR(VLOOKUP(CONCATENATE($G$2,A21),vv_értékek!$E$2:$G$1046,2,0)/100000*$B$10,0),C21)</f>
        <v>690650</v>
      </c>
      <c r="I21" s="47">
        <f ca="1">IF(A21&lt;$G$2,IFERROR(VLOOKUP(CONCATENATE($G$2,A21),vv_értékek!$E$2:$G$1046,3,0)/100000*$B$10,0),C21)</f>
        <v>487799.99999999994</v>
      </c>
      <c r="J21" s="51">
        <f t="shared" ref="J21:J65" ca="1" si="2">MIN(B20*0.2,  130000)  +    J20</f>
        <v>128138.948</v>
      </c>
      <c r="K21" s="51">
        <f ca="1">E21-J21</f>
        <v>-10890.387000000002</v>
      </c>
      <c r="L21" s="47">
        <f ca="1">D21-Kalkulátor!G40</f>
        <v>0</v>
      </c>
    </row>
    <row r="22" spans="1:12" ht="12" thickBot="1">
      <c r="A22" s="59">
        <v>5</v>
      </c>
      <c r="B22" s="60">
        <f t="shared" ca="1" si="1"/>
        <v>226607.17269599999</v>
      </c>
      <c r="C22" s="60">
        <f ca="1">INDEX(Tartalék!$B$2:$AM$95,ÉV!$A22,$G$2-9)/100000*$B$10+IF(AND($I$2&gt;$G$2,A22=$G$2+1),VALUE(C21),0)</f>
        <v>757946.78607107699</v>
      </c>
      <c r="D22" s="60">
        <f ca="1">SUMIFS(HÓ!$Q$2:$Q$578,HÓ!$A$2:$A$578,$A22,HÓ!$B$2:$B$578,12)*IF(A22&gt;$G$2,0,1)+IF(A22&gt;$G$2,SUMIFS(HÓ!$Q$2:$Q$578,HÓ!$A$2:$A$578,$A22,HÓ!$D$2:$D$578,$J$2),0)</f>
        <v>0</v>
      </c>
      <c r="E22" s="60">
        <f ca="1">SUMIFS(HÓ!$O$2:$O$578,HÓ!$A$2:$A$578,$A22,HÓ!$B$2:$B$578,12)*IF(A22&gt;$G$2,0,1)+IF(A22&gt;$G$2,SUMIFS(HÓ!$O$2:$O$578,HÓ!$A$2:$A$578,$A22,HÓ!$D$2:$D$578,$J$2),0)</f>
        <v>161463.53221999999</v>
      </c>
      <c r="F22" s="60">
        <f t="shared" ca="1" si="0"/>
        <v>919410.31829107692</v>
      </c>
      <c r="G22" s="60">
        <f ca="1">IF(A22&lt;$G$2,IFERROR(VLOOKUP(CONCATENATE($G$2,A22),vv_értékek!$E$2:$G$1046,3,0)/100000*$B$10,0)+(D22-L22)*0.5+E22+L22,F22)</f>
        <v>821713.53221999994</v>
      </c>
      <c r="H22" s="60">
        <f ca="1">IF(A22&lt;$G$2,IFERROR(VLOOKUP(CONCATENATE($G$2,A22),vv_értékek!$E$2:$G$1046,2,0)/100000*$B$10,0),C22)</f>
        <v>945450</v>
      </c>
      <c r="I22" s="60">
        <f ca="1">IF(A22&lt;$G$2,IFERROR(VLOOKUP(CONCATENATE($G$2,A22),vv_értékek!$E$2:$G$1046,3,0)/100000*$B$10,0),C22)</f>
        <v>660250</v>
      </c>
      <c r="J22" s="61">
        <f t="shared" ca="1" si="2"/>
        <v>172571.72696</v>
      </c>
      <c r="K22" s="62">
        <f t="shared" ref="K22:K65" ca="1" si="3">E22-J22</f>
        <v>-11108.194740000006</v>
      </c>
      <c r="L22" s="47">
        <f ca="1">D22-Kalkulátor!G41</f>
        <v>0</v>
      </c>
    </row>
    <row r="23" spans="1:12">
      <c r="A23" s="45">
        <v>6</v>
      </c>
      <c r="B23" s="47">
        <f t="shared" ca="1" si="1"/>
        <v>231139.31614991999</v>
      </c>
      <c r="C23" s="47">
        <f ca="1">INDEX(Tartalék!$B$2:$AM$95,ÉV!$A23,$G$2-9)/100000*$B$10+IF(AND($I$2&gt;$G$2,A23=$G$2+1),VALUE(C22),0)</f>
        <v>968419.63807544659</v>
      </c>
      <c r="D23" s="47">
        <f ca="1">SUMIFS(HÓ!$Q$2:$Q$578,HÓ!$A$2:$A$578,$A23,HÓ!$B$2:$B$578,12)*IF(A23&gt;$G$2,0,1)+IF(A23&gt;$G$2,SUMIFS(HÓ!$Q$2:$Q$578,HÓ!$A$2:$A$578,$A23,HÓ!$D$2:$D$578,$J$2),0)</f>
        <v>0</v>
      </c>
      <c r="E23" s="47">
        <f ca="1">SUMIFS(HÓ!$O$2:$O$578,HÓ!$A$2:$A$578,$A23,HÓ!$B$2:$B$578,12)*IF(A23&gt;$G$2,0,1)+IF(A23&gt;$G$2,SUMIFS(HÓ!$O$2:$O$578,HÓ!$A$2:$A$578,$A23,HÓ!$D$2:$D$578,$J$2),0)</f>
        <v>206562.80286439997</v>
      </c>
      <c r="F23" s="47">
        <f t="shared" ca="1" si="0"/>
        <v>1174982.4409398464</v>
      </c>
      <c r="G23" s="47">
        <f ca="1">IF(A23&lt;$G$2,IFERROR(VLOOKUP(CONCATENATE($G$2,A23),vv_értékek!$E$2:$G$1046,3,0)/100000*$B$10,0)+(D23-L23)*0.5+E23+L23,F23)</f>
        <v>1043962.8028644</v>
      </c>
      <c r="H23" s="47">
        <f ca="1">IF(A23&lt;$G$2,IFERROR(VLOOKUP(CONCATENATE($G$2,A23),vv_értékek!$E$2:$G$1046,2,0)/100000*$B$10,0),C23)</f>
        <v>1203550</v>
      </c>
      <c r="I23" s="47">
        <f ca="1">IF(A23&lt;$G$2,IFERROR(VLOOKUP(CONCATENATE($G$2,A23),vv_értékek!$E$2:$G$1046,3,0)/100000*$B$10,0),C23)</f>
        <v>837400</v>
      </c>
      <c r="J23" s="51">
        <f t="shared" ca="1" si="2"/>
        <v>217893.16149920001</v>
      </c>
      <c r="K23" s="51">
        <f t="shared" ca="1" si="3"/>
        <v>-11330.358634800039</v>
      </c>
      <c r="L23" s="47">
        <f ca="1">D23-Kalkulátor!G42</f>
        <v>0</v>
      </c>
    </row>
    <row r="24" spans="1:12">
      <c r="A24" s="45">
        <v>7</v>
      </c>
      <c r="B24" s="47">
        <f t="shared" ca="1" si="1"/>
        <v>235762.1024729184</v>
      </c>
      <c r="C24" s="47">
        <f ca="1">INDEX(Tartalék!$B$2:$AM$95,ÉV!$A24,$G$2-9)/100000*$B$10+IF(AND($I$2&gt;$G$2,A24=$G$2+1),VALUE(C23),0)</f>
        <v>1183683.678754952</v>
      </c>
      <c r="D24" s="47">
        <f ca="1">SUMIFS(HÓ!$Q$2:$Q$578,HÓ!$A$2:$A$578,$A24,HÓ!$B$2:$B$578,12)*IF(A24&gt;$G$2,0,1)+IF(A24&gt;$G$2,SUMIFS(HÓ!$Q$2:$Q$578,HÓ!$A$2:$A$578,$A24,HÓ!$D$2:$D$578,$J$2),0)</f>
        <v>0</v>
      </c>
      <c r="E24" s="47">
        <f ca="1">SUMIFS(HÓ!$O$2:$O$578,HÓ!$A$2:$A$578,$A24,HÓ!$B$2:$B$578,12)*IF(A24&gt;$G$2,0,1)+IF(A24&gt;$G$2,SUMIFS(HÓ!$O$2:$O$578,HÓ!$A$2:$A$578,$A24,HÓ!$D$2:$D$578,$J$2),0)</f>
        <v>252564.05892168797</v>
      </c>
      <c r="F24" s="47">
        <f t="shared" ca="1" si="0"/>
        <v>1436247.73767664</v>
      </c>
      <c r="G24" s="47">
        <f ca="1">IF(A24&lt;$G$2,IFERROR(VLOOKUP(CONCATENATE($G$2,A24),vv_értékek!$E$2:$G$1046,3,0)/100000*$B$10,0)+(D24-L24)*0.5+E24+L24,F24)</f>
        <v>1271114.058921688</v>
      </c>
      <c r="H24" s="47">
        <f ca="1">IF(A24&lt;$G$2,IFERROR(VLOOKUP(CONCATENATE($G$2,A24),vv_értékek!$E$2:$G$1046,2,0)/100000*$B$10,0),C24)</f>
        <v>1464450</v>
      </c>
      <c r="I24" s="47">
        <f ca="1">IF(A24&lt;$G$2,IFERROR(VLOOKUP(CONCATENATE($G$2,A24),vv_értékek!$E$2:$G$1046,3,0)/100000*$B$10,0),C24)</f>
        <v>1018550</v>
      </c>
      <c r="J24" s="51">
        <f t="shared" ca="1" si="2"/>
        <v>264121.02472918399</v>
      </c>
      <c r="K24" s="51">
        <f t="shared" ca="1" si="3"/>
        <v>-11556.965807496017</v>
      </c>
      <c r="L24" s="47">
        <f ca="1">D24-Kalkulátor!G43</f>
        <v>0</v>
      </c>
    </row>
    <row r="25" spans="1:12">
      <c r="A25" s="45">
        <v>8</v>
      </c>
      <c r="B25" s="47">
        <f t="shared" ca="1" si="1"/>
        <v>240477.34452237678</v>
      </c>
      <c r="C25" s="47">
        <f ca="1">INDEX(Tartalék!$B$2:$AM$95,ÉV!$A25,$G$2-9)/100000*$B$10+IF(AND($I$2&gt;$G$2,A25=$G$2+1),VALUE(C24),0)</f>
        <v>1403795.1298145123</v>
      </c>
      <c r="D25" s="47">
        <f ca="1">SUMIFS(HÓ!$Q$2:$Q$578,HÓ!$A$2:$A$578,$A25,HÓ!$B$2:$B$578,12)*IF(A25&gt;$G$2,0,1)+IF(A25&gt;$G$2,SUMIFS(HÓ!$Q$2:$Q$578,HÓ!$A$2:$A$578,$A25,HÓ!$D$2:$D$578,$J$2),0)</f>
        <v>0</v>
      </c>
      <c r="E25" s="47">
        <f ca="1">SUMIFS(HÓ!$O$2:$O$578,HÓ!$A$2:$A$578,$A25,HÓ!$B$2:$B$578,12)*IF(A25&gt;$G$2,0,1)+IF(A25&gt;$G$2,SUMIFS(HÓ!$O$2:$O$578,HÓ!$A$2:$A$578,$A25,HÓ!$D$2:$D$578,$J$2),0)</f>
        <v>299485.34010012174</v>
      </c>
      <c r="F25" s="47">
        <f t="shared" ca="1" si="0"/>
        <v>1703280.469914634</v>
      </c>
      <c r="G25" s="47">
        <f ca="1">IF(A25&lt;$G$2,IFERROR(VLOOKUP(CONCATENATE($G$2,A25),vv_értékek!$E$2:$G$1046,3,0)/100000*$B$10,0)+(D25-L25)*0.5+E25+L25,F25)</f>
        <v>1503085.3401001217</v>
      </c>
      <c r="H25" s="47">
        <f ca="1">IF(A25&lt;$G$2,IFERROR(VLOOKUP(CONCATENATE($G$2,A25),vv_értékek!$E$2:$G$1046,2,0)/100000*$B$10,0),C25)</f>
        <v>1727350</v>
      </c>
      <c r="I25" s="47">
        <f ca="1">IF(A25&lt;$G$2,IFERROR(VLOOKUP(CONCATENATE($G$2,A25),vv_értékek!$E$2:$G$1046,3,0)/100000*$B$10,0),C25)</f>
        <v>1203600</v>
      </c>
      <c r="J25" s="51">
        <f t="shared" ca="1" si="2"/>
        <v>311273.44522376766</v>
      </c>
      <c r="K25" s="51">
        <f t="shared" ca="1" si="3"/>
        <v>-11788.105123645917</v>
      </c>
      <c r="L25" s="47">
        <f ca="1">D25-Kalkulátor!G44</f>
        <v>0</v>
      </c>
    </row>
    <row r="26" spans="1:12" ht="12" thickBot="1">
      <c r="A26" s="45">
        <v>9</v>
      </c>
      <c r="B26" s="47">
        <f t="shared" ca="1" si="1"/>
        <v>245286.89141282431</v>
      </c>
      <c r="C26" s="47">
        <f ca="1">INDEX(Tartalék!$B$2:$AM$95,ÉV!$A26,$G$2-9)/100000*$B$10+IF(AND($I$2&gt;$G$2,A26=$G$2+1),VALUE(C25),0)</f>
        <v>1628801.7736573364</v>
      </c>
      <c r="D26" s="47">
        <f ca="1">SUMIFS(HÓ!$Q$2:$Q$578,HÓ!$A$2:$A$578,$A26,HÓ!$B$2:$B$578,12)*IF(A26&gt;$G$2,0,1)+IF(A26&gt;$G$2,SUMIFS(HÓ!$Q$2:$Q$578,HÓ!$A$2:$A$578,$A26,HÓ!$D$2:$D$578,$J$2),0)</f>
        <v>0</v>
      </c>
      <c r="E26" s="47">
        <f ca="1">SUMIFS(HÓ!$O$2:$O$578,HÓ!$A$2:$A$578,$A26,HÓ!$B$2:$B$578,12)*IF(A26&gt;$G$2,0,1)+IF(A26&gt;$G$2,SUMIFS(HÓ!$O$2:$O$578,HÓ!$A$2:$A$578,$A26,HÓ!$D$2:$D$578,$J$2),0)</f>
        <v>347345.04690212419</v>
      </c>
      <c r="F26" s="47">
        <f ca="1">C26+D26+E26</f>
        <v>1976146.8205594607</v>
      </c>
      <c r="G26" s="47">
        <f ca="1">IF(A26&lt;$G$2,IFERROR(VLOOKUP(CONCATENATE($G$2,A26),vv_értékek!$E$2:$G$1046,3,0)/100000*$B$10,0)+(D26-L26)*0.5+E26+L26,F26)</f>
        <v>1739895.0469021243</v>
      </c>
      <c r="H26" s="47">
        <f ca="1">IF(A26&lt;$G$2,IFERROR(VLOOKUP(CONCATENATE($G$2,A26),vv_értékek!$E$2:$G$1046,2,0)/100000*$B$10,0),C26)</f>
        <v>1991550</v>
      </c>
      <c r="I26" s="47">
        <f ca="1">IF(A26&lt;$G$2,IFERROR(VLOOKUP(CONCATENATE($G$2,A26),vv_értékek!$E$2:$G$1046,3,0)/100000*$B$10,0),C26)</f>
        <v>1392550</v>
      </c>
      <c r="J26" s="51">
        <f t="shared" ca="1" si="2"/>
        <v>359368.91412824299</v>
      </c>
      <c r="K26" s="51">
        <f t="shared" ca="1" si="3"/>
        <v>-12023.867226118804</v>
      </c>
      <c r="L26" s="47">
        <f ca="1">D26-Kalkulátor!G45</f>
        <v>0</v>
      </c>
    </row>
    <row r="27" spans="1:12" ht="12" thickBot="1">
      <c r="A27" s="164">
        <v>10</v>
      </c>
      <c r="B27" s="165">
        <f t="shared" ca="1" si="1"/>
        <v>250192.62924108081</v>
      </c>
      <c r="C27" s="165">
        <f ca="1">INDEX(Tartalék!$B$2:$AM$95,ÉV!$A27,$G$2-9)/100000*$B$10+IF(AND($I$2&gt;$G$2,A27=$G$2+1),VALUE(C26),0)</f>
        <v>1858755.8670957277</v>
      </c>
      <c r="D27" s="165">
        <f ca="1">SUMIFS(HÓ!$Q$2:$Q$578,HÓ!$A$2:$A$578,$A27,HÓ!$B$2:$B$578,12)*IF(A27&gt;$G$2,0,1)+IF(A27&gt;$G$2,SUMIFS(HÓ!$Q$2:$Q$578,HÓ!$A$2:$A$578,$A27,HÓ!$D$2:$D$578,$J$2),0)</f>
        <v>0</v>
      </c>
      <c r="E27" s="165">
        <f ca="1">SUMIFS(HÓ!$O$2:$O$578,HÓ!$A$2:$A$578,$A27,HÓ!$B$2:$B$578,12)*IF(A27&gt;$G$2,0,1)+IF(A27&gt;$G$2,SUMIFS(HÓ!$O$2:$O$578,HÓ!$A$2:$A$578,$A27,HÓ!$D$2:$D$578,$J$2),0)</f>
        <v>396161.94784016669</v>
      </c>
      <c r="F27" s="165">
        <f ca="1">C27+D27+E27</f>
        <v>2254917.8149358942</v>
      </c>
      <c r="G27" s="165">
        <f ca="1">IF(A27&lt;$G$2,IFERROR(VLOOKUP(CONCATENATE($G$2,A27),vv_értékek!$E$2:$G$1046,3,0)/100000*$B$10,0)+(D27-L27)*0.5+E27+L27,F27)</f>
        <v>1981511.9478401667</v>
      </c>
      <c r="H27" s="165">
        <f ca="1">IF(A27&lt;$G$2,IFERROR(VLOOKUP(CONCATENATE($G$2,A27),vv_értékek!$E$2:$G$1046,2,0)/100000*$B$10,0),C27)</f>
        <v>2256050</v>
      </c>
      <c r="I27" s="165">
        <f ca="1">IF(A27&lt;$G$2,IFERROR(VLOOKUP(CONCATENATE($G$2,A27),vv_értékek!$E$2:$G$1046,3,0)/100000*$B$10,0),C27)</f>
        <v>1585350</v>
      </c>
      <c r="J27" s="166">
        <f t="shared" ca="1" si="2"/>
        <v>408426.29241080786</v>
      </c>
      <c r="K27" s="167">
        <f t="shared" ca="1" si="3"/>
        <v>-12264.344570641173</v>
      </c>
      <c r="L27" s="47">
        <f ca="1">D27-Kalkulátor!G46</f>
        <v>0</v>
      </c>
    </row>
    <row r="28" spans="1:12">
      <c r="A28" s="45">
        <v>11</v>
      </c>
      <c r="B28" s="47">
        <f t="shared" ca="1" si="1"/>
        <v>255196.48182590242</v>
      </c>
      <c r="C28" s="47">
        <f ca="1">INDEX(Tartalék!$B$2:$AM$95,ÉV!$A28,$G$2-9)/100000*$B$10+IF(AND($I$2&gt;$G$2,A28=$G$2+1),VALUE(C27),0)</f>
        <v>2093708.4497330307</v>
      </c>
      <c r="D28" s="47">
        <f ca="1">SUMIFS(HÓ!$Q$2:$Q$578,HÓ!$A$2:$A$578,$A28,HÓ!$B$2:$B$578,12)*IF(A28&gt;$G$2,0,1)+IF(A28&gt;$G$2,SUMIFS(HÓ!$Q$2:$Q$578,HÓ!$A$2:$A$578,$A28,HÓ!$D$2:$D$578,$J$2),0)</f>
        <v>0</v>
      </c>
      <c r="E28" s="47">
        <f ca="1">SUMIFS(HÓ!$O$2:$O$578,HÓ!$A$2:$A$578,$A28,HÓ!$B$2:$B$578,12)*IF(A28&gt;$G$2,0,1)+IF(A28&gt;$G$2,SUMIFS(HÓ!$O$2:$O$578,HÓ!$A$2:$A$578,$A28,HÓ!$D$2:$D$578,$J$2),0)</f>
        <v>445955.18679697003</v>
      </c>
      <c r="F28" s="47">
        <f t="shared" ca="1" si="0"/>
        <v>2539663.6365300007</v>
      </c>
      <c r="G28" s="47">
        <f ca="1">IF(A28&lt;$G$2,IFERROR(VLOOKUP(CONCATENATE($G$2,A28),vv_értékek!$E$2:$G$1046,3,0)/100000*$B$10,0)+(D28-L28)*0.5+E28+L28,F28)</f>
        <v>2228105.1867969702</v>
      </c>
      <c r="H28" s="47">
        <f ca="1">IF(A28&lt;$G$2,IFERROR(VLOOKUP(CONCATENATE($G$2,A28),vv_értékek!$E$2:$G$1046,2,0)/100000*$B$10,0),C28)</f>
        <v>2520000</v>
      </c>
      <c r="I28" s="47">
        <f ca="1">IF(A28&lt;$G$2,IFERROR(VLOOKUP(CONCATENATE($G$2,A28),vv_értékek!$E$2:$G$1046,3,0)/100000*$B$10,0),C28)</f>
        <v>1782150.0000000002</v>
      </c>
      <c r="J28" s="51">
        <f t="shared" ca="1" si="2"/>
        <v>458464.818259024</v>
      </c>
      <c r="K28" s="51">
        <f t="shared" ca="1" si="3"/>
        <v>-12509.631462053978</v>
      </c>
      <c r="L28" s="47">
        <f ca="1">D28-Kalkulátor!G47</f>
        <v>0</v>
      </c>
    </row>
    <row r="29" spans="1:12">
      <c r="A29" s="45">
        <v>12</v>
      </c>
      <c r="B29" s="47">
        <f t="shared" ca="1" si="1"/>
        <v>260300.41146242048</v>
      </c>
      <c r="C29" s="47">
        <f ca="1">INDEX(Tartalék!$B$2:$AM$95,ÉV!$A29,$G$2-9)/100000*$B$10+IF(AND($I$2&gt;$G$2,A29=$G$2+1),VALUE(C28),0)</f>
        <v>2333702.0350769893</v>
      </c>
      <c r="D29" s="47">
        <f ca="1">SUMIFS(HÓ!$Q$2:$Q$578,HÓ!$A$2:$A$578,$A29,HÓ!$B$2:$B$578,12)*IF(A29&gt;$G$2,0,1)+IF(A29&gt;$G$2,SUMIFS(HÓ!$Q$2:$Q$578,HÓ!$A$2:$A$578,$A29,HÓ!$D$2:$D$578,$J$2),0)</f>
        <v>0</v>
      </c>
      <c r="E29" s="47">
        <f ca="1">SUMIFS(HÓ!$O$2:$O$578,HÓ!$A$2:$A$578,$A29,HÓ!$B$2:$B$578,12)*IF(A29&gt;$G$2,0,1)+IF(A29&gt;$G$2,SUMIFS(HÓ!$O$2:$O$578,HÓ!$A$2:$A$578,$A29,HÓ!$D$2:$D$578,$J$2),0)</f>
        <v>496744.29053290945</v>
      </c>
      <c r="F29" s="47">
        <f t="shared" ca="1" si="0"/>
        <v>2830446.3256098987</v>
      </c>
      <c r="G29" s="47">
        <f ca="1">IF(A29&lt;$G$2,IFERROR(VLOOKUP(CONCATENATE($G$2,A29),vv_értékek!$E$2:$G$1046,3,0)/100000*$B$10,0)+(D29-L29)*0.5+E29+L29,F29)</f>
        <v>2479744.2905329093</v>
      </c>
      <c r="H29" s="47">
        <f ca="1">IF(A29&lt;$G$2,IFERROR(VLOOKUP(CONCATENATE($G$2,A29),vv_értékek!$E$2:$G$1046,2,0)/100000*$B$10,0),C29)</f>
        <v>2782250</v>
      </c>
      <c r="I29" s="47">
        <f ca="1">IF(A29&lt;$G$2,IFERROR(VLOOKUP(CONCATENATE($G$2,A29),vv_értékek!$E$2:$G$1046,3,0)/100000*$B$10,0),C29)</f>
        <v>1983000</v>
      </c>
      <c r="J29" s="51">
        <f t="shared" ca="1" si="2"/>
        <v>509504.11462420446</v>
      </c>
      <c r="K29" s="51">
        <f t="shared" ca="1" si="3"/>
        <v>-12759.824091295013</v>
      </c>
      <c r="L29" s="47">
        <f ca="1">D29-Kalkulátor!G48</f>
        <v>0</v>
      </c>
    </row>
    <row r="30" spans="1:12">
      <c r="A30" s="45">
        <v>13</v>
      </c>
      <c r="B30" s="47">
        <f t="shared" ca="1" si="1"/>
        <v>265506.41969166888</v>
      </c>
      <c r="C30" s="47">
        <f ca="1">INDEX(Tartalék!$B$2:$AM$95,ÉV!$A30,$G$2-9)/100000*$B$10+IF(AND($I$2&gt;$G$2,A30=$G$2+1),VALUE(C29),0)</f>
        <v>2578772.3495152127</v>
      </c>
      <c r="D30" s="47">
        <f ca="1">SUMIFS(HÓ!$Q$2:$Q$578,HÓ!$A$2:$A$578,$A30,HÓ!$B$2:$B$578,12)*IF(A30&gt;$G$2,0,1)+IF(A30&gt;$G$2,SUMIFS(HÓ!$Q$2:$Q$578,HÓ!$A$2:$A$578,$A30,HÓ!$D$2:$D$578,$J$2),0)</f>
        <v>0</v>
      </c>
      <c r="E30" s="47">
        <f ca="1">SUMIFS(HÓ!$O$2:$O$578,HÓ!$A$2:$A$578,$A30,HÓ!$B$2:$B$578,12)*IF(A30&gt;$G$2,0,1)+IF(A30&gt;$G$2,SUMIFS(HÓ!$O$2:$O$578,HÓ!$A$2:$A$578,$A30,HÓ!$D$2:$D$578,$J$2),0)</f>
        <v>548549.17634356767</v>
      </c>
      <c r="F30" s="47">
        <f t="shared" ca="1" si="0"/>
        <v>3127321.5258587804</v>
      </c>
      <c r="G30" s="47">
        <f ca="1">IF(A30&lt;$G$2,IFERROR(VLOOKUP(CONCATENATE($G$2,A30),vv_értékek!$E$2:$G$1046,3,0)/100000*$B$10,0)+(D30-L30)*0.5+E30+L30,F30)</f>
        <v>2736449.1763435677</v>
      </c>
      <c r="H30" s="47">
        <f ca="1">IF(A30&lt;$G$2,IFERROR(VLOOKUP(CONCATENATE($G$2,A30),vv_értékek!$E$2:$G$1046,2,0)/100000*$B$10,0),C30)</f>
        <v>3041600</v>
      </c>
      <c r="I30" s="47">
        <f ca="1">IF(A30&lt;$G$2,IFERROR(VLOOKUP(CONCATENATE($G$2,A30),vv_értékek!$E$2:$G$1046,3,0)/100000*$B$10,0),C30)</f>
        <v>2187900</v>
      </c>
      <c r="J30" s="51">
        <f t="shared" ca="1" si="2"/>
        <v>561564.19691668858</v>
      </c>
      <c r="K30" s="51">
        <f t="shared" ca="1" si="3"/>
        <v>-13015.020573120913</v>
      </c>
      <c r="L30" s="47">
        <f ca="1">D30-Kalkulátor!G49</f>
        <v>0</v>
      </c>
    </row>
    <row r="31" spans="1:12" ht="12" thickBot="1">
      <c r="A31" s="45">
        <v>14</v>
      </c>
      <c r="B31" s="47">
        <f t="shared" ca="1" si="1"/>
        <v>270816.54808550229</v>
      </c>
      <c r="C31" s="47">
        <f ca="1">INDEX(Tartalék!$B$2:$AM$95,ÉV!$A31,$G$2-9)/100000*$B$10+IF(AND($I$2&gt;$G$2,A31=$G$2+1),VALUE(C30),0)</f>
        <v>2828947.0730127157</v>
      </c>
      <c r="D31" s="47">
        <f ca="1">SUMIFS(HÓ!$Q$2:$Q$578,HÓ!$A$2:$A$578,$A31,HÓ!$B$2:$B$578,12)*IF(A31&gt;$G$2,0,1)+IF(A31&gt;$G$2,SUMIFS(HÓ!$Q$2:$Q$578,HÓ!$A$2:$A$578,$A31,HÓ!$D$2:$D$578,$J$2),0)</f>
        <v>0</v>
      </c>
      <c r="E31" s="47">
        <f ca="1">SUMIFS(HÓ!$O$2:$O$578,HÓ!$A$2:$A$578,$A31,HÓ!$B$2:$B$578,12)*IF(A31&gt;$G$2,0,1)+IF(A31&gt;$G$2,SUMIFS(HÓ!$O$2:$O$578,HÓ!$A$2:$A$578,$A31,HÓ!$D$2:$D$578,$J$2),0)</f>
        <v>601390.15987043898</v>
      </c>
      <c r="F31" s="47">
        <f t="shared" ca="1" si="0"/>
        <v>3430337.2328831544</v>
      </c>
      <c r="G31" s="47">
        <f ca="1">IF(A31&lt;$G$2,IFERROR(VLOOKUP(CONCATENATE($G$2,A31),vv_értékek!$E$2:$G$1046,3,0)/100000*$B$10,0)+(D31-L31)*0.5+E31+L31,F31)</f>
        <v>2998340.1598704392</v>
      </c>
      <c r="H31" s="47">
        <f ca="1">IF(A31&lt;$G$2,IFERROR(VLOOKUP(CONCATENATE($G$2,A31),vv_értékek!$E$2:$G$1046,2,0)/100000*$B$10,0),C31)</f>
        <v>3296750</v>
      </c>
      <c r="I31" s="47">
        <f ca="1">IF(A31&lt;$G$2,IFERROR(VLOOKUP(CONCATENATE($G$2,A31),vv_értékek!$E$2:$G$1046,3,0)/100000*$B$10,0),C31)</f>
        <v>2396950</v>
      </c>
      <c r="J31" s="51">
        <f t="shared" ca="1" si="2"/>
        <v>614665.48085502232</v>
      </c>
      <c r="K31" s="51">
        <f t="shared" ca="1" si="3"/>
        <v>-13275.320984583348</v>
      </c>
      <c r="L31" s="47">
        <f ca="1">D31-Kalkulátor!G50</f>
        <v>0</v>
      </c>
    </row>
    <row r="32" spans="1:12" ht="12" thickBot="1">
      <c r="A32" s="156">
        <v>15</v>
      </c>
      <c r="B32" s="157">
        <f t="shared" ca="1" si="1"/>
        <v>276232.87904721237</v>
      </c>
      <c r="C32" s="157">
        <f ca="1">INDEX(Tartalék!$B$2:$AM$95,ÉV!$A32,$G$2-9)/100000*$B$10+IF(AND($I$2&gt;$G$2,A32=$G$2+1),VALUE(C31),0)</f>
        <v>3084271.3827091712</v>
      </c>
      <c r="D32" s="157">
        <f ca="1">SUMIFS(HÓ!$Q$2:$Q$578,HÓ!$A$2:$A$578,$A32,HÓ!$B$2:$B$578,12)*IF(A32&gt;$G$2,0,1)+IF(A32&gt;$G$2,SUMIFS(HÓ!$Q$2:$Q$578,HÓ!$A$2:$A$578,$A32,HÓ!$D$2:$D$578,$J$2),0)</f>
        <v>0</v>
      </c>
      <c r="E32" s="157">
        <f ca="1">SUMIFS(HÓ!$O$2:$O$578,HÓ!$A$2:$A$578,$A32,HÓ!$B$2:$B$578,12)*IF(A32&gt;$G$2,0,1)+IF(A32&gt;$G$2,SUMIFS(HÓ!$O$2:$O$578,HÓ!$A$2:$A$578,$A32,HÓ!$D$2:$D$578,$J$2),0)</f>
        <v>655287.96306784777</v>
      </c>
      <c r="F32" s="157">
        <f t="shared" ca="1" si="0"/>
        <v>3739559.3457770189</v>
      </c>
      <c r="G32" s="157">
        <f ca="1">IF(A32&lt;$G$2,IFERROR(VLOOKUP(CONCATENATE($G$2,A32),vv_értékek!$E$2:$G$1046,3,0)/100000*$B$10,0)+(D32-L32)*0.5+E32+L32,F32)</f>
        <v>3265587.9630678478</v>
      </c>
      <c r="H32" s="157">
        <f ca="1">IF(A32&lt;$G$2,IFERROR(VLOOKUP(CONCATENATE($G$2,A32),vv_értékek!$E$2:$G$1046,2,0)/100000*$B$10,0),C32)</f>
        <v>3546450</v>
      </c>
      <c r="I32" s="157">
        <f ca="1">IF(A32&lt;$G$2,IFERROR(VLOOKUP(CONCATENATE($G$2,A32),vv_értékek!$E$2:$G$1046,3,0)/100000*$B$10,0),C32)</f>
        <v>2610300</v>
      </c>
      <c r="J32" s="158">
        <f t="shared" ca="1" si="2"/>
        <v>668828.79047212284</v>
      </c>
      <c r="K32" s="159">
        <f t="shared" ca="1" si="3"/>
        <v>-13540.827404275071</v>
      </c>
      <c r="L32" s="47">
        <f ca="1">D32-Kalkulátor!G51</f>
        <v>0</v>
      </c>
    </row>
    <row r="33" spans="1:12">
      <c r="A33" s="45">
        <v>16</v>
      </c>
      <c r="B33" s="47">
        <f t="shared" ca="1" si="1"/>
        <v>281757.53662815661</v>
      </c>
      <c r="C33" s="47">
        <f ca="1">INDEX(Tartalék!$B$2:$AM$95,ÉV!$A33,$G$2-9)/100000*$B$10+IF(AND($I$2&gt;$G$2,A33=$G$2+1),VALUE(C32),0)</f>
        <v>3344757.9533744366</v>
      </c>
      <c r="D33" s="47">
        <f ca="1">SUMIFS(HÓ!$Q$2:$Q$578,HÓ!$A$2:$A$578,$A33,HÓ!$B$2:$B$578,12)*IF(A33&gt;$G$2,0,1)+IF(A33&gt;$G$2,SUMIFS(HÓ!$Q$2:$Q$578,HÓ!$A$2:$A$578,$A33,HÓ!$D$2:$D$578,$J$2),0)</f>
        <v>0</v>
      </c>
      <c r="E33" s="47">
        <f ca="1">SUMIFS(HÓ!$O$2:$O$578,HÓ!$A$2:$A$578,$A33,HÓ!$B$2:$B$578,12)*IF(A33&gt;$G$2,0,1)+IF(A33&gt;$G$2,SUMIFS(HÓ!$O$2:$O$578,HÓ!$A$2:$A$578,$A33,HÓ!$D$2:$D$578,$J$2),0)</f>
        <v>710263.72232920479</v>
      </c>
      <c r="F33" s="47">
        <f t="shared" ca="1" si="0"/>
        <v>4055021.6757036415</v>
      </c>
      <c r="G33" s="47">
        <f ca="1">IF(A33&lt;$G$2,IFERROR(VLOOKUP(CONCATENATE($G$2,A33),vv_értékek!$E$2:$G$1046,3,0)/100000*$B$10,0)+(D33-L33)*0.5+E33+L33,F33)</f>
        <v>3590963.7223292049</v>
      </c>
      <c r="H33" s="47">
        <f ca="1">IF(A33&lt;$G$2,IFERROR(VLOOKUP(CONCATENATE($G$2,A33),vv_értékek!$E$2:$G$1046,2,0)/100000*$B$10,0),C33)</f>
        <v>3789250</v>
      </c>
      <c r="I33" s="47">
        <f ca="1">IF(A33&lt;$G$2,IFERROR(VLOOKUP(CONCATENATE($G$2,A33),vv_értékek!$E$2:$G$1046,3,0)/100000*$B$10,0),C33)</f>
        <v>2880700</v>
      </c>
      <c r="J33" s="51">
        <f t="shared" ca="1" si="2"/>
        <v>724075.36628156528</v>
      </c>
      <c r="K33" s="51">
        <f t="shared" ca="1" si="3"/>
        <v>-13811.643952360493</v>
      </c>
      <c r="L33" s="47">
        <f ca="1">D33-Kalkulátor!G52</f>
        <v>0</v>
      </c>
    </row>
    <row r="34" spans="1:12">
      <c r="A34" s="45">
        <v>17</v>
      </c>
      <c r="B34" s="47">
        <f t="shared" ca="1" si="1"/>
        <v>287392.68736071972</v>
      </c>
      <c r="C34" s="47">
        <f ca="1">INDEX(Tartalék!$B$2:$AM$95,ÉV!$A34,$G$2-9)/100000*$B$10+IF(AND($I$2&gt;$G$2,A34=$G$2+1),VALUE(C33),0)</f>
        <v>3610423.7462134059</v>
      </c>
      <c r="D34" s="47">
        <f ca="1">SUMIFS(HÓ!$Q$2:$Q$578,HÓ!$A$2:$A$578,$A34,HÓ!$B$2:$B$578,12)*IF(A34&gt;$G$2,0,1)+IF(A34&gt;$G$2,SUMIFS(HÓ!$Q$2:$Q$578,HÓ!$A$2:$A$578,$A34,HÓ!$D$2:$D$578,$J$2),0)</f>
        <v>0</v>
      </c>
      <c r="E34" s="47">
        <f ca="1">SUMIFS(HÓ!$O$2:$O$578,HÓ!$A$2:$A$578,$A34,HÓ!$B$2:$B$578,12)*IF(A34&gt;$G$2,0,1)+IF(A34&gt;$G$2,SUMIFS(HÓ!$O$2:$O$578,HÓ!$A$2:$A$578,$A34,HÓ!$D$2:$D$578,$J$2),0)</f>
        <v>766338.99677578884</v>
      </c>
      <c r="F34" s="47">
        <f t="shared" ca="1" si="0"/>
        <v>4376762.7429891946</v>
      </c>
      <c r="G34" s="47">
        <f ca="1">IF(A34&lt;$G$2,IFERROR(VLOOKUP(CONCATENATE($G$2,A34),vv_értékek!$E$2:$G$1046,3,0)/100000*$B$10,0)+(D34-L34)*0.5+E34+L34,F34)</f>
        <v>3929738.9967757887</v>
      </c>
      <c r="H34" s="47">
        <f ca="1">IF(A34&lt;$G$2,IFERROR(VLOOKUP(CONCATENATE($G$2,A34),vv_értékek!$E$2:$G$1046,2,0)/100000*$B$10,0),C34)</f>
        <v>4023600</v>
      </c>
      <c r="I34" s="47">
        <f ca="1">IF(A34&lt;$G$2,IFERROR(VLOOKUP(CONCATENATE($G$2,A34),vv_értékek!$E$2:$G$1046,3,0)/100000*$B$10,0),C34)</f>
        <v>3163400</v>
      </c>
      <c r="J34" s="51">
        <f t="shared" ca="1" si="2"/>
        <v>780426.87360719661</v>
      </c>
      <c r="K34" s="51">
        <f t="shared" ca="1" si="3"/>
        <v>-14087.876831407775</v>
      </c>
      <c r="L34" s="47">
        <f ca="1">D34-Kalkulátor!G53</f>
        <v>0</v>
      </c>
    </row>
    <row r="35" spans="1:12">
      <c r="A35" s="45">
        <v>18</v>
      </c>
      <c r="B35" s="47">
        <f t="shared" ca="1" si="1"/>
        <v>293140.54110793414</v>
      </c>
      <c r="C35" s="47">
        <f ca="1">INDEX(Tartalék!$B$2:$AM$95,ÉV!$A35,$G$2-9)/100000*$B$10+IF(AND($I$2&gt;$G$2,A35=$G$2+1),VALUE(C34),0)</f>
        <v>3881267.5064132973</v>
      </c>
      <c r="D35" s="47">
        <f ca="1">SUMIFS(HÓ!$Q$2:$Q$578,HÓ!$A$2:$A$578,$A35,HÓ!$B$2:$B$578,12)*IF(A35&gt;$G$2,0,1)+IF(A35&gt;$G$2,SUMIFS(HÓ!$Q$2:$Q$578,HÓ!$A$2:$A$578,$A35,HÓ!$D$2:$D$578,$J$2),0)</f>
        <v>0</v>
      </c>
      <c r="E35" s="47">
        <f ca="1">SUMIFS(HÓ!$O$2:$O$578,HÓ!$A$2:$A$578,$A35,HÓ!$B$2:$B$578,12)*IF(A35&gt;$G$2,0,1)+IF(A35&gt;$G$2,SUMIFS(HÓ!$O$2:$O$578,HÓ!$A$2:$A$578,$A35,HÓ!$D$2:$D$578,$J$2),0)</f>
        <v>823535.77671130467</v>
      </c>
      <c r="F35" s="47">
        <f t="shared" ca="1" si="0"/>
        <v>4704803.2831246015</v>
      </c>
      <c r="G35" s="47">
        <f ca="1">IF(A35&lt;$G$2,IFERROR(VLOOKUP(CONCATENATE($G$2,A35),vv_értékek!$E$2:$G$1046,3,0)/100000*$B$10,0)+(D35-L35)*0.5+E35+L35,F35)</f>
        <v>4282185.7767113047</v>
      </c>
      <c r="H35" s="47">
        <f ca="1">IF(A35&lt;$G$2,IFERROR(VLOOKUP(CONCATENATE($G$2,A35),vv_értékek!$E$2:$G$1046,2,0)/100000*$B$10,0),C35)</f>
        <v>4247900</v>
      </c>
      <c r="I35" s="47">
        <f ca="1">IF(A35&lt;$G$2,IFERROR(VLOOKUP(CONCATENATE($G$2,A35),vv_értékek!$E$2:$G$1046,3,0)/100000*$B$10,0),C35)</f>
        <v>3458650</v>
      </c>
      <c r="J35" s="51">
        <f t="shared" ca="1" si="2"/>
        <v>837905.41107934061</v>
      </c>
      <c r="K35" s="51">
        <f t="shared" ca="1" si="3"/>
        <v>-14369.634368035942</v>
      </c>
      <c r="L35" s="47">
        <f ca="1">D35-Kalkulátor!G54</f>
        <v>0</v>
      </c>
    </row>
    <row r="36" spans="1:12" ht="12" thickBot="1">
      <c r="A36" s="45">
        <v>19</v>
      </c>
      <c r="B36" s="47">
        <f t="shared" ca="1" si="1"/>
        <v>299003.35193009285</v>
      </c>
      <c r="C36" s="47">
        <f ca="1">INDEX(Tartalék!$B$2:$AM$95,ÉV!$A36,$G$2-9)/100000*$B$10+IF(AND($I$2&gt;$G$2,A36=$G$2+1),VALUE(C35),0)</f>
        <v>4157320.2717885966</v>
      </c>
      <c r="D36" s="47">
        <f ca="1">SUMIFS(HÓ!$Q$2:$Q$578,HÓ!$A$2:$A$578,$A36,HÓ!$B$2:$B$578,12)*IF(A36&gt;$G$2,0,1)+IF(A36&gt;$G$2,SUMIFS(HÓ!$Q$2:$Q$578,HÓ!$A$2:$A$578,$A36,HÓ!$D$2:$D$578,$J$2),0)</f>
        <v>0</v>
      </c>
      <c r="E36" s="47">
        <f ca="1">SUMIFS(HÓ!$O$2:$O$578,HÓ!$A$2:$A$578,$A36,HÓ!$B$2:$B$578,12)*IF(A36&gt;$G$2,0,1)+IF(A36&gt;$G$2,SUMIFS(HÓ!$O$2:$O$578,HÓ!$A$2:$A$578,$A36,HÓ!$D$2:$D$578,$J$2),0)</f>
        <v>881876.49224553083</v>
      </c>
      <c r="F36" s="47">
        <f t="shared" ca="1" si="0"/>
        <v>5039196.7640341278</v>
      </c>
      <c r="G36" s="47">
        <f ca="1">IF(A36&lt;$G$2,IFERROR(VLOOKUP(CONCATENATE($G$2,A36),vv_értékek!$E$2:$G$1046,3,0)/100000*$B$10,0)+(D36-L36)*0.5+E36+L36,F36)</f>
        <v>4648626.4922455307</v>
      </c>
      <c r="H36" s="47">
        <f ca="1">IF(A36&lt;$G$2,IFERROR(VLOOKUP(CONCATENATE($G$2,A36),vv_értékek!$E$2:$G$1046,2,0)/100000*$B$10,0),C36)</f>
        <v>4460900</v>
      </c>
      <c r="I36" s="47">
        <f ca="1">IF(A36&lt;$G$2,IFERROR(VLOOKUP(CONCATENATE($G$2,A36),vv_értékek!$E$2:$G$1046,3,0)/100000*$B$10,0),C36)</f>
        <v>3766750</v>
      </c>
      <c r="J36" s="51">
        <f t="shared" ca="1" si="2"/>
        <v>896533.51930092741</v>
      </c>
      <c r="K36" s="51">
        <f t="shared" ca="1" si="3"/>
        <v>-14657.027055396582</v>
      </c>
      <c r="L36" s="47">
        <f ca="1">D36-Kalkulátor!G55</f>
        <v>0</v>
      </c>
    </row>
    <row r="37" spans="1:12" ht="12" thickBot="1">
      <c r="A37" s="160">
        <v>20</v>
      </c>
      <c r="B37" s="161">
        <f t="shared" ca="1" si="1"/>
        <v>304983.41896869469</v>
      </c>
      <c r="C37" s="161">
        <f ca="1">INDEX(Tartalék!$B$2:$AM$95,ÉV!$A37,$G$2-9)/100000*$B$10+IF(AND($I$2&gt;$G$2,A37=$G$2+1),VALUE(C36),0)</f>
        <v>4438601.035860491</v>
      </c>
      <c r="D37" s="161">
        <f ca="1">SUMIFS(HÓ!$Q$2:$Q$578,HÓ!$A$2:$A$578,$A37,HÓ!$B$2:$B$578,12)*IF(A37&gt;$G$2,0,1)+IF(A37&gt;$G$2,SUMIFS(HÓ!$Q$2:$Q$578,HÓ!$A$2:$A$578,$A37,HÓ!$D$2:$D$578,$J$2),0)</f>
        <v>0</v>
      </c>
      <c r="E37" s="161">
        <f ca="1">SUMIFS(HÓ!$O$2:$O$578,HÓ!$A$2:$A$578,$A37,HÓ!$B$2:$B$578,12)*IF(A37&gt;$G$2,0,1)+IF(A37&gt;$G$2,SUMIFS(HÓ!$O$2:$O$578,HÓ!$A$2:$A$578,$A37,HÓ!$D$2:$D$578,$J$2),0)</f>
        <v>941384.02209044143</v>
      </c>
      <c r="F37" s="161">
        <f t="shared" ca="1" si="0"/>
        <v>5379985.0579509325</v>
      </c>
      <c r="G37" s="161">
        <f ca="1">IF(A37&lt;$G$2,IFERROR(VLOOKUP(CONCATENATE($G$2,A37),vv_értékek!$E$2:$G$1046,3,0)/100000*$B$10,0)+(D37-L37)*0.5+E37+L37,F37)</f>
        <v>5029234.0220904415</v>
      </c>
      <c r="H37" s="161">
        <f ca="1">IF(A37&lt;$G$2,IFERROR(VLOOKUP(CONCATENATE($G$2,A37),vv_értékek!$E$2:$G$1046,2,0)/100000*$B$10,0),C37)</f>
        <v>4661200</v>
      </c>
      <c r="I37" s="161">
        <f ca="1">IF(A37&lt;$G$2,IFERROR(VLOOKUP(CONCATENATE($G$2,A37),vv_értékek!$E$2:$G$1046,3,0)/100000*$B$10,0),C37)</f>
        <v>4087850</v>
      </c>
      <c r="J37" s="162">
        <f ca="1">MIN(B36*0.2,  130000)  +    J36</f>
        <v>956334.18968694599</v>
      </c>
      <c r="K37" s="163">
        <f t="shared" ca="1" si="3"/>
        <v>-14950.167596504558</v>
      </c>
      <c r="L37" s="47">
        <f ca="1">D37-Kalkulátor!G56</f>
        <v>0</v>
      </c>
    </row>
    <row r="38" spans="1:12">
      <c r="A38" s="45">
        <v>21</v>
      </c>
      <c r="B38" s="47">
        <f t="shared" ca="1" si="1"/>
        <v>304983.41896869469</v>
      </c>
      <c r="C38" s="47">
        <f ca="1">INDEX(Tartalék!$B$2:$AM$95,ÉV!$A38,$G$2-9)/100000*$B$10+IF(AND($I$2&gt;$G$2,A38=$G$2+1),VALUE(C37),0)</f>
        <v>4719570.820470822</v>
      </c>
      <c r="D38" s="47">
        <f ca="1">SUMIFS(HÓ!$Q$2:$Q$578,HÓ!$A$2:$A$578,$A38,HÓ!$B$2:$B$578,12)*IF(A38&gt;$G$2,0,1)+IF(A38&gt;$G$2,SUMIFS(HÓ!$Q$2:$Q$578,HÓ!$A$2:$A$578,$A38,HÓ!$D$2:$D$578,$J$2),0)</f>
        <v>0</v>
      </c>
      <c r="E38" s="47">
        <f ca="1">SUMIFS(HÓ!$O$2:$O$578,HÓ!$A$2:$A$578,$A38,HÓ!$B$2:$B$578,12)*IF(A38&gt;$G$2,0,1)+IF(A38&gt;$G$2,SUMIFS(HÓ!$O$2:$O$578,HÓ!$A$2:$A$578,$A38,HÓ!$D$2:$D$578,$J$2),0)</f>
        <v>1002081.7025322502</v>
      </c>
      <c r="F38" s="47">
        <f t="shared" ca="1" si="0"/>
        <v>5721652.5230030725</v>
      </c>
      <c r="G38" s="47">
        <f ca="1">IF(A38&lt;$G$2,IFERROR(VLOOKUP(CONCATENATE($G$2,A38),vv_értékek!$E$2:$G$1046,3,0)/100000*$B$10,0)+(D38-L38)*0.5+E38+L38,F38)</f>
        <v>5419181.7025322504</v>
      </c>
      <c r="H38" s="47">
        <f ca="1">IF(A38&lt;$G$2,IFERROR(VLOOKUP(CONCATENATE($G$2,A38),vv_értékek!$E$2:$G$1046,2,0)/100000*$B$10,0),C38)</f>
        <v>4841550</v>
      </c>
      <c r="I38" s="47">
        <f ca="1">IF(A38&lt;$G$2,IFERROR(VLOOKUP(CONCATENATE($G$2,A38),vv_értékek!$E$2:$G$1046,3,0)/100000*$B$10,0),C38)</f>
        <v>4417100</v>
      </c>
      <c r="J38" s="51">
        <f ca="1">MIN(B37*0.2,  130000)  +    J37</f>
        <v>1017330.8734806849</v>
      </c>
      <c r="K38" s="51">
        <f t="shared" ca="1" si="3"/>
        <v>-15249.170948434738</v>
      </c>
      <c r="L38" s="47">
        <f ca="1">D38-Kalkulátor!G57</f>
        <v>0</v>
      </c>
    </row>
    <row r="39" spans="1:12">
      <c r="A39" s="45">
        <v>22</v>
      </c>
      <c r="B39" s="47">
        <f t="shared" ca="1" si="1"/>
        <v>304983.41896869469</v>
      </c>
      <c r="C39" s="47">
        <f ca="1">INDEX(Tartalék!$B$2:$AM$95,ÉV!$A39,$G$2-9)/100000*$B$10+IF(AND($I$2&gt;$G$2,A39=$G$2+1),VALUE(C38),0)</f>
        <v>4999999.9999999981</v>
      </c>
      <c r="D39" s="47">
        <f ca="1">SUMIFS(HÓ!$Q$2:$Q$578,HÓ!$A$2:$A$578,$A39,HÓ!$B$2:$B$578,12)*IF(A39&gt;$G$2,0,1)+IF(A39&gt;$G$2,SUMIFS(HÓ!$Q$2:$Q$578,HÓ!$A$2:$A$578,$A39,HÓ!$D$2:$D$578,$J$2),0)</f>
        <v>0</v>
      </c>
      <c r="E39" s="47">
        <f ca="1">SUMIFS(HÓ!$O$2:$O$578,HÓ!$A$2:$A$578,$A39,HÓ!$B$2:$B$578,12)*IF(A39&gt;$G$2,0,1)+IF(A39&gt;$G$2,SUMIFS(HÓ!$O$2:$O$578,HÓ!$A$2:$A$578,$A39,HÓ!$D$2:$D$578,$J$2),0)</f>
        <v>1063078.3863259892</v>
      </c>
      <c r="F39" s="47">
        <f t="shared" ca="1" si="0"/>
        <v>6063078.3863259871</v>
      </c>
      <c r="G39" s="47">
        <f ca="1">IF(A39&lt;$G$2,IFERROR(VLOOKUP(CONCATENATE($G$2,A39),vv_értékek!$E$2:$G$1046,3,0)/100000*$B$10,0)+(D39-L39)*0.5+E39+L39,F39)</f>
        <v>6063078.3863259871</v>
      </c>
      <c r="H39" s="47">
        <f ca="1">IF(A39&lt;$G$2,IFERROR(VLOOKUP(CONCATENATE($G$2,A39),vv_értékek!$E$2:$G$1046,2,0)/100000*$B$10,0),C39)</f>
        <v>4999999.9999999981</v>
      </c>
      <c r="I39" s="47">
        <f ca="1">IF(A39&lt;$G$2,IFERROR(VLOOKUP(CONCATENATE($G$2,A39),vv_értékek!$E$2:$G$1046,3,0)/100000*$B$10,0),C39)</f>
        <v>4999999.9999999981</v>
      </c>
      <c r="J39" s="51">
        <f t="shared" ca="1" si="2"/>
        <v>1078327.5572744238</v>
      </c>
      <c r="K39" s="51">
        <f t="shared" ca="1" si="3"/>
        <v>-15249.170948434621</v>
      </c>
      <c r="L39" s="47">
        <f ca="1">D39-Kalkulátor!G58</f>
        <v>0</v>
      </c>
    </row>
    <row r="40" spans="1:12">
      <c r="A40" s="45">
        <v>23</v>
      </c>
      <c r="B40" s="47">
        <f t="shared" ca="1" si="1"/>
        <v>0</v>
      </c>
      <c r="C40" s="47">
        <f ca="1">INDEX(Tartalék!$B$2:$AM$95,ÉV!$A40,$G$2-9)/100000*$B$10+IF(AND($I$2&gt;$G$2,A40=$G$2+1),VALUE(C39),0)</f>
        <v>4999999.9999999981</v>
      </c>
      <c r="D40" s="47">
        <f ca="1">SUMIFS(HÓ!$Q$2:$Q$578,HÓ!$A$2:$A$578,$A40,HÓ!$B$2:$B$578,12)*IF(A40&gt;$G$2,0,1)+IF(A40&gt;$G$2,SUMIFS(HÓ!$Q$2:$Q$578,HÓ!$A$2:$A$578,$A40,HÓ!$D$2:$D$578,$J$2),0)</f>
        <v>0</v>
      </c>
      <c r="E40" s="47">
        <f ca="1">SUMIFS(HÓ!$O$2:$O$578,HÓ!$A$2:$A$578,$A40,HÓ!$B$2:$B$578,12)*IF(A40&gt;$G$2,0,1)+IF(A40&gt;$G$2,SUMIFS(HÓ!$O$2:$O$578,HÓ!$A$2:$A$578,$A40,HÓ!$D$2:$D$578,$J$2),0)</f>
        <v>1139324.2410681627</v>
      </c>
      <c r="F40" s="47">
        <f t="shared" ca="1" si="0"/>
        <v>6139324.2410681611</v>
      </c>
      <c r="G40" s="47">
        <f ca="1">IF(A40&lt;$G$2,IFERROR(VLOOKUP(CONCATENATE($G$2,A40),vv_értékek!$E$2:$G$1046,3,0)/100000*$B$10,0)+(D40-L40)*0.5+E40+L40,F40)</f>
        <v>6139324.2410681611</v>
      </c>
      <c r="H40" s="47">
        <f ca="1">IF(A40&lt;$G$2,IFERROR(VLOOKUP(CONCATENATE($G$2,A40),vv_értékek!$E$2:$G$1046,2,0)/100000*$B$10,0),C40)</f>
        <v>4999999.9999999981</v>
      </c>
      <c r="I40" s="47">
        <f ca="1">IF(A40&lt;$G$2,IFERROR(VLOOKUP(CONCATENATE($G$2,A40),vv_értékek!$E$2:$G$1046,3,0)/100000*$B$10,0),C40)</f>
        <v>4999999.9999999981</v>
      </c>
      <c r="J40" s="51">
        <f t="shared" ca="1" si="2"/>
        <v>1139324.2410681627</v>
      </c>
      <c r="K40" s="51">
        <f t="shared" ca="1" si="3"/>
        <v>0</v>
      </c>
      <c r="L40" s="47">
        <f ca="1">D40-Kalkulátor!G59</f>
        <v>0</v>
      </c>
    </row>
    <row r="41" spans="1:12">
      <c r="A41" s="45">
        <v>24</v>
      </c>
      <c r="B41" s="47">
        <f t="shared" ca="1" si="1"/>
        <v>0</v>
      </c>
      <c r="C41" s="47">
        <f ca="1">INDEX(Tartalék!$B$2:$AM$95,ÉV!$A41,$G$2-9)/100000*$B$10+IF(AND($I$2&gt;$G$2,A41=$G$2+1),VALUE(C40),0)</f>
        <v>0</v>
      </c>
      <c r="D41" s="47">
        <f ca="1">SUMIFS(HÓ!$Q$2:$Q$578,HÓ!$A$2:$A$578,$A41,HÓ!$B$2:$B$578,12)*IF(A41&gt;$G$2,0,1)+IF(A41&gt;$G$2,SUMIFS(HÓ!$Q$2:$Q$578,HÓ!$A$2:$A$578,$A41,HÓ!$D$2:$D$578,$J$2),0)</f>
        <v>0</v>
      </c>
      <c r="E41" s="47">
        <f ca="1">SUMIFS(HÓ!$O$2:$O$578,HÓ!$A$2:$A$578,$A41,HÓ!$B$2:$B$578,12)*IF(A41&gt;$G$2,0,1)+IF(A41&gt;$G$2,SUMIFS(HÓ!$O$2:$O$578,HÓ!$A$2:$A$578,$A41,HÓ!$D$2:$D$578,$J$2),0)</f>
        <v>0</v>
      </c>
      <c r="F41" s="47">
        <f t="shared" ca="1" si="0"/>
        <v>0</v>
      </c>
      <c r="G41" s="47">
        <f ca="1">IF(A41&lt;$G$2,IFERROR(VLOOKUP(CONCATENATE($G$2,A41),vv_értékek!$E$2:$G$1046,3,0)/100000*$B$10,0)+(D41-L41)*0.5+E41+L41,F41)</f>
        <v>0</v>
      </c>
      <c r="H41" s="47">
        <f ca="1">IF(A41&lt;$G$2,IFERROR(VLOOKUP(CONCATENATE($G$2,A41),vv_értékek!$E$2:$G$1046,2,0)/100000*$B$10,0),C41)</f>
        <v>0</v>
      </c>
      <c r="I41" s="47">
        <f ca="1">IF(A41&lt;$G$2,IFERROR(VLOOKUP(CONCATENATE($G$2,A41),vv_értékek!$E$2:$G$1046,3,0)/100000*$B$10,0),C41)</f>
        <v>0</v>
      </c>
      <c r="J41" s="51">
        <f t="shared" ca="1" si="2"/>
        <v>1139324.2410681627</v>
      </c>
      <c r="K41" s="51">
        <f t="shared" ca="1" si="3"/>
        <v>-1139324.2410681627</v>
      </c>
      <c r="L41" s="47">
        <f ca="1">D41-Kalkulátor!G60</f>
        <v>0</v>
      </c>
    </row>
    <row r="42" spans="1:12">
      <c r="A42" s="45">
        <v>25</v>
      </c>
      <c r="B42" s="47">
        <f t="shared" ca="1" si="1"/>
        <v>0</v>
      </c>
      <c r="C42" s="47">
        <f ca="1">INDEX(Tartalék!$B$2:$AM$95,ÉV!$A42,$G$2-9)/100000*$B$10+IF(AND($I$2&gt;$G$2,A42=$G$2+1),VALUE(C41),0)</f>
        <v>0</v>
      </c>
      <c r="D42" s="47">
        <f ca="1">SUMIFS(HÓ!$Q$2:$Q$578,HÓ!$A$2:$A$578,$A42,HÓ!$B$2:$B$578,12)*IF(A42&gt;$G$2,0,1)+IF(A42&gt;$G$2,SUMIFS(HÓ!$Q$2:$Q$578,HÓ!$A$2:$A$578,$A42,HÓ!$D$2:$D$578,$J$2),0)</f>
        <v>0</v>
      </c>
      <c r="E42" s="47">
        <f ca="1">SUMIFS(HÓ!$O$2:$O$578,HÓ!$A$2:$A$578,$A42,HÓ!$B$2:$B$578,12)*IF(A42&gt;$G$2,0,1)+IF(A42&gt;$G$2,SUMIFS(HÓ!$O$2:$O$578,HÓ!$A$2:$A$578,$A42,HÓ!$D$2:$D$578,$J$2),0)</f>
        <v>0</v>
      </c>
      <c r="F42" s="47">
        <f t="shared" ca="1" si="0"/>
        <v>0</v>
      </c>
      <c r="G42" s="47">
        <f ca="1">IF(A42&lt;$G$2,IFERROR(VLOOKUP(CONCATENATE($G$2,A42),vv_értékek!$E$2:$G$1046,3,0)/100000*$B$10,0)+(D42-L42)*0.5+E42+L42,F42)</f>
        <v>0</v>
      </c>
      <c r="H42" s="47">
        <f ca="1">IF(A42&lt;$G$2,IFERROR(VLOOKUP(CONCATENATE($G$2,A42),vv_értékek!$E$2:$G$1046,2,0)/100000*$B$10,0),C42)</f>
        <v>0</v>
      </c>
      <c r="I42" s="47">
        <f ca="1">IF(A42&lt;$G$2,IFERROR(VLOOKUP(CONCATENATE($G$2,A42),vv_értékek!$E$2:$G$1046,3,0)/100000*$B$10,0),C42)</f>
        <v>0</v>
      </c>
      <c r="J42" s="51">
        <f t="shared" ca="1" si="2"/>
        <v>1139324.2410681627</v>
      </c>
      <c r="K42" s="51">
        <f t="shared" ca="1" si="3"/>
        <v>-1139324.2410681627</v>
      </c>
      <c r="L42" s="47">
        <f ca="1">D42-Kalkulátor!G61</f>
        <v>0</v>
      </c>
    </row>
    <row r="43" spans="1:12">
      <c r="A43" s="45">
        <v>26</v>
      </c>
      <c r="B43" s="47">
        <f t="shared" ca="1" si="1"/>
        <v>0</v>
      </c>
      <c r="C43" s="47">
        <f ca="1">INDEX(Tartalék!$B$2:$AM$95,ÉV!$A43,$G$2-9)/100000*$B$10+IF(AND($I$2&gt;$G$2,A43=$G$2+1),VALUE(C42),0)</f>
        <v>0</v>
      </c>
      <c r="D43" s="47">
        <f ca="1">SUMIFS(HÓ!$Q$2:$Q$578,HÓ!$A$2:$A$578,$A43,HÓ!$B$2:$B$578,12)*IF(A43&gt;$G$2,0,1)+IF(A43&gt;$G$2,SUMIFS(HÓ!$Q$2:$Q$578,HÓ!$A$2:$A$578,$A43,HÓ!$D$2:$D$578,$J$2),0)</f>
        <v>0</v>
      </c>
      <c r="E43" s="47">
        <f ca="1">SUMIFS(HÓ!$O$2:$O$578,HÓ!$A$2:$A$578,$A43,HÓ!$B$2:$B$578,12)*IF(A43&gt;$G$2,0,1)+IF(A43&gt;$G$2,SUMIFS(HÓ!$O$2:$O$578,HÓ!$A$2:$A$578,$A43,HÓ!$D$2:$D$578,$J$2),0)</f>
        <v>0</v>
      </c>
      <c r="F43" s="47">
        <f t="shared" ca="1" si="0"/>
        <v>0</v>
      </c>
      <c r="G43" s="47">
        <f ca="1">IF(A43&lt;$G$2,IFERROR(VLOOKUP(CONCATENATE($G$2,A43),vv_értékek!$E$2:$G$1046,3,0)/100000*$B$10,0)+(D43-L43)*0.5+E43+L43,F43)</f>
        <v>0</v>
      </c>
      <c r="H43" s="47">
        <f ca="1">IF(A43&lt;$G$2,IFERROR(VLOOKUP(CONCATENATE($G$2,A43),vv_értékek!$E$2:$G$1046,2,0)/100000*$B$10,0),C43)</f>
        <v>0</v>
      </c>
      <c r="I43" s="47">
        <f ca="1">IF(A43&lt;$G$2,IFERROR(VLOOKUP(CONCATENATE($G$2,A43),vv_értékek!$E$2:$G$1046,3,0)/100000*$B$10,0),C43)</f>
        <v>0</v>
      </c>
      <c r="J43" s="51">
        <f t="shared" ca="1" si="2"/>
        <v>1139324.2410681627</v>
      </c>
      <c r="K43" s="51">
        <f t="shared" ca="1" si="3"/>
        <v>-1139324.2410681627</v>
      </c>
      <c r="L43" s="47">
        <f ca="1">D43-Kalkulátor!G62</f>
        <v>0</v>
      </c>
    </row>
    <row r="44" spans="1:12">
      <c r="A44" s="45">
        <v>27</v>
      </c>
      <c r="B44" s="47">
        <f t="shared" ca="1" si="1"/>
        <v>0</v>
      </c>
      <c r="C44" s="47">
        <f ca="1">INDEX(Tartalék!$B$2:$AM$95,ÉV!$A44,$G$2-9)/100000*$B$10+IF(AND($I$2&gt;$G$2,A44=$G$2+1),VALUE(C43),0)</f>
        <v>0</v>
      </c>
      <c r="D44" s="47">
        <f ca="1">SUMIFS(HÓ!$Q$2:$Q$578,HÓ!$A$2:$A$578,$A44,HÓ!$B$2:$B$578,12)*IF(A44&gt;$G$2,0,1)+IF(A44&gt;$G$2,SUMIFS(HÓ!$Q$2:$Q$578,HÓ!$A$2:$A$578,$A44,HÓ!$D$2:$D$578,$J$2),0)</f>
        <v>0</v>
      </c>
      <c r="E44" s="47">
        <f ca="1">SUMIFS(HÓ!$O$2:$O$578,HÓ!$A$2:$A$578,$A44,HÓ!$B$2:$B$578,12)*IF(A44&gt;$G$2,0,1)+IF(A44&gt;$G$2,SUMIFS(HÓ!$O$2:$O$578,HÓ!$A$2:$A$578,$A44,HÓ!$D$2:$D$578,$J$2),0)</f>
        <v>0</v>
      </c>
      <c r="F44" s="47">
        <f t="shared" ca="1" si="0"/>
        <v>0</v>
      </c>
      <c r="G44" s="47">
        <f ca="1">IF(A44&lt;$G$2,IFERROR(VLOOKUP(CONCATENATE($G$2,A44),vv_értékek!$E$2:$G$1046,3,0)/100000*$B$10,0)+(D44-L44)*0.5+E44+L44,F44)</f>
        <v>0</v>
      </c>
      <c r="H44" s="47">
        <f ca="1">IF(A44&lt;$G$2,IFERROR(VLOOKUP(CONCATENATE($G$2,A44),vv_értékek!$E$2:$G$1046,2,0)/100000*$B$10,0),C44)</f>
        <v>0</v>
      </c>
      <c r="I44" s="47">
        <f ca="1">IF(A44&lt;$G$2,IFERROR(VLOOKUP(CONCATENATE($G$2,A44),vv_értékek!$E$2:$G$1046,3,0)/100000*$B$10,0),C44)</f>
        <v>0</v>
      </c>
      <c r="J44" s="51">
        <f t="shared" ca="1" si="2"/>
        <v>1139324.2410681627</v>
      </c>
      <c r="K44" s="51">
        <f t="shared" ca="1" si="3"/>
        <v>-1139324.2410681627</v>
      </c>
      <c r="L44" s="47">
        <f ca="1">D44-Kalkulátor!G63</f>
        <v>0</v>
      </c>
    </row>
    <row r="45" spans="1:12">
      <c r="A45" s="45">
        <v>28</v>
      </c>
      <c r="B45" s="47">
        <f t="shared" ca="1" si="1"/>
        <v>0</v>
      </c>
      <c r="C45" s="47">
        <f ca="1">INDEX(Tartalék!$B$2:$AM$95,ÉV!$A45,$G$2-9)/100000*$B$10+IF(AND($I$2&gt;$G$2,A45=$G$2+1),VALUE(C44),0)</f>
        <v>0</v>
      </c>
      <c r="D45" s="47">
        <f ca="1">SUMIFS(HÓ!$Q$2:$Q$578,HÓ!$A$2:$A$578,$A45,HÓ!$B$2:$B$578,12)*IF(A45&gt;$G$2,0,1)+IF(A45&gt;$G$2,SUMIFS(HÓ!$Q$2:$Q$578,HÓ!$A$2:$A$578,$A45,HÓ!$D$2:$D$578,$J$2),0)</f>
        <v>0</v>
      </c>
      <c r="E45" s="47">
        <f ca="1">SUMIFS(HÓ!$O$2:$O$578,HÓ!$A$2:$A$578,$A45,HÓ!$B$2:$B$578,12)*IF(A45&gt;$G$2,0,1)+IF(A45&gt;$G$2,SUMIFS(HÓ!$O$2:$O$578,HÓ!$A$2:$A$578,$A45,HÓ!$D$2:$D$578,$J$2),0)</f>
        <v>0</v>
      </c>
      <c r="F45" s="47">
        <f ca="1">C45+D45+E45</f>
        <v>0</v>
      </c>
      <c r="G45" s="47">
        <f ca="1">IF(A45&lt;$G$2,IFERROR(VLOOKUP(CONCATENATE($G$2,A45),vv_értékek!$E$2:$G$1046,3,0)/100000*$B$10,0)+(D45-L45)*0.5+E45+L45,F45)</f>
        <v>0</v>
      </c>
      <c r="H45" s="47">
        <f ca="1">IF(A45&lt;$G$2,IFERROR(VLOOKUP(CONCATENATE($G$2,A45),vv_értékek!$E$2:$G$1046,2,0)/100000*$B$10,0),C45)</f>
        <v>0</v>
      </c>
      <c r="I45" s="47">
        <f ca="1">IF(A45&lt;$G$2,IFERROR(VLOOKUP(CONCATENATE($G$2,A45),vv_értékek!$E$2:$G$1046,3,0)/100000*$B$10,0),C45)</f>
        <v>0</v>
      </c>
      <c r="J45" s="51">
        <f ca="1">MIN(B44*0.2,  130000)  +    J44</f>
        <v>1139324.2410681627</v>
      </c>
      <c r="K45" s="51">
        <f t="shared" ca="1" si="3"/>
        <v>-1139324.2410681627</v>
      </c>
      <c r="L45" s="47">
        <f ca="1">D45-Kalkulátor!G64</f>
        <v>0</v>
      </c>
    </row>
    <row r="46" spans="1:12">
      <c r="A46" s="45">
        <v>29</v>
      </c>
      <c r="B46" s="47">
        <f t="shared" ca="1" si="1"/>
        <v>0</v>
      </c>
      <c r="C46" s="47">
        <f ca="1">INDEX(Tartalék!$B$2:$AM$95,ÉV!$A46,$G$2-9)/100000*$B$10+IF(AND($I$2&gt;$G$2,A46=$G$2+1),VALUE(C45),0)</f>
        <v>0</v>
      </c>
      <c r="D46" s="47">
        <f ca="1">SUMIFS(HÓ!$Q$2:$Q$578,HÓ!$A$2:$A$578,$A46,HÓ!$B$2:$B$578,12)*IF(A46&gt;$G$2,0,1)+IF(A46&gt;$G$2,SUMIFS(HÓ!$Q$2:$Q$578,HÓ!$A$2:$A$578,$A46,HÓ!$D$2:$D$578,$J$2),0)</f>
        <v>0</v>
      </c>
      <c r="E46" s="47">
        <f ca="1">SUMIFS(HÓ!$O$2:$O$578,HÓ!$A$2:$A$578,$A46,HÓ!$B$2:$B$578,12)*IF(A46&gt;$G$2,0,1)+IF(A46&gt;$G$2,SUMIFS(HÓ!$O$2:$O$578,HÓ!$A$2:$A$578,$A46,HÓ!$D$2:$D$578,$J$2),0)</f>
        <v>0</v>
      </c>
      <c r="F46" s="47">
        <f t="shared" ca="1" si="0"/>
        <v>0</v>
      </c>
      <c r="G46" s="47">
        <f ca="1">IF(A46&lt;$G$2,IFERROR(VLOOKUP(CONCATENATE($G$2,A46),vv_értékek!$E$2:$G$1046,3,0)/100000*$B$10,0)+(D46-L46)*0.5+E46+L46,F46)</f>
        <v>0</v>
      </c>
      <c r="H46" s="47">
        <f ca="1">IF(A46&lt;$G$2,IFERROR(VLOOKUP(CONCATENATE($G$2,A46),vv_értékek!$E$2:$G$1046,2,0)/100000*$B$10,0),C46)</f>
        <v>0</v>
      </c>
      <c r="I46" s="47">
        <f ca="1">IF(A46&lt;$G$2,IFERROR(VLOOKUP(CONCATENATE($G$2,A46),vv_értékek!$E$2:$G$1046,3,0)/100000*$B$10,0),C46)</f>
        <v>0</v>
      </c>
      <c r="J46" s="51">
        <f t="shared" ca="1" si="2"/>
        <v>1139324.2410681627</v>
      </c>
      <c r="K46" s="51">
        <f t="shared" ca="1" si="3"/>
        <v>-1139324.2410681627</v>
      </c>
      <c r="L46" s="47">
        <f ca="1">D46-Kalkulátor!G65</f>
        <v>0</v>
      </c>
    </row>
    <row r="47" spans="1:12">
      <c r="A47" s="45">
        <v>30</v>
      </c>
      <c r="B47" s="47">
        <f t="shared" ca="1" si="1"/>
        <v>0</v>
      </c>
      <c r="C47" s="47">
        <f ca="1">INDEX(Tartalék!$B$2:$AM$95,ÉV!$A47,$G$2-9)/100000*$B$10+IF(AND($I$2&gt;$G$2,A47=$G$2+1),VALUE(C46),0)</f>
        <v>0</v>
      </c>
      <c r="D47" s="47">
        <f ca="1">SUMIFS(HÓ!$Q$2:$Q$578,HÓ!$A$2:$A$578,$A47,HÓ!$B$2:$B$578,12)*IF(A47&gt;$G$2,0,1)+IF(A47&gt;$G$2,SUMIFS(HÓ!$Q$2:$Q$578,HÓ!$A$2:$A$578,$A47,HÓ!$D$2:$D$578,$J$2),0)</f>
        <v>0</v>
      </c>
      <c r="E47" s="47">
        <f ca="1">SUMIFS(HÓ!$O$2:$O$578,HÓ!$A$2:$A$578,$A47,HÓ!$B$2:$B$578,12)*IF(A47&gt;$G$2,0,1)+IF(A47&gt;$G$2,SUMIFS(HÓ!$O$2:$O$578,HÓ!$A$2:$A$578,$A47,HÓ!$D$2:$D$578,$J$2),0)</f>
        <v>0</v>
      </c>
      <c r="F47" s="47">
        <f t="shared" ca="1" si="0"/>
        <v>0</v>
      </c>
      <c r="G47" s="47">
        <f ca="1">IF(A47&lt;$G$2,IFERROR(VLOOKUP(CONCATENATE($G$2,A47),vv_értékek!$E$2:$G$1046,3,0)/100000*$B$10,0)+(D47-L47)*0.5+E47+L47,F47)</f>
        <v>0</v>
      </c>
      <c r="H47" s="47">
        <f ca="1">IF(A47&lt;$G$2,IFERROR(VLOOKUP(CONCATENATE($G$2,A47),vv_értékek!$E$2:$G$1046,2,0)/100000*$B$10,0),C47)</f>
        <v>0</v>
      </c>
      <c r="I47" s="47">
        <f ca="1">IF(A47&lt;$G$2,IFERROR(VLOOKUP(CONCATENATE($G$2,A47),vv_értékek!$E$2:$G$1046,3,0)/100000*$B$10,0),C47)</f>
        <v>0</v>
      </c>
      <c r="J47" s="51">
        <f t="shared" ca="1" si="2"/>
        <v>1139324.2410681627</v>
      </c>
      <c r="K47" s="51">
        <f t="shared" ca="1" si="3"/>
        <v>-1139324.2410681627</v>
      </c>
      <c r="L47" s="47">
        <f ca="1">D47-Kalkulátor!G66</f>
        <v>0</v>
      </c>
    </row>
    <row r="48" spans="1:12">
      <c r="A48" s="45">
        <v>31</v>
      </c>
      <c r="B48" s="47">
        <f t="shared" ca="1" si="1"/>
        <v>0</v>
      </c>
      <c r="C48" s="47">
        <f ca="1">INDEX(Tartalék!$B$2:$AM$95,ÉV!$A48,$G$2-9)/100000*$B$10+IF(AND($I$2&gt;$G$2,A48=$G$2+1),VALUE(C47),0)</f>
        <v>0</v>
      </c>
      <c r="D48" s="47">
        <f ca="1">SUMIFS(HÓ!$Q$2:$Q$578,HÓ!$A$2:$A$578,$A48,HÓ!$B$2:$B$578,12)*IF(A48&gt;$G$2,0,1)+IF(A48&gt;$G$2,SUMIFS(HÓ!$Q$2:$Q$578,HÓ!$A$2:$A$578,$A48,HÓ!$D$2:$D$578,$J$2),0)</f>
        <v>0</v>
      </c>
      <c r="E48" s="47">
        <f ca="1">SUMIFS(HÓ!$O$2:$O$578,HÓ!$A$2:$A$578,$A48,HÓ!$B$2:$B$578,12)*IF(A48&gt;$G$2,0,1)+IF(A48&gt;$G$2,SUMIFS(HÓ!$O$2:$O$578,HÓ!$A$2:$A$578,$A48,HÓ!$D$2:$D$578,$J$2),0)</f>
        <v>0</v>
      </c>
      <c r="F48" s="47">
        <f t="shared" ca="1" si="0"/>
        <v>0</v>
      </c>
      <c r="G48" s="47">
        <f ca="1">IF(A48&lt;$G$2,IFERROR(VLOOKUP(CONCATENATE($G$2,A48),vv_értékek!$E$2:$G$1046,3,0)/100000*$B$10,0)+(D48-L48)*0.5+E48+L48,F48)</f>
        <v>0</v>
      </c>
      <c r="H48" s="47">
        <f ca="1">IF(A48&lt;$G$2,IFERROR(VLOOKUP(CONCATENATE($G$2,A48),vv_értékek!$E$2:$G$1046,2,0)/100000*$B$10,0),C48)</f>
        <v>0</v>
      </c>
      <c r="I48" s="47">
        <f ca="1">IF(A48&lt;$G$2,IFERROR(VLOOKUP(CONCATENATE($G$2,A48),vv_értékek!$E$2:$G$1046,3,0)/100000*$B$10,0),C48)</f>
        <v>0</v>
      </c>
      <c r="J48" s="51">
        <f t="shared" ca="1" si="2"/>
        <v>1139324.2410681627</v>
      </c>
      <c r="K48" s="51">
        <f t="shared" ca="1" si="3"/>
        <v>-1139324.2410681627</v>
      </c>
      <c r="L48" s="47">
        <f ca="1">D48-Kalkulátor!G67</f>
        <v>0</v>
      </c>
    </row>
    <row r="49" spans="1:12">
      <c r="A49" s="45">
        <v>32</v>
      </c>
      <c r="B49" s="47">
        <f t="shared" ca="1" si="1"/>
        <v>0</v>
      </c>
      <c r="C49" s="47">
        <f ca="1">INDEX(Tartalék!$B$2:$AM$95,ÉV!$A49,$G$2-9)/100000*$B$10+IF(AND($I$2&gt;$G$2,A49=$G$2+1),VALUE(C48),0)</f>
        <v>0</v>
      </c>
      <c r="D49" s="47">
        <f ca="1">SUMIFS(HÓ!$Q$2:$Q$578,HÓ!$A$2:$A$578,$A49,HÓ!$B$2:$B$578,12)*IF(A49&gt;$G$2,0,1)+IF(A49&gt;$G$2,SUMIFS(HÓ!$Q$2:$Q$578,HÓ!$A$2:$A$578,$A49,HÓ!$D$2:$D$578,$J$2),0)</f>
        <v>0</v>
      </c>
      <c r="E49" s="47">
        <f ca="1">SUMIFS(HÓ!$O$2:$O$578,HÓ!$A$2:$A$578,$A49,HÓ!$B$2:$B$578,12)*IF(A49&gt;$G$2,0,1)+IF(A49&gt;$G$2,SUMIFS(HÓ!$O$2:$O$578,HÓ!$A$2:$A$578,$A49,HÓ!$D$2:$D$578,$J$2),0)</f>
        <v>0</v>
      </c>
      <c r="F49" s="47">
        <f t="shared" ca="1" si="0"/>
        <v>0</v>
      </c>
      <c r="G49" s="47">
        <f ca="1">IF(A49&lt;$G$2,IFERROR(VLOOKUP(CONCATENATE($G$2,A49),vv_értékek!$E$2:$G$1046,3,0)/100000*$B$10,0)+(D49-L49)*0.5+E49+L49,F49)</f>
        <v>0</v>
      </c>
      <c r="H49" s="47">
        <f ca="1">IF(A49&lt;$G$2,IFERROR(VLOOKUP(CONCATENATE($G$2,A49),vv_értékek!$E$2:$G$1046,2,0)/100000*$B$10,0),C49)</f>
        <v>0</v>
      </c>
      <c r="I49" s="47">
        <f ca="1">IF(A49&lt;$G$2,IFERROR(VLOOKUP(CONCATENATE($G$2,A49),vv_értékek!$E$2:$G$1046,3,0)/100000*$B$10,0),C49)</f>
        <v>0</v>
      </c>
      <c r="J49" s="51">
        <f t="shared" ca="1" si="2"/>
        <v>1139324.2410681627</v>
      </c>
      <c r="K49" s="51">
        <f t="shared" ca="1" si="3"/>
        <v>-1139324.2410681627</v>
      </c>
      <c r="L49" s="47">
        <f ca="1">D49-Kalkulátor!G68</f>
        <v>0</v>
      </c>
    </row>
    <row r="50" spans="1:12">
      <c r="A50" s="45">
        <v>33</v>
      </c>
      <c r="B50" s="47">
        <f t="shared" ca="1" si="1"/>
        <v>0</v>
      </c>
      <c r="C50" s="47">
        <f ca="1">INDEX(Tartalék!$B$2:$AM$95,ÉV!$A50,$G$2-9)/100000*$B$10+IF(AND($I$2&gt;$G$2,A50=$G$2+1),VALUE(C49),0)</f>
        <v>0</v>
      </c>
      <c r="D50" s="47">
        <f ca="1">SUMIFS(HÓ!$Q$2:$Q$578,HÓ!$A$2:$A$578,$A50,HÓ!$B$2:$B$578,12)*IF(A50&gt;$G$2,0,1)+IF(A50&gt;$G$2,SUMIFS(HÓ!$Q$2:$Q$578,HÓ!$A$2:$A$578,$A50,HÓ!$D$2:$D$578,$J$2),0)</f>
        <v>0</v>
      </c>
      <c r="E50" s="47">
        <f ca="1">SUMIFS(HÓ!$O$2:$O$578,HÓ!$A$2:$A$578,$A50,HÓ!$B$2:$B$578,12)*IF(A50&gt;$G$2,0,1)+IF(A50&gt;$G$2,SUMIFS(HÓ!$O$2:$O$578,HÓ!$A$2:$A$578,$A50,HÓ!$D$2:$D$578,$J$2),0)</f>
        <v>0</v>
      </c>
      <c r="F50" s="47">
        <f ca="1">C50+D50+E50</f>
        <v>0</v>
      </c>
      <c r="G50" s="47">
        <f ca="1">IF(A50&lt;$G$2,IFERROR(VLOOKUP(CONCATENATE($G$2,A50),vv_értékek!$E$2:$G$1046,3,0)/100000*$B$10,0)+(D50-L50)*0.5+E50+L50,F50)</f>
        <v>0</v>
      </c>
      <c r="H50" s="47">
        <f ca="1">IF(A50&lt;$G$2,IFERROR(VLOOKUP(CONCATENATE($G$2,A50),vv_értékek!$E$2:$G$1046,2,0)/100000*$B$10,0),C50)</f>
        <v>0</v>
      </c>
      <c r="I50" s="47">
        <f ca="1">IF(A50&lt;$G$2,IFERROR(VLOOKUP(CONCATENATE($G$2,A50),vv_értékek!$E$2:$G$1046,3,0)/100000*$B$10,0),C50)</f>
        <v>0</v>
      </c>
      <c r="J50" s="51">
        <f t="shared" ca="1" si="2"/>
        <v>1139324.2410681627</v>
      </c>
      <c r="K50" s="51">
        <f t="shared" ca="1" si="3"/>
        <v>-1139324.2410681627</v>
      </c>
      <c r="L50" s="47">
        <f ca="1">D50-Kalkulátor!G69</f>
        <v>0</v>
      </c>
    </row>
    <row r="51" spans="1:12">
      <c r="A51" s="45">
        <v>34</v>
      </c>
      <c r="B51" s="47">
        <f t="shared" ca="1" si="1"/>
        <v>0</v>
      </c>
      <c r="C51" s="47">
        <f ca="1">INDEX(Tartalék!$B$2:$AM$95,ÉV!$A51,$G$2-9)/100000*$B$10+IF(AND($I$2&gt;$G$2,A51=$G$2+1),VALUE(C50),0)</f>
        <v>0</v>
      </c>
      <c r="D51" s="47">
        <f ca="1">SUMIFS(HÓ!$Q$2:$Q$578,HÓ!$A$2:$A$578,$A51,HÓ!$B$2:$B$578,12)*IF(A51&gt;$G$2,0,1)+IF(A51&gt;$G$2,SUMIFS(HÓ!$Q$2:$Q$578,HÓ!$A$2:$A$578,$A51,HÓ!$D$2:$D$578,$J$2),0)</f>
        <v>0</v>
      </c>
      <c r="E51" s="47">
        <f ca="1">SUMIFS(HÓ!$O$2:$O$578,HÓ!$A$2:$A$578,$A51,HÓ!$B$2:$B$578,12)*IF(A51&gt;$G$2,0,1)+IF(A51&gt;$G$2,SUMIFS(HÓ!$O$2:$O$578,HÓ!$A$2:$A$578,$A51,HÓ!$D$2:$D$578,$J$2),0)</f>
        <v>0</v>
      </c>
      <c r="F51" s="47">
        <f t="shared" ca="1" si="0"/>
        <v>0</v>
      </c>
      <c r="G51" s="47">
        <f ca="1">IF(A51&lt;$G$2,IFERROR(VLOOKUP(CONCATENATE($G$2,A51),vv_értékek!$E$2:$G$1046,3,0)/100000*$B$10,0)+(D51-L51)*0.5+E51+L51,F51)</f>
        <v>0</v>
      </c>
      <c r="H51" s="47">
        <f ca="1">IF(A51&lt;$G$2,IFERROR(VLOOKUP(CONCATENATE($G$2,A51),vv_értékek!$E$2:$G$1046,2,0)/100000*$B$10,0),C51)</f>
        <v>0</v>
      </c>
      <c r="I51" s="47">
        <f ca="1">IF(A51&lt;$G$2,IFERROR(VLOOKUP(CONCATENATE($G$2,A51),vv_értékek!$E$2:$G$1046,3,0)/100000*$B$10,0),C51)</f>
        <v>0</v>
      </c>
      <c r="J51" s="51">
        <f t="shared" ca="1" si="2"/>
        <v>1139324.2410681627</v>
      </c>
      <c r="K51" s="51">
        <f t="shared" ca="1" si="3"/>
        <v>-1139324.2410681627</v>
      </c>
      <c r="L51" s="47">
        <f ca="1">D51-Kalkulátor!G70</f>
        <v>0</v>
      </c>
    </row>
    <row r="52" spans="1:12">
      <c r="A52" s="45">
        <v>35</v>
      </c>
      <c r="B52" s="47">
        <f t="shared" ca="1" si="1"/>
        <v>0</v>
      </c>
      <c r="C52" s="47">
        <f ca="1">INDEX(Tartalék!$B$2:$AM$95,ÉV!$A52,$G$2-9)/100000*$B$10+IF(AND($I$2&gt;$G$2,A52=$G$2+1),VALUE(C51),0)</f>
        <v>0</v>
      </c>
      <c r="D52" s="47">
        <f ca="1">SUMIFS(HÓ!$Q$2:$Q$578,HÓ!$A$2:$A$578,$A52,HÓ!$B$2:$B$578,12)*IF(A52&gt;$G$2,0,1)+IF(A52&gt;$G$2,SUMIFS(HÓ!$Q$2:$Q$578,HÓ!$A$2:$A$578,$A52,HÓ!$D$2:$D$578,$J$2),0)</f>
        <v>0</v>
      </c>
      <c r="E52" s="47">
        <f ca="1">SUMIFS(HÓ!$O$2:$O$578,HÓ!$A$2:$A$578,$A52,HÓ!$B$2:$B$578,12)*IF(A52&gt;$G$2,0,1)+IF(A52&gt;$G$2,SUMIFS(HÓ!$O$2:$O$578,HÓ!$A$2:$A$578,$A52,HÓ!$D$2:$D$578,$J$2),0)</f>
        <v>0</v>
      </c>
      <c r="F52" s="47">
        <f t="shared" ca="1" si="0"/>
        <v>0</v>
      </c>
      <c r="G52" s="47">
        <f ca="1">IF(A52&lt;$G$2,IFERROR(VLOOKUP(CONCATENATE($G$2,A52),vv_értékek!$E$2:$G$1046,3,0)/100000*$B$10,0)+(D52-L52)*0.5+E52+L52,F52)</f>
        <v>0</v>
      </c>
      <c r="H52" s="47">
        <f ca="1">IF(A52&lt;$G$2,IFERROR(VLOOKUP(CONCATENATE($G$2,A52),vv_értékek!$E$2:$G$1046,2,0)/100000*$B$10,0),C52)</f>
        <v>0</v>
      </c>
      <c r="I52" s="47">
        <f ca="1">IF(A52&lt;$G$2,IFERROR(VLOOKUP(CONCATENATE($G$2,A52),vv_értékek!$E$2:$G$1046,3,0)/100000*$B$10,0),C52)</f>
        <v>0</v>
      </c>
      <c r="J52" s="51">
        <f t="shared" ca="1" si="2"/>
        <v>1139324.2410681627</v>
      </c>
      <c r="K52" s="51">
        <f ca="1">E52-J52</f>
        <v>-1139324.2410681627</v>
      </c>
      <c r="L52" s="47">
        <f ca="1">D52-Kalkulátor!G71</f>
        <v>0</v>
      </c>
    </row>
    <row r="53" spans="1:12">
      <c r="A53" s="45">
        <v>36</v>
      </c>
      <c r="B53" s="47">
        <f t="shared" ca="1" si="1"/>
        <v>0</v>
      </c>
      <c r="C53" s="47">
        <f ca="1">INDEX(Tartalék!$B$2:$AM$95,ÉV!$A53,$G$2-9)/100000*$B$10+IF(AND($I$2&gt;$G$2,A53=$G$2+1),VALUE(C52),0)</f>
        <v>0</v>
      </c>
      <c r="D53" s="47">
        <f ca="1">SUMIFS(HÓ!$Q$2:$Q$578,HÓ!$A$2:$A$578,$A53,HÓ!$B$2:$B$578,12)*IF(A53&gt;$G$2,0,1)+IF(A53&gt;$G$2,SUMIFS(HÓ!$Q$2:$Q$578,HÓ!$A$2:$A$578,$A53,HÓ!$D$2:$D$578,$J$2),0)</f>
        <v>0</v>
      </c>
      <c r="E53" s="47">
        <f ca="1">SUMIFS(HÓ!$O$2:$O$578,HÓ!$A$2:$A$578,$A53,HÓ!$B$2:$B$578,12)*IF(A53&gt;$G$2,0,1)+IF(A53&gt;$G$2,SUMIFS(HÓ!$O$2:$O$578,HÓ!$A$2:$A$578,$A53,HÓ!$D$2:$D$578,$J$2),0)</f>
        <v>0</v>
      </c>
      <c r="F53" s="47">
        <f t="shared" ca="1" si="0"/>
        <v>0</v>
      </c>
      <c r="G53" s="47">
        <f ca="1">IF(A53&lt;$G$2,IFERROR(VLOOKUP(CONCATENATE($G$2,A53),vv_értékek!$E$2:$G$1046,3,0)/100000*$B$10,0)+(D53-L53)*0.5+E53+L53,F53)</f>
        <v>0</v>
      </c>
      <c r="H53" s="47">
        <f ca="1">IF(A53&lt;$G$2,IFERROR(VLOOKUP(CONCATENATE($G$2,A53),vv_értékek!$E$2:$G$1046,2,0)/100000*$B$10,0),C53)</f>
        <v>0</v>
      </c>
      <c r="I53" s="47">
        <f ca="1">IF(A53&lt;$G$2,IFERROR(VLOOKUP(CONCATENATE($G$2,A53),vv_értékek!$E$2:$G$1046,3,0)/100000*$B$10,0),C53)</f>
        <v>0</v>
      </c>
      <c r="J53" s="51">
        <f t="shared" ca="1" si="2"/>
        <v>1139324.2410681627</v>
      </c>
      <c r="K53" s="51">
        <f t="shared" ca="1" si="3"/>
        <v>-1139324.2410681627</v>
      </c>
      <c r="L53" s="47">
        <f ca="1">D53-Kalkulátor!G72</f>
        <v>0</v>
      </c>
    </row>
    <row r="54" spans="1:12">
      <c r="A54" s="45">
        <v>37</v>
      </c>
      <c r="B54" s="47">
        <f t="shared" ca="1" si="1"/>
        <v>0</v>
      </c>
      <c r="C54" s="47">
        <f ca="1">INDEX(Tartalék!$B$2:$AM$95,ÉV!$A54,$G$2-9)/100000*$B$10+IF(AND($I$2&gt;$G$2,A54=$G$2+1),VALUE(C53),0)</f>
        <v>0</v>
      </c>
      <c r="D54" s="47">
        <f ca="1">SUMIFS(HÓ!$Q$2:$Q$578,HÓ!$A$2:$A$578,$A54,HÓ!$B$2:$B$578,12)*IF(A54&gt;$G$2,0,1)+IF(A54&gt;$G$2,SUMIFS(HÓ!$Q$2:$Q$578,HÓ!$A$2:$A$578,$A54,HÓ!$D$2:$D$578,$J$2),0)</f>
        <v>0</v>
      </c>
      <c r="E54" s="47">
        <f ca="1">SUMIFS(HÓ!$O$2:$O$578,HÓ!$A$2:$A$578,$A54,HÓ!$B$2:$B$578,12)*IF(A54&gt;$G$2,0,1)+IF(A54&gt;$G$2,SUMIFS(HÓ!$O$2:$O$578,HÓ!$A$2:$A$578,$A54,HÓ!$D$2:$D$578,$J$2),0)</f>
        <v>0</v>
      </c>
      <c r="F54" s="47">
        <f t="shared" ca="1" si="0"/>
        <v>0</v>
      </c>
      <c r="G54" s="47">
        <f ca="1">IF(A54&lt;$G$2,IFERROR(VLOOKUP(CONCATENATE($G$2,A54),vv_értékek!$E$2:$G$1046,3,0)/100000*$B$10,0)+(D54-L54)*0.5+E54+L54,F54)</f>
        <v>0</v>
      </c>
      <c r="H54" s="47">
        <f ca="1">IF(A54&lt;$G$2,IFERROR(VLOOKUP(CONCATENATE($G$2,A54),vv_értékek!$E$2:$G$1046,2,0)/100000*$B$10,0),C54)</f>
        <v>0</v>
      </c>
      <c r="I54" s="47">
        <f ca="1">IF(A54&lt;$G$2,IFERROR(VLOOKUP(CONCATENATE($G$2,A54),vv_értékek!$E$2:$G$1046,3,0)/100000*$B$10,0),C54)</f>
        <v>0</v>
      </c>
      <c r="J54" s="51">
        <f t="shared" ca="1" si="2"/>
        <v>1139324.2410681627</v>
      </c>
      <c r="K54" s="51">
        <f t="shared" ca="1" si="3"/>
        <v>-1139324.2410681627</v>
      </c>
      <c r="L54" s="47">
        <f ca="1">D54-Kalkulátor!G73</f>
        <v>0</v>
      </c>
    </row>
    <row r="55" spans="1:12">
      <c r="A55" s="45">
        <v>38</v>
      </c>
      <c r="B55" s="47">
        <f t="shared" ca="1" si="1"/>
        <v>0</v>
      </c>
      <c r="C55" s="47">
        <f ca="1">INDEX(Tartalék!$B$2:$AM$95,ÉV!$A55,$G$2-9)/100000*$B$10+IF(AND($I$2&gt;$G$2,A55=$G$2+1),VALUE(C54),0)</f>
        <v>0</v>
      </c>
      <c r="D55" s="47">
        <f ca="1">SUMIFS(HÓ!$Q$2:$Q$578,HÓ!$A$2:$A$578,$A55,HÓ!$B$2:$B$578,12)*IF(A55&gt;$G$2,0,1)+IF(A55&gt;$G$2,SUMIFS(HÓ!$Q$2:$Q$578,HÓ!$A$2:$A$578,$A55,HÓ!$D$2:$D$578,$J$2),0)</f>
        <v>0</v>
      </c>
      <c r="E55" s="47">
        <f ca="1">SUMIFS(HÓ!$O$2:$O$578,HÓ!$A$2:$A$578,$A55,HÓ!$B$2:$B$578,12)*IF(A55&gt;$G$2,0,1)+IF(A55&gt;$G$2,SUMIFS(HÓ!$O$2:$O$578,HÓ!$A$2:$A$578,$A55,HÓ!$D$2:$D$578,$J$2),0)</f>
        <v>0</v>
      </c>
      <c r="F55" s="47">
        <f t="shared" ca="1" si="0"/>
        <v>0</v>
      </c>
      <c r="G55" s="47">
        <f ca="1">IF(A55&lt;$G$2,IFERROR(VLOOKUP(CONCATENATE($G$2,A55),vv_értékek!$E$2:$G$1046,3,0)/100000*$B$10,0)+(D55-L55)*0.5+E55+L55,F55)</f>
        <v>0</v>
      </c>
      <c r="H55" s="47">
        <f ca="1">IF(A55&lt;$G$2,IFERROR(VLOOKUP(CONCATENATE($G$2,A55),vv_értékek!$E$2:$G$1046,2,0)/100000*$B$10,0),C55)</f>
        <v>0</v>
      </c>
      <c r="I55" s="47">
        <f ca="1">IF(A55&lt;$G$2,IFERROR(VLOOKUP(CONCATENATE($G$2,A55),vv_értékek!$E$2:$G$1046,3,0)/100000*$B$10,0),C55)</f>
        <v>0</v>
      </c>
      <c r="J55" s="51">
        <f t="shared" ca="1" si="2"/>
        <v>1139324.2410681627</v>
      </c>
      <c r="K55" s="51">
        <f t="shared" ca="1" si="3"/>
        <v>-1139324.2410681627</v>
      </c>
      <c r="L55" s="47">
        <f ca="1">D55-Kalkulátor!G74</f>
        <v>0</v>
      </c>
    </row>
    <row r="56" spans="1:12">
      <c r="A56" s="45">
        <v>39</v>
      </c>
      <c r="B56" s="47">
        <f t="shared" ca="1" si="1"/>
        <v>0</v>
      </c>
      <c r="C56" s="47">
        <f ca="1">INDEX(Tartalék!$B$2:$AM$95,ÉV!$A56,$G$2-9)/100000*$B$10+IF(AND($I$2&gt;$G$2,A56=$G$2+1),VALUE(C55),0)</f>
        <v>0</v>
      </c>
      <c r="D56" s="47">
        <f ca="1">SUMIFS(HÓ!$Q$2:$Q$578,HÓ!$A$2:$A$578,$A56,HÓ!$B$2:$B$578,12)*IF(A56&gt;$G$2,0,1)+IF(A56&gt;$G$2,SUMIFS(HÓ!$Q$2:$Q$578,HÓ!$A$2:$A$578,$A56,HÓ!$D$2:$D$578,$J$2),0)</f>
        <v>0</v>
      </c>
      <c r="E56" s="47">
        <f ca="1">SUMIFS(HÓ!$O$2:$O$578,HÓ!$A$2:$A$578,$A56,HÓ!$B$2:$B$578,12)*IF(A56&gt;$G$2,0,1)+IF(A56&gt;$G$2,SUMIFS(HÓ!$O$2:$O$578,HÓ!$A$2:$A$578,$A56,HÓ!$D$2:$D$578,$J$2),0)</f>
        <v>0</v>
      </c>
      <c r="F56" s="47">
        <f t="shared" ca="1" si="0"/>
        <v>0</v>
      </c>
      <c r="G56" s="47">
        <f ca="1">IF(A56&lt;$G$2,IFERROR(VLOOKUP(CONCATENATE($G$2,A56),vv_értékek!$E$2:$G$1046,3,0)/100000*$B$10,0)+(D56-L56)*0.5+E56+L56,F56)</f>
        <v>0</v>
      </c>
      <c r="H56" s="47">
        <f ca="1">IF(A56&lt;$G$2,IFERROR(VLOOKUP(CONCATENATE($G$2,A56),vv_értékek!$E$2:$G$1046,2,0)/100000*$B$10,0),C56)</f>
        <v>0</v>
      </c>
      <c r="I56" s="47">
        <f ca="1">IF(A56&lt;$G$2,IFERROR(VLOOKUP(CONCATENATE($G$2,A56),vv_értékek!$E$2:$G$1046,3,0)/100000*$B$10,0),C56)</f>
        <v>0</v>
      </c>
      <c r="J56" s="51">
        <f t="shared" ca="1" si="2"/>
        <v>1139324.2410681627</v>
      </c>
      <c r="K56" s="51">
        <f t="shared" ca="1" si="3"/>
        <v>-1139324.2410681627</v>
      </c>
      <c r="L56" s="47">
        <f ca="1">D56-Kalkulátor!G75</f>
        <v>0</v>
      </c>
    </row>
    <row r="57" spans="1:12">
      <c r="A57" s="45">
        <v>40</v>
      </c>
      <c r="B57" s="47">
        <f t="shared" ca="1" si="1"/>
        <v>0</v>
      </c>
      <c r="C57" s="47">
        <f ca="1">INDEX(Tartalék!$B$2:$AM$95,ÉV!$A57,$G$2-9)/100000*$B$10+IF(AND($I$2&gt;$G$2,A57=$G$2+1),VALUE(C56),0)</f>
        <v>0</v>
      </c>
      <c r="D57" s="47">
        <f ca="1">SUMIFS(HÓ!$Q$2:$Q$578,HÓ!$A$2:$A$578,$A57,HÓ!$B$2:$B$578,12)*IF(A57&gt;$G$2,0,1)+IF(A57&gt;$G$2,SUMIFS(HÓ!$Q$2:$Q$578,HÓ!$A$2:$A$578,$A57,HÓ!$D$2:$D$578,$J$2),0)</f>
        <v>0</v>
      </c>
      <c r="E57" s="47">
        <f ca="1">SUMIFS(HÓ!$O$2:$O$578,HÓ!$A$2:$A$578,$A57,HÓ!$B$2:$B$578,12)*IF(A57&gt;$G$2,0,1)+IF(A57&gt;$G$2,SUMIFS(HÓ!$O$2:$O$578,HÓ!$A$2:$A$578,$A57,HÓ!$D$2:$D$578,$J$2),0)</f>
        <v>0</v>
      </c>
      <c r="F57" s="47">
        <f t="shared" ca="1" si="0"/>
        <v>0</v>
      </c>
      <c r="G57" s="47">
        <f ca="1">IF(A57&lt;$G$2,IFERROR(VLOOKUP(CONCATENATE($G$2,A57),vv_értékek!$E$2:$G$1046,3,0)/100000*$B$10,0)+(D57-L57)*0.5+E57+L57,F57)</f>
        <v>0</v>
      </c>
      <c r="H57" s="47">
        <f ca="1">IF(A57&lt;$G$2,IFERROR(VLOOKUP(CONCATENATE($G$2,A57),vv_értékek!$E$2:$G$1046,2,0)/100000*$B$10,0),C57)</f>
        <v>0</v>
      </c>
      <c r="I57" s="47">
        <f ca="1">IF(A57&lt;$G$2,IFERROR(VLOOKUP(CONCATENATE($G$2,A57),vv_értékek!$E$2:$G$1046,3,0)/100000*$B$10,0),C57)</f>
        <v>0</v>
      </c>
      <c r="J57" s="51">
        <f t="shared" ca="1" si="2"/>
        <v>1139324.2410681627</v>
      </c>
      <c r="K57" s="51">
        <f t="shared" ca="1" si="3"/>
        <v>-1139324.2410681627</v>
      </c>
      <c r="L57" s="47">
        <f ca="1">D57-Kalkulátor!G76</f>
        <v>0</v>
      </c>
    </row>
    <row r="58" spans="1:12">
      <c r="A58" s="45">
        <v>41</v>
      </c>
      <c r="B58" s="47">
        <f t="shared" ca="1" si="1"/>
        <v>0</v>
      </c>
      <c r="C58" s="47">
        <f ca="1">INDEX(Tartalék!$B$2:$AM$95,ÉV!$A58,$G$2-9)/100000*$B$10+IF(AND($I$2&gt;$G$2,A58=$G$2+1),VALUE(C57),0)</f>
        <v>0</v>
      </c>
      <c r="D58" s="47">
        <f ca="1">SUMIFS(HÓ!$Q$2:$Q$578,HÓ!$A$2:$A$578,$A58,HÓ!$B$2:$B$578,12)*IF(A58&gt;$G$2,0,1)+IF(A58&gt;$G$2,SUMIFS(HÓ!$Q$2:$Q$578,HÓ!$A$2:$A$578,$A58,HÓ!$D$2:$D$578,$J$2),0)</f>
        <v>0</v>
      </c>
      <c r="E58" s="47">
        <f ca="1">SUMIFS(HÓ!$O$2:$O$578,HÓ!$A$2:$A$578,$A58,HÓ!$B$2:$B$578,12)*IF(A58&gt;$G$2,0,1)+IF(A58&gt;$G$2,SUMIFS(HÓ!$O$2:$O$578,HÓ!$A$2:$A$578,$A58,HÓ!$D$2:$D$578,$J$2),0)</f>
        <v>0</v>
      </c>
      <c r="F58" s="47">
        <f t="shared" ca="1" si="0"/>
        <v>0</v>
      </c>
      <c r="G58" s="47">
        <f ca="1">IF(A58&lt;$G$2,IFERROR(VLOOKUP(CONCATENATE($G$2,A58),vv_értékek!$E$2:$G$1046,3,0)/100000*$B$10,0)+(D58-L58)*0.5+E58+L58,F58)</f>
        <v>0</v>
      </c>
      <c r="H58" s="47">
        <f ca="1">IF(A58&lt;$G$2,IFERROR(VLOOKUP(CONCATENATE($G$2,A58),vv_értékek!$E$2:$G$1046,2,0)/100000*$B$10,0),C58)</f>
        <v>0</v>
      </c>
      <c r="I58" s="47">
        <f ca="1">IF(A58&lt;$G$2,IFERROR(VLOOKUP(CONCATENATE($G$2,A58),vv_értékek!$E$2:$G$1046,3,0)/100000*$B$10,0),C58)</f>
        <v>0</v>
      </c>
      <c r="J58" s="51">
        <f t="shared" ca="1" si="2"/>
        <v>1139324.2410681627</v>
      </c>
      <c r="K58" s="51">
        <f t="shared" ca="1" si="3"/>
        <v>-1139324.2410681627</v>
      </c>
      <c r="L58" s="47">
        <f ca="1">D58-Kalkulátor!G77</f>
        <v>0</v>
      </c>
    </row>
    <row r="59" spans="1:12">
      <c r="A59" s="45">
        <v>42</v>
      </c>
      <c r="B59" s="47">
        <f t="shared" ca="1" si="1"/>
        <v>0</v>
      </c>
      <c r="C59" s="47">
        <f ca="1">INDEX(Tartalék!$B$2:$AM$95,ÉV!$A59,$G$2-9)/100000*$B$10+IF(AND($I$2&gt;$G$2,A59=$G$2+1),VALUE(C58),0)</f>
        <v>0</v>
      </c>
      <c r="D59" s="47">
        <f ca="1">SUMIFS(HÓ!$Q$2:$Q$578,HÓ!$A$2:$A$578,$A59,HÓ!$B$2:$B$578,12)*IF(A59&gt;$G$2,0,1)+IF(A59&gt;$G$2,SUMIFS(HÓ!$Q$2:$Q$578,HÓ!$A$2:$A$578,$A59,HÓ!$D$2:$D$578,$J$2),0)</f>
        <v>0</v>
      </c>
      <c r="E59" s="47">
        <f ca="1">SUMIFS(HÓ!$O$2:$O$578,HÓ!$A$2:$A$578,$A59,HÓ!$B$2:$B$578,12)*IF(A59&gt;$G$2,0,1)+IF(A59&gt;$G$2,SUMIFS(HÓ!$O$2:$O$578,HÓ!$A$2:$A$578,$A59,HÓ!$D$2:$D$578,$J$2),0)</f>
        <v>0</v>
      </c>
      <c r="F59" s="47">
        <f t="shared" ca="1" si="0"/>
        <v>0</v>
      </c>
      <c r="G59" s="47">
        <f ca="1">IF(A59&lt;$G$2,IFERROR(VLOOKUP(CONCATENATE($G$2,A59),vv_értékek!$E$2:$G$1046,3,0)/100000*$B$10,0)+(D59-L59)*0.5+E59+L59,F59)</f>
        <v>0</v>
      </c>
      <c r="H59" s="47">
        <f ca="1">IF(A59&lt;$G$2,IFERROR(VLOOKUP(CONCATENATE($G$2,A59),vv_értékek!$E$2:$G$1046,2,0)/100000*$B$10,0),C59)</f>
        <v>0</v>
      </c>
      <c r="I59" s="47">
        <f ca="1">IF(A59&lt;$G$2,IFERROR(VLOOKUP(CONCATENATE($G$2,A59),vv_értékek!$E$2:$G$1046,3,0)/100000*$B$10,0),C59)</f>
        <v>0</v>
      </c>
      <c r="J59" s="51">
        <f t="shared" ca="1" si="2"/>
        <v>1139324.2410681627</v>
      </c>
      <c r="K59" s="51">
        <f t="shared" ca="1" si="3"/>
        <v>-1139324.2410681627</v>
      </c>
      <c r="L59" s="47">
        <f ca="1">D59-Kalkulátor!G78</f>
        <v>0</v>
      </c>
    </row>
    <row r="60" spans="1:12">
      <c r="A60" s="45">
        <v>43</v>
      </c>
      <c r="B60" s="47">
        <f t="shared" ca="1" si="1"/>
        <v>0</v>
      </c>
      <c r="C60" s="47">
        <f ca="1">INDEX(Tartalék!$B$2:$AM$95,ÉV!$A60,$G$2-9)/100000*$B$10+IF(AND($I$2&gt;$G$2,A60=$G$2+1),VALUE(C59),0)</f>
        <v>0</v>
      </c>
      <c r="D60" s="47">
        <f ca="1">SUMIFS(HÓ!$Q$2:$Q$578,HÓ!$A$2:$A$578,$A60,HÓ!$B$2:$B$578,12)*IF(A60&gt;$G$2,0,1)+IF(A60&gt;$G$2,SUMIFS(HÓ!$Q$2:$Q$578,HÓ!$A$2:$A$578,$A60,HÓ!$D$2:$D$578,$J$2),0)</f>
        <v>0</v>
      </c>
      <c r="E60" s="47">
        <f ca="1">SUMIFS(HÓ!$O$2:$O$578,HÓ!$A$2:$A$578,$A60,HÓ!$B$2:$B$578,12)*IF(A60&gt;$G$2,0,1)+IF(A60&gt;$G$2,SUMIFS(HÓ!$O$2:$O$578,HÓ!$A$2:$A$578,$A60,HÓ!$D$2:$D$578,$J$2),0)</f>
        <v>0</v>
      </c>
      <c r="F60" s="47">
        <f t="shared" ca="1" si="0"/>
        <v>0</v>
      </c>
      <c r="G60" s="47">
        <f ca="1">IF(A60&lt;$G$2,IFERROR(VLOOKUP(CONCATENATE($G$2,A60),vv_értékek!$E$2:$G$1046,3,0)/100000*$B$10,0)+(D60-L60)*0.5+E60+L60,F60)</f>
        <v>0</v>
      </c>
      <c r="H60" s="47">
        <f ca="1">IF(A60&lt;$G$2,IFERROR(VLOOKUP(CONCATENATE($G$2,A60),vv_értékek!$E$2:$G$1046,2,0)/100000*$B$10,0),C60)</f>
        <v>0</v>
      </c>
      <c r="I60" s="47">
        <f ca="1">IF(A60&lt;$G$2,IFERROR(VLOOKUP(CONCATENATE($G$2,A60),vv_értékek!$E$2:$G$1046,3,0)/100000*$B$10,0),C60)</f>
        <v>0</v>
      </c>
      <c r="J60" s="51">
        <f t="shared" ca="1" si="2"/>
        <v>1139324.2410681627</v>
      </c>
      <c r="K60" s="51">
        <f t="shared" ca="1" si="3"/>
        <v>-1139324.2410681627</v>
      </c>
      <c r="L60" s="47">
        <f ca="1">D60-Kalkulátor!G79</f>
        <v>0</v>
      </c>
    </row>
    <row r="61" spans="1:12">
      <c r="A61" s="45">
        <v>44</v>
      </c>
      <c r="B61" s="47">
        <f t="shared" ca="1" si="1"/>
        <v>0</v>
      </c>
      <c r="C61" s="47">
        <f ca="1">INDEX(Tartalék!$B$2:$AM$95,ÉV!$A61,$G$2-9)/100000*$B$10+IF(AND($I$2&gt;$G$2,A61=$G$2+1),VALUE(C60),0)</f>
        <v>0</v>
      </c>
      <c r="D61" s="47">
        <f ca="1">SUMIFS(HÓ!$Q$2:$Q$578,HÓ!$A$2:$A$578,$A61,HÓ!$B$2:$B$578,12)*IF(A61&gt;$G$2,0,1)+IF(A61&gt;$G$2,SUMIFS(HÓ!$Q$2:$Q$578,HÓ!$A$2:$A$578,$A61,HÓ!$D$2:$D$578,$J$2),0)</f>
        <v>0</v>
      </c>
      <c r="E61" s="47">
        <f ca="1">SUMIFS(HÓ!$O$2:$O$578,HÓ!$A$2:$A$578,$A61,HÓ!$B$2:$B$578,12)*IF(A61&gt;$G$2,0,1)+IF(A61&gt;$G$2,SUMIFS(HÓ!$O$2:$O$578,HÓ!$A$2:$A$578,$A61,HÓ!$D$2:$D$578,$J$2),0)</f>
        <v>0</v>
      </c>
      <c r="F61" s="47">
        <f t="shared" ca="1" si="0"/>
        <v>0</v>
      </c>
      <c r="G61" s="47">
        <f ca="1">IF(A61&lt;$G$2,IFERROR(VLOOKUP(CONCATENATE($G$2,A61),vv_értékek!$E$2:$G$1046,3,0)/100000*$B$10,0)+(D61-L61)*0.5+E61+L61,F61)</f>
        <v>0</v>
      </c>
      <c r="H61" s="47">
        <f ca="1">IF(A61&lt;$G$2,IFERROR(VLOOKUP(CONCATENATE($G$2,A61),vv_értékek!$E$2:$G$1046,2,0)/100000*$B$10,0),C61)</f>
        <v>0</v>
      </c>
      <c r="I61" s="47">
        <f ca="1">IF(A61&lt;$G$2,IFERROR(VLOOKUP(CONCATENATE($G$2,A61),vv_értékek!$E$2:$G$1046,3,0)/100000*$B$10,0),C61)</f>
        <v>0</v>
      </c>
      <c r="J61" s="51">
        <f t="shared" ca="1" si="2"/>
        <v>1139324.2410681627</v>
      </c>
      <c r="K61" s="51">
        <f t="shared" ca="1" si="3"/>
        <v>-1139324.2410681627</v>
      </c>
      <c r="L61" s="47">
        <f ca="1">D61-Kalkulátor!G80</f>
        <v>0</v>
      </c>
    </row>
    <row r="62" spans="1:12">
      <c r="A62" s="45">
        <v>45</v>
      </c>
      <c r="B62" s="47">
        <f t="shared" ca="1" si="1"/>
        <v>0</v>
      </c>
      <c r="C62" s="47">
        <f ca="1">INDEX(Tartalék!$B$2:$AM$95,ÉV!$A62,$G$2-9)/100000*$B$10+IF(AND($I$2&gt;$G$2,A62=$G$2+1),VALUE(C61),0)</f>
        <v>0</v>
      </c>
      <c r="D62" s="47">
        <f ca="1">SUMIFS(HÓ!$Q$2:$Q$578,HÓ!$A$2:$A$578,$A62,HÓ!$B$2:$B$578,12)*IF(A62&gt;$G$2,0,1)+IF(A62&gt;$G$2,SUMIFS(HÓ!$Q$2:$Q$578,HÓ!$A$2:$A$578,$A62,HÓ!$D$2:$D$578,$J$2),0)</f>
        <v>0</v>
      </c>
      <c r="E62" s="47">
        <f ca="1">SUMIFS(HÓ!$O$2:$O$578,HÓ!$A$2:$A$578,$A62,HÓ!$B$2:$B$578,12)*IF(A62&gt;$G$2,0,1)+IF(A62&gt;$G$2,SUMIFS(HÓ!$O$2:$O$578,HÓ!$A$2:$A$578,$A62,HÓ!$D$2:$D$578,$J$2),0)</f>
        <v>0</v>
      </c>
      <c r="F62" s="47">
        <f t="shared" ca="1" si="0"/>
        <v>0</v>
      </c>
      <c r="G62" s="47">
        <f ca="1">IF(A62&lt;$G$2,IFERROR(VLOOKUP(CONCATENATE($G$2,A62),vv_értékek!$E$2:$G$1046,3,0)/100000*$B$10,0)+(D62-L62)*0.5+E62+L62,F62)</f>
        <v>0</v>
      </c>
      <c r="H62" s="47">
        <f ca="1">IF(A62&lt;$G$2,IFERROR(VLOOKUP(CONCATENATE($G$2,A62),vv_értékek!$E$2:$G$1046,2,0)/100000*$B$10,0),C62)</f>
        <v>0</v>
      </c>
      <c r="I62" s="47">
        <f ca="1">IF(A62&lt;$G$2,IFERROR(VLOOKUP(CONCATENATE($G$2,A62),vv_értékek!$E$2:$G$1046,3,0)/100000*$B$10,0),C62)</f>
        <v>0</v>
      </c>
      <c r="J62" s="51">
        <f t="shared" ca="1" si="2"/>
        <v>1139324.2410681627</v>
      </c>
      <c r="K62" s="51">
        <f t="shared" ca="1" si="3"/>
        <v>-1139324.2410681627</v>
      </c>
      <c r="L62" s="47">
        <f ca="1">D62-Kalkulátor!G81</f>
        <v>0</v>
      </c>
    </row>
    <row r="63" spans="1:12">
      <c r="A63" s="45">
        <v>46</v>
      </c>
      <c r="B63" s="47">
        <f t="shared" ca="1" si="1"/>
        <v>0</v>
      </c>
      <c r="C63" s="47">
        <f ca="1">INDEX(Tartalék!$B$2:$AM$95,ÉV!$A63,$G$2-9)/100000*$B$10+IF(AND($I$2&gt;$G$2,A63=$G$2+1),VALUE(C62),0)</f>
        <v>0</v>
      </c>
      <c r="D63" s="47">
        <f ca="1">SUMIFS(HÓ!$Q$2:$Q$578,HÓ!$A$2:$A$578,$A63,HÓ!$B$2:$B$578,12)*IF(A63&gt;$G$2,0,1)+IF(A63&gt;$G$2,SUMIFS(HÓ!$Q$2:$Q$578,HÓ!$A$2:$A$578,$A63,HÓ!$D$2:$D$578,$J$2),0)</f>
        <v>0</v>
      </c>
      <c r="E63" s="47">
        <f ca="1">SUMIFS(HÓ!$O$2:$O$578,HÓ!$A$2:$A$578,$A63,HÓ!$B$2:$B$578,12)*IF(A63&gt;$G$2,0,1)+IF(A63&gt;$G$2,SUMIFS(HÓ!$O$2:$O$578,HÓ!$A$2:$A$578,$A63,HÓ!$D$2:$D$578,$J$2),0)</f>
        <v>0</v>
      </c>
      <c r="F63" s="47">
        <f t="shared" ca="1" si="0"/>
        <v>0</v>
      </c>
      <c r="G63" s="47">
        <f ca="1">IF(A63&lt;$G$2,IFERROR(VLOOKUP(CONCATENATE($G$2,A63),vv_értékek!$E$2:$G$1046,3,0)/100000*$B$10,0)+(D63-L63)*0.5+E63+L63,F63)</f>
        <v>0</v>
      </c>
      <c r="H63" s="47">
        <f ca="1">IF(A63&lt;$G$2,IFERROR(VLOOKUP(CONCATENATE($G$2,A63),vv_értékek!$E$2:$G$1046,2,0)/100000*$B$10,0),C63)</f>
        <v>0</v>
      </c>
      <c r="I63" s="47">
        <f ca="1">IF(A63&lt;$G$2,IFERROR(VLOOKUP(CONCATENATE($G$2,A63),vv_értékek!$E$2:$G$1046,3,0)/100000*$B$10,0),C63)</f>
        <v>0</v>
      </c>
      <c r="J63" s="51">
        <f t="shared" ca="1" si="2"/>
        <v>1139324.2410681627</v>
      </c>
      <c r="K63" s="51">
        <f t="shared" ca="1" si="3"/>
        <v>-1139324.2410681627</v>
      </c>
      <c r="L63" s="47">
        <f ca="1">D63-Kalkulátor!G82</f>
        <v>0</v>
      </c>
    </row>
    <row r="64" spans="1:12">
      <c r="A64" s="45">
        <v>47</v>
      </c>
      <c r="B64" s="47">
        <f t="shared" ca="1" si="1"/>
        <v>0</v>
      </c>
      <c r="C64" s="47">
        <f ca="1">INDEX(Tartalék!$B$2:$AM$95,ÉV!$A64,$G$2-9)/100000*$B$10+IF(AND($I$2&gt;$G$2,A64=$G$2+1),VALUE(C63),0)</f>
        <v>0</v>
      </c>
      <c r="D64" s="47">
        <f ca="1">SUMIFS(HÓ!$Q$2:$Q$578,HÓ!$A$2:$A$578,$A64,HÓ!$B$2:$B$578,12)*IF(A64&gt;$G$2,0,1)+IF(A64&gt;$G$2,SUMIFS(HÓ!$Q$2:$Q$578,HÓ!$A$2:$A$578,$A64,HÓ!$D$2:$D$578,$J$2),0)</f>
        <v>0</v>
      </c>
      <c r="E64" s="47">
        <f ca="1">SUMIFS(HÓ!$O$2:$O$578,HÓ!$A$2:$A$578,$A64,HÓ!$B$2:$B$578,12)*IF(A64&gt;$G$2,0,1)+IF(A64&gt;$G$2,SUMIFS(HÓ!$O$2:$O$578,HÓ!$A$2:$A$578,$A64,HÓ!$D$2:$D$578,$J$2),0)</f>
        <v>0</v>
      </c>
      <c r="F64" s="47">
        <f t="shared" ca="1" si="0"/>
        <v>0</v>
      </c>
      <c r="G64" s="47">
        <f ca="1">IF(A64&lt;$G$2,IFERROR(VLOOKUP(CONCATENATE($G$2,A64),vv_értékek!$E$2:$G$1046,3,0)/100000*$B$10,0)+(D64-L64)*0.5+E64+L64,F64)</f>
        <v>0</v>
      </c>
      <c r="H64" s="47">
        <f ca="1">IF(A64&lt;$G$2,IFERROR(VLOOKUP(CONCATENATE($G$2,A64),vv_értékek!$E$2:$G$1046,2,0)/100000*$B$10,0),C64)</f>
        <v>0</v>
      </c>
      <c r="I64" s="47">
        <f ca="1">IF(A64&lt;$G$2,IFERROR(VLOOKUP(CONCATENATE($G$2,A64),vv_értékek!$E$2:$G$1046,3,0)/100000*$B$10,0),C64)</f>
        <v>0</v>
      </c>
      <c r="J64" s="51">
        <f t="shared" ca="1" si="2"/>
        <v>1139324.2410681627</v>
      </c>
      <c r="K64" s="51">
        <f t="shared" ca="1" si="3"/>
        <v>-1139324.2410681627</v>
      </c>
      <c r="L64" s="47">
        <f ca="1">D64-Kalkulátor!G83</f>
        <v>0</v>
      </c>
    </row>
    <row r="65" spans="1:12">
      <c r="A65" s="45">
        <v>48</v>
      </c>
      <c r="B65" s="47">
        <f t="shared" ca="1" si="1"/>
        <v>0</v>
      </c>
      <c r="C65" s="47">
        <f ca="1">INDEX(Tartalék!$B$2:$AM$95,ÉV!$A65,$G$2-9)/100000*$B$10+IF(AND($I$2&gt;$G$2,A65=$G$2+1),VALUE(C64),0)</f>
        <v>0</v>
      </c>
      <c r="D65" s="47" t="e">
        <f ca="1">SUMIFS(HÓ!$Q$2:$Q$578,HÓ!$A$2:$A$578,$A65,HÓ!$B$2:$B$578,12)*IF(A65&gt;$G$2,0,1)+IF(A65&gt;$G$2,SUMIFS(HÓ!$Q$2:$Q$578,HÓ!$A$2:$A$578,$A65,HÓ!$D$2:$D$578,$J$2),0)</f>
        <v>#REF!</v>
      </c>
      <c r="E65" s="47">
        <f ca="1">SUMIFS(HÓ!$O$2:$O$578,HÓ!$A$2:$A$578,$A65,HÓ!$B$2:$B$578,12)*IF(A65&gt;$G$2,0,1)+IF(A65&gt;$G$2,SUMIFS(HÓ!$O$2:$O$578,HÓ!$A$2:$A$578,$A65,HÓ!$D$2:$D$578,$J$2),0)</f>
        <v>0</v>
      </c>
      <c r="F65" s="47" t="e">
        <f t="shared" ca="1" si="0"/>
        <v>#REF!</v>
      </c>
      <c r="G65" s="47" t="e">
        <f ca="1">IF(A65&lt;$G$2,IFERROR(VLOOKUP(CONCATENATE($G$2,A65),vv_értékek!$E$2:$G$1046,3,0)/100000*$B$10,0)+(D65-L65)*0.5+E65+L65,F65)</f>
        <v>#REF!</v>
      </c>
      <c r="H65" s="47">
        <f ca="1">IF(A65&lt;$G$2,IFERROR(VLOOKUP(CONCATENATE($G$2,A65),vv_értékek!$E$2:$G$1046,2,0)/100000*$B$10,0),C65)</f>
        <v>0</v>
      </c>
      <c r="I65" s="47">
        <f ca="1">IF(A65&lt;$G$2,IFERROR(VLOOKUP(CONCATENATE($G$2,A65),vv_értékek!$E$2:$G$1046,3,0)/100000*$B$10,0),C65)</f>
        <v>0</v>
      </c>
      <c r="J65" s="51">
        <f t="shared" ca="1" si="2"/>
        <v>1139324.2410681627</v>
      </c>
      <c r="K65" s="51">
        <f t="shared" ca="1" si="3"/>
        <v>-1139324.2410681627</v>
      </c>
      <c r="L65" s="47" t="e">
        <f ca="1">D65-Kalkulátor!G84</f>
        <v>#REF!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AH578"/>
  <sheetViews>
    <sheetView zoomScale="85" zoomScaleNormal="85" workbookViewId="0">
      <pane ySplit="1" topLeftCell="A256" activePane="bottomLeft" state="frozen"/>
      <selection activeCell="E25" sqref="E25:F26"/>
      <selection pane="bottomLeft" activeCell="E25" sqref="E25:F26"/>
    </sheetView>
  </sheetViews>
  <sheetFormatPr defaultRowHeight="12.75"/>
  <cols>
    <col min="1" max="1" width="7.5703125" style="265" customWidth="1"/>
    <col min="2" max="2" width="5.5703125" style="265" customWidth="1"/>
    <col min="3" max="3" width="6.85546875" style="265" customWidth="1"/>
    <col min="4" max="4" width="6" style="265" customWidth="1"/>
    <col min="5" max="5" width="6.140625" style="265" customWidth="1"/>
    <col min="6" max="6" width="6.85546875" style="267" customWidth="1"/>
    <col min="7" max="7" width="8" style="265" customWidth="1"/>
    <col min="8" max="9" width="9.28515625" style="265" bestFit="1" customWidth="1"/>
    <col min="10" max="13" width="8.42578125" style="268" customWidth="1"/>
    <col min="14" max="14" width="13.28515625" style="269" customWidth="1"/>
    <col min="15" max="15" width="10" style="265" customWidth="1"/>
    <col min="16" max="16" width="11.28515625" style="265" customWidth="1"/>
    <col min="17" max="17" width="11.28515625" style="270" customWidth="1"/>
    <col min="18" max="18" width="12.28515625" style="271" bestFit="1" customWidth="1"/>
    <col min="19" max="19" width="7.85546875" style="265" customWidth="1"/>
    <col min="20" max="20" width="8.7109375" style="265" customWidth="1"/>
    <col min="21" max="23" width="9.28515625" style="265" bestFit="1" customWidth="1"/>
    <col min="24" max="24" width="11.28515625" style="265" bestFit="1" customWidth="1"/>
    <col min="25" max="25" width="9.28515625" style="265" bestFit="1" customWidth="1"/>
    <col min="26" max="26" width="9.42578125" style="265" customWidth="1"/>
    <col min="27" max="27" width="11" style="265" customWidth="1"/>
    <col min="28" max="29" width="9.140625" style="265"/>
    <col min="30" max="30" width="10.42578125" style="265" customWidth="1"/>
    <col min="31" max="32" width="9.140625" style="265"/>
    <col min="33" max="33" width="11" style="404" bestFit="1" customWidth="1"/>
    <col min="34" max="34" width="11" style="265" customWidth="1"/>
    <col min="35" max="16384" width="9.140625" style="265"/>
  </cols>
  <sheetData>
    <row r="1" spans="1:34" s="50" customFormat="1" ht="64.5" customHeight="1">
      <c r="A1" s="138" t="s">
        <v>29</v>
      </c>
      <c r="B1" s="138" t="s">
        <v>30</v>
      </c>
      <c r="C1" s="137" t="s">
        <v>40</v>
      </c>
      <c r="D1" s="137" t="s">
        <v>41</v>
      </c>
      <c r="E1" s="50" t="s">
        <v>33</v>
      </c>
      <c r="F1" s="136" t="s">
        <v>14</v>
      </c>
      <c r="G1" s="50" t="s">
        <v>34</v>
      </c>
      <c r="H1" s="50" t="s">
        <v>44</v>
      </c>
      <c r="I1" s="50" t="s">
        <v>36</v>
      </c>
      <c r="J1" s="57" t="s">
        <v>45</v>
      </c>
      <c r="K1" s="57" t="s">
        <v>35</v>
      </c>
      <c r="L1" s="57" t="s">
        <v>31</v>
      </c>
      <c r="M1" s="57" t="s">
        <v>32</v>
      </c>
      <c r="N1" s="53" t="s">
        <v>38</v>
      </c>
      <c r="O1" s="312" t="s">
        <v>220</v>
      </c>
      <c r="P1" s="54" t="s">
        <v>37</v>
      </c>
      <c r="Q1" s="53" t="s">
        <v>39</v>
      </c>
      <c r="R1" s="55" t="s">
        <v>49</v>
      </c>
      <c r="S1" s="53" t="s">
        <v>47</v>
      </c>
      <c r="T1" s="53" t="s">
        <v>48</v>
      </c>
      <c r="U1" s="53" t="s">
        <v>46</v>
      </c>
      <c r="V1" s="53" t="s">
        <v>47</v>
      </c>
      <c r="W1" s="53" t="s">
        <v>48</v>
      </c>
      <c r="X1" s="53" t="s">
        <v>50</v>
      </c>
      <c r="Y1" s="53" t="s">
        <v>51</v>
      </c>
      <c r="Z1" s="315" t="s">
        <v>92</v>
      </c>
      <c r="AA1" s="316" t="s">
        <v>93</v>
      </c>
      <c r="AB1" s="314" t="s">
        <v>95</v>
      </c>
      <c r="AC1" s="405" t="s">
        <v>96</v>
      </c>
      <c r="AD1" s="58" t="s">
        <v>97</v>
      </c>
      <c r="AE1" s="58" t="s">
        <v>98</v>
      </c>
      <c r="AF1" s="58" t="s">
        <v>99</v>
      </c>
      <c r="AG1" s="403" t="s">
        <v>219</v>
      </c>
      <c r="AH1" s="50" t="s">
        <v>234</v>
      </c>
    </row>
    <row r="2" spans="1:34">
      <c r="A2" s="317">
        <v>1</v>
      </c>
      <c r="B2" s="317">
        <v>0</v>
      </c>
      <c r="C2" s="317"/>
      <c r="D2" s="317"/>
      <c r="E2" s="318">
        <v>5.0000000000000001E-3</v>
      </c>
      <c r="F2" s="319">
        <f>ÉV!$B$12</f>
        <v>0</v>
      </c>
      <c r="G2" s="320">
        <v>0</v>
      </c>
      <c r="H2" s="320">
        <v>0</v>
      </c>
      <c r="I2" s="320">
        <v>0</v>
      </c>
      <c r="J2" s="320">
        <v>0</v>
      </c>
      <c r="K2" s="320">
        <v>0</v>
      </c>
      <c r="L2" s="317">
        <v>0</v>
      </c>
      <c r="M2" s="317">
        <v>0</v>
      </c>
      <c r="N2" s="321">
        <v>0</v>
      </c>
      <c r="O2" s="317">
        <v>0</v>
      </c>
      <c r="P2" s="317">
        <v>0</v>
      </c>
      <c r="Q2" s="322">
        <v>0</v>
      </c>
      <c r="R2" s="323">
        <v>0</v>
      </c>
      <c r="S2" s="323">
        <v>0</v>
      </c>
      <c r="T2" s="323">
        <v>0</v>
      </c>
      <c r="U2" s="323">
        <v>0</v>
      </c>
      <c r="V2" s="317">
        <v>0</v>
      </c>
      <c r="W2" s="317">
        <v>0</v>
      </c>
      <c r="X2" s="323">
        <f>SUM($U$2:W2)</f>
        <v>0</v>
      </c>
      <c r="Y2" s="323">
        <f>X2-Q2</f>
        <v>0</v>
      </c>
      <c r="Z2" s="317"/>
      <c r="AA2" s="324"/>
      <c r="AB2" s="317"/>
      <c r="AC2" s="317"/>
      <c r="AD2" s="317"/>
      <c r="AE2" s="317"/>
      <c r="AF2" s="317"/>
      <c r="AG2" s="402"/>
    </row>
    <row r="3" spans="1:34">
      <c r="A3" s="265">
        <v>1</v>
      </c>
      <c r="B3" s="265">
        <v>1</v>
      </c>
      <c r="C3" s="265">
        <v>1</v>
      </c>
      <c r="D3" s="265">
        <f ca="1">MONTH(Kezdet)</f>
        <v>4</v>
      </c>
      <c r="E3" s="266">
        <v>5.0000000000000001E-3</v>
      </c>
      <c r="F3" s="267">
        <f>ÉV!$B$12</f>
        <v>0</v>
      </c>
      <c r="G3" s="271">
        <f ca="1">VLOOKUP(A3,ÉV!$A$18:$B$65,2,0)</f>
        <v>209350</v>
      </c>
      <c r="H3" s="271">
        <f ca="1">IF(OR(A3=1,AND(C3=ÉV!$I$2,D3&gt;ÉV!$J$2),C3&gt;ÉV!$I$2),0,INDEX(Pz!$B$2:$AM$48,A3-1,ÉV!$G$2-9)/100000*ÉV!$B$10)</f>
        <v>0</v>
      </c>
      <c r="I3" s="271">
        <f ca="1">INDEX(Pz!$B$2:$AM$48,HÓ!A3,ÉV!$G$2-9)/100000*ÉV!$B$10</f>
        <v>42750.38632227276</v>
      </c>
      <c r="J3" s="273">
        <f ca="1">IF(OR(A3=1,A3=2,AND(C3=ÉV!$I$2,D3&gt;ÉV!$J$2),C3&gt;ÉV!$I$2),0,VLOOKUP(A3-2,ÉV!$A$18:$C$65,3,0))</f>
        <v>0</v>
      </c>
      <c r="K3" s="273">
        <f ca="1">IF(OR(A3=1,AND(C3=ÉV!$I$2,D3&gt;ÉV!$J$2),C3&gt;ÉV!$I$2),0,VLOOKUP(A3-1,ÉV!$A$18:$C$65,3,0))</f>
        <v>0</v>
      </c>
      <c r="L3" s="273">
        <f ca="1">VLOOKUP(A3,ÉV!$A$18:$C$65,3,0)*IF(OR(AND(C3=ÉV!$I$2,D3&gt;ÉV!$J$2),C3&gt;ÉV!$I$2),0,1)</f>
        <v>41870.727591723866</v>
      </c>
      <c r="M3" s="273">
        <f ca="1">(K3*(12-B3)/12+L3*B3/12)*IF(A3&gt;ÉV!$G$2,0,1)+IF(A3&gt;ÉV!$G$2,M2,0)*IF(OR(AND(C3=ÉV!$I$2,D3&gt;ÉV!$J$2),C3&gt;ÉV!$I$2),0,1)</f>
        <v>3489.227299310322</v>
      </c>
      <c r="N3" s="274">
        <f ca="1">IF(AND(C3=1,D3&lt;12),0,1)*IF(D3=12,MAX(0,F3-E3-0.003)*0.9*((K3+I3)*(B3/12)+(J3+H3)*(1-B3/12))+MAX(0,F3-0.003)*0.9*N2+N2,IF(AND(C3=ÉV!$I$2,D3=ÉV!$J$2),(M3+N2)*MAX(0,F3-0.003)*0.9*(D3/12)+N2,N2))*IF(OR(C3&gt;ÉV!$I$2,AND(C3=ÉV!$I$2,D3&gt;ÉV!$J$2)),0,1)</f>
        <v>0</v>
      </c>
      <c r="O3" s="313">
        <f ca="1">IF(MAX(AF$2:AF2)=2,      0,IF(OR(AC3=7, AF3=2),    SUM(AE$2:AE3),    O2)   )</f>
        <v>0</v>
      </c>
      <c r="P3" s="271">
        <f ca="1">IF(D3=12,V3+P2+P2*(F3-0.003)*0.9,IF(AND(C3=ÉV!$I$2,D3=ÉV!$J$2),V3+P2+P2*(F3-0.003)*0.9*D3/12,P2))*IF(OR(C3&gt;ÉV!$I$2,AND(C3=ÉV!$I$2,D3&gt;ÉV!$J$2)),0,1)</f>
        <v>0</v>
      </c>
      <c r="Q3" s="275">
        <f ca="1">(N3+P3)*IF(OR(AND(C3=ÉV!$I$2,D3&gt;ÉV!$J$2),C3&gt;ÉV!$I$2),0,1)</f>
        <v>0</v>
      </c>
      <c r="R3" s="271">
        <f ca="1">(MAX(0,F3-E3-0.003)*0.9*((K3+I3)*(1/12)))*IF(OR(C3&gt;ÉV!$I$2,AND(C3=ÉV!$I$2,D3&gt;ÉV!$J$2)),0,1)</f>
        <v>0</v>
      </c>
      <c r="S3" s="271">
        <f ca="1">(MAX(0,F3-0.003)*0.9*((O3)*(1/12)))*IF(OR(C3&gt;ÉV!$I$2,AND(C3=ÉV!$I$2,D3&gt;ÉV!$J$2)),0,1)</f>
        <v>0</v>
      </c>
      <c r="T3" s="271">
        <f ca="1">(MAX(0,F3-0.003)*0.9*((Q2)*(1/12)))*IF(OR(C3&gt;ÉV!$I$2,AND(C3=ÉV!$I$2,D3&gt;ÉV!$J$2)),0,1)</f>
        <v>0</v>
      </c>
      <c r="U3" s="271">
        <f ca="1">IF($D3=1,R3,R3+U2)*IF(OR(C3&gt;ÉV!$I$2,AND(C3=ÉV!$I$2,D3&gt;ÉV!$J$2)),0,1)</f>
        <v>0</v>
      </c>
      <c r="V3" s="271">
        <f ca="1">IF($D3=1,S3,S3+V2)*IF(OR(C3&gt;ÉV!$I$2,AND(C3=ÉV!$I$2,D3&gt;ÉV!$J$2)),0,1)</f>
        <v>0</v>
      </c>
      <c r="W3" s="271">
        <f ca="1">IF($D3=1,T3,T3+W2)*IF(OR(C3&gt;ÉV!$I$2,AND(C3=ÉV!$I$2,D3&gt;ÉV!$J$2)),0,1)</f>
        <v>0</v>
      </c>
      <c r="X3" s="271">
        <f ca="1">IF(OR(D3=12,AND(C3=ÉV!$I$2,D3=ÉV!$J$2)),SUM(U3:W3)+X2,X2)*IF(OR(C3&gt;ÉV!$I$2,AND(C3=ÉV!$I$2,D3&gt;ÉV!$J$2)),0,1)</f>
        <v>0</v>
      </c>
      <c r="Y3" s="271">
        <f t="shared" ref="Y3:Y66" ca="1" si="0">X3-Q3</f>
        <v>0</v>
      </c>
      <c r="Z3" s="265">
        <f t="shared" ref="Z3:Z66" si="1">B3</f>
        <v>1</v>
      </c>
      <c r="AA3" s="272">
        <f t="shared" ref="AA3:AA66" ca="1" si="2">IF(OR(FizGyakNr=12, MOD(B3,12/FizGyakNr)=1),  1,0)    *      G3/FizGyakNr</f>
        <v>17445.833333333332</v>
      </c>
      <c r="AB3" s="265">
        <f ca="1">YEAR(Kezdet)</f>
        <v>2017</v>
      </c>
      <c r="AC3" s="265">
        <f ca="1">MONTH(Kezdet)</f>
        <v>4</v>
      </c>
      <c r="AD3" s="276">
        <f ca="1">IF(     OR(               AND(MAX(AF3:AF$6)&lt;2,  AC3=12),                 AF3=2),                   SUMIF(AB:AB,AB3,AA:AA),                       0)</f>
        <v>0</v>
      </c>
      <c r="AE3" s="277">
        <f t="shared" ref="AE3" ca="1" si="3">MIN(AD3*0.2,130000)</f>
        <v>0</v>
      </c>
      <c r="AF3" s="277">
        <f t="shared" ref="AF3:AF66" ca="1" si="4" xml:space="preserve"> IF(DATE(AB3,AC3,1)=DATE(YEAR(LejáratNyug),MONTH(LejáratNyug),1),     2,   IF(AND(A3=TartamDíjfiz,B3=12),     1,   0)  )</f>
        <v>0</v>
      </c>
      <c r="AG3" s="402">
        <f ca="1">IF(  AND(AC3=AdóHó,   MAX(AF$1:AF2)&lt;2),   SUMIF(AB:AB,AB3-1,AE:AE),0  )
+ IF(AND(AC3&lt;AdóHó,                            AF3=2),   SUMIF(AB:AB,AB3-1,AE:AE),0  )
+ IF(                                                                  AF3=2,    SUMIF(AB:AB,AB3,AE:AE   ),0  )</f>
        <v>0</v>
      </c>
      <c r="AH3" s="272">
        <f ca="1">SUM(AG$2:AG3)</f>
        <v>0</v>
      </c>
    </row>
    <row r="4" spans="1:34">
      <c r="A4" s="265">
        <f>IF(B3=12,A3+1,A3)</f>
        <v>1</v>
      </c>
      <c r="B4" s="265">
        <f>IF(B3=12,1,B3+1)</f>
        <v>2</v>
      </c>
      <c r="C4" s="265">
        <f ca="1">IF(D3=12,C3+1,C3)</f>
        <v>1</v>
      </c>
      <c r="D4" s="265">
        <f ca="1">IF(D3=12,1,D3+1)</f>
        <v>5</v>
      </c>
      <c r="E4" s="266">
        <v>5.0000000000000001E-3</v>
      </c>
      <c r="F4" s="267">
        <f>ÉV!$B$12</f>
        <v>0</v>
      </c>
      <c r="G4" s="271">
        <f ca="1">VLOOKUP(A4,ÉV!$A$18:$B$65,2,0)</f>
        <v>209350</v>
      </c>
      <c r="H4" s="271">
        <f ca="1">IF(OR(A4=1,AND(C4=ÉV!$I$2,D4&gt;ÉV!$J$2),C4&gt;ÉV!$I$2),0,INDEX(Pz!$B$2:$AM$48,A4-1,ÉV!$G$2-9)/100000*ÉV!$B$10)</f>
        <v>0</v>
      </c>
      <c r="I4" s="271">
        <f ca="1">INDEX(Pz!$B$2:$AM$48,HÓ!A4,ÉV!$G$2-9)/100000*ÉV!$B$10</f>
        <v>42750.38632227276</v>
      </c>
      <c r="J4" s="273">
        <f ca="1">IF(OR(A4=1,A4=2,AND(C4=ÉV!$I$2,D4&gt;ÉV!$J$2),C4&gt;ÉV!$I$2),0,VLOOKUP(A4-2,ÉV!$A$18:$C$65,3,0))</f>
        <v>0</v>
      </c>
      <c r="K4" s="273">
        <f ca="1">IF(OR(A4=1,AND(C4=ÉV!$I$2,D4&gt;ÉV!$J$2),C4&gt;ÉV!$I$2),0,VLOOKUP(A4-1,ÉV!$A$18:$C$65,3,0))</f>
        <v>0</v>
      </c>
      <c r="L4" s="273">
        <f ca="1">VLOOKUP(A4,ÉV!$A$18:$C$65,3,0)*IF(OR(AND(C4=ÉV!$I$2,D4&gt;ÉV!$J$2),C4&gt;ÉV!$I$2),0,1)</f>
        <v>41870.727591723866</v>
      </c>
      <c r="M4" s="273">
        <f ca="1">(K4*(12-B4)/12+L4*B4/12)*IF(A4&gt;ÉV!$G$2,0,1)+IF(A4&gt;ÉV!$G$2,M3,0)*IF(OR(AND(C4=ÉV!$I$2,D4&gt;ÉV!$J$2),C4&gt;ÉV!$I$2),0,1)</f>
        <v>6978.454598620644</v>
      </c>
      <c r="N4" s="274">
        <f ca="1">IF(AND(C4=1,D4&lt;12),0,1)*IF(D4=12,MAX(0,F4-E4-0.003)*0.9*((K4+I4)*(B4/12)+(J4+H4)*(1-B4/12))+MAX(0,F4-0.003)*0.9*N3+N3,IF(AND(C4=ÉV!$I$2,D4=ÉV!$J$2),(M4+N3)*MAX(0,F4-0.003)*0.9*(D4/12)+N3,N3))*IF(OR(C4&gt;ÉV!$I$2,AND(C4=ÉV!$I$2,D4&gt;ÉV!$J$2)),0,1)</f>
        <v>0</v>
      </c>
      <c r="O4" s="313">
        <f ca="1">IF(MAX(AF$2:AF3)=2,      0,IF(OR(AC4=7, AF4=2),    SUM(AE$2:AE4),    O3)   )</f>
        <v>0</v>
      </c>
      <c r="P4" s="271">
        <f ca="1">IF(D4=12,V4+P3+P3*(F4-0.003)*0.9,IF(AND(C4=ÉV!$I$2,D4=ÉV!$J$2),V4+P3+P3*(F4-0.003)*0.9*D4/12,P3))*IF(OR(C4&gt;ÉV!$I$2,AND(C4=ÉV!$I$2,D4&gt;ÉV!$J$2)),0,1)</f>
        <v>0</v>
      </c>
      <c r="Q4" s="275">
        <f ca="1">(N4+P4)*IF(OR(AND(C4=ÉV!$I$2,D4&gt;ÉV!$J$2),C4&gt;ÉV!$I$2),0,1)</f>
        <v>0</v>
      </c>
      <c r="R4" s="271">
        <f ca="1">(MAX(0,F4-E4-0.003)*0.9*((K4+I4)*(1/12)))*IF(OR(C4&gt;ÉV!$I$2,AND(C4=ÉV!$I$2,D4&gt;ÉV!$J$2)),0,1)</f>
        <v>0</v>
      </c>
      <c r="S4" s="271">
        <f ca="1">(MAX(0,F4-0.003)*0.9*((O4)*(1/12)))*IF(OR(C4&gt;ÉV!$I$2,AND(C4=ÉV!$I$2,D4&gt;ÉV!$J$2)),0,1)</f>
        <v>0</v>
      </c>
      <c r="T4" s="271">
        <f ca="1">(MAX(0,F4-0.003)*0.9*((Q3)*(1/12)))*IF(OR(C4&gt;ÉV!$I$2,AND(C4=ÉV!$I$2,D4&gt;ÉV!$J$2)),0,1)</f>
        <v>0</v>
      </c>
      <c r="U4" s="271">
        <f ca="1">IF($D4=1,R4,R4+U3)*IF(OR(C4&gt;ÉV!$I$2,AND(C4=ÉV!$I$2,D4&gt;ÉV!$J$2)),0,1)</f>
        <v>0</v>
      </c>
      <c r="V4" s="271">
        <f ca="1">IF($D4=1,S4,S4+V3)*IF(OR(C4&gt;ÉV!$I$2,AND(C4=ÉV!$I$2,D4&gt;ÉV!$J$2)),0,1)</f>
        <v>0</v>
      </c>
      <c r="W4" s="271">
        <f ca="1">IF($D4=1,T4,T4+W3)*IF(OR(C4&gt;ÉV!$I$2,AND(C4=ÉV!$I$2,D4&gt;ÉV!$J$2)),0,1)</f>
        <v>0</v>
      </c>
      <c r="X4" s="271">
        <f ca="1">IF(OR(D4=12,AND(C4=ÉV!$I$2,D4=ÉV!$J$2)),SUM(U4:W4)+X3,X3)*IF(OR(C4&gt;ÉV!$I$2,AND(C4=ÉV!$I$2,D4&gt;ÉV!$J$2)),0,1)</f>
        <v>0</v>
      </c>
      <c r="Y4" s="271">
        <f ca="1">X4-Q4</f>
        <v>0</v>
      </c>
      <c r="Z4" s="265">
        <f t="shared" si="1"/>
        <v>2</v>
      </c>
      <c r="AA4" s="272">
        <f t="shared" ca="1" si="2"/>
        <v>17445.833333333332</v>
      </c>
      <c r="AB4" s="265">
        <f ca="1">IF(AC3=12,AB3+1,AB3)</f>
        <v>2017</v>
      </c>
      <c r="AC4" s="265">
        <f ca="1">IF(AC3=12,1,AC3+1)</f>
        <v>5</v>
      </c>
      <c r="AD4" s="276">
        <f ca="1">IF(     OR(               AND(MAX(AF4:AF$6)&lt;2,  AC4=12),                 AF4=2),                   SUMIF(AB:AB,AB4,AA:AA),                       0)</f>
        <v>0</v>
      </c>
      <c r="AE4" s="277">
        <f t="shared" ref="AE4:AE13" ca="1" si="5">MIN(AD4*0.2,130000)</f>
        <v>0</v>
      </c>
      <c r="AF4" s="277">
        <f t="shared" ca="1" si="4"/>
        <v>0</v>
      </c>
      <c r="AG4" s="402">
        <f ca="1">IF(  AND(AC4=AdóHó,   MAX(AF$1:AF3)&lt;2),   SUMIF(AB:AB,AB4-1,AE:AE),0  )
+ IF(AND(AC4&lt;AdóHó,                            AF4=2),   SUMIF(AB:AB,AB4-1,AE:AE),0  )
+ IF(                                                                  AF4=2,    SUMIF(AB:AB,AB4,AE:AE   ),0  )</f>
        <v>0</v>
      </c>
      <c r="AH4" s="272">
        <f ca="1">SUM(AG$2:AG4)</f>
        <v>0</v>
      </c>
    </row>
    <row r="5" spans="1:34">
      <c r="A5" s="265">
        <f t="shared" ref="A5:A68" si="6">IF(B4=12,A4+1,A4)</f>
        <v>1</v>
      </c>
      <c r="B5" s="265">
        <f t="shared" ref="B5:B68" si="7">IF(B4=12,1,B4+1)</f>
        <v>3</v>
      </c>
      <c r="C5" s="265">
        <f t="shared" ref="C5:C68" ca="1" si="8">IF(D4=12,C4+1,C4)</f>
        <v>1</v>
      </c>
      <c r="D5" s="265">
        <f t="shared" ref="D5:D68" ca="1" si="9">IF(D4=12,1,D4+1)</f>
        <v>6</v>
      </c>
      <c r="E5" s="266">
        <v>5.0000000000000001E-3</v>
      </c>
      <c r="F5" s="267">
        <f>ÉV!$B$12</f>
        <v>0</v>
      </c>
      <c r="G5" s="271">
        <f ca="1">VLOOKUP(A5,ÉV!$A$18:$B$65,2,0)</f>
        <v>209350</v>
      </c>
      <c r="H5" s="271">
        <f ca="1">IF(OR(A5=1,AND(C5=ÉV!$I$2,D5&gt;ÉV!$J$2),C5&gt;ÉV!$I$2),0,INDEX(Pz!$B$2:$AM$48,A5-1,ÉV!$G$2-9)/100000*ÉV!$B$10)</f>
        <v>0</v>
      </c>
      <c r="I5" s="271">
        <f ca="1">INDEX(Pz!$B$2:$AM$48,HÓ!A5,ÉV!$G$2-9)/100000*ÉV!$B$10</f>
        <v>42750.38632227276</v>
      </c>
      <c r="J5" s="273">
        <f ca="1">IF(OR(A5=1,A5=2,AND(C5=ÉV!$I$2,D5&gt;ÉV!$J$2),C5&gt;ÉV!$I$2),0,VLOOKUP(A5-2,ÉV!$A$18:$C$65,3,0))</f>
        <v>0</v>
      </c>
      <c r="K5" s="273">
        <f ca="1">IF(OR(A5=1,AND(C5=ÉV!$I$2,D5&gt;ÉV!$J$2),C5&gt;ÉV!$I$2),0,VLOOKUP(A5-1,ÉV!$A$18:$C$65,3,0))</f>
        <v>0</v>
      </c>
      <c r="L5" s="273">
        <f ca="1">VLOOKUP(A5,ÉV!$A$18:$C$65,3,0)*IF(OR(AND(C5=ÉV!$I$2,D5&gt;ÉV!$J$2),C5&gt;ÉV!$I$2),0,1)</f>
        <v>41870.727591723866</v>
      </c>
      <c r="M5" s="273">
        <f ca="1">(K5*(12-B5)/12+L5*B5/12)*IF(A5&gt;ÉV!$G$2,0,1)+IF(A5&gt;ÉV!$G$2,M4,0)*IF(OR(AND(C5=ÉV!$I$2,D5&gt;ÉV!$J$2),C5&gt;ÉV!$I$2),0,1)</f>
        <v>10467.681897930966</v>
      </c>
      <c r="N5" s="274">
        <f ca="1">IF(AND(C5=1,D5&lt;12),0,1)*IF(D5=12,MAX(0,F5-E5-0.003)*0.9*((K5+I5)*(B5/12)+(J5+H5)*(1-B5/12))+MAX(0,F5-0.003)*0.9*N4+N4,IF(AND(C5=ÉV!$I$2,D5=ÉV!$J$2),(M5+N4)*MAX(0,F5-0.003)*0.9*(D5/12)+N4,N4))*IF(OR(C5&gt;ÉV!$I$2,AND(C5=ÉV!$I$2,D5&gt;ÉV!$J$2)),0,1)</f>
        <v>0</v>
      </c>
      <c r="O5" s="313">
        <f ca="1">IF(MAX(AF$2:AF4)=2,      0,IF(OR(AC5=7, AF5=2),    SUM(AE$2:AE5),    O4)   )</f>
        <v>0</v>
      </c>
      <c r="P5" s="271">
        <f ca="1">IF(D5=12,V5+P4+P4*(F5-0.003)*0.9,IF(AND(C5=ÉV!$I$2,D5=ÉV!$J$2),V5+P4+P4*(F5-0.003)*0.9*D5/12,P4))*IF(OR(C5&gt;ÉV!$I$2,AND(C5=ÉV!$I$2,D5&gt;ÉV!$J$2)),0,1)</f>
        <v>0</v>
      </c>
      <c r="Q5" s="275">
        <f ca="1">(N5+P5)*IF(OR(AND(C5=ÉV!$I$2,D5&gt;ÉV!$J$2),C5&gt;ÉV!$I$2),0,1)</f>
        <v>0</v>
      </c>
      <c r="R5" s="271">
        <f ca="1">(MAX(0,F5-E5-0.003)*0.9*((K5+I5)*(1/12)))*IF(OR(C5&gt;ÉV!$I$2,AND(C5=ÉV!$I$2,D5&gt;ÉV!$J$2)),0,1)</f>
        <v>0</v>
      </c>
      <c r="S5" s="271">
        <f ca="1">(MAX(0,F5-0.003)*0.9*((O5)*(1/12)))*IF(OR(C5&gt;ÉV!$I$2,AND(C5=ÉV!$I$2,D5&gt;ÉV!$J$2)),0,1)</f>
        <v>0</v>
      </c>
      <c r="T5" s="271">
        <f ca="1">(MAX(0,F5-0.003)*0.9*((Q4)*(1/12)))*IF(OR(C5&gt;ÉV!$I$2,AND(C5=ÉV!$I$2,D5&gt;ÉV!$J$2)),0,1)</f>
        <v>0</v>
      </c>
      <c r="U5" s="271">
        <f ca="1">IF($D5=1,R5,R5+U4)*IF(OR(C5&gt;ÉV!$I$2,AND(C5=ÉV!$I$2,D5&gt;ÉV!$J$2)),0,1)</f>
        <v>0</v>
      </c>
      <c r="V5" s="271">
        <f ca="1">IF($D5=1,S5,S5+V4)*IF(OR(C5&gt;ÉV!$I$2,AND(C5=ÉV!$I$2,D5&gt;ÉV!$J$2)),0,1)</f>
        <v>0</v>
      </c>
      <c r="W5" s="271">
        <f ca="1">IF($D5=1,T5,T5+W4)*IF(OR(C5&gt;ÉV!$I$2,AND(C5=ÉV!$I$2,D5&gt;ÉV!$J$2)),0,1)</f>
        <v>0</v>
      </c>
      <c r="X5" s="271">
        <f ca="1">IF(OR(D5=12,AND(C5=ÉV!$I$2,D5=ÉV!$J$2)),SUM(U5:W5)+X4,X4)*IF(OR(C5&gt;ÉV!$I$2,AND(C5=ÉV!$I$2,D5&gt;ÉV!$J$2)),0,1)</f>
        <v>0</v>
      </c>
      <c r="Y5" s="271">
        <f t="shared" ca="1" si="0"/>
        <v>0</v>
      </c>
      <c r="Z5" s="265">
        <f t="shared" si="1"/>
        <v>3</v>
      </c>
      <c r="AA5" s="272">
        <f t="shared" ca="1" si="2"/>
        <v>17445.833333333332</v>
      </c>
      <c r="AB5" s="265">
        <f t="shared" ref="AB5:AB68" ca="1" si="10">IF(AC4=12,AB4+1,AB4)</f>
        <v>2017</v>
      </c>
      <c r="AC5" s="265">
        <f t="shared" ref="AC5:AC68" ca="1" si="11">IF(AC4=12,1,AC4+1)</f>
        <v>6</v>
      </c>
      <c r="AD5" s="276">
        <f ca="1">IF(     OR(               AND(MAX(AF5:AF$6)&lt;2,  AC5=12),                 AF5=2),                   SUMIF(AB:AB,AB5,AA:AA),                       0)</f>
        <v>0</v>
      </c>
      <c r="AE5" s="277">
        <f t="shared" ca="1" si="5"/>
        <v>0</v>
      </c>
      <c r="AF5" s="277">
        <f t="shared" ca="1" si="4"/>
        <v>0</v>
      </c>
      <c r="AG5" s="402">
        <f ca="1">IF(  AND(AC5=AdóHó,   MAX(AF$1:AF4)&lt;2),   SUMIF(AB:AB,AB5-1,AE:AE),0  )
+ IF(AND(AC5&lt;AdóHó,                            AF5=2),   SUMIF(AB:AB,AB5-1,AE:AE),0  )
+ IF(                                                                  AF5=2,    SUMIF(AB:AB,AB5,AE:AE   ),0  )</f>
        <v>0</v>
      </c>
      <c r="AH5" s="272">
        <f ca="1">SUM(AG$2:AG5)</f>
        <v>0</v>
      </c>
    </row>
    <row r="6" spans="1:34">
      <c r="A6" s="265">
        <f t="shared" si="6"/>
        <v>1</v>
      </c>
      <c r="B6" s="265">
        <f t="shared" si="7"/>
        <v>4</v>
      </c>
      <c r="C6" s="265">
        <f t="shared" ca="1" si="8"/>
        <v>1</v>
      </c>
      <c r="D6" s="265">
        <f t="shared" ca="1" si="9"/>
        <v>7</v>
      </c>
      <c r="E6" s="266">
        <v>5.0000000000000001E-3</v>
      </c>
      <c r="F6" s="267">
        <f>ÉV!$B$12</f>
        <v>0</v>
      </c>
      <c r="G6" s="271">
        <f ca="1">VLOOKUP(A6,ÉV!$A$18:$B$65,2,0)</f>
        <v>209350</v>
      </c>
      <c r="H6" s="271">
        <f ca="1">IF(OR(A6=1,AND(C6=ÉV!$I$2,D6&gt;ÉV!$J$2),C6&gt;ÉV!$I$2),0,INDEX(Pz!$B$2:$AM$48,A6-1,ÉV!$G$2-9)/100000*ÉV!$B$10)</f>
        <v>0</v>
      </c>
      <c r="I6" s="271">
        <f ca="1">INDEX(Pz!$B$2:$AM$48,HÓ!A6,ÉV!$G$2-9)/100000*ÉV!$B$10</f>
        <v>42750.38632227276</v>
      </c>
      <c r="J6" s="273">
        <f ca="1">IF(OR(A6=1,A6=2,AND(C6=ÉV!$I$2,D6&gt;ÉV!$J$2),C6&gt;ÉV!$I$2),0,VLOOKUP(A6-2,ÉV!$A$18:$C$65,3,0))</f>
        <v>0</v>
      </c>
      <c r="K6" s="273">
        <f ca="1">IF(OR(A6=1,AND(C6=ÉV!$I$2,D6&gt;ÉV!$J$2),C6&gt;ÉV!$I$2),0,VLOOKUP(A6-1,ÉV!$A$18:$C$65,3,0))</f>
        <v>0</v>
      </c>
      <c r="L6" s="273">
        <f ca="1">VLOOKUP(A6,ÉV!$A$18:$C$65,3,0)*IF(OR(AND(C6=ÉV!$I$2,D6&gt;ÉV!$J$2),C6&gt;ÉV!$I$2),0,1)</f>
        <v>41870.727591723866</v>
      </c>
      <c r="M6" s="273">
        <f ca="1">(K6*(12-B6)/12+L6*B6/12)*IF(A6&gt;ÉV!$G$2,0,1)+IF(A6&gt;ÉV!$G$2,M5,0)*IF(OR(AND(C6=ÉV!$I$2,D6&gt;ÉV!$J$2),C6&gt;ÉV!$I$2),0,1)</f>
        <v>13956.909197241288</v>
      </c>
      <c r="N6" s="274">
        <f ca="1">IF(AND(C6=1,D6&lt;12),0,1)*IF(D6=12,MAX(0,F6-E6-0.003)*0.9*((K6+I6)*(B6/12)+(J6+H6)*(1-B6/12))+MAX(0,F6-0.003)*0.9*N5+N5,IF(AND(C6=ÉV!$I$2,D6=ÉV!$J$2),(M6+N5)*MAX(0,F6-0.003)*0.9*(D6/12)+N5,N5))*IF(OR(C6&gt;ÉV!$I$2,AND(C6=ÉV!$I$2,D6&gt;ÉV!$J$2)),0,1)</f>
        <v>0</v>
      </c>
      <c r="O6" s="313">
        <f ca="1">IF(MAX(AF$2:AF5)=2,      0,IF(OR(AC6=7, AF6=2),    SUM(AE$2:AE6),    O5)   )</f>
        <v>0</v>
      </c>
      <c r="P6" s="271">
        <f ca="1">IF(D6=12,V6+P5+P5*(F6-0.003)*0.9,IF(AND(C6=ÉV!$I$2,D6=ÉV!$J$2),V6+P5+P5*(F6-0.003)*0.9*D6/12,P5))*IF(OR(C6&gt;ÉV!$I$2,AND(C6=ÉV!$I$2,D6&gt;ÉV!$J$2)),0,1)</f>
        <v>0</v>
      </c>
      <c r="Q6" s="275">
        <f ca="1">(N6+P6)*IF(OR(AND(C6=ÉV!$I$2,D6&gt;ÉV!$J$2),C6&gt;ÉV!$I$2),0,1)</f>
        <v>0</v>
      </c>
      <c r="R6" s="271">
        <f ca="1">(MAX(0,F6-E6-0.003)*0.9*((K6+I6)*(1/12)))*IF(OR(C6&gt;ÉV!$I$2,AND(C6=ÉV!$I$2,D6&gt;ÉV!$J$2)),0,1)</f>
        <v>0</v>
      </c>
      <c r="S6" s="271">
        <f ca="1">(MAX(0,F6-0.003)*0.9*((O6)*(1/12)))*IF(OR(C6&gt;ÉV!$I$2,AND(C6=ÉV!$I$2,D6&gt;ÉV!$J$2)),0,1)</f>
        <v>0</v>
      </c>
      <c r="T6" s="271">
        <f ca="1">(MAX(0,F6-0.003)*0.9*((Q5)*(1/12)))*IF(OR(C6&gt;ÉV!$I$2,AND(C6=ÉV!$I$2,D6&gt;ÉV!$J$2)),0,1)</f>
        <v>0</v>
      </c>
      <c r="U6" s="271">
        <f ca="1">IF($D6=1,R6,R6+U5)*IF(OR(C6&gt;ÉV!$I$2,AND(C6=ÉV!$I$2,D6&gt;ÉV!$J$2)),0,1)</f>
        <v>0</v>
      </c>
      <c r="V6" s="271">
        <f ca="1">IF($D6=1,S6,S6+V5)*IF(OR(C6&gt;ÉV!$I$2,AND(C6=ÉV!$I$2,D6&gt;ÉV!$J$2)),0,1)</f>
        <v>0</v>
      </c>
      <c r="W6" s="271">
        <f ca="1">IF($D6=1,T6,T6+W5)*IF(OR(C6&gt;ÉV!$I$2,AND(C6=ÉV!$I$2,D6&gt;ÉV!$J$2)),0,1)</f>
        <v>0</v>
      </c>
      <c r="X6" s="271">
        <f ca="1">IF(OR(D6=12,AND(C6=ÉV!$I$2,D6=ÉV!$J$2)),SUM(U6:W6)+X5,X5)*IF(OR(C6&gt;ÉV!$I$2,AND(C6=ÉV!$I$2,D6&gt;ÉV!$J$2)),0,1)</f>
        <v>0</v>
      </c>
      <c r="Y6" s="271">
        <f t="shared" ca="1" si="0"/>
        <v>0</v>
      </c>
      <c r="Z6" s="265">
        <f t="shared" si="1"/>
        <v>4</v>
      </c>
      <c r="AA6" s="272">
        <f t="shared" ca="1" si="2"/>
        <v>17445.833333333332</v>
      </c>
      <c r="AB6" s="265">
        <f t="shared" ca="1" si="10"/>
        <v>2017</v>
      </c>
      <c r="AC6" s="265">
        <f t="shared" ca="1" si="11"/>
        <v>7</v>
      </c>
      <c r="AD6" s="276">
        <f ca="1">IF(     OR(               AND(MAX(AF$6:AF6)&lt;2,  AC6=12),                 AF6=2),                   SUMIF(AB:AB,AB6,AA:AA),                       0)</f>
        <v>0</v>
      </c>
      <c r="AE6" s="277">
        <f t="shared" ca="1" si="5"/>
        <v>0</v>
      </c>
      <c r="AF6" s="277">
        <f t="shared" ca="1" si="4"/>
        <v>0</v>
      </c>
      <c r="AG6" s="402">
        <f ca="1">IF(  AND(AC6=AdóHó,   MAX(AF$1:AF5)&lt;2),   SUMIF(AB:AB,AB6-1,AE:AE),0  )
+ IF(AND(AC6&lt;AdóHó,                            AF6=2),   SUMIF(AB:AB,AB6-1,AE:AE),0  )
+ IF(                                                                  AF6=2,    SUMIF(AB:AB,AB6,AE:AE   ),0  )</f>
        <v>0</v>
      </c>
      <c r="AH6" s="272">
        <f ca="1">SUM(AG$2:AG6)</f>
        <v>0</v>
      </c>
    </row>
    <row r="7" spans="1:34">
      <c r="A7" s="265">
        <f t="shared" si="6"/>
        <v>1</v>
      </c>
      <c r="B7" s="265">
        <f t="shared" si="7"/>
        <v>5</v>
      </c>
      <c r="C7" s="265">
        <f t="shared" ca="1" si="8"/>
        <v>1</v>
      </c>
      <c r="D7" s="265">
        <f t="shared" ca="1" si="9"/>
        <v>8</v>
      </c>
      <c r="E7" s="266">
        <v>5.0000000000000001E-3</v>
      </c>
      <c r="F7" s="267">
        <f>ÉV!$B$12</f>
        <v>0</v>
      </c>
      <c r="G7" s="271">
        <f ca="1">VLOOKUP(A7,ÉV!$A$18:$B$65,2,0)</f>
        <v>209350</v>
      </c>
      <c r="H7" s="271">
        <f ca="1">IF(OR(A7=1,AND(C7=ÉV!$I$2,D7&gt;ÉV!$J$2),C7&gt;ÉV!$I$2),0,INDEX(Pz!$B$2:$AM$48,A7-1,ÉV!$G$2-9)/100000*ÉV!$B$10)</f>
        <v>0</v>
      </c>
      <c r="I7" s="271">
        <f ca="1">INDEX(Pz!$B$2:$AM$48,HÓ!A7,ÉV!$G$2-9)/100000*ÉV!$B$10</f>
        <v>42750.38632227276</v>
      </c>
      <c r="J7" s="273">
        <f ca="1">IF(OR(A7=1,A7=2,AND(C7=ÉV!$I$2,D7&gt;ÉV!$J$2),C7&gt;ÉV!$I$2),0,VLOOKUP(A7-2,ÉV!$A$18:$C$65,3,0))</f>
        <v>0</v>
      </c>
      <c r="K7" s="273">
        <f ca="1">IF(OR(A7=1,AND(C7=ÉV!$I$2,D7&gt;ÉV!$J$2),C7&gt;ÉV!$I$2),0,VLOOKUP(A7-1,ÉV!$A$18:$C$65,3,0))</f>
        <v>0</v>
      </c>
      <c r="L7" s="273">
        <f ca="1">VLOOKUP(A7,ÉV!$A$18:$C$65,3,0)*IF(OR(AND(C7=ÉV!$I$2,D7&gt;ÉV!$J$2),C7&gt;ÉV!$I$2),0,1)</f>
        <v>41870.727591723866</v>
      </c>
      <c r="M7" s="273">
        <f ca="1">(K7*(12-B7)/12+L7*B7/12)*IF(A7&gt;ÉV!$G$2,0,1)+IF(A7&gt;ÉV!$G$2,M6,0)*IF(OR(AND(C7=ÉV!$I$2,D7&gt;ÉV!$J$2),C7&gt;ÉV!$I$2),0,1)</f>
        <v>17446.136496551611</v>
      </c>
      <c r="N7" s="274">
        <f ca="1">IF(AND(C7=1,D7&lt;12),0,1)*IF(D7=12,MAX(0,F7-E7-0.003)*0.9*((K7+I7)*(B7/12)+(J7+H7)*(1-B7/12))+MAX(0,F7-0.003)*0.9*N6+N6,IF(AND(C7=ÉV!$I$2,D7=ÉV!$J$2),(M7+N6)*MAX(0,F7-0.003)*0.9*(D7/12)+N6,N6))*IF(OR(C7&gt;ÉV!$I$2,AND(C7=ÉV!$I$2,D7&gt;ÉV!$J$2)),0,1)</f>
        <v>0</v>
      </c>
      <c r="O7" s="313">
        <f ca="1">IF(MAX(AF$2:AF6)=2,      0,IF(OR(AC7=7, AF7=2),    SUM(AE$2:AE7),    O6)   )</f>
        <v>0</v>
      </c>
      <c r="P7" s="271">
        <f ca="1">IF(D7=12,V7+P6+P6*(F7-0.003)*0.9,IF(AND(C7=ÉV!$I$2,D7=ÉV!$J$2),V7+P6+P6*(F7-0.003)*0.9*D7/12,P6))*IF(OR(C7&gt;ÉV!$I$2,AND(C7=ÉV!$I$2,D7&gt;ÉV!$J$2)),0,1)</f>
        <v>0</v>
      </c>
      <c r="Q7" s="275">
        <f ca="1">(N7+P7)*IF(OR(AND(C7=ÉV!$I$2,D7&gt;ÉV!$J$2),C7&gt;ÉV!$I$2),0,1)</f>
        <v>0</v>
      </c>
      <c r="R7" s="271">
        <f ca="1">(MAX(0,F7-E7-0.003)*0.9*((K7+I7)*(1/12)))*IF(OR(C7&gt;ÉV!$I$2,AND(C7=ÉV!$I$2,D7&gt;ÉV!$J$2)),0,1)</f>
        <v>0</v>
      </c>
      <c r="S7" s="271">
        <f ca="1">(MAX(0,F7-0.003)*0.9*((O7)*(1/12)))*IF(OR(C7&gt;ÉV!$I$2,AND(C7=ÉV!$I$2,D7&gt;ÉV!$J$2)),0,1)</f>
        <v>0</v>
      </c>
      <c r="T7" s="271">
        <f ca="1">(MAX(0,F7-0.003)*0.9*((Q6)*(1/12)))*IF(OR(C7&gt;ÉV!$I$2,AND(C7=ÉV!$I$2,D7&gt;ÉV!$J$2)),0,1)</f>
        <v>0</v>
      </c>
      <c r="U7" s="271">
        <f ca="1">IF($D7=1,R7,R7+U6)*IF(OR(C7&gt;ÉV!$I$2,AND(C7=ÉV!$I$2,D7&gt;ÉV!$J$2)),0,1)</f>
        <v>0</v>
      </c>
      <c r="V7" s="271">
        <f ca="1">IF($D7=1,S7,S7+V6)*IF(OR(C7&gt;ÉV!$I$2,AND(C7=ÉV!$I$2,D7&gt;ÉV!$J$2)),0,1)</f>
        <v>0</v>
      </c>
      <c r="W7" s="271">
        <f ca="1">IF($D7=1,T7,T7+W6)*IF(OR(C7&gt;ÉV!$I$2,AND(C7=ÉV!$I$2,D7&gt;ÉV!$J$2)),0,1)</f>
        <v>0</v>
      </c>
      <c r="X7" s="271">
        <f ca="1">IF(OR(D7=12,AND(C7=ÉV!$I$2,D7=ÉV!$J$2)),SUM(U7:W7)+X6,X6)*IF(OR(C7&gt;ÉV!$I$2,AND(C7=ÉV!$I$2,D7&gt;ÉV!$J$2)),0,1)</f>
        <v>0</v>
      </c>
      <c r="Y7" s="271">
        <f t="shared" ca="1" si="0"/>
        <v>0</v>
      </c>
      <c r="Z7" s="265">
        <f t="shared" si="1"/>
        <v>5</v>
      </c>
      <c r="AA7" s="272">
        <f t="shared" ca="1" si="2"/>
        <v>17445.833333333332</v>
      </c>
      <c r="AB7" s="265">
        <f t="shared" ca="1" si="10"/>
        <v>2017</v>
      </c>
      <c r="AC7" s="265">
        <f t="shared" ca="1" si="11"/>
        <v>8</v>
      </c>
      <c r="AD7" s="276">
        <f ca="1">IF(     OR(               AND(MAX(AF$6:AF7)&lt;2,  AC7=12),                 AF7=2),                   SUMIF(AB:AB,AB7,AA:AA),                       0)</f>
        <v>0</v>
      </c>
      <c r="AE7" s="277">
        <f t="shared" ca="1" si="5"/>
        <v>0</v>
      </c>
      <c r="AF7" s="277">
        <f t="shared" ca="1" si="4"/>
        <v>0</v>
      </c>
      <c r="AG7" s="402">
        <f ca="1">IF(  AND(AC7=AdóHó,   MAX(AF$1:AF6)&lt;2),   SUMIF(AB:AB,AB7-1,AE:AE),0  )
+ IF(AND(AC7&lt;AdóHó,                            AF7=2),   SUMIF(AB:AB,AB7-1,AE:AE),0  )
+ IF(                                                                  AF7=2,    SUMIF(AB:AB,AB7,AE:AE   ),0  )</f>
        <v>0</v>
      </c>
      <c r="AH7" s="272">
        <f ca="1">SUM(AG$2:AG7)</f>
        <v>0</v>
      </c>
    </row>
    <row r="8" spans="1:34">
      <c r="A8" s="265">
        <f t="shared" si="6"/>
        <v>1</v>
      </c>
      <c r="B8" s="265">
        <f t="shared" si="7"/>
        <v>6</v>
      </c>
      <c r="C8" s="265">
        <f t="shared" ca="1" si="8"/>
        <v>1</v>
      </c>
      <c r="D8" s="265">
        <f t="shared" ca="1" si="9"/>
        <v>9</v>
      </c>
      <c r="E8" s="266">
        <v>5.0000000000000001E-3</v>
      </c>
      <c r="F8" s="267">
        <f>ÉV!$B$12</f>
        <v>0</v>
      </c>
      <c r="G8" s="271">
        <f ca="1">VLOOKUP(A8,ÉV!$A$18:$B$65,2,0)</f>
        <v>209350</v>
      </c>
      <c r="H8" s="271">
        <f ca="1">IF(OR(A8=1,AND(C8=ÉV!$I$2,D8&gt;ÉV!$J$2),C8&gt;ÉV!$I$2),0,INDEX(Pz!$B$2:$AM$48,A8-1,ÉV!$G$2-9)/100000*ÉV!$B$10)</f>
        <v>0</v>
      </c>
      <c r="I8" s="271">
        <f ca="1">INDEX(Pz!$B$2:$AM$48,HÓ!A8,ÉV!$G$2-9)/100000*ÉV!$B$10</f>
        <v>42750.38632227276</v>
      </c>
      <c r="J8" s="273">
        <f ca="1">IF(OR(A8=1,A8=2,AND(C8=ÉV!$I$2,D8&gt;ÉV!$J$2),C8&gt;ÉV!$I$2),0,VLOOKUP(A8-2,ÉV!$A$18:$C$65,3,0))</f>
        <v>0</v>
      </c>
      <c r="K8" s="273">
        <f ca="1">IF(OR(A8=1,AND(C8=ÉV!$I$2,D8&gt;ÉV!$J$2),C8&gt;ÉV!$I$2),0,VLOOKUP(A8-1,ÉV!$A$18:$C$65,3,0))</f>
        <v>0</v>
      </c>
      <c r="L8" s="273">
        <f ca="1">VLOOKUP(A8,ÉV!$A$18:$C$65,3,0)*IF(OR(AND(C8=ÉV!$I$2,D8&gt;ÉV!$J$2),C8&gt;ÉV!$I$2),0,1)</f>
        <v>41870.727591723866</v>
      </c>
      <c r="M8" s="273">
        <f ca="1">(K8*(12-B8)/12+L8*B8/12)*IF(A8&gt;ÉV!$G$2,0,1)+IF(A8&gt;ÉV!$G$2,M7,0)*IF(OR(AND(C8=ÉV!$I$2,D8&gt;ÉV!$J$2),C8&gt;ÉV!$I$2),0,1)</f>
        <v>20935.363795861933</v>
      </c>
      <c r="N8" s="274">
        <f ca="1">IF(AND(C8=1,D8&lt;12),0,1)*IF(D8=12,MAX(0,F8-E8-0.003)*0.9*((K8+I8)*(B8/12)+(J8+H8)*(1-B8/12))+MAX(0,F8-0.003)*0.9*N7+N7,IF(AND(C8=ÉV!$I$2,D8=ÉV!$J$2),(M8+N7)*MAX(0,F8-0.003)*0.9*(D8/12)+N7,N7))*IF(OR(C8&gt;ÉV!$I$2,AND(C8=ÉV!$I$2,D8&gt;ÉV!$J$2)),0,1)</f>
        <v>0</v>
      </c>
      <c r="O8" s="313">
        <f ca="1">IF(MAX(AF$2:AF7)=2,      0,IF(OR(AC8=7, AF8=2),    SUM(AE$2:AE8),    O7)   )</f>
        <v>0</v>
      </c>
      <c r="P8" s="271">
        <f ca="1">IF(D8=12,V8+P7+P7*(F8-0.003)*0.9,IF(AND(C8=ÉV!$I$2,D8=ÉV!$J$2),V8+P7+P7*(F8-0.003)*0.9*D8/12,P7))*IF(OR(C8&gt;ÉV!$I$2,AND(C8=ÉV!$I$2,D8&gt;ÉV!$J$2)),0,1)</f>
        <v>0</v>
      </c>
      <c r="Q8" s="275">
        <f ca="1">(N8+P8)*IF(OR(AND(C8=ÉV!$I$2,D8&gt;ÉV!$J$2),C8&gt;ÉV!$I$2),0,1)</f>
        <v>0</v>
      </c>
      <c r="R8" s="271">
        <f ca="1">(MAX(0,F8-E8-0.003)*0.9*((K8+I8)*(1/12)))*IF(OR(C8&gt;ÉV!$I$2,AND(C8=ÉV!$I$2,D8&gt;ÉV!$J$2)),0,1)</f>
        <v>0</v>
      </c>
      <c r="S8" s="271">
        <f ca="1">(MAX(0,F8-0.003)*0.9*((O8)*(1/12)))*IF(OR(C8&gt;ÉV!$I$2,AND(C8=ÉV!$I$2,D8&gt;ÉV!$J$2)),0,1)</f>
        <v>0</v>
      </c>
      <c r="T8" s="271">
        <f ca="1">(MAX(0,F8-0.003)*0.9*((Q7)*(1/12)))*IF(OR(C8&gt;ÉV!$I$2,AND(C8=ÉV!$I$2,D8&gt;ÉV!$J$2)),0,1)</f>
        <v>0</v>
      </c>
      <c r="U8" s="271">
        <f ca="1">IF($D8=1,R8,R8+U7)*IF(OR(C8&gt;ÉV!$I$2,AND(C8=ÉV!$I$2,D8&gt;ÉV!$J$2)),0,1)</f>
        <v>0</v>
      </c>
      <c r="V8" s="271">
        <f ca="1">IF($D8=1,S8,S8+V7)*IF(OR(C8&gt;ÉV!$I$2,AND(C8=ÉV!$I$2,D8&gt;ÉV!$J$2)),0,1)</f>
        <v>0</v>
      </c>
      <c r="W8" s="271">
        <f ca="1">IF($D8=1,T8,T8+W7)*IF(OR(C8&gt;ÉV!$I$2,AND(C8=ÉV!$I$2,D8&gt;ÉV!$J$2)),0,1)</f>
        <v>0</v>
      </c>
      <c r="X8" s="271">
        <f ca="1">IF(OR(D8=12,AND(C8=ÉV!$I$2,D8=ÉV!$J$2)),SUM(U8:W8)+X7,X7)*IF(OR(C8&gt;ÉV!$I$2,AND(C8=ÉV!$I$2,D8&gt;ÉV!$J$2)),0,1)</f>
        <v>0</v>
      </c>
      <c r="Y8" s="271">
        <f t="shared" ca="1" si="0"/>
        <v>0</v>
      </c>
      <c r="Z8" s="265">
        <f t="shared" si="1"/>
        <v>6</v>
      </c>
      <c r="AA8" s="272">
        <f t="shared" ca="1" si="2"/>
        <v>17445.833333333332</v>
      </c>
      <c r="AB8" s="265">
        <f t="shared" ca="1" si="10"/>
        <v>2017</v>
      </c>
      <c r="AC8" s="265">
        <f t="shared" ca="1" si="11"/>
        <v>9</v>
      </c>
      <c r="AD8" s="276">
        <f ca="1">IF(     OR(               AND(MAX(AF$6:AF8)&lt;2,  AC8=12),                 AF8=2),                   SUMIF(AB:AB,AB8,AA:AA),                       0)</f>
        <v>0</v>
      </c>
      <c r="AE8" s="277">
        <f t="shared" ca="1" si="5"/>
        <v>0</v>
      </c>
      <c r="AF8" s="277">
        <f t="shared" ca="1" si="4"/>
        <v>0</v>
      </c>
      <c r="AG8" s="402">
        <f ca="1">IF(  AND(AC8=AdóHó,   MAX(AF$1:AF7)&lt;2),   SUMIF(AB:AB,AB8-1,AE:AE),0  )
+ IF(AND(AC8&lt;AdóHó,                            AF8=2),   SUMIF(AB:AB,AB8-1,AE:AE),0  )
+ IF(                                                                  AF8=2,    SUMIF(AB:AB,AB8,AE:AE   ),0  )</f>
        <v>0</v>
      </c>
      <c r="AH8" s="272">
        <f ca="1">SUM(AG$2:AG8)</f>
        <v>0</v>
      </c>
    </row>
    <row r="9" spans="1:34">
      <c r="A9" s="265">
        <f t="shared" si="6"/>
        <v>1</v>
      </c>
      <c r="B9" s="265">
        <f t="shared" si="7"/>
        <v>7</v>
      </c>
      <c r="C9" s="265">
        <f t="shared" ca="1" si="8"/>
        <v>1</v>
      </c>
      <c r="D9" s="265">
        <f t="shared" ca="1" si="9"/>
        <v>10</v>
      </c>
      <c r="E9" s="266">
        <v>5.0000000000000001E-3</v>
      </c>
      <c r="F9" s="267">
        <f>ÉV!$B$12</f>
        <v>0</v>
      </c>
      <c r="G9" s="271">
        <f ca="1">VLOOKUP(A9,ÉV!$A$18:$B$65,2,0)</f>
        <v>209350</v>
      </c>
      <c r="H9" s="271">
        <f ca="1">IF(OR(A9=1,AND(C9=ÉV!$I$2,D9&gt;ÉV!$J$2),C9&gt;ÉV!$I$2),0,INDEX(Pz!$B$2:$AM$48,A9-1,ÉV!$G$2-9)/100000*ÉV!$B$10)</f>
        <v>0</v>
      </c>
      <c r="I9" s="271">
        <f ca="1">INDEX(Pz!$B$2:$AM$48,HÓ!A9,ÉV!$G$2-9)/100000*ÉV!$B$10</f>
        <v>42750.38632227276</v>
      </c>
      <c r="J9" s="273">
        <f ca="1">IF(OR(A9=1,A9=2,AND(C9=ÉV!$I$2,D9&gt;ÉV!$J$2),C9&gt;ÉV!$I$2),0,VLOOKUP(A9-2,ÉV!$A$18:$C$65,3,0))</f>
        <v>0</v>
      </c>
      <c r="K9" s="273">
        <f ca="1">IF(OR(A9=1,AND(C9=ÉV!$I$2,D9&gt;ÉV!$J$2),C9&gt;ÉV!$I$2),0,VLOOKUP(A9-1,ÉV!$A$18:$C$65,3,0))</f>
        <v>0</v>
      </c>
      <c r="L9" s="273">
        <f ca="1">VLOOKUP(A9,ÉV!$A$18:$C$65,3,0)*IF(OR(AND(C9=ÉV!$I$2,D9&gt;ÉV!$J$2),C9&gt;ÉV!$I$2),0,1)</f>
        <v>41870.727591723866</v>
      </c>
      <c r="M9" s="273">
        <f ca="1">(K9*(12-B9)/12+L9*B9/12)*IF(A9&gt;ÉV!$G$2,0,1)+IF(A9&gt;ÉV!$G$2,M8,0)*IF(OR(AND(C9=ÉV!$I$2,D9&gt;ÉV!$J$2),C9&gt;ÉV!$I$2),0,1)</f>
        <v>24424.591095172258</v>
      </c>
      <c r="N9" s="274">
        <f ca="1">IF(AND(C9=1,D9&lt;12),0,1)*IF(D9=12,MAX(0,F9-E9-0.003)*0.9*((K9+I9)*(B9/12)+(J9+H9)*(1-B9/12))+MAX(0,F9-0.003)*0.9*N8+N8,IF(AND(C9=ÉV!$I$2,D9=ÉV!$J$2),(M9+N8)*MAX(0,F9-0.003)*0.9*(D9/12)+N8,N8))*IF(OR(C9&gt;ÉV!$I$2,AND(C9=ÉV!$I$2,D9&gt;ÉV!$J$2)),0,1)</f>
        <v>0</v>
      </c>
      <c r="O9" s="313">
        <f ca="1">IF(MAX(AF$2:AF8)=2,      0,IF(OR(AC9=7, AF9=2),    SUM(AE$2:AE9),    O8)   )</f>
        <v>0</v>
      </c>
      <c r="P9" s="271">
        <f ca="1">IF(D9=12,V9+P8+P8*(F9-0.003)*0.9,IF(AND(C9=ÉV!$I$2,D9=ÉV!$J$2),V9+P8+P8*(F9-0.003)*0.9*D9/12,P8))*IF(OR(C9&gt;ÉV!$I$2,AND(C9=ÉV!$I$2,D9&gt;ÉV!$J$2)),0,1)</f>
        <v>0</v>
      </c>
      <c r="Q9" s="275">
        <f ca="1">(N9+P9)*IF(OR(AND(C9=ÉV!$I$2,D9&gt;ÉV!$J$2),C9&gt;ÉV!$I$2),0,1)</f>
        <v>0</v>
      </c>
      <c r="R9" s="271">
        <f ca="1">(MAX(0,F9-E9-0.003)*0.9*((K9+I9)*(1/12)))*IF(OR(C9&gt;ÉV!$I$2,AND(C9=ÉV!$I$2,D9&gt;ÉV!$J$2)),0,1)</f>
        <v>0</v>
      </c>
      <c r="S9" s="271">
        <f ca="1">(MAX(0,F9-0.003)*0.9*((O9)*(1/12)))*IF(OR(C9&gt;ÉV!$I$2,AND(C9=ÉV!$I$2,D9&gt;ÉV!$J$2)),0,1)</f>
        <v>0</v>
      </c>
      <c r="T9" s="271">
        <f ca="1">(MAX(0,F9-0.003)*0.9*((Q8)*(1/12)))*IF(OR(C9&gt;ÉV!$I$2,AND(C9=ÉV!$I$2,D9&gt;ÉV!$J$2)),0,1)</f>
        <v>0</v>
      </c>
      <c r="U9" s="271">
        <f ca="1">IF($D9=1,R9,R9+U8)*IF(OR(C9&gt;ÉV!$I$2,AND(C9=ÉV!$I$2,D9&gt;ÉV!$J$2)),0,1)</f>
        <v>0</v>
      </c>
      <c r="V9" s="271">
        <f ca="1">IF($D9=1,S9,S9+V8)*IF(OR(C9&gt;ÉV!$I$2,AND(C9=ÉV!$I$2,D9&gt;ÉV!$J$2)),0,1)</f>
        <v>0</v>
      </c>
      <c r="W9" s="271">
        <f ca="1">IF($D9=1,T9,T9+W8)*IF(OR(C9&gt;ÉV!$I$2,AND(C9=ÉV!$I$2,D9&gt;ÉV!$J$2)),0,1)</f>
        <v>0</v>
      </c>
      <c r="X9" s="271">
        <f ca="1">IF(OR(D9=12,AND(C9=ÉV!$I$2,D9=ÉV!$J$2)),SUM(U9:W9)+X8,X8)*IF(OR(C9&gt;ÉV!$I$2,AND(C9=ÉV!$I$2,D9&gt;ÉV!$J$2)),0,1)</f>
        <v>0</v>
      </c>
      <c r="Y9" s="271">
        <f t="shared" ca="1" si="0"/>
        <v>0</v>
      </c>
      <c r="Z9" s="265">
        <f t="shared" si="1"/>
        <v>7</v>
      </c>
      <c r="AA9" s="272">
        <f t="shared" ca="1" si="2"/>
        <v>17445.833333333332</v>
      </c>
      <c r="AB9" s="265">
        <f t="shared" ca="1" si="10"/>
        <v>2017</v>
      </c>
      <c r="AC9" s="265">
        <f t="shared" ca="1" si="11"/>
        <v>10</v>
      </c>
      <c r="AD9" s="276">
        <f ca="1">IF(     OR(               AND(MAX(AF$6:AF9)&lt;2,  AC9=12),                 AF9=2),                   SUMIF(AB:AB,AB9,AA:AA),                       0)</f>
        <v>0</v>
      </c>
      <c r="AE9" s="277">
        <f t="shared" ca="1" si="5"/>
        <v>0</v>
      </c>
      <c r="AF9" s="277">
        <f t="shared" ca="1" si="4"/>
        <v>0</v>
      </c>
      <c r="AG9" s="402">
        <f ca="1">IF(  AND(AC9=AdóHó,   MAX(AF$1:AF8)&lt;2),   SUMIF(AB:AB,AB9-1,AE:AE),0  )
+ IF(AND(AC9&lt;AdóHó,                            AF9=2),   SUMIF(AB:AB,AB9-1,AE:AE),0  )
+ IF(                                                                  AF9=2,    SUMIF(AB:AB,AB9,AE:AE   ),0  )</f>
        <v>0</v>
      </c>
      <c r="AH9" s="272">
        <f ca="1">SUM(AG$2:AG9)</f>
        <v>0</v>
      </c>
    </row>
    <row r="10" spans="1:34">
      <c r="A10" s="265">
        <f t="shared" si="6"/>
        <v>1</v>
      </c>
      <c r="B10" s="265">
        <f t="shared" si="7"/>
        <v>8</v>
      </c>
      <c r="C10" s="265">
        <f t="shared" ca="1" si="8"/>
        <v>1</v>
      </c>
      <c r="D10" s="265">
        <f t="shared" ca="1" si="9"/>
        <v>11</v>
      </c>
      <c r="E10" s="266">
        <v>5.0000000000000001E-3</v>
      </c>
      <c r="F10" s="267">
        <f>ÉV!$B$12</f>
        <v>0</v>
      </c>
      <c r="G10" s="271">
        <f ca="1">VLOOKUP(A10,ÉV!$A$18:$B$65,2,0)</f>
        <v>209350</v>
      </c>
      <c r="H10" s="271">
        <f ca="1">IF(OR(A10=1,AND(C10=ÉV!$I$2,D10&gt;ÉV!$J$2),C10&gt;ÉV!$I$2),0,INDEX(Pz!$B$2:$AM$48,A10-1,ÉV!$G$2-9)/100000*ÉV!$B$10)</f>
        <v>0</v>
      </c>
      <c r="I10" s="271">
        <f ca="1">INDEX(Pz!$B$2:$AM$48,HÓ!A10,ÉV!$G$2-9)/100000*ÉV!$B$10</f>
        <v>42750.38632227276</v>
      </c>
      <c r="J10" s="273">
        <f ca="1">IF(OR(A10=1,A10=2,AND(C10=ÉV!$I$2,D10&gt;ÉV!$J$2),C10&gt;ÉV!$I$2),0,VLOOKUP(A10-2,ÉV!$A$18:$C$65,3,0))</f>
        <v>0</v>
      </c>
      <c r="K10" s="273">
        <f ca="1">IF(OR(A10=1,AND(C10=ÉV!$I$2,D10&gt;ÉV!$J$2),C10&gt;ÉV!$I$2),0,VLOOKUP(A10-1,ÉV!$A$18:$C$65,3,0))</f>
        <v>0</v>
      </c>
      <c r="L10" s="273">
        <f ca="1">VLOOKUP(A10,ÉV!$A$18:$C$65,3,0)*IF(OR(AND(C10=ÉV!$I$2,D10&gt;ÉV!$J$2),C10&gt;ÉV!$I$2),0,1)</f>
        <v>41870.727591723866</v>
      </c>
      <c r="M10" s="273">
        <f ca="1">(K10*(12-B10)/12+L10*B10/12)*IF(A10&gt;ÉV!$G$2,0,1)+IF(A10&gt;ÉV!$G$2,M9,0)*IF(OR(AND(C10=ÉV!$I$2,D10&gt;ÉV!$J$2),C10&gt;ÉV!$I$2),0,1)</f>
        <v>27913.818394482576</v>
      </c>
      <c r="N10" s="274">
        <f ca="1">IF(AND(C10=1,D10&lt;12),0,1)*IF(D10=12,MAX(0,F10-E10-0.003)*0.9*((K10+I10)*(B10/12)+(J10+H10)*(1-B10/12))+MAX(0,F10-0.003)*0.9*N9+N9,IF(AND(C10=ÉV!$I$2,D10=ÉV!$J$2),(M10+N9)*MAX(0,F10-0.003)*0.9*(D10/12)+N9,N9))*IF(OR(C10&gt;ÉV!$I$2,AND(C10=ÉV!$I$2,D10&gt;ÉV!$J$2)),0,1)</f>
        <v>0</v>
      </c>
      <c r="O10" s="313">
        <f ca="1">IF(MAX(AF$2:AF9)=2,      0,IF(OR(AC10=7, AF10=2),    SUM(AE$2:AE10),    O9)   )</f>
        <v>0</v>
      </c>
      <c r="P10" s="271">
        <f ca="1">IF(D10=12,V10+P9+P9*(F10-0.003)*0.9,IF(AND(C10=ÉV!$I$2,D10=ÉV!$J$2),V10+P9+P9*(F10-0.003)*0.9*D10/12,P9))*IF(OR(C10&gt;ÉV!$I$2,AND(C10=ÉV!$I$2,D10&gt;ÉV!$J$2)),0,1)</f>
        <v>0</v>
      </c>
      <c r="Q10" s="275">
        <f ca="1">(N10+P10)*IF(OR(AND(C10=ÉV!$I$2,D10&gt;ÉV!$J$2),C10&gt;ÉV!$I$2),0,1)</f>
        <v>0</v>
      </c>
      <c r="R10" s="271">
        <f ca="1">(MAX(0,F10-E10-0.003)*0.9*((K10+I10)*(1/12)))*IF(OR(C10&gt;ÉV!$I$2,AND(C10=ÉV!$I$2,D10&gt;ÉV!$J$2)),0,1)</f>
        <v>0</v>
      </c>
      <c r="S10" s="271">
        <f ca="1">(MAX(0,F10-0.003)*0.9*((O10)*(1/12)))*IF(OR(C10&gt;ÉV!$I$2,AND(C10=ÉV!$I$2,D10&gt;ÉV!$J$2)),0,1)</f>
        <v>0</v>
      </c>
      <c r="T10" s="271">
        <f ca="1">(MAX(0,F10-0.003)*0.9*((Q9)*(1/12)))*IF(OR(C10&gt;ÉV!$I$2,AND(C10=ÉV!$I$2,D10&gt;ÉV!$J$2)),0,1)</f>
        <v>0</v>
      </c>
      <c r="U10" s="271">
        <f ca="1">IF($D10=1,R10,R10+U9)*IF(OR(C10&gt;ÉV!$I$2,AND(C10=ÉV!$I$2,D10&gt;ÉV!$J$2)),0,1)</f>
        <v>0</v>
      </c>
      <c r="V10" s="271">
        <f ca="1">IF($D10=1,S10,S10+V9)*IF(OR(C10&gt;ÉV!$I$2,AND(C10=ÉV!$I$2,D10&gt;ÉV!$J$2)),0,1)</f>
        <v>0</v>
      </c>
      <c r="W10" s="271">
        <f ca="1">IF($D10=1,T10,T10+W9)*IF(OR(C10&gt;ÉV!$I$2,AND(C10=ÉV!$I$2,D10&gt;ÉV!$J$2)),0,1)</f>
        <v>0</v>
      </c>
      <c r="X10" s="271">
        <f ca="1">IF(OR(D10=12,AND(C10=ÉV!$I$2,D10=ÉV!$J$2)),SUM(U10:W10)+X9,X9)*IF(OR(C10&gt;ÉV!$I$2,AND(C10=ÉV!$I$2,D10&gt;ÉV!$J$2)),0,1)</f>
        <v>0</v>
      </c>
      <c r="Y10" s="271">
        <f t="shared" ca="1" si="0"/>
        <v>0</v>
      </c>
      <c r="Z10" s="265">
        <f t="shared" si="1"/>
        <v>8</v>
      </c>
      <c r="AA10" s="272">
        <f t="shared" ca="1" si="2"/>
        <v>17445.833333333332</v>
      </c>
      <c r="AB10" s="265">
        <f t="shared" ca="1" si="10"/>
        <v>2017</v>
      </c>
      <c r="AC10" s="265">
        <f t="shared" ca="1" si="11"/>
        <v>11</v>
      </c>
      <c r="AD10" s="276">
        <f ca="1">IF(     OR(               AND(MAX(AF$6:AF10)&lt;2,  AC10=12),                 AF10=2),                   SUMIF(AB:AB,AB10,AA:AA),                       0)</f>
        <v>0</v>
      </c>
      <c r="AE10" s="277">
        <f t="shared" ca="1" si="5"/>
        <v>0</v>
      </c>
      <c r="AF10" s="277">
        <f t="shared" ca="1" si="4"/>
        <v>0</v>
      </c>
      <c r="AG10" s="402">
        <f ca="1">IF(  AND(AC10=AdóHó,   MAX(AF$1:AF9)&lt;2),   SUMIF(AB:AB,AB10-1,AE:AE),0  )
+ IF(AND(AC10&lt;AdóHó,                            AF10=2),   SUMIF(AB:AB,AB10-1,AE:AE),0  )
+ IF(                                                                  AF10=2,    SUMIF(AB:AB,AB10,AE:AE   ),0  )</f>
        <v>0</v>
      </c>
      <c r="AH10" s="272">
        <f ca="1">SUM(AG$2:AG10)</f>
        <v>0</v>
      </c>
    </row>
    <row r="11" spans="1:34">
      <c r="A11" s="265">
        <f t="shared" si="6"/>
        <v>1</v>
      </c>
      <c r="B11" s="265">
        <f t="shared" si="7"/>
        <v>9</v>
      </c>
      <c r="C11" s="265">
        <f t="shared" ca="1" si="8"/>
        <v>1</v>
      </c>
      <c r="D11" s="265">
        <f t="shared" ca="1" si="9"/>
        <v>12</v>
      </c>
      <c r="E11" s="266">
        <v>5.0000000000000001E-3</v>
      </c>
      <c r="F11" s="267">
        <f>ÉV!$B$12</f>
        <v>0</v>
      </c>
      <c r="G11" s="271">
        <f ca="1">VLOOKUP(A11,ÉV!$A$18:$B$65,2,0)</f>
        <v>209350</v>
      </c>
      <c r="H11" s="271">
        <f ca="1">IF(OR(A11=1,AND(C11=ÉV!$I$2,D11&gt;ÉV!$J$2),C11&gt;ÉV!$I$2),0,INDEX(Pz!$B$2:$AM$48,A11-1,ÉV!$G$2-9)/100000*ÉV!$B$10)</f>
        <v>0</v>
      </c>
      <c r="I11" s="271">
        <f ca="1">INDEX(Pz!$B$2:$AM$48,HÓ!A11,ÉV!$G$2-9)/100000*ÉV!$B$10</f>
        <v>42750.38632227276</v>
      </c>
      <c r="J11" s="273">
        <f ca="1">IF(OR(A11=1,A11=2,AND(C11=ÉV!$I$2,D11&gt;ÉV!$J$2),C11&gt;ÉV!$I$2),0,VLOOKUP(A11-2,ÉV!$A$18:$C$65,3,0))</f>
        <v>0</v>
      </c>
      <c r="K11" s="273">
        <f ca="1">IF(OR(A11=1,AND(C11=ÉV!$I$2,D11&gt;ÉV!$J$2),C11&gt;ÉV!$I$2),0,VLOOKUP(A11-1,ÉV!$A$18:$C$65,3,0))</f>
        <v>0</v>
      </c>
      <c r="L11" s="273">
        <f ca="1">VLOOKUP(A11,ÉV!$A$18:$C$65,3,0)*IF(OR(AND(C11=ÉV!$I$2,D11&gt;ÉV!$J$2),C11&gt;ÉV!$I$2),0,1)</f>
        <v>41870.727591723866</v>
      </c>
      <c r="M11" s="273">
        <f ca="1">(K11*(12-B11)/12+L11*B11/12)*IF(A11&gt;ÉV!$G$2,0,1)+IF(A11&gt;ÉV!$G$2,M10,0)*IF(OR(AND(C11=ÉV!$I$2,D11&gt;ÉV!$J$2),C11&gt;ÉV!$I$2),0,1)</f>
        <v>31403.045693792898</v>
      </c>
      <c r="N11" s="274">
        <f ca="1">IF(AND(C11=1,D11&lt;12),0,1)*IF(D11=12,MAX(0,F11-E11-0.003)*0.9*((K11+I11)*(B11/12)+(J11+H11)*(1-B11/12))+MAX(0,F11-0.003)*0.9*N10+N10,IF(AND(C11=ÉV!$I$2,D11=ÉV!$J$2),(M11+N10)*MAX(0,F11-0.003)*0.9*(D11/12)+N10,N10))*IF(OR(C11&gt;ÉV!$I$2,AND(C11=ÉV!$I$2,D11&gt;ÉV!$J$2)),0,1)</f>
        <v>0</v>
      </c>
      <c r="O11" s="313">
        <f ca="1">IF(MAX(AF$2:AF10)=2,      0,IF(OR(AC11=7, AF11=2),    SUM(AE$2:AE11),    O10)   )</f>
        <v>0</v>
      </c>
      <c r="P11" s="271">
        <f ca="1">IF(D11=12,V11+P10+P10*(F11-0.003)*0.9,IF(AND(C11=ÉV!$I$2,D11=ÉV!$J$2),V11+P10+P10*(F11-0.003)*0.9*D11/12,P10))*IF(OR(C11&gt;ÉV!$I$2,AND(C11=ÉV!$I$2,D11&gt;ÉV!$J$2)),0,1)</f>
        <v>0</v>
      </c>
      <c r="Q11" s="275">
        <f ca="1">(N11+P11)*IF(OR(AND(C11=ÉV!$I$2,D11&gt;ÉV!$J$2),C11&gt;ÉV!$I$2),0,1)</f>
        <v>0</v>
      </c>
      <c r="R11" s="271">
        <f ca="1">(MAX(0,F11-E11-0.003)*0.9*((K11+I11)*(1/12)))*IF(OR(C11&gt;ÉV!$I$2,AND(C11=ÉV!$I$2,D11&gt;ÉV!$J$2)),0,1)</f>
        <v>0</v>
      </c>
      <c r="S11" s="271">
        <f ca="1">(MAX(0,F11-0.003)*0.9*((O11)*(1/12)))*IF(OR(C11&gt;ÉV!$I$2,AND(C11=ÉV!$I$2,D11&gt;ÉV!$J$2)),0,1)</f>
        <v>0</v>
      </c>
      <c r="T11" s="271">
        <f ca="1">(MAX(0,F11-0.003)*0.9*((Q10)*(1/12)))*IF(OR(C11&gt;ÉV!$I$2,AND(C11=ÉV!$I$2,D11&gt;ÉV!$J$2)),0,1)</f>
        <v>0</v>
      </c>
      <c r="U11" s="271">
        <f ca="1">IF($D11=1,R11,R11+U10)*IF(OR(C11&gt;ÉV!$I$2,AND(C11=ÉV!$I$2,D11&gt;ÉV!$J$2)),0,1)</f>
        <v>0</v>
      </c>
      <c r="V11" s="271">
        <f ca="1">IF($D11=1,S11,S11+V10)*IF(OR(C11&gt;ÉV!$I$2,AND(C11=ÉV!$I$2,D11&gt;ÉV!$J$2)),0,1)</f>
        <v>0</v>
      </c>
      <c r="W11" s="271">
        <f ca="1">IF($D11=1,T11,T11+W10)*IF(OR(C11&gt;ÉV!$I$2,AND(C11=ÉV!$I$2,D11&gt;ÉV!$J$2)),0,1)</f>
        <v>0</v>
      </c>
      <c r="X11" s="271">
        <f ca="1">IF(OR(D11=12,AND(C11=ÉV!$I$2,D11=ÉV!$J$2)),SUM(U11:W11)+X10,X10)*IF(OR(C11&gt;ÉV!$I$2,AND(C11=ÉV!$I$2,D11&gt;ÉV!$J$2)),0,1)</f>
        <v>0</v>
      </c>
      <c r="Y11" s="271">
        <f t="shared" ca="1" si="0"/>
        <v>0</v>
      </c>
      <c r="Z11" s="265">
        <f t="shared" si="1"/>
        <v>9</v>
      </c>
      <c r="AA11" s="272">
        <f t="shared" ca="1" si="2"/>
        <v>17445.833333333332</v>
      </c>
      <c r="AB11" s="265">
        <f t="shared" ca="1" si="10"/>
        <v>2017</v>
      </c>
      <c r="AC11" s="265">
        <f t="shared" ca="1" si="11"/>
        <v>12</v>
      </c>
      <c r="AD11" s="276">
        <f ca="1">IF(     OR(               AND(MAX(AF$6:AF11)&lt;2,  AC11=12),                 AF11=2),                   SUMIF(AB:AB,AB11,AA:AA),                       0)</f>
        <v>157012.5</v>
      </c>
      <c r="AE11" s="277">
        <f t="shared" ca="1" si="5"/>
        <v>31402.5</v>
      </c>
      <c r="AF11" s="277">
        <f t="shared" ca="1" si="4"/>
        <v>0</v>
      </c>
      <c r="AG11" s="402">
        <f ca="1">IF(  AND(AC11=AdóHó,   MAX(AF$1:AF10)&lt;2),   SUMIF(AB:AB,AB11-1,AE:AE),0  )
+ IF(AND(AC11&lt;AdóHó,                            AF11=2),   SUMIF(AB:AB,AB11-1,AE:AE),0  )
+ IF(                                                                  AF11=2,    SUMIF(AB:AB,AB11,AE:AE   ),0  )</f>
        <v>0</v>
      </c>
      <c r="AH11" s="272">
        <f ca="1">SUM(AG$2:AG11)</f>
        <v>0</v>
      </c>
    </row>
    <row r="12" spans="1:34">
      <c r="A12" s="265">
        <f t="shared" si="6"/>
        <v>1</v>
      </c>
      <c r="B12" s="265">
        <f t="shared" si="7"/>
        <v>10</v>
      </c>
      <c r="C12" s="265">
        <f t="shared" ca="1" si="8"/>
        <v>2</v>
      </c>
      <c r="D12" s="265">
        <f t="shared" ca="1" si="9"/>
        <v>1</v>
      </c>
      <c r="E12" s="266">
        <v>5.0000000000000001E-3</v>
      </c>
      <c r="F12" s="267">
        <f>ÉV!$B$12</f>
        <v>0</v>
      </c>
      <c r="G12" s="271">
        <f ca="1">VLOOKUP(A12,ÉV!$A$18:$B$65,2,0)</f>
        <v>209350</v>
      </c>
      <c r="H12" s="271">
        <f ca="1">IF(OR(A12=1,AND(C12=ÉV!$I$2,D12&gt;ÉV!$J$2),C12&gt;ÉV!$I$2),0,INDEX(Pz!$B$2:$AM$48,A12-1,ÉV!$G$2-9)/100000*ÉV!$B$10)</f>
        <v>0</v>
      </c>
      <c r="I12" s="271">
        <f ca="1">INDEX(Pz!$B$2:$AM$48,HÓ!A12,ÉV!$G$2-9)/100000*ÉV!$B$10</f>
        <v>42750.38632227276</v>
      </c>
      <c r="J12" s="273">
        <f ca="1">IF(OR(A12=1,A12=2,AND(C12=ÉV!$I$2,D12&gt;ÉV!$J$2),C12&gt;ÉV!$I$2),0,VLOOKUP(A12-2,ÉV!$A$18:$C$65,3,0))</f>
        <v>0</v>
      </c>
      <c r="K12" s="273">
        <f ca="1">IF(OR(A12=1,AND(C12=ÉV!$I$2,D12&gt;ÉV!$J$2),C12&gt;ÉV!$I$2),0,VLOOKUP(A12-1,ÉV!$A$18:$C$65,3,0))</f>
        <v>0</v>
      </c>
      <c r="L12" s="273">
        <f ca="1">VLOOKUP(A12,ÉV!$A$18:$C$65,3,0)*IF(OR(AND(C12=ÉV!$I$2,D12&gt;ÉV!$J$2),C12&gt;ÉV!$I$2),0,1)</f>
        <v>41870.727591723866</v>
      </c>
      <c r="M12" s="273">
        <f ca="1">(K12*(12-B12)/12+L12*B12/12)*IF(A12&gt;ÉV!$G$2,0,1)+IF(A12&gt;ÉV!$G$2,M11,0)*IF(OR(AND(C12=ÉV!$I$2,D12&gt;ÉV!$J$2),C12&gt;ÉV!$I$2),0,1)</f>
        <v>34892.272993103223</v>
      </c>
      <c r="N12" s="274">
        <f ca="1">IF(AND(C12=1,D12&lt;12),0,1)*IF(D12=12,MAX(0,F12-E12-0.003)*0.9*((K12+I12)*(B12/12)+(J12+H12)*(1-B12/12))+MAX(0,F12-0.003)*0.9*N11+N11,IF(AND(C12=ÉV!$I$2,D12=ÉV!$J$2),(M12+N11)*MAX(0,F12-0.003)*0.9*(D12/12)+N11,N11))*IF(OR(C12&gt;ÉV!$I$2,AND(C12=ÉV!$I$2,D12&gt;ÉV!$J$2)),0,1)</f>
        <v>0</v>
      </c>
      <c r="O12" s="313">
        <f ca="1">IF(MAX(AF$2:AF11)=2,      0,IF(OR(AC12=7, AF12=2),    SUM(AE$2:AE12),    O11)   )</f>
        <v>0</v>
      </c>
      <c r="P12" s="271">
        <f ca="1">IF(D12=12,V12+P11+P11*(F12-0.003)*0.9,IF(AND(C12=ÉV!$I$2,D12=ÉV!$J$2),V12+P11+P11*(F12-0.003)*0.9*D12/12,P11))*IF(OR(C12&gt;ÉV!$I$2,AND(C12=ÉV!$I$2,D12&gt;ÉV!$J$2)),0,1)</f>
        <v>0</v>
      </c>
      <c r="Q12" s="275">
        <f ca="1">(N12+P12)*IF(OR(AND(C12=ÉV!$I$2,D12&gt;ÉV!$J$2),C12&gt;ÉV!$I$2),0,1)</f>
        <v>0</v>
      </c>
      <c r="R12" s="271">
        <f ca="1">(MAX(0,F12-E12-0.003)*0.9*((K12+I12)*(1/12)))*IF(OR(C12&gt;ÉV!$I$2,AND(C12=ÉV!$I$2,D12&gt;ÉV!$J$2)),0,1)</f>
        <v>0</v>
      </c>
      <c r="S12" s="271">
        <f ca="1">(MAX(0,F12-0.003)*0.9*((O12)*(1/12)))*IF(OR(C12&gt;ÉV!$I$2,AND(C12=ÉV!$I$2,D12&gt;ÉV!$J$2)),0,1)</f>
        <v>0</v>
      </c>
      <c r="T12" s="271">
        <f ca="1">(MAX(0,F12-0.003)*0.9*((Q11)*(1/12)))*IF(OR(C12&gt;ÉV!$I$2,AND(C12=ÉV!$I$2,D12&gt;ÉV!$J$2)),0,1)</f>
        <v>0</v>
      </c>
      <c r="U12" s="271">
        <f ca="1">IF($D12=1,R12,R12+U11)*IF(OR(C12&gt;ÉV!$I$2,AND(C12=ÉV!$I$2,D12&gt;ÉV!$J$2)),0,1)</f>
        <v>0</v>
      </c>
      <c r="V12" s="271">
        <f ca="1">IF($D12=1,S12,S12+V11)*IF(OR(C12&gt;ÉV!$I$2,AND(C12=ÉV!$I$2,D12&gt;ÉV!$J$2)),0,1)</f>
        <v>0</v>
      </c>
      <c r="W12" s="271">
        <f ca="1">IF($D12=1,T12,T12+W11)*IF(OR(C12&gt;ÉV!$I$2,AND(C12=ÉV!$I$2,D12&gt;ÉV!$J$2)),0,1)</f>
        <v>0</v>
      </c>
      <c r="X12" s="271">
        <f ca="1">IF(OR(D12=12,AND(C12=ÉV!$I$2,D12=ÉV!$J$2)),SUM(U12:W12)+X11,X11)*IF(OR(C12&gt;ÉV!$I$2,AND(C12=ÉV!$I$2,D12&gt;ÉV!$J$2)),0,1)</f>
        <v>0</v>
      </c>
      <c r="Y12" s="271">
        <f t="shared" ca="1" si="0"/>
        <v>0</v>
      </c>
      <c r="Z12" s="265">
        <f t="shared" si="1"/>
        <v>10</v>
      </c>
      <c r="AA12" s="272">
        <f t="shared" ca="1" si="2"/>
        <v>17445.833333333332</v>
      </c>
      <c r="AB12" s="265">
        <f t="shared" ca="1" si="10"/>
        <v>2018</v>
      </c>
      <c r="AC12" s="265">
        <f t="shared" ca="1" si="11"/>
        <v>1</v>
      </c>
      <c r="AD12" s="276">
        <f ca="1">IF(     OR(               AND(MAX(AF$6:AF12)&lt;2,  AC12=12),                 AF12=2),                   SUMIF(AB:AB,AB12,AA:AA),                       0)</f>
        <v>0</v>
      </c>
      <c r="AE12" s="277">
        <f ca="1">MIN(AD12*0.2,130000)</f>
        <v>0</v>
      </c>
      <c r="AF12" s="277">
        <f t="shared" ca="1" si="4"/>
        <v>0</v>
      </c>
      <c r="AG12" s="402">
        <f ca="1">IF(  AND(AC12=AdóHó,   MAX(AF$1:AF11)&lt;2),   SUMIF(AB:AB,AB12-1,AE:AE),0  )
+ IF(AND(AC12&lt;AdóHó,                            AF12=2),   SUMIF(AB:AB,AB12-1,AE:AE),0  )
+ IF(                                                                  AF12=2,    SUMIF(AB:AB,AB12,AE:AE   ),0  )</f>
        <v>0</v>
      </c>
      <c r="AH12" s="272">
        <f ca="1">SUM(AG$2:AG12)</f>
        <v>0</v>
      </c>
    </row>
    <row r="13" spans="1:34">
      <c r="A13" s="265">
        <f t="shared" si="6"/>
        <v>1</v>
      </c>
      <c r="B13" s="265">
        <f t="shared" si="7"/>
        <v>11</v>
      </c>
      <c r="C13" s="265">
        <f t="shared" ca="1" si="8"/>
        <v>2</v>
      </c>
      <c r="D13" s="265">
        <f t="shared" ca="1" si="9"/>
        <v>2</v>
      </c>
      <c r="E13" s="266">
        <v>5.0000000000000001E-3</v>
      </c>
      <c r="F13" s="267">
        <f>ÉV!$B$12</f>
        <v>0</v>
      </c>
      <c r="G13" s="271">
        <f ca="1">VLOOKUP(A13,ÉV!$A$18:$B$65,2,0)</f>
        <v>209350</v>
      </c>
      <c r="H13" s="271">
        <f ca="1">IF(OR(A13=1,AND(C13=ÉV!$I$2,D13&gt;ÉV!$J$2),C13&gt;ÉV!$I$2),0,INDEX(Pz!$B$2:$AM$48,A13-1,ÉV!$G$2-9)/100000*ÉV!$B$10)</f>
        <v>0</v>
      </c>
      <c r="I13" s="271">
        <f ca="1">INDEX(Pz!$B$2:$AM$48,HÓ!A13,ÉV!$G$2-9)/100000*ÉV!$B$10</f>
        <v>42750.38632227276</v>
      </c>
      <c r="J13" s="273">
        <f ca="1">IF(OR(A13=1,A13=2,AND(C13=ÉV!$I$2,D13&gt;ÉV!$J$2),C13&gt;ÉV!$I$2),0,VLOOKUP(A13-2,ÉV!$A$18:$C$65,3,0))</f>
        <v>0</v>
      </c>
      <c r="K13" s="273">
        <f ca="1">IF(OR(A13=1,AND(C13=ÉV!$I$2,D13&gt;ÉV!$J$2),C13&gt;ÉV!$I$2),0,VLOOKUP(A13-1,ÉV!$A$18:$C$65,3,0))</f>
        <v>0</v>
      </c>
      <c r="L13" s="273">
        <f ca="1">VLOOKUP(A13,ÉV!$A$18:$C$65,3,0)*IF(OR(AND(C13=ÉV!$I$2,D13&gt;ÉV!$J$2),C13&gt;ÉV!$I$2),0,1)</f>
        <v>41870.727591723866</v>
      </c>
      <c r="M13" s="273">
        <f ca="1">(K13*(12-B13)/12+L13*B13/12)*IF(A13&gt;ÉV!$G$2,0,1)+IF(A13&gt;ÉV!$G$2,M12,0)*IF(OR(AND(C13=ÉV!$I$2,D13&gt;ÉV!$J$2),C13&gt;ÉV!$I$2),0,1)</f>
        <v>38381.500292413541</v>
      </c>
      <c r="N13" s="274">
        <f ca="1">IF(AND(C13=1,D13&lt;12),0,1)*IF(D13=12,MAX(0,F13-E13-0.003)*0.9*((K13+I13)*(B13/12)+(J13+H13)*(1-B13/12))+MAX(0,F13-0.003)*0.9*N12+N12,IF(AND(C13=ÉV!$I$2,D13=ÉV!$J$2),(M13+N12)*MAX(0,F13-0.003)*0.9*(D13/12)+N12,N12))*IF(OR(C13&gt;ÉV!$I$2,AND(C13=ÉV!$I$2,D13&gt;ÉV!$J$2)),0,1)</f>
        <v>0</v>
      </c>
      <c r="O13" s="313">
        <f ca="1">IF(MAX(AF$2:AF12)=2,      0,IF(OR(AC13=7, AF13=2),    SUM(AE$2:AE13),    O12)   )</f>
        <v>0</v>
      </c>
      <c r="P13" s="271">
        <f ca="1">IF(D13=12,V13+P12+P12*(F13-0.003)*0.9,IF(AND(C13=ÉV!$I$2,D13=ÉV!$J$2),V13+P12+P12*(F13-0.003)*0.9*D13/12,P12))*IF(OR(C13&gt;ÉV!$I$2,AND(C13=ÉV!$I$2,D13&gt;ÉV!$J$2)),0,1)</f>
        <v>0</v>
      </c>
      <c r="Q13" s="275">
        <f ca="1">(N13+P13)*IF(OR(AND(C13=ÉV!$I$2,D13&gt;ÉV!$J$2),C13&gt;ÉV!$I$2),0,1)</f>
        <v>0</v>
      </c>
      <c r="R13" s="271">
        <f ca="1">(MAX(0,F13-E13-0.003)*0.9*((K13+I13)*(1/12)))*IF(OR(C13&gt;ÉV!$I$2,AND(C13=ÉV!$I$2,D13&gt;ÉV!$J$2)),0,1)</f>
        <v>0</v>
      </c>
      <c r="S13" s="271">
        <f ca="1">(MAX(0,F13-0.003)*0.9*((O13)*(1/12)))*IF(OR(C13&gt;ÉV!$I$2,AND(C13=ÉV!$I$2,D13&gt;ÉV!$J$2)),0,1)</f>
        <v>0</v>
      </c>
      <c r="T13" s="271">
        <f ca="1">(MAX(0,F13-0.003)*0.9*((Q12)*(1/12)))*IF(OR(C13&gt;ÉV!$I$2,AND(C13=ÉV!$I$2,D13&gt;ÉV!$J$2)),0,1)</f>
        <v>0</v>
      </c>
      <c r="U13" s="271">
        <f ca="1">IF($D13=1,R13,R13+U12)*IF(OR(C13&gt;ÉV!$I$2,AND(C13=ÉV!$I$2,D13&gt;ÉV!$J$2)),0,1)</f>
        <v>0</v>
      </c>
      <c r="V13" s="271">
        <f ca="1">IF($D13=1,S13,S13+V12)*IF(OR(C13&gt;ÉV!$I$2,AND(C13=ÉV!$I$2,D13&gt;ÉV!$J$2)),0,1)</f>
        <v>0</v>
      </c>
      <c r="W13" s="271">
        <f ca="1">IF($D13=1,T13,T13+W12)*IF(OR(C13&gt;ÉV!$I$2,AND(C13=ÉV!$I$2,D13&gt;ÉV!$J$2)),0,1)</f>
        <v>0</v>
      </c>
      <c r="X13" s="271">
        <f ca="1">IF(OR(D13=12,AND(C13=ÉV!$I$2,D13=ÉV!$J$2)),SUM(U13:W13)+X12,X12)*IF(OR(C13&gt;ÉV!$I$2,AND(C13=ÉV!$I$2,D13&gt;ÉV!$J$2)),0,1)</f>
        <v>0</v>
      </c>
      <c r="Y13" s="271">
        <f t="shared" ca="1" si="0"/>
        <v>0</v>
      </c>
      <c r="Z13" s="265">
        <f t="shared" si="1"/>
        <v>11</v>
      </c>
      <c r="AA13" s="272">
        <f t="shared" ca="1" si="2"/>
        <v>17445.833333333332</v>
      </c>
      <c r="AB13" s="265">
        <f t="shared" ca="1" si="10"/>
        <v>2018</v>
      </c>
      <c r="AC13" s="265">
        <f t="shared" ca="1" si="11"/>
        <v>2</v>
      </c>
      <c r="AD13" s="276">
        <f ca="1">IF(     OR(               AND(MAX(AF$6:AF13)&lt;2,  AC13=12),                 AF13=2),                   SUMIF(AB:AB,AB13,AA:AA),                       0)</f>
        <v>0</v>
      </c>
      <c r="AE13" s="277">
        <f t="shared" ca="1" si="5"/>
        <v>0</v>
      </c>
      <c r="AF13" s="277">
        <f t="shared" ca="1" si="4"/>
        <v>0</v>
      </c>
      <c r="AG13" s="402">
        <f ca="1">IF(  AND(AC13=AdóHó,   MAX(AF$1:AF12)&lt;2),   SUMIF(AB:AB,AB13-1,AE:AE),0  )
+ IF(AND(AC13&lt;AdóHó,                            AF13=2),   SUMIF(AB:AB,AB13-1,AE:AE),0  )
+ IF(                                                                  AF13=2,    SUMIF(AB:AB,AB13,AE:AE   ),0  )</f>
        <v>0</v>
      </c>
      <c r="AH13" s="272">
        <f ca="1">SUM(AG$2:AG13)</f>
        <v>0</v>
      </c>
    </row>
    <row r="14" spans="1:34">
      <c r="A14" s="265">
        <f t="shared" si="6"/>
        <v>1</v>
      </c>
      <c r="B14" s="265">
        <f t="shared" si="7"/>
        <v>12</v>
      </c>
      <c r="C14" s="265">
        <f t="shared" ca="1" si="8"/>
        <v>2</v>
      </c>
      <c r="D14" s="265">
        <f t="shared" ca="1" si="9"/>
        <v>3</v>
      </c>
      <c r="E14" s="266">
        <v>5.0000000000000001E-3</v>
      </c>
      <c r="F14" s="267">
        <f>ÉV!$B$12</f>
        <v>0</v>
      </c>
      <c r="G14" s="271">
        <f ca="1">VLOOKUP(A14,ÉV!$A$18:$B$65,2,0)</f>
        <v>209350</v>
      </c>
      <c r="H14" s="271">
        <f ca="1">IF(OR(A14=1,AND(C14=ÉV!$I$2,D14&gt;ÉV!$J$2),C14&gt;ÉV!$I$2),0,INDEX(Pz!$B$2:$AM$48,A14-1,ÉV!$G$2-9)/100000*ÉV!$B$10)</f>
        <v>0</v>
      </c>
      <c r="I14" s="271">
        <f ca="1">INDEX(Pz!$B$2:$AM$48,HÓ!A14,ÉV!$G$2-9)/100000*ÉV!$B$10</f>
        <v>42750.38632227276</v>
      </c>
      <c r="J14" s="273">
        <f ca="1">IF(OR(A14=1,A14=2,AND(C14=ÉV!$I$2,D14&gt;ÉV!$J$2),C14&gt;ÉV!$I$2),0,VLOOKUP(A14-2,ÉV!$A$18:$C$65,3,0))</f>
        <v>0</v>
      </c>
      <c r="K14" s="273">
        <f ca="1">IF(OR(A14=1,AND(C14=ÉV!$I$2,D14&gt;ÉV!$J$2),C14&gt;ÉV!$I$2),0,VLOOKUP(A14-1,ÉV!$A$18:$C$65,3,0))</f>
        <v>0</v>
      </c>
      <c r="L14" s="273">
        <f ca="1">VLOOKUP(A14,ÉV!$A$18:$C$65,3,0)*IF(OR(AND(C14=ÉV!$I$2,D14&gt;ÉV!$J$2),C14&gt;ÉV!$I$2),0,1)</f>
        <v>41870.727591723866</v>
      </c>
      <c r="M14" s="273">
        <f ca="1">(K14*(12-B14)/12+L14*B14/12)*IF(A14&gt;ÉV!$G$2,0,1)+IF(A14&gt;ÉV!$G$2,M13,0)*IF(OR(AND(C14=ÉV!$I$2,D14&gt;ÉV!$J$2),C14&gt;ÉV!$I$2),0,1)</f>
        <v>41870.727591723866</v>
      </c>
      <c r="N14" s="274">
        <f ca="1">IF(AND(C14=1,D14&lt;12),0,1)*IF(D14=12,MAX(0,F14-E14-0.003)*0.9*((K14+I14)*(B14/12)+(J14+H14)*(1-B14/12))+MAX(0,F14-0.003)*0.9*N13+N13,IF(AND(C14=ÉV!$I$2,D14=ÉV!$J$2),(M14+N13)*MAX(0,F14-0.003)*0.9*(D14/12)+N13,N13))*IF(OR(C14&gt;ÉV!$I$2,AND(C14=ÉV!$I$2,D14&gt;ÉV!$J$2)),0,1)</f>
        <v>0</v>
      </c>
      <c r="O14" s="313">
        <f ca="1">IF(MAX(AF$2:AF13)=2,      0,IF(OR(AC14=7, AF14=2),    SUM(AE$2:AE14),    O13)   )</f>
        <v>0</v>
      </c>
      <c r="P14" s="271">
        <f ca="1">IF(D14=12,V14+P13+P13*(F14-0.003)*0.9,IF(AND(C14=ÉV!$I$2,D14=ÉV!$J$2),V14+P13+P13*(F14-0.003)*0.9*D14/12,P13))*IF(OR(C14&gt;ÉV!$I$2,AND(C14=ÉV!$I$2,D14&gt;ÉV!$J$2)),0,1)</f>
        <v>0</v>
      </c>
      <c r="Q14" s="275">
        <f ca="1">(N14+P14)*IF(OR(AND(C14=ÉV!$I$2,D14&gt;ÉV!$J$2),C14&gt;ÉV!$I$2),0,1)</f>
        <v>0</v>
      </c>
      <c r="R14" s="271">
        <f ca="1">(MAX(0,F14-E14-0.003)*0.9*((K14+I14)*(1/12)))*IF(OR(C14&gt;ÉV!$I$2,AND(C14=ÉV!$I$2,D14&gt;ÉV!$J$2)),0,1)</f>
        <v>0</v>
      </c>
      <c r="S14" s="271">
        <f ca="1">(MAX(0,F14-0.003)*0.9*((O14)*(1/12)))*IF(OR(C14&gt;ÉV!$I$2,AND(C14=ÉV!$I$2,D14&gt;ÉV!$J$2)),0,1)</f>
        <v>0</v>
      </c>
      <c r="T14" s="271">
        <f ca="1">(MAX(0,F14-0.003)*0.9*((Q13)*(1/12)))*IF(OR(C14&gt;ÉV!$I$2,AND(C14=ÉV!$I$2,D14&gt;ÉV!$J$2)),0,1)</f>
        <v>0</v>
      </c>
      <c r="U14" s="271">
        <f ca="1">IF($D14=1,R14,R14+U13)*IF(OR(C14&gt;ÉV!$I$2,AND(C14=ÉV!$I$2,D14&gt;ÉV!$J$2)),0,1)</f>
        <v>0</v>
      </c>
      <c r="V14" s="271">
        <f ca="1">IF($D14=1,S14,S14+V13)*IF(OR(C14&gt;ÉV!$I$2,AND(C14=ÉV!$I$2,D14&gt;ÉV!$J$2)),0,1)</f>
        <v>0</v>
      </c>
      <c r="W14" s="271">
        <f ca="1">IF($D14=1,T14,T14+W13)*IF(OR(C14&gt;ÉV!$I$2,AND(C14=ÉV!$I$2,D14&gt;ÉV!$J$2)),0,1)</f>
        <v>0</v>
      </c>
      <c r="X14" s="271">
        <f ca="1">IF(OR(D14=12,AND(C14=ÉV!$I$2,D14=ÉV!$J$2)),SUM(U14:W14)+X13,X13)*IF(OR(C14&gt;ÉV!$I$2,AND(C14=ÉV!$I$2,D14&gt;ÉV!$J$2)),0,1)</f>
        <v>0</v>
      </c>
      <c r="Y14" s="271">
        <f t="shared" ca="1" si="0"/>
        <v>0</v>
      </c>
      <c r="Z14" s="265">
        <f t="shared" si="1"/>
        <v>12</v>
      </c>
      <c r="AA14" s="272">
        <f t="shared" ca="1" si="2"/>
        <v>17445.833333333332</v>
      </c>
      <c r="AB14" s="265">
        <f t="shared" ca="1" si="10"/>
        <v>2018</v>
      </c>
      <c r="AC14" s="265">
        <f t="shared" ca="1" si="11"/>
        <v>3</v>
      </c>
      <c r="AD14" s="276">
        <f ca="1">IF(     OR(               AND(MAX(AF$6:AF14)&lt;2,  AC14=12),                 AF14=2),                   SUMIF(AB:AB,AB14,AA:AA),                       0)</f>
        <v>0</v>
      </c>
      <c r="AE14" s="277">
        <f t="shared" ref="AE14:AE77" ca="1" si="12">MIN(AD14*0.2,130000)</f>
        <v>0</v>
      </c>
      <c r="AF14" s="277">
        <f t="shared" ca="1" si="4"/>
        <v>0</v>
      </c>
      <c r="AG14" s="402">
        <f ca="1">IF(  AND(AC14=AdóHó,   MAX(AF$1:AF13)&lt;2),   SUMIF(AB:AB,AB14-1,AE:AE),0  )
+ IF(AND(AC14&lt;AdóHó,                            AF14=2),   SUMIF(AB:AB,AB14-1,AE:AE),0  )
+ IF(                                                                  AF14=2,    SUMIF(AB:AB,AB14,AE:AE   ),0  )</f>
        <v>0</v>
      </c>
      <c r="AH14" s="272">
        <f ca="1">SUM(AG$2:AG14)</f>
        <v>0</v>
      </c>
    </row>
    <row r="15" spans="1:34">
      <c r="A15" s="265">
        <f t="shared" si="6"/>
        <v>2</v>
      </c>
      <c r="B15" s="265">
        <f t="shared" si="7"/>
        <v>1</v>
      </c>
      <c r="C15" s="265">
        <f t="shared" ca="1" si="8"/>
        <v>2</v>
      </c>
      <c r="D15" s="265">
        <f t="shared" ca="1" si="9"/>
        <v>4</v>
      </c>
      <c r="E15" s="266">
        <v>5.0000000000000001E-3</v>
      </c>
      <c r="F15" s="267">
        <f>ÉV!$B$12</f>
        <v>0</v>
      </c>
      <c r="G15" s="271">
        <f ca="1">VLOOKUP(A15,ÉV!$A$18:$B$65,2,0)</f>
        <v>213537</v>
      </c>
      <c r="H15" s="271">
        <f ca="1">IF(OR(A15=1,AND(C15=ÉV!$I$2,D15&gt;ÉV!$J$2),C15&gt;ÉV!$I$2),0,INDEX(Pz!$B$2:$AM$48,A15-1,ÉV!$G$2-9)/100000*ÉV!$B$10)</f>
        <v>42750.38632227276</v>
      </c>
      <c r="I15" s="271">
        <f ca="1">INDEX(Pz!$B$2:$AM$48,HÓ!A15,ÉV!$G$2-9)/100000*ÉV!$B$10</f>
        <v>113890.47258586531</v>
      </c>
      <c r="J15" s="273">
        <f ca="1">IF(OR(A15=1,A15=2,AND(C15=ÉV!$I$2,D15&gt;ÉV!$J$2),C15&gt;ÉV!$I$2),0,VLOOKUP(A15-2,ÉV!$A$18:$C$65,3,0))</f>
        <v>0</v>
      </c>
      <c r="K15" s="273">
        <f ca="1">IF(OR(A15=1,AND(C15=ÉV!$I$2,D15&gt;ÉV!$J$2),C15&gt;ÉV!$I$2),0,VLOOKUP(A15-1,ÉV!$A$18:$C$65,3,0))</f>
        <v>41870.727591723866</v>
      </c>
      <c r="L15" s="273">
        <f ca="1">VLOOKUP(A15,ÉV!$A$18:$C$65,3,0)*IF(OR(AND(C15=ÉV!$I$2,D15&gt;ÉV!$J$2),C15&gt;ÉV!$I$2),0,1)</f>
        <v>154630.85788632699</v>
      </c>
      <c r="M15" s="273">
        <f ca="1">(K15*(12-B15)/12+L15*B15/12)*IF(A15&gt;ÉV!$G$2,0,1)+IF(A15&gt;ÉV!$G$2,M14,0)*IF(OR(AND(C15=ÉV!$I$2,D15&gt;ÉV!$J$2),C15&gt;ÉV!$I$2),0,1)</f>
        <v>51267.405116274123</v>
      </c>
      <c r="N15" s="274">
        <f ca="1">IF(AND(C15=1,D15&lt;12),0,1)*IF(D15=12,MAX(0,F15-E15-0.003)*0.9*((K15+I15)*(B15/12)+(J15+H15)*(1-B15/12))+MAX(0,F15-0.003)*0.9*N14+N14,IF(AND(C15=ÉV!$I$2,D15=ÉV!$J$2),(M15+N14)*MAX(0,F15-0.003)*0.9*(D15/12)+N14,N14))*IF(OR(C15&gt;ÉV!$I$2,AND(C15=ÉV!$I$2,D15&gt;ÉV!$J$2)),0,1)</f>
        <v>0</v>
      </c>
      <c r="O15" s="313">
        <f ca="1">IF(MAX(AF$2:AF14)=2,      0,IF(OR(AC15=7, AF15=2),    SUM(AE$2:AE15),    O14)   )</f>
        <v>0</v>
      </c>
      <c r="P15" s="271">
        <f ca="1">IF(D15=12,V15+P14+P14*(F15-0.003)*0.9,IF(AND(C15=ÉV!$I$2,D15=ÉV!$J$2),V15+P14+P14*(F15-0.003)*0.9*D15/12,P14))*IF(OR(C15&gt;ÉV!$I$2,AND(C15=ÉV!$I$2,D15&gt;ÉV!$J$2)),0,1)</f>
        <v>0</v>
      </c>
      <c r="Q15" s="275">
        <f ca="1">(N15+P15)*IF(OR(AND(C15=ÉV!$I$2,D15&gt;ÉV!$J$2),C15&gt;ÉV!$I$2),0,1)</f>
        <v>0</v>
      </c>
      <c r="R15" s="271">
        <f ca="1">(MAX(0,F15-E15-0.003)*0.9*((K15+I15)*(1/12)))*IF(OR(C15&gt;ÉV!$I$2,AND(C15=ÉV!$I$2,D15&gt;ÉV!$J$2)),0,1)</f>
        <v>0</v>
      </c>
      <c r="S15" s="271">
        <f ca="1">(MAX(0,F15-0.003)*0.9*((O15)*(1/12)))*IF(OR(C15&gt;ÉV!$I$2,AND(C15=ÉV!$I$2,D15&gt;ÉV!$J$2)),0,1)</f>
        <v>0</v>
      </c>
      <c r="T15" s="271">
        <f ca="1">(MAX(0,F15-0.003)*0.9*((Q14)*(1/12)))*IF(OR(C15&gt;ÉV!$I$2,AND(C15=ÉV!$I$2,D15&gt;ÉV!$J$2)),0,1)</f>
        <v>0</v>
      </c>
      <c r="U15" s="271">
        <f ca="1">IF($D15=1,R15,R15+U14)*IF(OR(C15&gt;ÉV!$I$2,AND(C15=ÉV!$I$2,D15&gt;ÉV!$J$2)),0,1)</f>
        <v>0</v>
      </c>
      <c r="V15" s="271">
        <f ca="1">IF($D15=1,S15,S15+V14)*IF(OR(C15&gt;ÉV!$I$2,AND(C15=ÉV!$I$2,D15&gt;ÉV!$J$2)),0,1)</f>
        <v>0</v>
      </c>
      <c r="W15" s="271">
        <f ca="1">IF($D15=1,T15,T15+W14)*IF(OR(C15&gt;ÉV!$I$2,AND(C15=ÉV!$I$2,D15&gt;ÉV!$J$2)),0,1)</f>
        <v>0</v>
      </c>
      <c r="X15" s="271">
        <f ca="1">IF(OR(D15=12,AND(C15=ÉV!$I$2,D15=ÉV!$J$2)),SUM(U15:W15)+X14,X14)*IF(OR(C15&gt;ÉV!$I$2,AND(C15=ÉV!$I$2,D15&gt;ÉV!$J$2)),0,1)</f>
        <v>0</v>
      </c>
      <c r="Y15" s="271">
        <f t="shared" ca="1" si="0"/>
        <v>0</v>
      </c>
      <c r="Z15" s="265">
        <f t="shared" si="1"/>
        <v>1</v>
      </c>
      <c r="AA15" s="272">
        <f t="shared" ca="1" si="2"/>
        <v>17794.75</v>
      </c>
      <c r="AB15" s="265">
        <f t="shared" ca="1" si="10"/>
        <v>2018</v>
      </c>
      <c r="AC15" s="265">
        <f t="shared" ca="1" si="11"/>
        <v>4</v>
      </c>
      <c r="AD15" s="276">
        <f ca="1">IF(     OR(               AND(MAX(AF$6:AF15)&lt;2,  AC15=12),                 AF15=2),                   SUMIF(AB:AB,AB15,AA:AA),                       0)</f>
        <v>0</v>
      </c>
      <c r="AE15" s="277">
        <f t="shared" ca="1" si="12"/>
        <v>0</v>
      </c>
      <c r="AF15" s="277">
        <f t="shared" ca="1" si="4"/>
        <v>0</v>
      </c>
      <c r="AG15" s="402">
        <f ca="1">IF(  AND(AC15=AdóHó,   MAX(AF$1:AF14)&lt;2),   SUMIF(AB:AB,AB15-1,AE:AE),0  )
+ IF(AND(AC15&lt;AdóHó,                            AF15=2),   SUMIF(AB:AB,AB15-1,AE:AE),0  )
+ IF(                                                                  AF15=2,    SUMIF(AB:AB,AB15,AE:AE   ),0  )</f>
        <v>0</v>
      </c>
      <c r="AH15" s="272">
        <f ca="1">SUM(AG$2:AG15)</f>
        <v>0</v>
      </c>
    </row>
    <row r="16" spans="1:34">
      <c r="A16" s="265">
        <f t="shared" si="6"/>
        <v>2</v>
      </c>
      <c r="B16" s="265">
        <f t="shared" si="7"/>
        <v>2</v>
      </c>
      <c r="C16" s="265">
        <f t="shared" ca="1" si="8"/>
        <v>2</v>
      </c>
      <c r="D16" s="265">
        <f t="shared" ca="1" si="9"/>
        <v>5</v>
      </c>
      <c r="E16" s="266">
        <v>5.0000000000000001E-3</v>
      </c>
      <c r="F16" s="267">
        <f>ÉV!$B$12</f>
        <v>0</v>
      </c>
      <c r="G16" s="271">
        <f ca="1">VLOOKUP(A16,ÉV!$A$18:$B$65,2,0)</f>
        <v>213537</v>
      </c>
      <c r="H16" s="271">
        <f ca="1">IF(OR(A16=1,AND(C16=ÉV!$I$2,D16&gt;ÉV!$J$2),C16&gt;ÉV!$I$2),0,INDEX(Pz!$B$2:$AM$48,A16-1,ÉV!$G$2-9)/100000*ÉV!$B$10)</f>
        <v>42750.38632227276</v>
      </c>
      <c r="I16" s="271">
        <f ca="1">INDEX(Pz!$B$2:$AM$48,HÓ!A16,ÉV!$G$2-9)/100000*ÉV!$B$10</f>
        <v>113890.47258586531</v>
      </c>
      <c r="J16" s="273">
        <f ca="1">IF(OR(A16=1,A16=2,AND(C16=ÉV!$I$2,D16&gt;ÉV!$J$2),C16&gt;ÉV!$I$2),0,VLOOKUP(A16-2,ÉV!$A$18:$C$65,3,0))</f>
        <v>0</v>
      </c>
      <c r="K16" s="273">
        <f ca="1">IF(OR(A16=1,AND(C16=ÉV!$I$2,D16&gt;ÉV!$J$2),C16&gt;ÉV!$I$2),0,VLOOKUP(A16-1,ÉV!$A$18:$C$65,3,0))</f>
        <v>41870.727591723866</v>
      </c>
      <c r="L16" s="273">
        <f ca="1">VLOOKUP(A16,ÉV!$A$18:$C$65,3,0)*IF(OR(AND(C16=ÉV!$I$2,D16&gt;ÉV!$J$2),C16&gt;ÉV!$I$2),0,1)</f>
        <v>154630.85788632699</v>
      </c>
      <c r="M16" s="273">
        <f ca="1">(K16*(12-B16)/12+L16*B16/12)*IF(A16&gt;ÉV!$G$2,0,1)+IF(A16&gt;ÉV!$G$2,M15,0)*IF(OR(AND(C16=ÉV!$I$2,D16&gt;ÉV!$J$2),C16&gt;ÉV!$I$2),0,1)</f>
        <v>60664.082640824388</v>
      </c>
      <c r="N16" s="274">
        <f ca="1">IF(AND(C16=1,D16&lt;12),0,1)*IF(D16=12,MAX(0,F16-E16-0.003)*0.9*((K16+I16)*(B16/12)+(J16+H16)*(1-B16/12))+MAX(0,F16-0.003)*0.9*N15+N15,IF(AND(C16=ÉV!$I$2,D16=ÉV!$J$2),(M16+N15)*MAX(0,F16-0.003)*0.9*(D16/12)+N15,N15))*IF(OR(C16&gt;ÉV!$I$2,AND(C16=ÉV!$I$2,D16&gt;ÉV!$J$2)),0,1)</f>
        <v>0</v>
      </c>
      <c r="O16" s="313">
        <f ca="1">IF(MAX(AF$2:AF15)=2,      0,IF(OR(AC16=7, AF16=2),    SUM(AE$2:AE16),    O15)   )</f>
        <v>0</v>
      </c>
      <c r="P16" s="271">
        <f ca="1">IF(D16=12,V16+P15+P15*(F16-0.003)*0.9,IF(AND(C16=ÉV!$I$2,D16=ÉV!$J$2),V16+P15+P15*(F16-0.003)*0.9*D16/12,P15))*IF(OR(C16&gt;ÉV!$I$2,AND(C16=ÉV!$I$2,D16&gt;ÉV!$J$2)),0,1)</f>
        <v>0</v>
      </c>
      <c r="Q16" s="275">
        <f ca="1">(N16+P16)*IF(OR(AND(C16=ÉV!$I$2,D16&gt;ÉV!$J$2),C16&gt;ÉV!$I$2),0,1)</f>
        <v>0</v>
      </c>
      <c r="R16" s="271">
        <f ca="1">(MAX(0,F16-E16-0.003)*0.9*((K16+I16)*(1/12)))*IF(OR(C16&gt;ÉV!$I$2,AND(C16=ÉV!$I$2,D16&gt;ÉV!$J$2)),0,1)</f>
        <v>0</v>
      </c>
      <c r="S16" s="271">
        <f ca="1">(MAX(0,F16-0.003)*0.9*((O16)*(1/12)))*IF(OR(C16&gt;ÉV!$I$2,AND(C16=ÉV!$I$2,D16&gt;ÉV!$J$2)),0,1)</f>
        <v>0</v>
      </c>
      <c r="T16" s="271">
        <f ca="1">(MAX(0,F16-0.003)*0.9*((Q15)*(1/12)))*IF(OR(C16&gt;ÉV!$I$2,AND(C16=ÉV!$I$2,D16&gt;ÉV!$J$2)),0,1)</f>
        <v>0</v>
      </c>
      <c r="U16" s="271">
        <f ca="1">IF($D16=1,R16,R16+U15)*IF(OR(C16&gt;ÉV!$I$2,AND(C16=ÉV!$I$2,D16&gt;ÉV!$J$2)),0,1)</f>
        <v>0</v>
      </c>
      <c r="V16" s="271">
        <f ca="1">IF($D16=1,S16,S16+V15)*IF(OR(C16&gt;ÉV!$I$2,AND(C16=ÉV!$I$2,D16&gt;ÉV!$J$2)),0,1)</f>
        <v>0</v>
      </c>
      <c r="W16" s="271">
        <f ca="1">IF($D16=1,T16,T16+W15)*IF(OR(C16&gt;ÉV!$I$2,AND(C16=ÉV!$I$2,D16&gt;ÉV!$J$2)),0,1)</f>
        <v>0</v>
      </c>
      <c r="X16" s="271">
        <f ca="1">IF(OR(D16=12,AND(C16=ÉV!$I$2,D16=ÉV!$J$2)),SUM(U16:W16)+X15,X15)*IF(OR(C16&gt;ÉV!$I$2,AND(C16=ÉV!$I$2,D16&gt;ÉV!$J$2)),0,1)</f>
        <v>0</v>
      </c>
      <c r="Y16" s="271">
        <f t="shared" ca="1" si="0"/>
        <v>0</v>
      </c>
      <c r="Z16" s="265">
        <f t="shared" si="1"/>
        <v>2</v>
      </c>
      <c r="AA16" s="272">
        <f t="shared" ca="1" si="2"/>
        <v>17794.75</v>
      </c>
      <c r="AB16" s="265">
        <f t="shared" ca="1" si="10"/>
        <v>2018</v>
      </c>
      <c r="AC16" s="265">
        <f t="shared" ca="1" si="11"/>
        <v>5</v>
      </c>
      <c r="AD16" s="276">
        <f ca="1">IF(     OR(               AND(MAX(AF$6:AF16)&lt;2,  AC16=12),                 AF16=2),                   SUMIF(AB:AB,AB16,AA:AA),                       0)</f>
        <v>0</v>
      </c>
      <c r="AE16" s="277">
        <f t="shared" ca="1" si="12"/>
        <v>0</v>
      </c>
      <c r="AF16" s="277">
        <f t="shared" ca="1" si="4"/>
        <v>0</v>
      </c>
      <c r="AG16" s="402">
        <f ca="1">IF(  AND(AC16=AdóHó,   MAX(AF$1:AF15)&lt;2),   SUMIF(AB:AB,AB16-1,AE:AE),0  )
+ IF(AND(AC16&lt;AdóHó,                            AF16=2),   SUMIF(AB:AB,AB16-1,AE:AE),0  )
+ IF(                                                                  AF16=2,    SUMIF(AB:AB,AB16,AE:AE   ),0  )</f>
        <v>0</v>
      </c>
      <c r="AH16" s="272">
        <f ca="1">SUM(AG$2:AG16)</f>
        <v>0</v>
      </c>
    </row>
    <row r="17" spans="1:34">
      <c r="A17" s="265">
        <f t="shared" si="6"/>
        <v>2</v>
      </c>
      <c r="B17" s="265">
        <f t="shared" si="7"/>
        <v>3</v>
      </c>
      <c r="C17" s="265">
        <f t="shared" ca="1" si="8"/>
        <v>2</v>
      </c>
      <c r="D17" s="265">
        <f t="shared" ca="1" si="9"/>
        <v>6</v>
      </c>
      <c r="E17" s="266">
        <v>5.0000000000000001E-3</v>
      </c>
      <c r="F17" s="267">
        <f>ÉV!$B$12</f>
        <v>0</v>
      </c>
      <c r="G17" s="271">
        <f ca="1">VLOOKUP(A17,ÉV!$A$18:$B$65,2,0)</f>
        <v>213537</v>
      </c>
      <c r="H17" s="271">
        <f ca="1">IF(OR(A17=1,AND(C17=ÉV!$I$2,D17&gt;ÉV!$J$2),C17&gt;ÉV!$I$2),0,INDEX(Pz!$B$2:$AM$48,A17-1,ÉV!$G$2-9)/100000*ÉV!$B$10)</f>
        <v>42750.38632227276</v>
      </c>
      <c r="I17" s="271">
        <f ca="1">INDEX(Pz!$B$2:$AM$48,HÓ!A17,ÉV!$G$2-9)/100000*ÉV!$B$10</f>
        <v>113890.47258586531</v>
      </c>
      <c r="J17" s="273">
        <f ca="1">IF(OR(A17=1,A17=2,AND(C17=ÉV!$I$2,D17&gt;ÉV!$J$2),C17&gt;ÉV!$I$2),0,VLOOKUP(A17-2,ÉV!$A$18:$C$65,3,0))</f>
        <v>0</v>
      </c>
      <c r="K17" s="273">
        <f ca="1">IF(OR(A17=1,AND(C17=ÉV!$I$2,D17&gt;ÉV!$J$2),C17&gt;ÉV!$I$2),0,VLOOKUP(A17-1,ÉV!$A$18:$C$65,3,0))</f>
        <v>41870.727591723866</v>
      </c>
      <c r="L17" s="273">
        <f ca="1">VLOOKUP(A17,ÉV!$A$18:$C$65,3,0)*IF(OR(AND(C17=ÉV!$I$2,D17&gt;ÉV!$J$2),C17&gt;ÉV!$I$2),0,1)</f>
        <v>154630.85788632699</v>
      </c>
      <c r="M17" s="273">
        <f ca="1">(K17*(12-B17)/12+L17*B17/12)*IF(A17&gt;ÉV!$G$2,0,1)+IF(A17&gt;ÉV!$G$2,M16,0)*IF(OR(AND(C17=ÉV!$I$2,D17&gt;ÉV!$J$2),C17&gt;ÉV!$I$2),0,1)</f>
        <v>70060.760165374639</v>
      </c>
      <c r="N17" s="274">
        <f ca="1">IF(AND(C17=1,D17&lt;12),0,1)*IF(D17=12,MAX(0,F17-E17-0.003)*0.9*((K17+I17)*(B17/12)+(J17+H17)*(1-B17/12))+MAX(0,F17-0.003)*0.9*N16+N16,IF(AND(C17=ÉV!$I$2,D17=ÉV!$J$2),(M17+N16)*MAX(0,F17-0.003)*0.9*(D17/12)+N16,N16))*IF(OR(C17&gt;ÉV!$I$2,AND(C17=ÉV!$I$2,D17&gt;ÉV!$J$2)),0,1)</f>
        <v>0</v>
      </c>
      <c r="O17" s="313">
        <f ca="1">IF(MAX(AF$2:AF16)=2,      0,IF(OR(AC17=7, AF17=2),    SUM(AE$2:AE17),    O16)   )</f>
        <v>0</v>
      </c>
      <c r="P17" s="271">
        <f ca="1">IF(D17=12,V17+P16+P16*(F17-0.003)*0.9,IF(AND(C17=ÉV!$I$2,D17=ÉV!$J$2),V17+P16+P16*(F17-0.003)*0.9*D17/12,P16))*IF(OR(C17&gt;ÉV!$I$2,AND(C17=ÉV!$I$2,D17&gt;ÉV!$J$2)),0,1)</f>
        <v>0</v>
      </c>
      <c r="Q17" s="275">
        <f ca="1">(N17+P17)*IF(OR(AND(C17=ÉV!$I$2,D17&gt;ÉV!$J$2),C17&gt;ÉV!$I$2),0,1)</f>
        <v>0</v>
      </c>
      <c r="R17" s="271">
        <f ca="1">(MAX(0,F17-E17-0.003)*0.9*((K17+I17)*(1/12)))*IF(OR(C17&gt;ÉV!$I$2,AND(C17=ÉV!$I$2,D17&gt;ÉV!$J$2)),0,1)</f>
        <v>0</v>
      </c>
      <c r="S17" s="271">
        <f ca="1">(MAX(0,F17-0.003)*0.9*((O17)*(1/12)))*IF(OR(C17&gt;ÉV!$I$2,AND(C17=ÉV!$I$2,D17&gt;ÉV!$J$2)),0,1)</f>
        <v>0</v>
      </c>
      <c r="T17" s="271">
        <f ca="1">(MAX(0,F17-0.003)*0.9*((Q16)*(1/12)))*IF(OR(C17&gt;ÉV!$I$2,AND(C17=ÉV!$I$2,D17&gt;ÉV!$J$2)),0,1)</f>
        <v>0</v>
      </c>
      <c r="U17" s="271">
        <f ca="1">IF($D17=1,R17,R17+U16)*IF(OR(C17&gt;ÉV!$I$2,AND(C17=ÉV!$I$2,D17&gt;ÉV!$J$2)),0,1)</f>
        <v>0</v>
      </c>
      <c r="V17" s="271">
        <f ca="1">IF($D17=1,S17,S17+V16)*IF(OR(C17&gt;ÉV!$I$2,AND(C17=ÉV!$I$2,D17&gt;ÉV!$J$2)),0,1)</f>
        <v>0</v>
      </c>
      <c r="W17" s="271">
        <f ca="1">IF($D17=1,T17,T17+W16)*IF(OR(C17&gt;ÉV!$I$2,AND(C17=ÉV!$I$2,D17&gt;ÉV!$J$2)),0,1)</f>
        <v>0</v>
      </c>
      <c r="X17" s="271">
        <f ca="1">IF(OR(D17=12,AND(C17=ÉV!$I$2,D17=ÉV!$J$2)),SUM(U17:W17)+X16,X16)*IF(OR(C17&gt;ÉV!$I$2,AND(C17=ÉV!$I$2,D17&gt;ÉV!$J$2)),0,1)</f>
        <v>0</v>
      </c>
      <c r="Y17" s="271">
        <f t="shared" ca="1" si="0"/>
        <v>0</v>
      </c>
      <c r="Z17" s="265">
        <f t="shared" si="1"/>
        <v>3</v>
      </c>
      <c r="AA17" s="272">
        <f t="shared" ca="1" si="2"/>
        <v>17794.75</v>
      </c>
      <c r="AB17" s="265">
        <f t="shared" ca="1" si="10"/>
        <v>2018</v>
      </c>
      <c r="AC17" s="265">
        <f t="shared" ca="1" si="11"/>
        <v>6</v>
      </c>
      <c r="AD17" s="276">
        <f ca="1">IF(     OR(               AND(MAX(AF$6:AF17)&lt;2,  AC17=12),                 AF17=2),                   SUMIF(AB:AB,AB17,AA:AA),                       0)</f>
        <v>0</v>
      </c>
      <c r="AE17" s="277">
        <f t="shared" ca="1" si="12"/>
        <v>0</v>
      </c>
      <c r="AF17" s="277">
        <f t="shared" ca="1" si="4"/>
        <v>0</v>
      </c>
      <c r="AG17" s="402">
        <f ca="1">IF(  AND(AC17=AdóHó,   MAX(AF$1:AF16)&lt;2),   SUMIF(AB:AB,AB17-1,AE:AE),0  )
+ IF(AND(AC17&lt;AdóHó,                            AF17=2),   SUMIF(AB:AB,AB17-1,AE:AE),0  )
+ IF(                                                                  AF17=2,    SUMIF(AB:AB,AB17,AE:AE   ),0  )</f>
        <v>0</v>
      </c>
      <c r="AH17" s="272">
        <f ca="1">SUM(AG$2:AG17)</f>
        <v>0</v>
      </c>
    </row>
    <row r="18" spans="1:34">
      <c r="A18" s="265">
        <f t="shared" si="6"/>
        <v>2</v>
      </c>
      <c r="B18" s="265">
        <f t="shared" si="7"/>
        <v>4</v>
      </c>
      <c r="C18" s="265">
        <f t="shared" ca="1" si="8"/>
        <v>2</v>
      </c>
      <c r="D18" s="265">
        <f t="shared" ca="1" si="9"/>
        <v>7</v>
      </c>
      <c r="E18" s="266">
        <v>5.0000000000000001E-3</v>
      </c>
      <c r="F18" s="267">
        <f>ÉV!$B$12</f>
        <v>0</v>
      </c>
      <c r="G18" s="271">
        <f ca="1">VLOOKUP(A18,ÉV!$A$18:$B$65,2,0)</f>
        <v>213537</v>
      </c>
      <c r="H18" s="271">
        <f ca="1">IF(OR(A18=1,AND(C18=ÉV!$I$2,D18&gt;ÉV!$J$2),C18&gt;ÉV!$I$2),0,INDEX(Pz!$B$2:$AM$48,A18-1,ÉV!$G$2-9)/100000*ÉV!$B$10)</f>
        <v>42750.38632227276</v>
      </c>
      <c r="I18" s="271">
        <f ca="1">INDEX(Pz!$B$2:$AM$48,HÓ!A18,ÉV!$G$2-9)/100000*ÉV!$B$10</f>
        <v>113890.47258586531</v>
      </c>
      <c r="J18" s="273">
        <f ca="1">IF(OR(A18=1,A18=2,AND(C18=ÉV!$I$2,D18&gt;ÉV!$J$2),C18&gt;ÉV!$I$2),0,VLOOKUP(A18-2,ÉV!$A$18:$C$65,3,0))</f>
        <v>0</v>
      </c>
      <c r="K18" s="273">
        <f ca="1">IF(OR(A18=1,AND(C18=ÉV!$I$2,D18&gt;ÉV!$J$2),C18&gt;ÉV!$I$2),0,VLOOKUP(A18-1,ÉV!$A$18:$C$65,3,0))</f>
        <v>41870.727591723866</v>
      </c>
      <c r="L18" s="273">
        <f ca="1">VLOOKUP(A18,ÉV!$A$18:$C$65,3,0)*IF(OR(AND(C18=ÉV!$I$2,D18&gt;ÉV!$J$2),C18&gt;ÉV!$I$2),0,1)</f>
        <v>154630.85788632699</v>
      </c>
      <c r="M18" s="273">
        <f ca="1">(K18*(12-B18)/12+L18*B18/12)*IF(A18&gt;ÉV!$G$2,0,1)+IF(A18&gt;ÉV!$G$2,M17,0)*IF(OR(AND(C18=ÉV!$I$2,D18&gt;ÉV!$J$2),C18&gt;ÉV!$I$2),0,1)</f>
        <v>79457.437689924904</v>
      </c>
      <c r="N18" s="274">
        <f ca="1">IF(AND(C18=1,D18&lt;12),0,1)*IF(D18=12,MAX(0,F18-E18-0.003)*0.9*((K18+I18)*(B18/12)+(J18+H18)*(1-B18/12))+MAX(0,F18-0.003)*0.9*N17+N17,IF(AND(C18=ÉV!$I$2,D18=ÉV!$J$2),(M18+N17)*MAX(0,F18-0.003)*0.9*(D18/12)+N17,N17))*IF(OR(C18&gt;ÉV!$I$2,AND(C18=ÉV!$I$2,D18&gt;ÉV!$J$2)),0,1)</f>
        <v>0</v>
      </c>
      <c r="O18" s="313">
        <f ca="1">IF(MAX(AF$2:AF17)=2,      0,IF(OR(AC18=7, AF18=2),    SUM(AE$2:AE18),    O17)   )</f>
        <v>31402.5</v>
      </c>
      <c r="P18" s="271">
        <f ca="1">IF(D18=12,V18+P17+P17*(F18-0.003)*0.9,IF(AND(C18=ÉV!$I$2,D18=ÉV!$J$2),V18+P17+P17*(F18-0.003)*0.9*D18/12,P17))*IF(OR(C18&gt;ÉV!$I$2,AND(C18=ÉV!$I$2,D18&gt;ÉV!$J$2)),0,1)</f>
        <v>0</v>
      </c>
      <c r="Q18" s="275">
        <f ca="1">(N18+P18)*IF(OR(AND(C18=ÉV!$I$2,D18&gt;ÉV!$J$2),C18&gt;ÉV!$I$2),0,1)</f>
        <v>0</v>
      </c>
      <c r="R18" s="271">
        <f ca="1">(MAX(0,F18-E18-0.003)*0.9*((K18+I18)*(1/12)))*IF(OR(C18&gt;ÉV!$I$2,AND(C18=ÉV!$I$2,D18&gt;ÉV!$J$2)),0,1)</f>
        <v>0</v>
      </c>
      <c r="S18" s="271">
        <f ca="1">(MAX(0,F18-0.003)*0.9*((O18)*(1/12)))*IF(OR(C18&gt;ÉV!$I$2,AND(C18=ÉV!$I$2,D18&gt;ÉV!$J$2)),0,1)</f>
        <v>0</v>
      </c>
      <c r="T18" s="271">
        <f ca="1">(MAX(0,F18-0.003)*0.9*((Q17)*(1/12)))*IF(OR(C18&gt;ÉV!$I$2,AND(C18=ÉV!$I$2,D18&gt;ÉV!$J$2)),0,1)</f>
        <v>0</v>
      </c>
      <c r="U18" s="271">
        <f ca="1">IF($D18=1,R18,R18+U17)*IF(OR(C18&gt;ÉV!$I$2,AND(C18=ÉV!$I$2,D18&gt;ÉV!$J$2)),0,1)</f>
        <v>0</v>
      </c>
      <c r="V18" s="271">
        <f ca="1">IF($D18=1,S18,S18+V17)*IF(OR(C18&gt;ÉV!$I$2,AND(C18=ÉV!$I$2,D18&gt;ÉV!$J$2)),0,1)</f>
        <v>0</v>
      </c>
      <c r="W18" s="271">
        <f ca="1">IF($D18=1,T18,T18+W17)*IF(OR(C18&gt;ÉV!$I$2,AND(C18=ÉV!$I$2,D18&gt;ÉV!$J$2)),0,1)</f>
        <v>0</v>
      </c>
      <c r="X18" s="271">
        <f ca="1">IF(OR(D18=12,AND(C18=ÉV!$I$2,D18=ÉV!$J$2)),SUM(U18:W18)+X17,X17)*IF(OR(C18&gt;ÉV!$I$2,AND(C18=ÉV!$I$2,D18&gt;ÉV!$J$2)),0,1)</f>
        <v>0</v>
      </c>
      <c r="Y18" s="271">
        <f t="shared" ca="1" si="0"/>
        <v>0</v>
      </c>
      <c r="Z18" s="265">
        <f t="shared" si="1"/>
        <v>4</v>
      </c>
      <c r="AA18" s="272">
        <f t="shared" ca="1" si="2"/>
        <v>17794.75</v>
      </c>
      <c r="AB18" s="265">
        <f t="shared" ca="1" si="10"/>
        <v>2018</v>
      </c>
      <c r="AC18" s="265">
        <f t="shared" ca="1" si="11"/>
        <v>7</v>
      </c>
      <c r="AD18" s="276">
        <f ca="1">IF(     OR(               AND(MAX(AF$6:AF18)&lt;2,  AC18=12),                 AF18=2),                   SUMIF(AB:AB,AB18,AA:AA),                       0)</f>
        <v>0</v>
      </c>
      <c r="AE18" s="277">
        <f t="shared" ca="1" si="12"/>
        <v>0</v>
      </c>
      <c r="AF18" s="277">
        <f t="shared" ca="1" si="4"/>
        <v>0</v>
      </c>
      <c r="AG18" s="402">
        <f ca="1">IF(  AND(AC18=AdóHó,   MAX(AF$1:AF17)&lt;2),   SUMIF(AB:AB,AB18-1,AE:AE),0  )
+ IF(AND(AC18&lt;AdóHó,                            AF18=2),   SUMIF(AB:AB,AB18-1,AE:AE),0  )
+ IF(                                                                  AF18=2,    SUMIF(AB:AB,AB18,AE:AE   ),0  )</f>
        <v>31402.5</v>
      </c>
      <c r="AH18" s="272">
        <f ca="1">SUM(AG$2:AG18)</f>
        <v>31402.5</v>
      </c>
    </row>
    <row r="19" spans="1:34">
      <c r="A19" s="265">
        <f t="shared" si="6"/>
        <v>2</v>
      </c>
      <c r="B19" s="265">
        <f t="shared" si="7"/>
        <v>5</v>
      </c>
      <c r="C19" s="265">
        <f t="shared" ca="1" si="8"/>
        <v>2</v>
      </c>
      <c r="D19" s="265">
        <f t="shared" ca="1" si="9"/>
        <v>8</v>
      </c>
      <c r="E19" s="266">
        <v>5.0000000000000001E-3</v>
      </c>
      <c r="F19" s="267">
        <f>ÉV!$B$12</f>
        <v>0</v>
      </c>
      <c r="G19" s="271">
        <f ca="1">VLOOKUP(A19,ÉV!$A$18:$B$65,2,0)</f>
        <v>213537</v>
      </c>
      <c r="H19" s="271">
        <f ca="1">IF(OR(A19=1,AND(C19=ÉV!$I$2,D19&gt;ÉV!$J$2),C19&gt;ÉV!$I$2),0,INDEX(Pz!$B$2:$AM$48,A19-1,ÉV!$G$2-9)/100000*ÉV!$B$10)</f>
        <v>42750.38632227276</v>
      </c>
      <c r="I19" s="271">
        <f ca="1">INDEX(Pz!$B$2:$AM$48,HÓ!A19,ÉV!$G$2-9)/100000*ÉV!$B$10</f>
        <v>113890.47258586531</v>
      </c>
      <c r="J19" s="273">
        <f ca="1">IF(OR(A19=1,A19=2,AND(C19=ÉV!$I$2,D19&gt;ÉV!$J$2),C19&gt;ÉV!$I$2),0,VLOOKUP(A19-2,ÉV!$A$18:$C$65,3,0))</f>
        <v>0</v>
      </c>
      <c r="K19" s="273">
        <f ca="1">IF(OR(A19=1,AND(C19=ÉV!$I$2,D19&gt;ÉV!$J$2),C19&gt;ÉV!$I$2),0,VLOOKUP(A19-1,ÉV!$A$18:$C$65,3,0))</f>
        <v>41870.727591723866</v>
      </c>
      <c r="L19" s="273">
        <f ca="1">VLOOKUP(A19,ÉV!$A$18:$C$65,3,0)*IF(OR(AND(C19=ÉV!$I$2,D19&gt;ÉV!$J$2),C19&gt;ÉV!$I$2),0,1)</f>
        <v>154630.85788632699</v>
      </c>
      <c r="M19" s="273">
        <f ca="1">(K19*(12-B19)/12+L19*B19/12)*IF(A19&gt;ÉV!$G$2,0,1)+IF(A19&gt;ÉV!$G$2,M18,0)*IF(OR(AND(C19=ÉV!$I$2,D19&gt;ÉV!$J$2),C19&gt;ÉV!$I$2),0,1)</f>
        <v>88854.115214475169</v>
      </c>
      <c r="N19" s="274">
        <f ca="1">IF(AND(C19=1,D19&lt;12),0,1)*IF(D19=12,MAX(0,F19-E19-0.003)*0.9*((K19+I19)*(B19/12)+(J19+H19)*(1-B19/12))+MAX(0,F19-0.003)*0.9*N18+N18,IF(AND(C19=ÉV!$I$2,D19=ÉV!$J$2),(M19+N18)*MAX(0,F19-0.003)*0.9*(D19/12)+N18,N18))*IF(OR(C19&gt;ÉV!$I$2,AND(C19=ÉV!$I$2,D19&gt;ÉV!$J$2)),0,1)</f>
        <v>0</v>
      </c>
      <c r="O19" s="313">
        <f ca="1">IF(MAX(AF$2:AF18)=2,      0,IF(OR(AC19=7, AF19=2),    SUM(AE$2:AE19),    O18)   )</f>
        <v>31402.5</v>
      </c>
      <c r="P19" s="271">
        <f ca="1">IF(D19=12,V19+P18+P18*(F19-0.003)*0.9,IF(AND(C19=ÉV!$I$2,D19=ÉV!$J$2),V19+P18+P18*(F19-0.003)*0.9*D19/12,P18))*IF(OR(C19&gt;ÉV!$I$2,AND(C19=ÉV!$I$2,D19&gt;ÉV!$J$2)),0,1)</f>
        <v>0</v>
      </c>
      <c r="Q19" s="275">
        <f ca="1">(N19+P19)*IF(OR(AND(C19=ÉV!$I$2,D19&gt;ÉV!$J$2),C19&gt;ÉV!$I$2),0,1)</f>
        <v>0</v>
      </c>
      <c r="R19" s="271">
        <f ca="1">(MAX(0,F19-E19-0.003)*0.9*((K19+I19)*(1/12)))*IF(OR(C19&gt;ÉV!$I$2,AND(C19=ÉV!$I$2,D19&gt;ÉV!$J$2)),0,1)</f>
        <v>0</v>
      </c>
      <c r="S19" s="271">
        <f ca="1">(MAX(0,F19-0.003)*0.9*((O19)*(1/12)))*IF(OR(C19&gt;ÉV!$I$2,AND(C19=ÉV!$I$2,D19&gt;ÉV!$J$2)),0,1)</f>
        <v>0</v>
      </c>
      <c r="T19" s="271">
        <f ca="1">(MAX(0,F19-0.003)*0.9*((Q18)*(1/12)))*IF(OR(C19&gt;ÉV!$I$2,AND(C19=ÉV!$I$2,D19&gt;ÉV!$J$2)),0,1)</f>
        <v>0</v>
      </c>
      <c r="U19" s="271">
        <f ca="1">IF($D19=1,R19,R19+U18)*IF(OR(C19&gt;ÉV!$I$2,AND(C19=ÉV!$I$2,D19&gt;ÉV!$J$2)),0,1)</f>
        <v>0</v>
      </c>
      <c r="V19" s="271">
        <f ca="1">IF($D19=1,S19,S19+V18)*IF(OR(C19&gt;ÉV!$I$2,AND(C19=ÉV!$I$2,D19&gt;ÉV!$J$2)),0,1)</f>
        <v>0</v>
      </c>
      <c r="W19" s="271">
        <f ca="1">IF($D19=1,T19,T19+W18)*IF(OR(C19&gt;ÉV!$I$2,AND(C19=ÉV!$I$2,D19&gt;ÉV!$J$2)),0,1)</f>
        <v>0</v>
      </c>
      <c r="X19" s="271">
        <f ca="1">IF(OR(D19=12,AND(C19=ÉV!$I$2,D19=ÉV!$J$2)),SUM(U19:W19)+X18,X18)*IF(OR(C19&gt;ÉV!$I$2,AND(C19=ÉV!$I$2,D19&gt;ÉV!$J$2)),0,1)</f>
        <v>0</v>
      </c>
      <c r="Y19" s="271">
        <f t="shared" ca="1" si="0"/>
        <v>0</v>
      </c>
      <c r="Z19" s="265">
        <f t="shared" si="1"/>
        <v>5</v>
      </c>
      <c r="AA19" s="272">
        <f t="shared" ca="1" si="2"/>
        <v>17794.75</v>
      </c>
      <c r="AB19" s="265">
        <f t="shared" ca="1" si="10"/>
        <v>2018</v>
      </c>
      <c r="AC19" s="265">
        <f t="shared" ca="1" si="11"/>
        <v>8</v>
      </c>
      <c r="AD19" s="276">
        <f ca="1">IF(     OR(               AND(MAX(AF$6:AF19)&lt;2,  AC19=12),                 AF19=2),                   SUMIF(AB:AB,AB19,AA:AA),                       0)</f>
        <v>0</v>
      </c>
      <c r="AE19" s="277">
        <f t="shared" ca="1" si="12"/>
        <v>0</v>
      </c>
      <c r="AF19" s="277">
        <f t="shared" ca="1" si="4"/>
        <v>0</v>
      </c>
      <c r="AG19" s="402">
        <f ca="1">IF(  AND(AC19=AdóHó,   MAX(AF$1:AF18)&lt;2),   SUMIF(AB:AB,AB19-1,AE:AE),0  )
+ IF(AND(AC19&lt;AdóHó,                            AF19=2),   SUMIF(AB:AB,AB19-1,AE:AE),0  )
+ IF(                                                                  AF19=2,    SUMIF(AB:AB,AB19,AE:AE   ),0  )</f>
        <v>0</v>
      </c>
      <c r="AH19" s="272">
        <f ca="1">SUM(AG$2:AG19)</f>
        <v>31402.5</v>
      </c>
    </row>
    <row r="20" spans="1:34">
      <c r="A20" s="265">
        <f t="shared" si="6"/>
        <v>2</v>
      </c>
      <c r="B20" s="265">
        <f t="shared" si="7"/>
        <v>6</v>
      </c>
      <c r="C20" s="265">
        <f t="shared" ca="1" si="8"/>
        <v>2</v>
      </c>
      <c r="D20" s="265">
        <f t="shared" ca="1" si="9"/>
        <v>9</v>
      </c>
      <c r="E20" s="266">
        <v>5.0000000000000001E-3</v>
      </c>
      <c r="F20" s="267">
        <f>ÉV!$B$12</f>
        <v>0</v>
      </c>
      <c r="G20" s="271">
        <f ca="1">VLOOKUP(A20,ÉV!$A$18:$B$65,2,0)</f>
        <v>213537</v>
      </c>
      <c r="H20" s="271">
        <f ca="1">IF(OR(A20=1,AND(C20=ÉV!$I$2,D20&gt;ÉV!$J$2),C20&gt;ÉV!$I$2),0,INDEX(Pz!$B$2:$AM$48,A20-1,ÉV!$G$2-9)/100000*ÉV!$B$10)</f>
        <v>42750.38632227276</v>
      </c>
      <c r="I20" s="271">
        <f ca="1">INDEX(Pz!$B$2:$AM$48,HÓ!A20,ÉV!$G$2-9)/100000*ÉV!$B$10</f>
        <v>113890.47258586531</v>
      </c>
      <c r="J20" s="273">
        <f ca="1">IF(OR(A20=1,A20=2,AND(C20=ÉV!$I$2,D20&gt;ÉV!$J$2),C20&gt;ÉV!$I$2),0,VLOOKUP(A20-2,ÉV!$A$18:$C$65,3,0))</f>
        <v>0</v>
      </c>
      <c r="K20" s="273">
        <f ca="1">IF(OR(A20=1,AND(C20=ÉV!$I$2,D20&gt;ÉV!$J$2),C20&gt;ÉV!$I$2),0,VLOOKUP(A20-1,ÉV!$A$18:$C$65,3,0))</f>
        <v>41870.727591723866</v>
      </c>
      <c r="L20" s="273">
        <f ca="1">VLOOKUP(A20,ÉV!$A$18:$C$65,3,0)*IF(OR(AND(C20=ÉV!$I$2,D20&gt;ÉV!$J$2),C20&gt;ÉV!$I$2),0,1)</f>
        <v>154630.85788632699</v>
      </c>
      <c r="M20" s="273">
        <f ca="1">(K20*(12-B20)/12+L20*B20/12)*IF(A20&gt;ÉV!$G$2,0,1)+IF(A20&gt;ÉV!$G$2,M19,0)*IF(OR(AND(C20=ÉV!$I$2,D20&gt;ÉV!$J$2),C20&gt;ÉV!$I$2),0,1)</f>
        <v>98250.792739025434</v>
      </c>
      <c r="N20" s="274">
        <f ca="1">IF(AND(C20=1,D20&lt;12),0,1)*IF(D20=12,MAX(0,F20-E20-0.003)*0.9*((K20+I20)*(B20/12)+(J20+H20)*(1-B20/12))+MAX(0,F20-0.003)*0.9*N19+N19,IF(AND(C20=ÉV!$I$2,D20=ÉV!$J$2),(M20+N19)*MAX(0,F20-0.003)*0.9*(D20/12)+N19,N19))*IF(OR(C20&gt;ÉV!$I$2,AND(C20=ÉV!$I$2,D20&gt;ÉV!$J$2)),0,1)</f>
        <v>0</v>
      </c>
      <c r="O20" s="313">
        <f ca="1">IF(MAX(AF$2:AF19)=2,      0,IF(OR(AC20=7, AF20=2),    SUM(AE$2:AE20),    O19)   )</f>
        <v>31402.5</v>
      </c>
      <c r="P20" s="271">
        <f ca="1">IF(D20=12,V20+P19+P19*(F20-0.003)*0.9,IF(AND(C20=ÉV!$I$2,D20=ÉV!$J$2),V20+P19+P19*(F20-0.003)*0.9*D20/12,P19))*IF(OR(C20&gt;ÉV!$I$2,AND(C20=ÉV!$I$2,D20&gt;ÉV!$J$2)),0,1)</f>
        <v>0</v>
      </c>
      <c r="Q20" s="275">
        <f ca="1">(N20+P20)*IF(OR(AND(C20=ÉV!$I$2,D20&gt;ÉV!$J$2),C20&gt;ÉV!$I$2),0,1)</f>
        <v>0</v>
      </c>
      <c r="R20" s="271">
        <f ca="1">(MAX(0,F20-E20-0.003)*0.9*((K20+I20)*(1/12)))*IF(OR(C20&gt;ÉV!$I$2,AND(C20=ÉV!$I$2,D20&gt;ÉV!$J$2)),0,1)</f>
        <v>0</v>
      </c>
      <c r="S20" s="271">
        <f ca="1">(MAX(0,F20-0.003)*0.9*((O20)*(1/12)))*IF(OR(C20&gt;ÉV!$I$2,AND(C20=ÉV!$I$2,D20&gt;ÉV!$J$2)),0,1)</f>
        <v>0</v>
      </c>
      <c r="T20" s="271">
        <f ca="1">(MAX(0,F20-0.003)*0.9*((Q19)*(1/12)))*IF(OR(C20&gt;ÉV!$I$2,AND(C20=ÉV!$I$2,D20&gt;ÉV!$J$2)),0,1)</f>
        <v>0</v>
      </c>
      <c r="U20" s="271">
        <f ca="1">IF($D20=1,R20,R20+U19)*IF(OR(C20&gt;ÉV!$I$2,AND(C20=ÉV!$I$2,D20&gt;ÉV!$J$2)),0,1)</f>
        <v>0</v>
      </c>
      <c r="V20" s="271">
        <f ca="1">IF($D20=1,S20,S20+V19)*IF(OR(C20&gt;ÉV!$I$2,AND(C20=ÉV!$I$2,D20&gt;ÉV!$J$2)),0,1)</f>
        <v>0</v>
      </c>
      <c r="W20" s="271">
        <f ca="1">IF($D20=1,T20,T20+W19)*IF(OR(C20&gt;ÉV!$I$2,AND(C20=ÉV!$I$2,D20&gt;ÉV!$J$2)),0,1)</f>
        <v>0</v>
      </c>
      <c r="X20" s="271">
        <f ca="1">IF(OR(D20=12,AND(C20=ÉV!$I$2,D20=ÉV!$J$2)),SUM(U20:W20)+X19,X19)*IF(OR(C20&gt;ÉV!$I$2,AND(C20=ÉV!$I$2,D20&gt;ÉV!$J$2)),0,1)</f>
        <v>0</v>
      </c>
      <c r="Y20" s="271">
        <f t="shared" ca="1" si="0"/>
        <v>0</v>
      </c>
      <c r="Z20" s="265">
        <f t="shared" si="1"/>
        <v>6</v>
      </c>
      <c r="AA20" s="272">
        <f t="shared" ca="1" si="2"/>
        <v>17794.75</v>
      </c>
      <c r="AB20" s="265">
        <f t="shared" ca="1" si="10"/>
        <v>2018</v>
      </c>
      <c r="AC20" s="265">
        <f t="shared" ca="1" si="11"/>
        <v>9</v>
      </c>
      <c r="AD20" s="276">
        <f ca="1">IF(     OR(               AND(MAX(AF$6:AF20)&lt;2,  AC20=12),                 AF20=2),                   SUMIF(AB:AB,AB20,AA:AA),                       0)</f>
        <v>0</v>
      </c>
      <c r="AE20" s="277">
        <f t="shared" ca="1" si="12"/>
        <v>0</v>
      </c>
      <c r="AF20" s="277">
        <f t="shared" ca="1" si="4"/>
        <v>0</v>
      </c>
      <c r="AG20" s="402">
        <f ca="1">IF(  AND(AC20=AdóHó,   MAX(AF$1:AF19)&lt;2),   SUMIF(AB:AB,AB20-1,AE:AE),0  )
+ IF(AND(AC20&lt;AdóHó,                            AF20=2),   SUMIF(AB:AB,AB20-1,AE:AE),0  )
+ IF(                                                                  AF20=2,    SUMIF(AB:AB,AB20,AE:AE   ),0  )</f>
        <v>0</v>
      </c>
      <c r="AH20" s="272">
        <f ca="1">SUM(AG$2:AG20)</f>
        <v>31402.5</v>
      </c>
    </row>
    <row r="21" spans="1:34">
      <c r="A21" s="265">
        <f t="shared" si="6"/>
        <v>2</v>
      </c>
      <c r="B21" s="265">
        <f t="shared" si="7"/>
        <v>7</v>
      </c>
      <c r="C21" s="265">
        <f t="shared" ca="1" si="8"/>
        <v>2</v>
      </c>
      <c r="D21" s="265">
        <f t="shared" ca="1" si="9"/>
        <v>10</v>
      </c>
      <c r="E21" s="266">
        <v>5.0000000000000001E-3</v>
      </c>
      <c r="F21" s="267">
        <f>ÉV!$B$12</f>
        <v>0</v>
      </c>
      <c r="G21" s="271">
        <f ca="1">VLOOKUP(A21,ÉV!$A$18:$B$65,2,0)</f>
        <v>213537</v>
      </c>
      <c r="H21" s="271">
        <f ca="1">IF(OR(A21=1,AND(C21=ÉV!$I$2,D21&gt;ÉV!$J$2),C21&gt;ÉV!$I$2),0,INDEX(Pz!$B$2:$AM$48,A21-1,ÉV!$G$2-9)/100000*ÉV!$B$10)</f>
        <v>42750.38632227276</v>
      </c>
      <c r="I21" s="271">
        <f ca="1">INDEX(Pz!$B$2:$AM$48,HÓ!A21,ÉV!$G$2-9)/100000*ÉV!$B$10</f>
        <v>113890.47258586531</v>
      </c>
      <c r="J21" s="273">
        <f ca="1">IF(OR(A21=1,A21=2,AND(C21=ÉV!$I$2,D21&gt;ÉV!$J$2),C21&gt;ÉV!$I$2),0,VLOOKUP(A21-2,ÉV!$A$18:$C$65,3,0))</f>
        <v>0</v>
      </c>
      <c r="K21" s="273">
        <f ca="1">IF(OR(A21=1,AND(C21=ÉV!$I$2,D21&gt;ÉV!$J$2),C21&gt;ÉV!$I$2),0,VLOOKUP(A21-1,ÉV!$A$18:$C$65,3,0))</f>
        <v>41870.727591723866</v>
      </c>
      <c r="L21" s="273">
        <f ca="1">VLOOKUP(A21,ÉV!$A$18:$C$65,3,0)*IF(OR(AND(C21=ÉV!$I$2,D21&gt;ÉV!$J$2),C21&gt;ÉV!$I$2),0,1)</f>
        <v>154630.85788632699</v>
      </c>
      <c r="M21" s="273">
        <f ca="1">(K21*(12-B21)/12+L21*B21/12)*IF(A21&gt;ÉV!$G$2,0,1)+IF(A21&gt;ÉV!$G$2,M20,0)*IF(OR(AND(C21=ÉV!$I$2,D21&gt;ÉV!$J$2),C21&gt;ÉV!$I$2),0,1)</f>
        <v>107647.4702635757</v>
      </c>
      <c r="N21" s="274">
        <f ca="1">IF(AND(C21=1,D21&lt;12),0,1)*IF(D21=12,MAX(0,F21-E21-0.003)*0.9*((K21+I21)*(B21/12)+(J21+H21)*(1-B21/12))+MAX(0,F21-0.003)*0.9*N20+N20,IF(AND(C21=ÉV!$I$2,D21=ÉV!$J$2),(M21+N20)*MAX(0,F21-0.003)*0.9*(D21/12)+N20,N20))*IF(OR(C21&gt;ÉV!$I$2,AND(C21=ÉV!$I$2,D21&gt;ÉV!$J$2)),0,1)</f>
        <v>0</v>
      </c>
      <c r="O21" s="313">
        <f ca="1">IF(MAX(AF$2:AF20)=2,      0,IF(OR(AC21=7, AF21=2),    SUM(AE$2:AE21),    O20)   )</f>
        <v>31402.5</v>
      </c>
      <c r="P21" s="271">
        <f ca="1">IF(D21=12,V21+P20+P20*(F21-0.003)*0.9,IF(AND(C21=ÉV!$I$2,D21=ÉV!$J$2),V21+P20+P20*(F21-0.003)*0.9*D21/12,P20))*IF(OR(C21&gt;ÉV!$I$2,AND(C21=ÉV!$I$2,D21&gt;ÉV!$J$2)),0,1)</f>
        <v>0</v>
      </c>
      <c r="Q21" s="275">
        <f ca="1">(N21+P21)*IF(OR(AND(C21=ÉV!$I$2,D21&gt;ÉV!$J$2),C21&gt;ÉV!$I$2),0,1)</f>
        <v>0</v>
      </c>
      <c r="R21" s="271">
        <f ca="1">(MAX(0,F21-E21-0.003)*0.9*((K21+I21)*(1/12)))*IF(OR(C21&gt;ÉV!$I$2,AND(C21=ÉV!$I$2,D21&gt;ÉV!$J$2)),0,1)</f>
        <v>0</v>
      </c>
      <c r="S21" s="271">
        <f ca="1">(MAX(0,F21-0.003)*0.9*((O21)*(1/12)))*IF(OR(C21&gt;ÉV!$I$2,AND(C21=ÉV!$I$2,D21&gt;ÉV!$J$2)),0,1)</f>
        <v>0</v>
      </c>
      <c r="T21" s="271">
        <f ca="1">(MAX(0,F21-0.003)*0.9*((Q20)*(1/12)))*IF(OR(C21&gt;ÉV!$I$2,AND(C21=ÉV!$I$2,D21&gt;ÉV!$J$2)),0,1)</f>
        <v>0</v>
      </c>
      <c r="U21" s="271">
        <f ca="1">IF($D21=1,R21,R21+U20)*IF(OR(C21&gt;ÉV!$I$2,AND(C21=ÉV!$I$2,D21&gt;ÉV!$J$2)),0,1)</f>
        <v>0</v>
      </c>
      <c r="V21" s="271">
        <f ca="1">IF($D21=1,S21,S21+V20)*IF(OR(C21&gt;ÉV!$I$2,AND(C21=ÉV!$I$2,D21&gt;ÉV!$J$2)),0,1)</f>
        <v>0</v>
      </c>
      <c r="W21" s="271">
        <f ca="1">IF($D21=1,T21,T21+W20)*IF(OR(C21&gt;ÉV!$I$2,AND(C21=ÉV!$I$2,D21&gt;ÉV!$J$2)),0,1)</f>
        <v>0</v>
      </c>
      <c r="X21" s="271">
        <f ca="1">IF(OR(D21=12,AND(C21=ÉV!$I$2,D21=ÉV!$J$2)),SUM(U21:W21)+X20,X20)*IF(OR(C21&gt;ÉV!$I$2,AND(C21=ÉV!$I$2,D21&gt;ÉV!$J$2)),0,1)</f>
        <v>0</v>
      </c>
      <c r="Y21" s="271">
        <f t="shared" ca="1" si="0"/>
        <v>0</v>
      </c>
      <c r="Z21" s="265">
        <f t="shared" si="1"/>
        <v>7</v>
      </c>
      <c r="AA21" s="272">
        <f t="shared" ca="1" si="2"/>
        <v>17794.75</v>
      </c>
      <c r="AB21" s="265">
        <f t="shared" ca="1" si="10"/>
        <v>2018</v>
      </c>
      <c r="AC21" s="265">
        <f t="shared" ca="1" si="11"/>
        <v>10</v>
      </c>
      <c r="AD21" s="276">
        <f ca="1">IF(     OR(               AND(MAX(AF$6:AF21)&lt;2,  AC21=12),                 AF21=2),                   SUMIF(AB:AB,AB21,AA:AA),                       0)</f>
        <v>0</v>
      </c>
      <c r="AE21" s="277">
        <f t="shared" ca="1" si="12"/>
        <v>0</v>
      </c>
      <c r="AF21" s="277">
        <f t="shared" ca="1" si="4"/>
        <v>0</v>
      </c>
      <c r="AG21" s="402">
        <f ca="1">IF(  AND(AC21=AdóHó,   MAX(AF$1:AF20)&lt;2),   SUMIF(AB:AB,AB21-1,AE:AE),0  )
+ IF(AND(AC21&lt;AdóHó,                            AF21=2),   SUMIF(AB:AB,AB21-1,AE:AE),0  )
+ IF(                                                                  AF21=2,    SUMIF(AB:AB,AB21,AE:AE   ),0  )</f>
        <v>0</v>
      </c>
      <c r="AH21" s="272">
        <f ca="1">SUM(AG$2:AG21)</f>
        <v>31402.5</v>
      </c>
    </row>
    <row r="22" spans="1:34">
      <c r="A22" s="265">
        <f t="shared" si="6"/>
        <v>2</v>
      </c>
      <c r="B22" s="265">
        <f t="shared" si="7"/>
        <v>8</v>
      </c>
      <c r="C22" s="265">
        <f t="shared" ca="1" si="8"/>
        <v>2</v>
      </c>
      <c r="D22" s="265">
        <f t="shared" ca="1" si="9"/>
        <v>11</v>
      </c>
      <c r="E22" s="266">
        <v>5.0000000000000001E-3</v>
      </c>
      <c r="F22" s="267">
        <f>ÉV!$B$12</f>
        <v>0</v>
      </c>
      <c r="G22" s="271">
        <f ca="1">VLOOKUP(A22,ÉV!$A$18:$B$65,2,0)</f>
        <v>213537</v>
      </c>
      <c r="H22" s="271">
        <f ca="1">IF(OR(A22=1,AND(C22=ÉV!$I$2,D22&gt;ÉV!$J$2),C22&gt;ÉV!$I$2),0,INDEX(Pz!$B$2:$AM$48,A22-1,ÉV!$G$2-9)/100000*ÉV!$B$10)</f>
        <v>42750.38632227276</v>
      </c>
      <c r="I22" s="271">
        <f ca="1">INDEX(Pz!$B$2:$AM$48,HÓ!A22,ÉV!$G$2-9)/100000*ÉV!$B$10</f>
        <v>113890.47258586531</v>
      </c>
      <c r="J22" s="273">
        <f ca="1">IF(OR(A22=1,A22=2,AND(C22=ÉV!$I$2,D22&gt;ÉV!$J$2),C22&gt;ÉV!$I$2),0,VLOOKUP(A22-2,ÉV!$A$18:$C$65,3,0))</f>
        <v>0</v>
      </c>
      <c r="K22" s="273">
        <f ca="1">IF(OR(A22=1,AND(C22=ÉV!$I$2,D22&gt;ÉV!$J$2),C22&gt;ÉV!$I$2),0,VLOOKUP(A22-1,ÉV!$A$18:$C$65,3,0))</f>
        <v>41870.727591723866</v>
      </c>
      <c r="L22" s="273">
        <f ca="1">VLOOKUP(A22,ÉV!$A$18:$C$65,3,0)*IF(OR(AND(C22=ÉV!$I$2,D22&gt;ÉV!$J$2),C22&gt;ÉV!$I$2),0,1)</f>
        <v>154630.85788632699</v>
      </c>
      <c r="M22" s="273">
        <f ca="1">(K22*(12-B22)/12+L22*B22/12)*IF(A22&gt;ÉV!$G$2,0,1)+IF(A22&gt;ÉV!$G$2,M21,0)*IF(OR(AND(C22=ÉV!$I$2,D22&gt;ÉV!$J$2),C22&gt;ÉV!$I$2),0,1)</f>
        <v>117044.14778812595</v>
      </c>
      <c r="N22" s="274">
        <f ca="1">IF(AND(C22=1,D22&lt;12),0,1)*IF(D22=12,MAX(0,F22-E22-0.003)*0.9*((K22+I22)*(B22/12)+(J22+H22)*(1-B22/12))+MAX(0,F22-0.003)*0.9*N21+N21,IF(AND(C22=ÉV!$I$2,D22=ÉV!$J$2),(M22+N21)*MAX(0,F22-0.003)*0.9*(D22/12)+N21,N21))*IF(OR(C22&gt;ÉV!$I$2,AND(C22=ÉV!$I$2,D22&gt;ÉV!$J$2)),0,1)</f>
        <v>0</v>
      </c>
      <c r="O22" s="313">
        <f ca="1">IF(MAX(AF$2:AF21)=2,      0,IF(OR(AC22=7, AF22=2),    SUM(AE$2:AE22),    O21)   )</f>
        <v>31402.5</v>
      </c>
      <c r="P22" s="271">
        <f ca="1">IF(D22=12,V22+P21+P21*(F22-0.003)*0.9,IF(AND(C22=ÉV!$I$2,D22=ÉV!$J$2),V22+P21+P21*(F22-0.003)*0.9*D22/12,P21))*IF(OR(C22&gt;ÉV!$I$2,AND(C22=ÉV!$I$2,D22&gt;ÉV!$J$2)),0,1)</f>
        <v>0</v>
      </c>
      <c r="Q22" s="275">
        <f ca="1">(N22+P22)*IF(OR(AND(C22=ÉV!$I$2,D22&gt;ÉV!$J$2),C22&gt;ÉV!$I$2),0,1)</f>
        <v>0</v>
      </c>
      <c r="R22" s="271">
        <f ca="1">(MAX(0,F22-E22-0.003)*0.9*((K22+I22)*(1/12)))*IF(OR(C22&gt;ÉV!$I$2,AND(C22=ÉV!$I$2,D22&gt;ÉV!$J$2)),0,1)</f>
        <v>0</v>
      </c>
      <c r="S22" s="271">
        <f ca="1">(MAX(0,F22-0.003)*0.9*((O22)*(1/12)))*IF(OR(C22&gt;ÉV!$I$2,AND(C22=ÉV!$I$2,D22&gt;ÉV!$J$2)),0,1)</f>
        <v>0</v>
      </c>
      <c r="T22" s="271">
        <f ca="1">(MAX(0,F22-0.003)*0.9*((Q21)*(1/12)))*IF(OR(C22&gt;ÉV!$I$2,AND(C22=ÉV!$I$2,D22&gt;ÉV!$J$2)),0,1)</f>
        <v>0</v>
      </c>
      <c r="U22" s="271">
        <f ca="1">IF($D22=1,R22,R22+U21)*IF(OR(C22&gt;ÉV!$I$2,AND(C22=ÉV!$I$2,D22&gt;ÉV!$J$2)),0,1)</f>
        <v>0</v>
      </c>
      <c r="V22" s="271">
        <f ca="1">IF($D22=1,S22,S22+V21)*IF(OR(C22&gt;ÉV!$I$2,AND(C22=ÉV!$I$2,D22&gt;ÉV!$J$2)),0,1)</f>
        <v>0</v>
      </c>
      <c r="W22" s="271">
        <f ca="1">IF($D22=1,T22,T22+W21)*IF(OR(C22&gt;ÉV!$I$2,AND(C22=ÉV!$I$2,D22&gt;ÉV!$J$2)),0,1)</f>
        <v>0</v>
      </c>
      <c r="X22" s="271">
        <f ca="1">IF(OR(D22=12,AND(C22=ÉV!$I$2,D22=ÉV!$J$2)),SUM(U22:W22)+X21,X21)*IF(OR(C22&gt;ÉV!$I$2,AND(C22=ÉV!$I$2,D22&gt;ÉV!$J$2)),0,1)</f>
        <v>0</v>
      </c>
      <c r="Y22" s="271">
        <f t="shared" ca="1" si="0"/>
        <v>0</v>
      </c>
      <c r="Z22" s="265">
        <f t="shared" si="1"/>
        <v>8</v>
      </c>
      <c r="AA22" s="272">
        <f t="shared" ca="1" si="2"/>
        <v>17794.75</v>
      </c>
      <c r="AB22" s="265">
        <f t="shared" ca="1" si="10"/>
        <v>2018</v>
      </c>
      <c r="AC22" s="265">
        <f t="shared" ca="1" si="11"/>
        <v>11</v>
      </c>
      <c r="AD22" s="276">
        <f ca="1">IF(     OR(               AND(MAX(AF$6:AF22)&lt;2,  AC22=12),                 AF22=2),                   SUMIF(AB:AB,AB22,AA:AA),                       0)</f>
        <v>0</v>
      </c>
      <c r="AE22" s="277">
        <f t="shared" ca="1" si="12"/>
        <v>0</v>
      </c>
      <c r="AF22" s="277">
        <f t="shared" ca="1" si="4"/>
        <v>0</v>
      </c>
      <c r="AG22" s="402">
        <f ca="1">IF(  AND(AC22=AdóHó,   MAX(AF$1:AF21)&lt;2),   SUMIF(AB:AB,AB22-1,AE:AE),0  )
+ IF(AND(AC22&lt;AdóHó,                            AF22=2),   SUMIF(AB:AB,AB22-1,AE:AE),0  )
+ IF(                                                                  AF22=2,    SUMIF(AB:AB,AB22,AE:AE   ),0  )</f>
        <v>0</v>
      </c>
      <c r="AH22" s="272">
        <f ca="1">SUM(AG$2:AG22)</f>
        <v>31402.5</v>
      </c>
    </row>
    <row r="23" spans="1:34">
      <c r="A23" s="265">
        <f t="shared" si="6"/>
        <v>2</v>
      </c>
      <c r="B23" s="265">
        <f t="shared" si="7"/>
        <v>9</v>
      </c>
      <c r="C23" s="265">
        <f t="shared" ca="1" si="8"/>
        <v>2</v>
      </c>
      <c r="D23" s="265">
        <f t="shared" ca="1" si="9"/>
        <v>12</v>
      </c>
      <c r="E23" s="266">
        <v>5.0000000000000001E-3</v>
      </c>
      <c r="F23" s="267">
        <f>ÉV!$B$12</f>
        <v>0</v>
      </c>
      <c r="G23" s="271">
        <f ca="1">VLOOKUP(A23,ÉV!$A$18:$B$65,2,0)</f>
        <v>213537</v>
      </c>
      <c r="H23" s="271">
        <f ca="1">IF(OR(A23=1,AND(C23=ÉV!$I$2,D23&gt;ÉV!$J$2),C23&gt;ÉV!$I$2),0,INDEX(Pz!$B$2:$AM$48,A23-1,ÉV!$G$2-9)/100000*ÉV!$B$10)</f>
        <v>42750.38632227276</v>
      </c>
      <c r="I23" s="271">
        <f ca="1">INDEX(Pz!$B$2:$AM$48,HÓ!A23,ÉV!$G$2-9)/100000*ÉV!$B$10</f>
        <v>113890.47258586531</v>
      </c>
      <c r="J23" s="273">
        <f ca="1">IF(OR(A23=1,A23=2,AND(C23=ÉV!$I$2,D23&gt;ÉV!$J$2),C23&gt;ÉV!$I$2),0,VLOOKUP(A23-2,ÉV!$A$18:$C$65,3,0))</f>
        <v>0</v>
      </c>
      <c r="K23" s="273">
        <f ca="1">IF(OR(A23=1,AND(C23=ÉV!$I$2,D23&gt;ÉV!$J$2),C23&gt;ÉV!$I$2),0,VLOOKUP(A23-1,ÉV!$A$18:$C$65,3,0))</f>
        <v>41870.727591723866</v>
      </c>
      <c r="L23" s="273">
        <f ca="1">VLOOKUP(A23,ÉV!$A$18:$C$65,3,0)*IF(OR(AND(C23=ÉV!$I$2,D23&gt;ÉV!$J$2),C23&gt;ÉV!$I$2),0,1)</f>
        <v>154630.85788632699</v>
      </c>
      <c r="M23" s="273">
        <f ca="1">(K23*(12-B23)/12+L23*B23/12)*IF(A23&gt;ÉV!$G$2,0,1)+IF(A23&gt;ÉV!$G$2,M22,0)*IF(OR(AND(C23=ÉV!$I$2,D23&gt;ÉV!$J$2),C23&gt;ÉV!$I$2),0,1)</f>
        <v>126440.8253126762</v>
      </c>
      <c r="N23" s="274">
        <f ca="1">IF(AND(C23=1,D23&lt;12),0,1)*IF(D23=12,MAX(0,F23-E23-0.003)*0.9*((K23+I23)*(B23/12)+(J23+H23)*(1-B23/12))+MAX(0,F23-0.003)*0.9*N22+N22,IF(AND(C23=ÉV!$I$2,D23=ÉV!$J$2),(M23+N22)*MAX(0,F23-0.003)*0.9*(D23/12)+N22,N22))*IF(OR(C23&gt;ÉV!$I$2,AND(C23=ÉV!$I$2,D23&gt;ÉV!$J$2)),0,1)</f>
        <v>0</v>
      </c>
      <c r="O23" s="313">
        <f ca="1">IF(MAX(AF$2:AF22)=2,      0,IF(OR(AC23=7, AF23=2),    SUM(AE$2:AE23),    O22)   )</f>
        <v>31402.5</v>
      </c>
      <c r="P23" s="271">
        <f ca="1">IF(D23=12,V23+P22+P22*(F23-0.003)*0.9,IF(AND(C23=ÉV!$I$2,D23=ÉV!$J$2),V23+P22+P22*(F23-0.003)*0.9*D23/12,P22))*IF(OR(C23&gt;ÉV!$I$2,AND(C23=ÉV!$I$2,D23&gt;ÉV!$J$2)),0,1)</f>
        <v>0</v>
      </c>
      <c r="Q23" s="275">
        <f ca="1">(N23+P23)*IF(OR(AND(C23=ÉV!$I$2,D23&gt;ÉV!$J$2),C23&gt;ÉV!$I$2),0,1)</f>
        <v>0</v>
      </c>
      <c r="R23" s="271">
        <f ca="1">(MAX(0,F23-E23-0.003)*0.9*((K23+I23)*(1/12)))*IF(OR(C23&gt;ÉV!$I$2,AND(C23=ÉV!$I$2,D23&gt;ÉV!$J$2)),0,1)</f>
        <v>0</v>
      </c>
      <c r="S23" s="271">
        <f ca="1">(MAX(0,F23-0.003)*0.9*((O23)*(1/12)))*IF(OR(C23&gt;ÉV!$I$2,AND(C23=ÉV!$I$2,D23&gt;ÉV!$J$2)),0,1)</f>
        <v>0</v>
      </c>
      <c r="T23" s="271">
        <f ca="1">(MAX(0,F23-0.003)*0.9*((Q22)*(1/12)))*IF(OR(C23&gt;ÉV!$I$2,AND(C23=ÉV!$I$2,D23&gt;ÉV!$J$2)),0,1)</f>
        <v>0</v>
      </c>
      <c r="U23" s="271">
        <f ca="1">IF($D23=1,R23,R23+U22)*IF(OR(C23&gt;ÉV!$I$2,AND(C23=ÉV!$I$2,D23&gt;ÉV!$J$2)),0,1)</f>
        <v>0</v>
      </c>
      <c r="V23" s="271">
        <f ca="1">IF($D23=1,S23,S23+V22)*IF(OR(C23&gt;ÉV!$I$2,AND(C23=ÉV!$I$2,D23&gt;ÉV!$J$2)),0,1)</f>
        <v>0</v>
      </c>
      <c r="W23" s="271">
        <f ca="1">IF($D23=1,T23,T23+W22)*IF(OR(C23&gt;ÉV!$I$2,AND(C23=ÉV!$I$2,D23&gt;ÉV!$J$2)),0,1)</f>
        <v>0</v>
      </c>
      <c r="X23" s="271">
        <f ca="1">IF(OR(D23=12,AND(C23=ÉV!$I$2,D23=ÉV!$J$2)),SUM(U23:W23)+X22,X22)*IF(OR(C23&gt;ÉV!$I$2,AND(C23=ÉV!$I$2,D23&gt;ÉV!$J$2)),0,1)</f>
        <v>0</v>
      </c>
      <c r="Y23" s="271">
        <f t="shared" ca="1" si="0"/>
        <v>0</v>
      </c>
      <c r="Z23" s="265">
        <f t="shared" si="1"/>
        <v>9</v>
      </c>
      <c r="AA23" s="272">
        <f t="shared" ca="1" si="2"/>
        <v>17794.75</v>
      </c>
      <c r="AB23" s="265">
        <f t="shared" ca="1" si="10"/>
        <v>2018</v>
      </c>
      <c r="AC23" s="265">
        <f t="shared" ca="1" si="11"/>
        <v>12</v>
      </c>
      <c r="AD23" s="276">
        <f ca="1">IF(     OR(               AND(MAX(AF$6:AF23)&lt;2,  AC23=12),                 AF23=2),                   SUMIF(AB:AB,AB23,AA:AA),                       0)</f>
        <v>212490.25</v>
      </c>
      <c r="AE23" s="277">
        <f t="shared" ca="1" si="12"/>
        <v>42498.05</v>
      </c>
      <c r="AF23" s="277">
        <f t="shared" ca="1" si="4"/>
        <v>0</v>
      </c>
      <c r="AG23" s="402">
        <f ca="1">IF(  AND(AC23=AdóHó,   MAX(AF$1:AF22)&lt;2),   SUMIF(AB:AB,AB23-1,AE:AE),0  )
+ IF(AND(AC23&lt;AdóHó,                            AF23=2),   SUMIF(AB:AB,AB23-1,AE:AE),0  )
+ IF(                                                                  AF23=2,    SUMIF(AB:AB,AB23,AE:AE   ),0  )</f>
        <v>0</v>
      </c>
      <c r="AH23" s="272">
        <f ca="1">SUM(AG$2:AG23)</f>
        <v>31402.5</v>
      </c>
    </row>
    <row r="24" spans="1:34">
      <c r="A24" s="265">
        <f t="shared" si="6"/>
        <v>2</v>
      </c>
      <c r="B24" s="265">
        <f t="shared" si="7"/>
        <v>10</v>
      </c>
      <c r="C24" s="265">
        <f t="shared" ca="1" si="8"/>
        <v>3</v>
      </c>
      <c r="D24" s="265">
        <f t="shared" ca="1" si="9"/>
        <v>1</v>
      </c>
      <c r="E24" s="266">
        <v>5.0000000000000001E-3</v>
      </c>
      <c r="F24" s="267">
        <f>ÉV!$B$12</f>
        <v>0</v>
      </c>
      <c r="G24" s="271">
        <f ca="1">VLOOKUP(A24,ÉV!$A$18:$B$65,2,0)</f>
        <v>213537</v>
      </c>
      <c r="H24" s="271">
        <f ca="1">IF(OR(A24=1,AND(C24=ÉV!$I$2,D24&gt;ÉV!$J$2),C24&gt;ÉV!$I$2),0,INDEX(Pz!$B$2:$AM$48,A24-1,ÉV!$G$2-9)/100000*ÉV!$B$10)</f>
        <v>42750.38632227276</v>
      </c>
      <c r="I24" s="271">
        <f ca="1">INDEX(Pz!$B$2:$AM$48,HÓ!A24,ÉV!$G$2-9)/100000*ÉV!$B$10</f>
        <v>113890.47258586531</v>
      </c>
      <c r="J24" s="273">
        <f ca="1">IF(OR(A24=1,A24=2,AND(C24=ÉV!$I$2,D24&gt;ÉV!$J$2),C24&gt;ÉV!$I$2),0,VLOOKUP(A24-2,ÉV!$A$18:$C$65,3,0))</f>
        <v>0</v>
      </c>
      <c r="K24" s="273">
        <f ca="1">IF(OR(A24=1,AND(C24=ÉV!$I$2,D24&gt;ÉV!$J$2),C24&gt;ÉV!$I$2),0,VLOOKUP(A24-1,ÉV!$A$18:$C$65,3,0))</f>
        <v>41870.727591723866</v>
      </c>
      <c r="L24" s="273">
        <f ca="1">VLOOKUP(A24,ÉV!$A$18:$C$65,3,0)*IF(OR(AND(C24=ÉV!$I$2,D24&gt;ÉV!$J$2),C24&gt;ÉV!$I$2),0,1)</f>
        <v>154630.85788632699</v>
      </c>
      <c r="M24" s="273">
        <f ca="1">(K24*(12-B24)/12+L24*B24/12)*IF(A24&gt;ÉV!$G$2,0,1)+IF(A24&gt;ÉV!$G$2,M23,0)*IF(OR(AND(C24=ÉV!$I$2,D24&gt;ÉV!$J$2),C24&gt;ÉV!$I$2),0,1)</f>
        <v>135837.50283722646</v>
      </c>
      <c r="N24" s="274">
        <f ca="1">IF(AND(C24=1,D24&lt;12),0,1)*IF(D24=12,MAX(0,F24-E24-0.003)*0.9*((K24+I24)*(B24/12)+(J24+H24)*(1-B24/12))+MAX(0,F24-0.003)*0.9*N23+N23,IF(AND(C24=ÉV!$I$2,D24=ÉV!$J$2),(M24+N23)*MAX(0,F24-0.003)*0.9*(D24/12)+N23,N23))*IF(OR(C24&gt;ÉV!$I$2,AND(C24=ÉV!$I$2,D24&gt;ÉV!$J$2)),0,1)</f>
        <v>0</v>
      </c>
      <c r="O24" s="313">
        <f ca="1">IF(MAX(AF$2:AF23)=2,      0,IF(OR(AC24=7, AF24=2),    SUM(AE$2:AE24),    O23)   )</f>
        <v>31402.5</v>
      </c>
      <c r="P24" s="271">
        <f ca="1">IF(D24=12,V24+P23+P23*(F24-0.003)*0.9,IF(AND(C24=ÉV!$I$2,D24=ÉV!$J$2),V24+P23+P23*(F24-0.003)*0.9*D24/12,P23))*IF(OR(C24&gt;ÉV!$I$2,AND(C24=ÉV!$I$2,D24&gt;ÉV!$J$2)),0,1)</f>
        <v>0</v>
      </c>
      <c r="Q24" s="275">
        <f ca="1">(N24+P24)*IF(OR(AND(C24=ÉV!$I$2,D24&gt;ÉV!$J$2),C24&gt;ÉV!$I$2),0,1)</f>
        <v>0</v>
      </c>
      <c r="R24" s="271">
        <f ca="1">(MAX(0,F24-E24-0.003)*0.9*((K24+I24)*(1/12)))*IF(OR(C24&gt;ÉV!$I$2,AND(C24=ÉV!$I$2,D24&gt;ÉV!$J$2)),0,1)</f>
        <v>0</v>
      </c>
      <c r="S24" s="271">
        <f ca="1">(MAX(0,F24-0.003)*0.9*((O24)*(1/12)))*IF(OR(C24&gt;ÉV!$I$2,AND(C24=ÉV!$I$2,D24&gt;ÉV!$J$2)),0,1)</f>
        <v>0</v>
      </c>
      <c r="T24" s="271">
        <f ca="1">(MAX(0,F24-0.003)*0.9*((Q23)*(1/12)))*IF(OR(C24&gt;ÉV!$I$2,AND(C24=ÉV!$I$2,D24&gt;ÉV!$J$2)),0,1)</f>
        <v>0</v>
      </c>
      <c r="U24" s="271">
        <f ca="1">IF($D24=1,R24,R24+U23)*IF(OR(C24&gt;ÉV!$I$2,AND(C24=ÉV!$I$2,D24&gt;ÉV!$J$2)),0,1)</f>
        <v>0</v>
      </c>
      <c r="V24" s="271">
        <f ca="1">IF($D24=1,S24,S24+V23)*IF(OR(C24&gt;ÉV!$I$2,AND(C24=ÉV!$I$2,D24&gt;ÉV!$J$2)),0,1)</f>
        <v>0</v>
      </c>
      <c r="W24" s="271">
        <f ca="1">IF($D24=1,T24,T24+W23)*IF(OR(C24&gt;ÉV!$I$2,AND(C24=ÉV!$I$2,D24&gt;ÉV!$J$2)),0,1)</f>
        <v>0</v>
      </c>
      <c r="X24" s="271">
        <f ca="1">IF(OR(D24=12,AND(C24=ÉV!$I$2,D24=ÉV!$J$2)),SUM(U24:W24)+X23,X23)*IF(OR(C24&gt;ÉV!$I$2,AND(C24=ÉV!$I$2,D24&gt;ÉV!$J$2)),0,1)</f>
        <v>0</v>
      </c>
      <c r="Y24" s="271">
        <f t="shared" ca="1" si="0"/>
        <v>0</v>
      </c>
      <c r="Z24" s="265">
        <f t="shared" si="1"/>
        <v>10</v>
      </c>
      <c r="AA24" s="272">
        <f t="shared" ca="1" si="2"/>
        <v>17794.75</v>
      </c>
      <c r="AB24" s="265">
        <f t="shared" ca="1" si="10"/>
        <v>2019</v>
      </c>
      <c r="AC24" s="265">
        <f t="shared" ca="1" si="11"/>
        <v>1</v>
      </c>
      <c r="AD24" s="276">
        <f ca="1">IF(     OR(               AND(MAX(AF$6:AF24)&lt;2,  AC24=12),                 AF24=2),                   SUMIF(AB:AB,AB24,AA:AA),                       0)</f>
        <v>0</v>
      </c>
      <c r="AE24" s="277">
        <f t="shared" ca="1" si="12"/>
        <v>0</v>
      </c>
      <c r="AF24" s="277">
        <f t="shared" ca="1" si="4"/>
        <v>0</v>
      </c>
      <c r="AG24" s="402">
        <f ca="1">IF(  AND(AC24=AdóHó,   MAX(AF$1:AF23)&lt;2),   SUMIF(AB:AB,AB24-1,AE:AE),0  )
+ IF(AND(AC24&lt;AdóHó,                            AF24=2),   SUMIF(AB:AB,AB24-1,AE:AE),0  )
+ IF(                                                                  AF24=2,    SUMIF(AB:AB,AB24,AE:AE   ),0  )</f>
        <v>0</v>
      </c>
      <c r="AH24" s="272">
        <f ca="1">SUM(AG$2:AG24)</f>
        <v>31402.5</v>
      </c>
    </row>
    <row r="25" spans="1:34">
      <c r="A25" s="265">
        <f t="shared" si="6"/>
        <v>2</v>
      </c>
      <c r="B25" s="265">
        <f t="shared" si="7"/>
        <v>11</v>
      </c>
      <c r="C25" s="265">
        <f t="shared" ca="1" si="8"/>
        <v>3</v>
      </c>
      <c r="D25" s="265">
        <f t="shared" ca="1" si="9"/>
        <v>2</v>
      </c>
      <c r="E25" s="266">
        <v>5.0000000000000001E-3</v>
      </c>
      <c r="F25" s="267">
        <f>ÉV!$B$12</f>
        <v>0</v>
      </c>
      <c r="G25" s="271">
        <f ca="1">VLOOKUP(A25,ÉV!$A$18:$B$65,2,0)</f>
        <v>213537</v>
      </c>
      <c r="H25" s="271">
        <f ca="1">IF(OR(A25=1,AND(C25=ÉV!$I$2,D25&gt;ÉV!$J$2),C25&gt;ÉV!$I$2),0,INDEX(Pz!$B$2:$AM$48,A25-1,ÉV!$G$2-9)/100000*ÉV!$B$10)</f>
        <v>42750.38632227276</v>
      </c>
      <c r="I25" s="271">
        <f ca="1">INDEX(Pz!$B$2:$AM$48,HÓ!A25,ÉV!$G$2-9)/100000*ÉV!$B$10</f>
        <v>113890.47258586531</v>
      </c>
      <c r="J25" s="273">
        <f ca="1">IF(OR(A25=1,A25=2,AND(C25=ÉV!$I$2,D25&gt;ÉV!$J$2),C25&gt;ÉV!$I$2),0,VLOOKUP(A25-2,ÉV!$A$18:$C$65,3,0))</f>
        <v>0</v>
      </c>
      <c r="K25" s="273">
        <f ca="1">IF(OR(A25=1,AND(C25=ÉV!$I$2,D25&gt;ÉV!$J$2),C25&gt;ÉV!$I$2),0,VLOOKUP(A25-1,ÉV!$A$18:$C$65,3,0))</f>
        <v>41870.727591723866</v>
      </c>
      <c r="L25" s="273">
        <f ca="1">VLOOKUP(A25,ÉV!$A$18:$C$65,3,0)*IF(OR(AND(C25=ÉV!$I$2,D25&gt;ÉV!$J$2),C25&gt;ÉV!$I$2),0,1)</f>
        <v>154630.85788632699</v>
      </c>
      <c r="M25" s="273">
        <f ca="1">(K25*(12-B25)/12+L25*B25/12)*IF(A25&gt;ÉV!$G$2,0,1)+IF(A25&gt;ÉV!$G$2,M24,0)*IF(OR(AND(C25=ÉV!$I$2,D25&gt;ÉV!$J$2),C25&gt;ÉV!$I$2),0,1)</f>
        <v>145234.18036177673</v>
      </c>
      <c r="N25" s="274">
        <f ca="1">IF(AND(C25=1,D25&lt;12),0,1)*IF(D25=12,MAX(0,F25-E25-0.003)*0.9*((K25+I25)*(B25/12)+(J25+H25)*(1-B25/12))+MAX(0,F25-0.003)*0.9*N24+N24,IF(AND(C25=ÉV!$I$2,D25=ÉV!$J$2),(M25+N24)*MAX(0,F25-0.003)*0.9*(D25/12)+N24,N24))*IF(OR(C25&gt;ÉV!$I$2,AND(C25=ÉV!$I$2,D25&gt;ÉV!$J$2)),0,1)</f>
        <v>0</v>
      </c>
      <c r="O25" s="313">
        <f ca="1">IF(MAX(AF$2:AF24)=2,      0,IF(OR(AC25=7, AF25=2),    SUM(AE$2:AE25),    O24)   )</f>
        <v>31402.5</v>
      </c>
      <c r="P25" s="271">
        <f ca="1">IF(D25=12,V25+P24+P24*(F25-0.003)*0.9,IF(AND(C25=ÉV!$I$2,D25=ÉV!$J$2),V25+P24+P24*(F25-0.003)*0.9*D25/12,P24))*IF(OR(C25&gt;ÉV!$I$2,AND(C25=ÉV!$I$2,D25&gt;ÉV!$J$2)),0,1)</f>
        <v>0</v>
      </c>
      <c r="Q25" s="275">
        <f ca="1">(N25+P25)*IF(OR(AND(C25=ÉV!$I$2,D25&gt;ÉV!$J$2),C25&gt;ÉV!$I$2),0,1)</f>
        <v>0</v>
      </c>
      <c r="R25" s="271">
        <f ca="1">(MAX(0,F25-E25-0.003)*0.9*((K25+I25)*(1/12)))*IF(OR(C25&gt;ÉV!$I$2,AND(C25=ÉV!$I$2,D25&gt;ÉV!$J$2)),0,1)</f>
        <v>0</v>
      </c>
      <c r="S25" s="271">
        <f ca="1">(MAX(0,F25-0.003)*0.9*((O25)*(1/12)))*IF(OR(C25&gt;ÉV!$I$2,AND(C25=ÉV!$I$2,D25&gt;ÉV!$J$2)),0,1)</f>
        <v>0</v>
      </c>
      <c r="T25" s="271">
        <f ca="1">(MAX(0,F25-0.003)*0.9*((Q24)*(1/12)))*IF(OR(C25&gt;ÉV!$I$2,AND(C25=ÉV!$I$2,D25&gt;ÉV!$J$2)),0,1)</f>
        <v>0</v>
      </c>
      <c r="U25" s="271">
        <f ca="1">IF($D25=1,R25,R25+U24)*IF(OR(C25&gt;ÉV!$I$2,AND(C25=ÉV!$I$2,D25&gt;ÉV!$J$2)),0,1)</f>
        <v>0</v>
      </c>
      <c r="V25" s="271">
        <f ca="1">IF($D25=1,S25,S25+V24)*IF(OR(C25&gt;ÉV!$I$2,AND(C25=ÉV!$I$2,D25&gt;ÉV!$J$2)),0,1)</f>
        <v>0</v>
      </c>
      <c r="W25" s="271">
        <f ca="1">IF($D25=1,T25,T25+W24)*IF(OR(C25&gt;ÉV!$I$2,AND(C25=ÉV!$I$2,D25&gt;ÉV!$J$2)),0,1)</f>
        <v>0</v>
      </c>
      <c r="X25" s="271">
        <f ca="1">IF(OR(D25=12,AND(C25=ÉV!$I$2,D25=ÉV!$J$2)),SUM(U25:W25)+X24,X24)*IF(OR(C25&gt;ÉV!$I$2,AND(C25=ÉV!$I$2,D25&gt;ÉV!$J$2)),0,1)</f>
        <v>0</v>
      </c>
      <c r="Y25" s="271">
        <f t="shared" ca="1" si="0"/>
        <v>0</v>
      </c>
      <c r="Z25" s="265">
        <f t="shared" si="1"/>
        <v>11</v>
      </c>
      <c r="AA25" s="272">
        <f t="shared" ca="1" si="2"/>
        <v>17794.75</v>
      </c>
      <c r="AB25" s="265">
        <f t="shared" ca="1" si="10"/>
        <v>2019</v>
      </c>
      <c r="AC25" s="265">
        <f t="shared" ca="1" si="11"/>
        <v>2</v>
      </c>
      <c r="AD25" s="276">
        <f ca="1">IF(     OR(               AND(MAX(AF$6:AF25)&lt;2,  AC25=12),                 AF25=2),                   SUMIF(AB:AB,AB25,AA:AA),                       0)</f>
        <v>0</v>
      </c>
      <c r="AE25" s="277">
        <f t="shared" ca="1" si="12"/>
        <v>0</v>
      </c>
      <c r="AF25" s="277">
        <f t="shared" ca="1" si="4"/>
        <v>0</v>
      </c>
      <c r="AG25" s="402">
        <f ca="1">IF(  AND(AC25=AdóHó,   MAX(AF$1:AF24)&lt;2),   SUMIF(AB:AB,AB25-1,AE:AE),0  )
+ IF(AND(AC25&lt;AdóHó,                            AF25=2),   SUMIF(AB:AB,AB25-1,AE:AE),0  )
+ IF(                                                                  AF25=2,    SUMIF(AB:AB,AB25,AE:AE   ),0  )</f>
        <v>0</v>
      </c>
      <c r="AH25" s="272">
        <f ca="1">SUM(AG$2:AG25)</f>
        <v>31402.5</v>
      </c>
    </row>
    <row r="26" spans="1:34">
      <c r="A26" s="265">
        <f t="shared" si="6"/>
        <v>2</v>
      </c>
      <c r="B26" s="265">
        <f t="shared" si="7"/>
        <v>12</v>
      </c>
      <c r="C26" s="265">
        <f t="shared" ca="1" si="8"/>
        <v>3</v>
      </c>
      <c r="D26" s="265">
        <f t="shared" ca="1" si="9"/>
        <v>3</v>
      </c>
      <c r="E26" s="266">
        <v>5.0000000000000001E-3</v>
      </c>
      <c r="F26" s="267">
        <f>ÉV!$B$12</f>
        <v>0</v>
      </c>
      <c r="G26" s="271">
        <f ca="1">VLOOKUP(A26,ÉV!$A$18:$B$65,2,0)</f>
        <v>213537</v>
      </c>
      <c r="H26" s="271">
        <f ca="1">IF(OR(A26=1,AND(C26=ÉV!$I$2,D26&gt;ÉV!$J$2),C26&gt;ÉV!$I$2),0,INDEX(Pz!$B$2:$AM$48,A26-1,ÉV!$G$2-9)/100000*ÉV!$B$10)</f>
        <v>42750.38632227276</v>
      </c>
      <c r="I26" s="271">
        <f ca="1">INDEX(Pz!$B$2:$AM$48,HÓ!A26,ÉV!$G$2-9)/100000*ÉV!$B$10</f>
        <v>113890.47258586531</v>
      </c>
      <c r="J26" s="273">
        <f ca="1">IF(OR(A26=1,A26=2,AND(C26=ÉV!$I$2,D26&gt;ÉV!$J$2),C26&gt;ÉV!$I$2),0,VLOOKUP(A26-2,ÉV!$A$18:$C$65,3,0))</f>
        <v>0</v>
      </c>
      <c r="K26" s="273">
        <f ca="1">IF(OR(A26=1,AND(C26=ÉV!$I$2,D26&gt;ÉV!$J$2),C26&gt;ÉV!$I$2),0,VLOOKUP(A26-1,ÉV!$A$18:$C$65,3,0))</f>
        <v>41870.727591723866</v>
      </c>
      <c r="L26" s="273">
        <f ca="1">VLOOKUP(A26,ÉV!$A$18:$C$65,3,0)*IF(OR(AND(C26=ÉV!$I$2,D26&gt;ÉV!$J$2),C26&gt;ÉV!$I$2),0,1)</f>
        <v>154630.85788632699</v>
      </c>
      <c r="M26" s="273">
        <f ca="1">(K26*(12-B26)/12+L26*B26/12)*IF(A26&gt;ÉV!$G$2,0,1)+IF(A26&gt;ÉV!$G$2,M25,0)*IF(OR(AND(C26=ÉV!$I$2,D26&gt;ÉV!$J$2),C26&gt;ÉV!$I$2),0,1)</f>
        <v>154630.85788632699</v>
      </c>
      <c r="N26" s="274">
        <f ca="1">IF(AND(C26=1,D26&lt;12),0,1)*IF(D26=12,MAX(0,F26-E26-0.003)*0.9*((K26+I26)*(B26/12)+(J26+H26)*(1-B26/12))+MAX(0,F26-0.003)*0.9*N25+N25,IF(AND(C26=ÉV!$I$2,D26=ÉV!$J$2),(M26+N25)*MAX(0,F26-0.003)*0.9*(D26/12)+N25,N25))*IF(OR(C26&gt;ÉV!$I$2,AND(C26=ÉV!$I$2,D26&gt;ÉV!$J$2)),0,1)</f>
        <v>0</v>
      </c>
      <c r="O26" s="313">
        <f ca="1">IF(MAX(AF$2:AF25)=2,      0,IF(OR(AC26=7, AF26=2),    SUM(AE$2:AE26),    O25)   )</f>
        <v>31402.5</v>
      </c>
      <c r="P26" s="271">
        <f ca="1">IF(D26=12,V26+P25+P25*(F26-0.003)*0.9,IF(AND(C26=ÉV!$I$2,D26=ÉV!$J$2),V26+P25+P25*(F26-0.003)*0.9*D26/12,P25))*IF(OR(C26&gt;ÉV!$I$2,AND(C26=ÉV!$I$2,D26&gt;ÉV!$J$2)),0,1)</f>
        <v>0</v>
      </c>
      <c r="Q26" s="275">
        <f ca="1">(N26+P26)*IF(OR(AND(C26=ÉV!$I$2,D26&gt;ÉV!$J$2),C26&gt;ÉV!$I$2),0,1)</f>
        <v>0</v>
      </c>
      <c r="R26" s="271">
        <f ca="1">(MAX(0,F26-E26-0.003)*0.9*((K26+I26)*(1/12)))*IF(OR(C26&gt;ÉV!$I$2,AND(C26=ÉV!$I$2,D26&gt;ÉV!$J$2)),0,1)</f>
        <v>0</v>
      </c>
      <c r="S26" s="271">
        <f ca="1">(MAX(0,F26-0.003)*0.9*((O26)*(1/12)))*IF(OR(C26&gt;ÉV!$I$2,AND(C26=ÉV!$I$2,D26&gt;ÉV!$J$2)),0,1)</f>
        <v>0</v>
      </c>
      <c r="T26" s="271">
        <f ca="1">(MAX(0,F26-0.003)*0.9*((Q25)*(1/12)))*IF(OR(C26&gt;ÉV!$I$2,AND(C26=ÉV!$I$2,D26&gt;ÉV!$J$2)),0,1)</f>
        <v>0</v>
      </c>
      <c r="U26" s="271">
        <f ca="1">IF($D26=1,R26,R26+U25)*IF(OR(C26&gt;ÉV!$I$2,AND(C26=ÉV!$I$2,D26&gt;ÉV!$J$2)),0,1)</f>
        <v>0</v>
      </c>
      <c r="V26" s="271">
        <f ca="1">IF($D26=1,S26,S26+V25)*IF(OR(C26&gt;ÉV!$I$2,AND(C26=ÉV!$I$2,D26&gt;ÉV!$J$2)),0,1)</f>
        <v>0</v>
      </c>
      <c r="W26" s="271">
        <f ca="1">IF($D26=1,T26,T26+W25)*IF(OR(C26&gt;ÉV!$I$2,AND(C26=ÉV!$I$2,D26&gt;ÉV!$J$2)),0,1)</f>
        <v>0</v>
      </c>
      <c r="X26" s="271">
        <f ca="1">IF(OR(D26=12,AND(C26=ÉV!$I$2,D26=ÉV!$J$2)),SUM(U26:W26)+X25,X25)*IF(OR(C26&gt;ÉV!$I$2,AND(C26=ÉV!$I$2,D26&gt;ÉV!$J$2)),0,1)</f>
        <v>0</v>
      </c>
      <c r="Y26" s="271">
        <f t="shared" ca="1" si="0"/>
        <v>0</v>
      </c>
      <c r="Z26" s="265">
        <f t="shared" si="1"/>
        <v>12</v>
      </c>
      <c r="AA26" s="272">
        <f t="shared" ca="1" si="2"/>
        <v>17794.75</v>
      </c>
      <c r="AB26" s="265">
        <f t="shared" ca="1" si="10"/>
        <v>2019</v>
      </c>
      <c r="AC26" s="265">
        <f t="shared" ca="1" si="11"/>
        <v>3</v>
      </c>
      <c r="AD26" s="276">
        <f ca="1">IF(     OR(               AND(MAX(AF$6:AF26)&lt;2,  AC26=12),                 AF26=2),                   SUMIF(AB:AB,AB26,AA:AA),                       0)</f>
        <v>0</v>
      </c>
      <c r="AE26" s="277">
        <f t="shared" ca="1" si="12"/>
        <v>0</v>
      </c>
      <c r="AF26" s="277">
        <f t="shared" ca="1" si="4"/>
        <v>0</v>
      </c>
      <c r="AG26" s="402">
        <f ca="1">IF(  AND(AC26=AdóHó,   MAX(AF$1:AF25)&lt;2),   SUMIF(AB:AB,AB26-1,AE:AE),0  )
+ IF(AND(AC26&lt;AdóHó,                            AF26=2),   SUMIF(AB:AB,AB26-1,AE:AE),0  )
+ IF(                                                                  AF26=2,    SUMIF(AB:AB,AB26,AE:AE   ),0  )</f>
        <v>0</v>
      </c>
      <c r="AH26" s="272">
        <f ca="1">SUM(AG$2:AG26)</f>
        <v>31402.5</v>
      </c>
    </row>
    <row r="27" spans="1:34">
      <c r="A27" s="265">
        <f t="shared" si="6"/>
        <v>3</v>
      </c>
      <c r="B27" s="265">
        <f t="shared" si="7"/>
        <v>1</v>
      </c>
      <c r="C27" s="265">
        <f t="shared" ca="1" si="8"/>
        <v>3</v>
      </c>
      <c r="D27" s="265">
        <f t="shared" ca="1" si="9"/>
        <v>4</v>
      </c>
      <c r="E27" s="266">
        <v>5.0000000000000001E-3</v>
      </c>
      <c r="F27" s="267">
        <f>ÉV!$B$12</f>
        <v>0</v>
      </c>
      <c r="G27" s="271">
        <f ca="1">VLOOKUP(A27,ÉV!$A$18:$B$65,2,0)</f>
        <v>217807.74</v>
      </c>
      <c r="H27" s="271">
        <f ca="1">IF(OR(A27=1,AND(C27=ÉV!$I$2,D27&gt;ÉV!$J$2),C27&gt;ÉV!$I$2),0,INDEX(Pz!$B$2:$AM$48,A27-1,ÉV!$G$2-9)/100000*ÉV!$B$10)</f>
        <v>113890.47258586531</v>
      </c>
      <c r="I27" s="271">
        <f ca="1">INDEX(Pz!$B$2:$AM$48,HÓ!A27,ÉV!$G$2-9)/100000*ÉV!$B$10</f>
        <v>196975.13132965899</v>
      </c>
      <c r="J27" s="273">
        <f ca="1">IF(OR(A27=1,A27=2,AND(C27=ÉV!$I$2,D27&gt;ÉV!$J$2),C27&gt;ÉV!$I$2),0,VLOOKUP(A27-2,ÉV!$A$18:$C$65,3,0))</f>
        <v>41870.727591723866</v>
      </c>
      <c r="K27" s="273">
        <f ca="1">IF(OR(A27=1,AND(C27=ÉV!$I$2,D27&gt;ÉV!$J$2),C27&gt;ÉV!$I$2),0,VLOOKUP(A27-1,ÉV!$A$18:$C$65,3,0))</f>
        <v>154630.85788632699</v>
      </c>
      <c r="L27" s="273">
        <f ca="1">VLOOKUP(A27,ÉV!$A$18:$C$65,3,0)*IF(OR(AND(C27=ÉV!$I$2,D27&gt;ÉV!$J$2),C27&gt;ÉV!$I$2),0,1)</f>
        <v>351132.31875505357</v>
      </c>
      <c r="M27" s="273">
        <f ca="1">(K27*(12-B27)/12+L27*B27/12)*IF(A27&gt;ÉV!$G$2,0,1)+IF(A27&gt;ÉV!$G$2,M26,0)*IF(OR(AND(C27=ÉV!$I$2,D27&gt;ÉV!$J$2),C27&gt;ÉV!$I$2),0,1)</f>
        <v>171005.97962538752</v>
      </c>
      <c r="N27" s="274">
        <f ca="1">IF(AND(C27=1,D27&lt;12),0,1)*IF(D27=12,MAX(0,F27-E27-0.003)*0.9*((K27+I27)*(B27/12)+(J27+H27)*(1-B27/12))+MAX(0,F27-0.003)*0.9*N26+N26,IF(AND(C27=ÉV!$I$2,D27=ÉV!$J$2),(M27+N26)*MAX(0,F27-0.003)*0.9*(D27/12)+N26,N26))*IF(OR(C27&gt;ÉV!$I$2,AND(C27=ÉV!$I$2,D27&gt;ÉV!$J$2)),0,1)</f>
        <v>0</v>
      </c>
      <c r="O27" s="313">
        <f ca="1">IF(MAX(AF$2:AF26)=2,      0,IF(OR(AC27=7, AF27=2),    SUM(AE$2:AE27),    O26)   )</f>
        <v>31402.5</v>
      </c>
      <c r="P27" s="271">
        <f ca="1">IF(D27=12,V27+P26+P26*(F27-0.003)*0.9,IF(AND(C27=ÉV!$I$2,D27=ÉV!$J$2),V27+P26+P26*(F27-0.003)*0.9*D27/12,P26))*IF(OR(C27&gt;ÉV!$I$2,AND(C27=ÉV!$I$2,D27&gt;ÉV!$J$2)),0,1)</f>
        <v>0</v>
      </c>
      <c r="Q27" s="275">
        <f ca="1">(N27+P27)*IF(OR(AND(C27=ÉV!$I$2,D27&gt;ÉV!$J$2),C27&gt;ÉV!$I$2),0,1)</f>
        <v>0</v>
      </c>
      <c r="R27" s="271">
        <f ca="1">(MAX(0,F27-E27-0.003)*0.9*((K27+I27)*(1/12)))*IF(OR(C27&gt;ÉV!$I$2,AND(C27=ÉV!$I$2,D27&gt;ÉV!$J$2)),0,1)</f>
        <v>0</v>
      </c>
      <c r="S27" s="271">
        <f ca="1">(MAX(0,F27-0.003)*0.9*((O27)*(1/12)))*IF(OR(C27&gt;ÉV!$I$2,AND(C27=ÉV!$I$2,D27&gt;ÉV!$J$2)),0,1)</f>
        <v>0</v>
      </c>
      <c r="T27" s="271">
        <f ca="1">(MAX(0,F27-0.003)*0.9*((Q26)*(1/12)))*IF(OR(C27&gt;ÉV!$I$2,AND(C27=ÉV!$I$2,D27&gt;ÉV!$J$2)),0,1)</f>
        <v>0</v>
      </c>
      <c r="U27" s="271">
        <f ca="1">IF($D27=1,R27,R27+U26)*IF(OR(C27&gt;ÉV!$I$2,AND(C27=ÉV!$I$2,D27&gt;ÉV!$J$2)),0,1)</f>
        <v>0</v>
      </c>
      <c r="V27" s="271">
        <f ca="1">IF($D27=1,S27,S27+V26)*IF(OR(C27&gt;ÉV!$I$2,AND(C27=ÉV!$I$2,D27&gt;ÉV!$J$2)),0,1)</f>
        <v>0</v>
      </c>
      <c r="W27" s="271">
        <f ca="1">IF($D27=1,T27,T27+W26)*IF(OR(C27&gt;ÉV!$I$2,AND(C27=ÉV!$I$2,D27&gt;ÉV!$J$2)),0,1)</f>
        <v>0</v>
      </c>
      <c r="X27" s="271">
        <f ca="1">IF(OR(D27=12,AND(C27=ÉV!$I$2,D27=ÉV!$J$2)),SUM(U27:W27)+X26,X26)*IF(OR(C27&gt;ÉV!$I$2,AND(C27=ÉV!$I$2,D27&gt;ÉV!$J$2)),0,1)</f>
        <v>0</v>
      </c>
      <c r="Y27" s="271">
        <f t="shared" ca="1" si="0"/>
        <v>0</v>
      </c>
      <c r="Z27" s="265">
        <f t="shared" si="1"/>
        <v>1</v>
      </c>
      <c r="AA27" s="272">
        <f t="shared" ca="1" si="2"/>
        <v>18150.645</v>
      </c>
      <c r="AB27" s="265">
        <f t="shared" ca="1" si="10"/>
        <v>2019</v>
      </c>
      <c r="AC27" s="265">
        <f t="shared" ca="1" si="11"/>
        <v>4</v>
      </c>
      <c r="AD27" s="276">
        <f ca="1">IF(     OR(               AND(MAX(AF$6:AF27)&lt;2,  AC27=12),                 AF27=2),                   SUMIF(AB:AB,AB27,AA:AA),                       0)</f>
        <v>0</v>
      </c>
      <c r="AE27" s="277">
        <f t="shared" ca="1" si="12"/>
        <v>0</v>
      </c>
      <c r="AF27" s="277">
        <f t="shared" ca="1" si="4"/>
        <v>0</v>
      </c>
      <c r="AG27" s="402">
        <f ca="1">IF(  AND(AC27=AdóHó,   MAX(AF$1:AF26)&lt;2),   SUMIF(AB:AB,AB27-1,AE:AE),0  )
+ IF(AND(AC27&lt;AdóHó,                            AF27=2),   SUMIF(AB:AB,AB27-1,AE:AE),0  )
+ IF(                                                                  AF27=2,    SUMIF(AB:AB,AB27,AE:AE   ),0  )</f>
        <v>0</v>
      </c>
      <c r="AH27" s="272">
        <f ca="1">SUM(AG$2:AG27)</f>
        <v>31402.5</v>
      </c>
    </row>
    <row r="28" spans="1:34">
      <c r="A28" s="265">
        <f t="shared" si="6"/>
        <v>3</v>
      </c>
      <c r="B28" s="265">
        <f t="shared" si="7"/>
        <v>2</v>
      </c>
      <c r="C28" s="265">
        <f t="shared" ca="1" si="8"/>
        <v>3</v>
      </c>
      <c r="D28" s="265">
        <f t="shared" ca="1" si="9"/>
        <v>5</v>
      </c>
      <c r="E28" s="266">
        <v>5.0000000000000001E-3</v>
      </c>
      <c r="F28" s="267">
        <f>ÉV!$B$12</f>
        <v>0</v>
      </c>
      <c r="G28" s="271">
        <f ca="1">VLOOKUP(A28,ÉV!$A$18:$B$65,2,0)</f>
        <v>217807.74</v>
      </c>
      <c r="H28" s="271">
        <f ca="1">IF(OR(A28=1,AND(C28=ÉV!$I$2,D28&gt;ÉV!$J$2),C28&gt;ÉV!$I$2),0,INDEX(Pz!$B$2:$AM$48,A28-1,ÉV!$G$2-9)/100000*ÉV!$B$10)</f>
        <v>113890.47258586531</v>
      </c>
      <c r="I28" s="271">
        <f ca="1">INDEX(Pz!$B$2:$AM$48,HÓ!A28,ÉV!$G$2-9)/100000*ÉV!$B$10</f>
        <v>196975.13132965899</v>
      </c>
      <c r="J28" s="273">
        <f ca="1">IF(OR(A28=1,A28=2,AND(C28=ÉV!$I$2,D28&gt;ÉV!$J$2),C28&gt;ÉV!$I$2),0,VLOOKUP(A28-2,ÉV!$A$18:$C$65,3,0))</f>
        <v>41870.727591723866</v>
      </c>
      <c r="K28" s="273">
        <f ca="1">IF(OR(A28=1,AND(C28=ÉV!$I$2,D28&gt;ÉV!$J$2),C28&gt;ÉV!$I$2),0,VLOOKUP(A28-1,ÉV!$A$18:$C$65,3,0))</f>
        <v>154630.85788632699</v>
      </c>
      <c r="L28" s="273">
        <f ca="1">VLOOKUP(A28,ÉV!$A$18:$C$65,3,0)*IF(OR(AND(C28=ÉV!$I$2,D28&gt;ÉV!$J$2),C28&gt;ÉV!$I$2),0,1)</f>
        <v>351132.31875505357</v>
      </c>
      <c r="M28" s="273">
        <f ca="1">(K28*(12-B28)/12+L28*B28/12)*IF(A28&gt;ÉV!$G$2,0,1)+IF(A28&gt;ÉV!$G$2,M27,0)*IF(OR(AND(C28=ÉV!$I$2,D28&gt;ÉV!$J$2),C28&gt;ÉV!$I$2),0,1)</f>
        <v>187381.10136444808</v>
      </c>
      <c r="N28" s="274">
        <f ca="1">IF(AND(C28=1,D28&lt;12),0,1)*IF(D28=12,MAX(0,F28-E28-0.003)*0.9*((K28+I28)*(B28/12)+(J28+H28)*(1-B28/12))+MAX(0,F28-0.003)*0.9*N27+N27,IF(AND(C28=ÉV!$I$2,D28=ÉV!$J$2),(M28+N27)*MAX(0,F28-0.003)*0.9*(D28/12)+N27,N27))*IF(OR(C28&gt;ÉV!$I$2,AND(C28=ÉV!$I$2,D28&gt;ÉV!$J$2)),0,1)</f>
        <v>0</v>
      </c>
      <c r="O28" s="313">
        <f ca="1">IF(MAX(AF$2:AF27)=2,      0,IF(OR(AC28=7, AF28=2),    SUM(AE$2:AE28),    O27)   )</f>
        <v>31402.5</v>
      </c>
      <c r="P28" s="271">
        <f ca="1">IF(D28=12,V28+P27+P27*(F28-0.003)*0.9,IF(AND(C28=ÉV!$I$2,D28=ÉV!$J$2),V28+P27+P27*(F28-0.003)*0.9*D28/12,P27))*IF(OR(C28&gt;ÉV!$I$2,AND(C28=ÉV!$I$2,D28&gt;ÉV!$J$2)),0,1)</f>
        <v>0</v>
      </c>
      <c r="Q28" s="275">
        <f ca="1">(N28+P28)*IF(OR(AND(C28=ÉV!$I$2,D28&gt;ÉV!$J$2),C28&gt;ÉV!$I$2),0,1)</f>
        <v>0</v>
      </c>
      <c r="R28" s="271">
        <f ca="1">(MAX(0,F28-E28-0.003)*0.9*((K28+I28)*(1/12)))*IF(OR(C28&gt;ÉV!$I$2,AND(C28=ÉV!$I$2,D28&gt;ÉV!$J$2)),0,1)</f>
        <v>0</v>
      </c>
      <c r="S28" s="271">
        <f ca="1">(MAX(0,F28-0.003)*0.9*((O28)*(1/12)))*IF(OR(C28&gt;ÉV!$I$2,AND(C28=ÉV!$I$2,D28&gt;ÉV!$J$2)),0,1)</f>
        <v>0</v>
      </c>
      <c r="T28" s="271">
        <f ca="1">(MAX(0,F28-0.003)*0.9*((Q27)*(1/12)))*IF(OR(C28&gt;ÉV!$I$2,AND(C28=ÉV!$I$2,D28&gt;ÉV!$J$2)),0,1)</f>
        <v>0</v>
      </c>
      <c r="U28" s="271">
        <f ca="1">IF($D28=1,R28,R28+U27)*IF(OR(C28&gt;ÉV!$I$2,AND(C28=ÉV!$I$2,D28&gt;ÉV!$J$2)),0,1)</f>
        <v>0</v>
      </c>
      <c r="V28" s="271">
        <f ca="1">IF($D28=1,S28,S28+V27)*IF(OR(C28&gt;ÉV!$I$2,AND(C28=ÉV!$I$2,D28&gt;ÉV!$J$2)),0,1)</f>
        <v>0</v>
      </c>
      <c r="W28" s="271">
        <f ca="1">IF($D28=1,T28,T28+W27)*IF(OR(C28&gt;ÉV!$I$2,AND(C28=ÉV!$I$2,D28&gt;ÉV!$J$2)),0,1)</f>
        <v>0</v>
      </c>
      <c r="X28" s="271">
        <f ca="1">IF(OR(D28=12,AND(C28=ÉV!$I$2,D28=ÉV!$J$2)),SUM(U28:W28)+X27,X27)*IF(OR(C28&gt;ÉV!$I$2,AND(C28=ÉV!$I$2,D28&gt;ÉV!$J$2)),0,1)</f>
        <v>0</v>
      </c>
      <c r="Y28" s="271">
        <f t="shared" ca="1" si="0"/>
        <v>0</v>
      </c>
      <c r="Z28" s="265">
        <f t="shared" si="1"/>
        <v>2</v>
      </c>
      <c r="AA28" s="272">
        <f t="shared" ca="1" si="2"/>
        <v>18150.645</v>
      </c>
      <c r="AB28" s="265">
        <f t="shared" ca="1" si="10"/>
        <v>2019</v>
      </c>
      <c r="AC28" s="265">
        <f t="shared" ca="1" si="11"/>
        <v>5</v>
      </c>
      <c r="AD28" s="276">
        <f ca="1">IF(     OR(               AND(MAX(AF$6:AF28)&lt;2,  AC28=12),                 AF28=2),                   SUMIF(AB:AB,AB28,AA:AA),                       0)</f>
        <v>0</v>
      </c>
      <c r="AE28" s="277">
        <f t="shared" ca="1" si="12"/>
        <v>0</v>
      </c>
      <c r="AF28" s="277">
        <f t="shared" ca="1" si="4"/>
        <v>0</v>
      </c>
      <c r="AG28" s="402">
        <f ca="1">IF(  AND(AC28=AdóHó,   MAX(AF$1:AF27)&lt;2),   SUMIF(AB:AB,AB28-1,AE:AE),0  )
+ IF(AND(AC28&lt;AdóHó,                            AF28=2),   SUMIF(AB:AB,AB28-1,AE:AE),0  )
+ IF(                                                                  AF28=2,    SUMIF(AB:AB,AB28,AE:AE   ),0  )</f>
        <v>0</v>
      </c>
      <c r="AH28" s="272">
        <f ca="1">SUM(AG$2:AG28)</f>
        <v>31402.5</v>
      </c>
    </row>
    <row r="29" spans="1:34">
      <c r="A29" s="265">
        <f t="shared" si="6"/>
        <v>3</v>
      </c>
      <c r="B29" s="265">
        <f t="shared" si="7"/>
        <v>3</v>
      </c>
      <c r="C29" s="265">
        <f t="shared" ca="1" si="8"/>
        <v>3</v>
      </c>
      <c r="D29" s="265">
        <f t="shared" ca="1" si="9"/>
        <v>6</v>
      </c>
      <c r="E29" s="266">
        <v>5.0000000000000001E-3</v>
      </c>
      <c r="F29" s="267">
        <f>ÉV!$B$12</f>
        <v>0</v>
      </c>
      <c r="G29" s="271">
        <f ca="1">VLOOKUP(A29,ÉV!$A$18:$B$65,2,0)</f>
        <v>217807.74</v>
      </c>
      <c r="H29" s="271">
        <f ca="1">IF(OR(A29=1,AND(C29=ÉV!$I$2,D29&gt;ÉV!$J$2),C29&gt;ÉV!$I$2),0,INDEX(Pz!$B$2:$AM$48,A29-1,ÉV!$G$2-9)/100000*ÉV!$B$10)</f>
        <v>113890.47258586531</v>
      </c>
      <c r="I29" s="271">
        <f ca="1">INDEX(Pz!$B$2:$AM$48,HÓ!A29,ÉV!$G$2-9)/100000*ÉV!$B$10</f>
        <v>196975.13132965899</v>
      </c>
      <c r="J29" s="273">
        <f ca="1">IF(OR(A29=1,A29=2,AND(C29=ÉV!$I$2,D29&gt;ÉV!$J$2),C29&gt;ÉV!$I$2),0,VLOOKUP(A29-2,ÉV!$A$18:$C$65,3,0))</f>
        <v>41870.727591723866</v>
      </c>
      <c r="K29" s="273">
        <f ca="1">IF(OR(A29=1,AND(C29=ÉV!$I$2,D29&gt;ÉV!$J$2),C29&gt;ÉV!$I$2),0,VLOOKUP(A29-1,ÉV!$A$18:$C$65,3,0))</f>
        <v>154630.85788632699</v>
      </c>
      <c r="L29" s="273">
        <f ca="1">VLOOKUP(A29,ÉV!$A$18:$C$65,3,0)*IF(OR(AND(C29=ÉV!$I$2,D29&gt;ÉV!$J$2),C29&gt;ÉV!$I$2),0,1)</f>
        <v>351132.31875505357</v>
      </c>
      <c r="M29" s="273">
        <f ca="1">(K29*(12-B29)/12+L29*B29/12)*IF(A29&gt;ÉV!$G$2,0,1)+IF(A29&gt;ÉV!$G$2,M28,0)*IF(OR(AND(C29=ÉV!$I$2,D29&gt;ÉV!$J$2),C29&gt;ÉV!$I$2),0,1)</f>
        <v>203756.22310350864</v>
      </c>
      <c r="N29" s="274">
        <f ca="1">IF(AND(C29=1,D29&lt;12),0,1)*IF(D29=12,MAX(0,F29-E29-0.003)*0.9*((K29+I29)*(B29/12)+(J29+H29)*(1-B29/12))+MAX(0,F29-0.003)*0.9*N28+N28,IF(AND(C29=ÉV!$I$2,D29=ÉV!$J$2),(M29+N28)*MAX(0,F29-0.003)*0.9*(D29/12)+N28,N28))*IF(OR(C29&gt;ÉV!$I$2,AND(C29=ÉV!$I$2,D29&gt;ÉV!$J$2)),0,1)</f>
        <v>0</v>
      </c>
      <c r="O29" s="313">
        <f ca="1">IF(MAX(AF$2:AF28)=2,      0,IF(OR(AC29=7, AF29=2),    SUM(AE$2:AE29),    O28)   )</f>
        <v>31402.5</v>
      </c>
      <c r="P29" s="271">
        <f ca="1">IF(D29=12,V29+P28+P28*(F29-0.003)*0.9,IF(AND(C29=ÉV!$I$2,D29=ÉV!$J$2),V29+P28+P28*(F29-0.003)*0.9*D29/12,P28))*IF(OR(C29&gt;ÉV!$I$2,AND(C29=ÉV!$I$2,D29&gt;ÉV!$J$2)),0,1)</f>
        <v>0</v>
      </c>
      <c r="Q29" s="275">
        <f ca="1">(N29+P29)*IF(OR(AND(C29=ÉV!$I$2,D29&gt;ÉV!$J$2),C29&gt;ÉV!$I$2),0,1)</f>
        <v>0</v>
      </c>
      <c r="R29" s="271">
        <f ca="1">(MAX(0,F29-E29-0.003)*0.9*((K29+I29)*(1/12)))*IF(OR(C29&gt;ÉV!$I$2,AND(C29=ÉV!$I$2,D29&gt;ÉV!$J$2)),0,1)</f>
        <v>0</v>
      </c>
      <c r="S29" s="271">
        <f ca="1">(MAX(0,F29-0.003)*0.9*((O29)*(1/12)))*IF(OR(C29&gt;ÉV!$I$2,AND(C29=ÉV!$I$2,D29&gt;ÉV!$J$2)),0,1)</f>
        <v>0</v>
      </c>
      <c r="T29" s="271">
        <f ca="1">(MAX(0,F29-0.003)*0.9*((Q28)*(1/12)))*IF(OR(C29&gt;ÉV!$I$2,AND(C29=ÉV!$I$2,D29&gt;ÉV!$J$2)),0,1)</f>
        <v>0</v>
      </c>
      <c r="U29" s="271">
        <f ca="1">IF($D29=1,R29,R29+U28)*IF(OR(C29&gt;ÉV!$I$2,AND(C29=ÉV!$I$2,D29&gt;ÉV!$J$2)),0,1)</f>
        <v>0</v>
      </c>
      <c r="V29" s="271">
        <f ca="1">IF($D29=1,S29,S29+V28)*IF(OR(C29&gt;ÉV!$I$2,AND(C29=ÉV!$I$2,D29&gt;ÉV!$J$2)),0,1)</f>
        <v>0</v>
      </c>
      <c r="W29" s="271">
        <f ca="1">IF($D29=1,T29,T29+W28)*IF(OR(C29&gt;ÉV!$I$2,AND(C29=ÉV!$I$2,D29&gt;ÉV!$J$2)),0,1)</f>
        <v>0</v>
      </c>
      <c r="X29" s="271">
        <f ca="1">IF(OR(D29=12,AND(C29=ÉV!$I$2,D29=ÉV!$J$2)),SUM(U29:W29)+X28,X28)*IF(OR(C29&gt;ÉV!$I$2,AND(C29=ÉV!$I$2,D29&gt;ÉV!$J$2)),0,1)</f>
        <v>0</v>
      </c>
      <c r="Y29" s="271">
        <f t="shared" ca="1" si="0"/>
        <v>0</v>
      </c>
      <c r="Z29" s="265">
        <f t="shared" si="1"/>
        <v>3</v>
      </c>
      <c r="AA29" s="272">
        <f t="shared" ca="1" si="2"/>
        <v>18150.645</v>
      </c>
      <c r="AB29" s="265">
        <f t="shared" ca="1" si="10"/>
        <v>2019</v>
      </c>
      <c r="AC29" s="265">
        <f t="shared" ca="1" si="11"/>
        <v>6</v>
      </c>
      <c r="AD29" s="276">
        <f ca="1">IF(     OR(               AND(MAX(AF$6:AF29)&lt;2,  AC29=12),                 AF29=2),                   SUMIF(AB:AB,AB29,AA:AA),                       0)</f>
        <v>0</v>
      </c>
      <c r="AE29" s="277">
        <f t="shared" ca="1" si="12"/>
        <v>0</v>
      </c>
      <c r="AF29" s="277">
        <f t="shared" ca="1" si="4"/>
        <v>0</v>
      </c>
      <c r="AG29" s="402">
        <f ca="1">IF(  AND(AC29=AdóHó,   MAX(AF$1:AF28)&lt;2),   SUMIF(AB:AB,AB29-1,AE:AE),0  )
+ IF(AND(AC29&lt;AdóHó,                            AF29=2),   SUMIF(AB:AB,AB29-1,AE:AE),0  )
+ IF(                                                                  AF29=2,    SUMIF(AB:AB,AB29,AE:AE   ),0  )</f>
        <v>0</v>
      </c>
      <c r="AH29" s="272">
        <f ca="1">SUM(AG$2:AG29)</f>
        <v>31402.5</v>
      </c>
    </row>
    <row r="30" spans="1:34">
      <c r="A30" s="265">
        <f t="shared" si="6"/>
        <v>3</v>
      </c>
      <c r="B30" s="265">
        <f t="shared" si="7"/>
        <v>4</v>
      </c>
      <c r="C30" s="265">
        <f t="shared" ca="1" si="8"/>
        <v>3</v>
      </c>
      <c r="D30" s="265">
        <f t="shared" ca="1" si="9"/>
        <v>7</v>
      </c>
      <c r="E30" s="266">
        <v>5.0000000000000001E-3</v>
      </c>
      <c r="F30" s="267">
        <f>ÉV!$B$12</f>
        <v>0</v>
      </c>
      <c r="G30" s="271">
        <f ca="1">VLOOKUP(A30,ÉV!$A$18:$B$65,2,0)</f>
        <v>217807.74</v>
      </c>
      <c r="H30" s="271">
        <f ca="1">IF(OR(A30=1,AND(C30=ÉV!$I$2,D30&gt;ÉV!$J$2),C30&gt;ÉV!$I$2),0,INDEX(Pz!$B$2:$AM$48,A30-1,ÉV!$G$2-9)/100000*ÉV!$B$10)</f>
        <v>113890.47258586531</v>
      </c>
      <c r="I30" s="271">
        <f ca="1">INDEX(Pz!$B$2:$AM$48,HÓ!A30,ÉV!$G$2-9)/100000*ÉV!$B$10</f>
        <v>196975.13132965899</v>
      </c>
      <c r="J30" s="273">
        <f ca="1">IF(OR(A30=1,A30=2,AND(C30=ÉV!$I$2,D30&gt;ÉV!$J$2),C30&gt;ÉV!$I$2),0,VLOOKUP(A30-2,ÉV!$A$18:$C$65,3,0))</f>
        <v>41870.727591723866</v>
      </c>
      <c r="K30" s="273">
        <f ca="1">IF(OR(A30=1,AND(C30=ÉV!$I$2,D30&gt;ÉV!$J$2),C30&gt;ÉV!$I$2),0,VLOOKUP(A30-1,ÉV!$A$18:$C$65,3,0))</f>
        <v>154630.85788632699</v>
      </c>
      <c r="L30" s="273">
        <f ca="1">VLOOKUP(A30,ÉV!$A$18:$C$65,3,0)*IF(OR(AND(C30=ÉV!$I$2,D30&gt;ÉV!$J$2),C30&gt;ÉV!$I$2),0,1)</f>
        <v>351132.31875505357</v>
      </c>
      <c r="M30" s="273">
        <f ca="1">(K30*(12-B30)/12+L30*B30/12)*IF(A30&gt;ÉV!$G$2,0,1)+IF(A30&gt;ÉV!$G$2,M29,0)*IF(OR(AND(C30=ÉV!$I$2,D30&gt;ÉV!$J$2),C30&gt;ÉV!$I$2),0,1)</f>
        <v>220131.3448425692</v>
      </c>
      <c r="N30" s="274">
        <f ca="1">IF(AND(C30=1,D30&lt;12),0,1)*IF(D30=12,MAX(0,F30-E30-0.003)*0.9*((K30+I30)*(B30/12)+(J30+H30)*(1-B30/12))+MAX(0,F30-0.003)*0.9*N29+N29,IF(AND(C30=ÉV!$I$2,D30=ÉV!$J$2),(M30+N29)*MAX(0,F30-0.003)*0.9*(D30/12)+N29,N29))*IF(OR(C30&gt;ÉV!$I$2,AND(C30=ÉV!$I$2,D30&gt;ÉV!$J$2)),0,1)</f>
        <v>0</v>
      </c>
      <c r="O30" s="313">
        <f ca="1">IF(MAX(AF$2:AF29)=2,      0,IF(OR(AC30=7, AF30=2),    SUM(AE$2:AE30),    O29)   )</f>
        <v>73900.55</v>
      </c>
      <c r="P30" s="271">
        <f ca="1">IF(D30=12,V30+P29+P29*(F30-0.003)*0.9,IF(AND(C30=ÉV!$I$2,D30=ÉV!$J$2),V30+P29+P29*(F30-0.003)*0.9*D30/12,P29))*IF(OR(C30&gt;ÉV!$I$2,AND(C30=ÉV!$I$2,D30&gt;ÉV!$J$2)),0,1)</f>
        <v>0</v>
      </c>
      <c r="Q30" s="275">
        <f ca="1">(N30+P30)*IF(OR(AND(C30=ÉV!$I$2,D30&gt;ÉV!$J$2),C30&gt;ÉV!$I$2),0,1)</f>
        <v>0</v>
      </c>
      <c r="R30" s="271">
        <f ca="1">(MAX(0,F30-E30-0.003)*0.9*((K30+I30)*(1/12)))*IF(OR(C30&gt;ÉV!$I$2,AND(C30=ÉV!$I$2,D30&gt;ÉV!$J$2)),0,1)</f>
        <v>0</v>
      </c>
      <c r="S30" s="271">
        <f ca="1">(MAX(0,F30-0.003)*0.9*((O30)*(1/12)))*IF(OR(C30&gt;ÉV!$I$2,AND(C30=ÉV!$I$2,D30&gt;ÉV!$J$2)),0,1)</f>
        <v>0</v>
      </c>
      <c r="T30" s="271">
        <f ca="1">(MAX(0,F30-0.003)*0.9*((Q29)*(1/12)))*IF(OR(C30&gt;ÉV!$I$2,AND(C30=ÉV!$I$2,D30&gt;ÉV!$J$2)),0,1)</f>
        <v>0</v>
      </c>
      <c r="U30" s="271">
        <f ca="1">IF($D30=1,R30,R30+U29)*IF(OR(C30&gt;ÉV!$I$2,AND(C30=ÉV!$I$2,D30&gt;ÉV!$J$2)),0,1)</f>
        <v>0</v>
      </c>
      <c r="V30" s="271">
        <f ca="1">IF($D30=1,S30,S30+V29)*IF(OR(C30&gt;ÉV!$I$2,AND(C30=ÉV!$I$2,D30&gt;ÉV!$J$2)),0,1)</f>
        <v>0</v>
      </c>
      <c r="W30" s="271">
        <f ca="1">IF($D30=1,T30,T30+W29)*IF(OR(C30&gt;ÉV!$I$2,AND(C30=ÉV!$I$2,D30&gt;ÉV!$J$2)),0,1)</f>
        <v>0</v>
      </c>
      <c r="X30" s="271">
        <f ca="1">IF(OR(D30=12,AND(C30=ÉV!$I$2,D30=ÉV!$J$2)),SUM(U30:W30)+X29,X29)*IF(OR(C30&gt;ÉV!$I$2,AND(C30=ÉV!$I$2,D30&gt;ÉV!$J$2)),0,1)</f>
        <v>0</v>
      </c>
      <c r="Y30" s="271">
        <f t="shared" ca="1" si="0"/>
        <v>0</v>
      </c>
      <c r="Z30" s="265">
        <f t="shared" si="1"/>
        <v>4</v>
      </c>
      <c r="AA30" s="272">
        <f t="shared" ca="1" si="2"/>
        <v>18150.645</v>
      </c>
      <c r="AB30" s="265">
        <f t="shared" ca="1" si="10"/>
        <v>2019</v>
      </c>
      <c r="AC30" s="265">
        <f t="shared" ca="1" si="11"/>
        <v>7</v>
      </c>
      <c r="AD30" s="276">
        <f ca="1">IF(     OR(               AND(MAX(AF$6:AF30)&lt;2,  AC30=12),                 AF30=2),                   SUMIF(AB:AB,AB30,AA:AA),                       0)</f>
        <v>0</v>
      </c>
      <c r="AE30" s="277">
        <f t="shared" ca="1" si="12"/>
        <v>0</v>
      </c>
      <c r="AF30" s="277">
        <f t="shared" ca="1" si="4"/>
        <v>0</v>
      </c>
      <c r="AG30" s="402">
        <f ca="1">IF(  AND(AC30=AdóHó,   MAX(AF$1:AF29)&lt;2),   SUMIF(AB:AB,AB30-1,AE:AE),0  )
+ IF(AND(AC30&lt;AdóHó,                            AF30=2),   SUMIF(AB:AB,AB30-1,AE:AE),0  )
+ IF(                                                                  AF30=2,    SUMIF(AB:AB,AB30,AE:AE   ),0  )</f>
        <v>42498.05</v>
      </c>
      <c r="AH30" s="272">
        <f ca="1">SUM(AG$2:AG30)</f>
        <v>73900.55</v>
      </c>
    </row>
    <row r="31" spans="1:34">
      <c r="A31" s="265">
        <f t="shared" si="6"/>
        <v>3</v>
      </c>
      <c r="B31" s="265">
        <f t="shared" si="7"/>
        <v>5</v>
      </c>
      <c r="C31" s="265">
        <f t="shared" ca="1" si="8"/>
        <v>3</v>
      </c>
      <c r="D31" s="265">
        <f t="shared" ca="1" si="9"/>
        <v>8</v>
      </c>
      <c r="E31" s="266">
        <v>5.0000000000000001E-3</v>
      </c>
      <c r="F31" s="267">
        <f>ÉV!$B$12</f>
        <v>0</v>
      </c>
      <c r="G31" s="271">
        <f ca="1">VLOOKUP(A31,ÉV!$A$18:$B$65,2,0)</f>
        <v>217807.74</v>
      </c>
      <c r="H31" s="271">
        <f ca="1">IF(OR(A31=1,AND(C31=ÉV!$I$2,D31&gt;ÉV!$J$2),C31&gt;ÉV!$I$2),0,INDEX(Pz!$B$2:$AM$48,A31-1,ÉV!$G$2-9)/100000*ÉV!$B$10)</f>
        <v>113890.47258586531</v>
      </c>
      <c r="I31" s="271">
        <f ca="1">INDEX(Pz!$B$2:$AM$48,HÓ!A31,ÉV!$G$2-9)/100000*ÉV!$B$10</f>
        <v>196975.13132965899</v>
      </c>
      <c r="J31" s="273">
        <f ca="1">IF(OR(A31=1,A31=2,AND(C31=ÉV!$I$2,D31&gt;ÉV!$J$2),C31&gt;ÉV!$I$2),0,VLOOKUP(A31-2,ÉV!$A$18:$C$65,3,0))</f>
        <v>41870.727591723866</v>
      </c>
      <c r="K31" s="273">
        <f ca="1">IF(OR(A31=1,AND(C31=ÉV!$I$2,D31&gt;ÉV!$J$2),C31&gt;ÉV!$I$2),0,VLOOKUP(A31-1,ÉV!$A$18:$C$65,3,0))</f>
        <v>154630.85788632699</v>
      </c>
      <c r="L31" s="273">
        <f ca="1">VLOOKUP(A31,ÉV!$A$18:$C$65,3,0)*IF(OR(AND(C31=ÉV!$I$2,D31&gt;ÉV!$J$2),C31&gt;ÉV!$I$2),0,1)</f>
        <v>351132.31875505357</v>
      </c>
      <c r="M31" s="273">
        <f ca="1">(K31*(12-B31)/12+L31*B31/12)*IF(A31&gt;ÉV!$G$2,0,1)+IF(A31&gt;ÉV!$G$2,M30,0)*IF(OR(AND(C31=ÉV!$I$2,D31&gt;ÉV!$J$2),C31&gt;ÉV!$I$2),0,1)</f>
        <v>236506.46658162971</v>
      </c>
      <c r="N31" s="274">
        <f ca="1">IF(AND(C31=1,D31&lt;12),0,1)*IF(D31=12,MAX(0,F31-E31-0.003)*0.9*((K31+I31)*(B31/12)+(J31+H31)*(1-B31/12))+MAX(0,F31-0.003)*0.9*N30+N30,IF(AND(C31=ÉV!$I$2,D31=ÉV!$J$2),(M31+N30)*MAX(0,F31-0.003)*0.9*(D31/12)+N30,N30))*IF(OR(C31&gt;ÉV!$I$2,AND(C31=ÉV!$I$2,D31&gt;ÉV!$J$2)),0,1)</f>
        <v>0</v>
      </c>
      <c r="O31" s="313">
        <f ca="1">IF(MAX(AF$2:AF30)=2,      0,IF(OR(AC31=7, AF31=2),    SUM(AE$2:AE31),    O30)   )</f>
        <v>73900.55</v>
      </c>
      <c r="P31" s="271">
        <f ca="1">IF(D31=12,V31+P30+P30*(F31-0.003)*0.9,IF(AND(C31=ÉV!$I$2,D31=ÉV!$J$2),V31+P30+P30*(F31-0.003)*0.9*D31/12,P30))*IF(OR(C31&gt;ÉV!$I$2,AND(C31=ÉV!$I$2,D31&gt;ÉV!$J$2)),0,1)</f>
        <v>0</v>
      </c>
      <c r="Q31" s="275">
        <f ca="1">(N31+P31)*IF(OR(AND(C31=ÉV!$I$2,D31&gt;ÉV!$J$2),C31&gt;ÉV!$I$2),0,1)</f>
        <v>0</v>
      </c>
      <c r="R31" s="271">
        <f ca="1">(MAX(0,F31-E31-0.003)*0.9*((K31+I31)*(1/12)))*IF(OR(C31&gt;ÉV!$I$2,AND(C31=ÉV!$I$2,D31&gt;ÉV!$J$2)),0,1)</f>
        <v>0</v>
      </c>
      <c r="S31" s="271">
        <f ca="1">(MAX(0,F31-0.003)*0.9*((O31)*(1/12)))*IF(OR(C31&gt;ÉV!$I$2,AND(C31=ÉV!$I$2,D31&gt;ÉV!$J$2)),0,1)</f>
        <v>0</v>
      </c>
      <c r="T31" s="271">
        <f ca="1">(MAX(0,F31-0.003)*0.9*((Q30)*(1/12)))*IF(OR(C31&gt;ÉV!$I$2,AND(C31=ÉV!$I$2,D31&gt;ÉV!$J$2)),0,1)</f>
        <v>0</v>
      </c>
      <c r="U31" s="271">
        <f ca="1">IF($D31=1,R31,R31+U30)*IF(OR(C31&gt;ÉV!$I$2,AND(C31=ÉV!$I$2,D31&gt;ÉV!$J$2)),0,1)</f>
        <v>0</v>
      </c>
      <c r="V31" s="271">
        <f ca="1">IF($D31=1,S31,S31+V30)*IF(OR(C31&gt;ÉV!$I$2,AND(C31=ÉV!$I$2,D31&gt;ÉV!$J$2)),0,1)</f>
        <v>0</v>
      </c>
      <c r="W31" s="271">
        <f ca="1">IF($D31=1,T31,T31+W30)*IF(OR(C31&gt;ÉV!$I$2,AND(C31=ÉV!$I$2,D31&gt;ÉV!$J$2)),0,1)</f>
        <v>0</v>
      </c>
      <c r="X31" s="271">
        <f ca="1">IF(OR(D31=12,AND(C31=ÉV!$I$2,D31=ÉV!$J$2)),SUM(U31:W31)+X30,X30)*IF(OR(C31&gt;ÉV!$I$2,AND(C31=ÉV!$I$2,D31&gt;ÉV!$J$2)),0,1)</f>
        <v>0</v>
      </c>
      <c r="Y31" s="271">
        <f t="shared" ca="1" si="0"/>
        <v>0</v>
      </c>
      <c r="Z31" s="265">
        <f t="shared" si="1"/>
        <v>5</v>
      </c>
      <c r="AA31" s="272">
        <f t="shared" ca="1" si="2"/>
        <v>18150.645</v>
      </c>
      <c r="AB31" s="265">
        <f t="shared" ca="1" si="10"/>
        <v>2019</v>
      </c>
      <c r="AC31" s="265">
        <f t="shared" ca="1" si="11"/>
        <v>8</v>
      </c>
      <c r="AD31" s="276">
        <f ca="1">IF(     OR(               AND(MAX(AF$6:AF31)&lt;2,  AC31=12),                 AF31=2),                   SUMIF(AB:AB,AB31,AA:AA),                       0)</f>
        <v>0</v>
      </c>
      <c r="AE31" s="277">
        <f t="shared" ca="1" si="12"/>
        <v>0</v>
      </c>
      <c r="AF31" s="277">
        <f t="shared" ca="1" si="4"/>
        <v>0</v>
      </c>
      <c r="AG31" s="402">
        <f ca="1">IF(  AND(AC31=AdóHó,   MAX(AF$1:AF30)&lt;2),   SUMIF(AB:AB,AB31-1,AE:AE),0  )
+ IF(AND(AC31&lt;AdóHó,                            AF31=2),   SUMIF(AB:AB,AB31-1,AE:AE),0  )
+ IF(                                                                  AF31=2,    SUMIF(AB:AB,AB31,AE:AE   ),0  )</f>
        <v>0</v>
      </c>
      <c r="AH31" s="272">
        <f ca="1">SUM(AG$2:AG31)</f>
        <v>73900.55</v>
      </c>
    </row>
    <row r="32" spans="1:34">
      <c r="A32" s="265">
        <f t="shared" si="6"/>
        <v>3</v>
      </c>
      <c r="B32" s="265">
        <f t="shared" si="7"/>
        <v>6</v>
      </c>
      <c r="C32" s="265">
        <f t="shared" ca="1" si="8"/>
        <v>3</v>
      </c>
      <c r="D32" s="265">
        <f t="shared" ca="1" si="9"/>
        <v>9</v>
      </c>
      <c r="E32" s="266">
        <v>5.0000000000000001E-3</v>
      </c>
      <c r="F32" s="267">
        <f>ÉV!$B$12</f>
        <v>0</v>
      </c>
      <c r="G32" s="271">
        <f ca="1">VLOOKUP(A32,ÉV!$A$18:$B$65,2,0)</f>
        <v>217807.74</v>
      </c>
      <c r="H32" s="271">
        <f ca="1">IF(OR(A32=1,AND(C32=ÉV!$I$2,D32&gt;ÉV!$J$2),C32&gt;ÉV!$I$2),0,INDEX(Pz!$B$2:$AM$48,A32-1,ÉV!$G$2-9)/100000*ÉV!$B$10)</f>
        <v>113890.47258586531</v>
      </c>
      <c r="I32" s="271">
        <f ca="1">INDEX(Pz!$B$2:$AM$48,HÓ!A32,ÉV!$G$2-9)/100000*ÉV!$B$10</f>
        <v>196975.13132965899</v>
      </c>
      <c r="J32" s="273">
        <f ca="1">IF(OR(A32=1,A32=2,AND(C32=ÉV!$I$2,D32&gt;ÉV!$J$2),C32&gt;ÉV!$I$2),0,VLOOKUP(A32-2,ÉV!$A$18:$C$65,3,0))</f>
        <v>41870.727591723866</v>
      </c>
      <c r="K32" s="273">
        <f ca="1">IF(OR(A32=1,AND(C32=ÉV!$I$2,D32&gt;ÉV!$J$2),C32&gt;ÉV!$I$2),0,VLOOKUP(A32-1,ÉV!$A$18:$C$65,3,0))</f>
        <v>154630.85788632699</v>
      </c>
      <c r="L32" s="273">
        <f ca="1">VLOOKUP(A32,ÉV!$A$18:$C$65,3,0)*IF(OR(AND(C32=ÉV!$I$2,D32&gt;ÉV!$J$2),C32&gt;ÉV!$I$2),0,1)</f>
        <v>351132.31875505357</v>
      </c>
      <c r="M32" s="273">
        <f ca="1">(K32*(12-B32)/12+L32*B32/12)*IF(A32&gt;ÉV!$G$2,0,1)+IF(A32&gt;ÉV!$G$2,M31,0)*IF(OR(AND(C32=ÉV!$I$2,D32&gt;ÉV!$J$2),C32&gt;ÉV!$I$2),0,1)</f>
        <v>252881.58832069032</v>
      </c>
      <c r="N32" s="274">
        <f ca="1">IF(AND(C32=1,D32&lt;12),0,1)*IF(D32=12,MAX(0,F32-E32-0.003)*0.9*((K32+I32)*(B32/12)+(J32+H32)*(1-B32/12))+MAX(0,F32-0.003)*0.9*N31+N31,IF(AND(C32=ÉV!$I$2,D32=ÉV!$J$2),(M32+N31)*MAX(0,F32-0.003)*0.9*(D32/12)+N31,N31))*IF(OR(C32&gt;ÉV!$I$2,AND(C32=ÉV!$I$2,D32&gt;ÉV!$J$2)),0,1)</f>
        <v>0</v>
      </c>
      <c r="O32" s="313">
        <f ca="1">IF(MAX(AF$2:AF31)=2,      0,IF(OR(AC32=7, AF32=2),    SUM(AE$2:AE32),    O31)   )</f>
        <v>73900.55</v>
      </c>
      <c r="P32" s="271">
        <f ca="1">IF(D32=12,V32+P31+P31*(F32-0.003)*0.9,IF(AND(C32=ÉV!$I$2,D32=ÉV!$J$2),V32+P31+P31*(F32-0.003)*0.9*D32/12,P31))*IF(OR(C32&gt;ÉV!$I$2,AND(C32=ÉV!$I$2,D32&gt;ÉV!$J$2)),0,1)</f>
        <v>0</v>
      </c>
      <c r="Q32" s="275">
        <f ca="1">(N32+P32)*IF(OR(AND(C32=ÉV!$I$2,D32&gt;ÉV!$J$2),C32&gt;ÉV!$I$2),0,1)</f>
        <v>0</v>
      </c>
      <c r="R32" s="271">
        <f ca="1">(MAX(0,F32-E32-0.003)*0.9*((K32+I32)*(1/12)))*IF(OR(C32&gt;ÉV!$I$2,AND(C32=ÉV!$I$2,D32&gt;ÉV!$J$2)),0,1)</f>
        <v>0</v>
      </c>
      <c r="S32" s="271">
        <f ca="1">(MAX(0,F32-0.003)*0.9*((O32)*(1/12)))*IF(OR(C32&gt;ÉV!$I$2,AND(C32=ÉV!$I$2,D32&gt;ÉV!$J$2)),0,1)</f>
        <v>0</v>
      </c>
      <c r="T32" s="271">
        <f ca="1">(MAX(0,F32-0.003)*0.9*((Q31)*(1/12)))*IF(OR(C32&gt;ÉV!$I$2,AND(C32=ÉV!$I$2,D32&gt;ÉV!$J$2)),0,1)</f>
        <v>0</v>
      </c>
      <c r="U32" s="271">
        <f ca="1">IF($D32=1,R32,R32+U31)*IF(OR(C32&gt;ÉV!$I$2,AND(C32=ÉV!$I$2,D32&gt;ÉV!$J$2)),0,1)</f>
        <v>0</v>
      </c>
      <c r="V32" s="271">
        <f ca="1">IF($D32=1,S32,S32+V31)*IF(OR(C32&gt;ÉV!$I$2,AND(C32=ÉV!$I$2,D32&gt;ÉV!$J$2)),0,1)</f>
        <v>0</v>
      </c>
      <c r="W32" s="271">
        <f ca="1">IF($D32=1,T32,T32+W31)*IF(OR(C32&gt;ÉV!$I$2,AND(C32=ÉV!$I$2,D32&gt;ÉV!$J$2)),0,1)</f>
        <v>0</v>
      </c>
      <c r="X32" s="271">
        <f ca="1">IF(OR(D32=12,AND(C32=ÉV!$I$2,D32=ÉV!$J$2)),SUM(U32:W32)+X31,X31)*IF(OR(C32&gt;ÉV!$I$2,AND(C32=ÉV!$I$2,D32&gt;ÉV!$J$2)),0,1)</f>
        <v>0</v>
      </c>
      <c r="Y32" s="271">
        <f t="shared" ca="1" si="0"/>
        <v>0</v>
      </c>
      <c r="Z32" s="265">
        <f t="shared" si="1"/>
        <v>6</v>
      </c>
      <c r="AA32" s="272">
        <f t="shared" ca="1" si="2"/>
        <v>18150.645</v>
      </c>
      <c r="AB32" s="265">
        <f t="shared" ca="1" si="10"/>
        <v>2019</v>
      </c>
      <c r="AC32" s="265">
        <f t="shared" ca="1" si="11"/>
        <v>9</v>
      </c>
      <c r="AD32" s="276">
        <f ca="1">IF(     OR(               AND(MAX(AF$6:AF32)&lt;2,  AC32=12),                 AF32=2),                   SUMIF(AB:AB,AB32,AA:AA),                       0)</f>
        <v>0</v>
      </c>
      <c r="AE32" s="277">
        <f t="shared" ca="1" si="12"/>
        <v>0</v>
      </c>
      <c r="AF32" s="277">
        <f t="shared" ca="1" si="4"/>
        <v>0</v>
      </c>
      <c r="AG32" s="402">
        <f ca="1">IF(  AND(AC32=AdóHó,   MAX(AF$1:AF31)&lt;2),   SUMIF(AB:AB,AB32-1,AE:AE),0  )
+ IF(AND(AC32&lt;AdóHó,                            AF32=2),   SUMIF(AB:AB,AB32-1,AE:AE),0  )
+ IF(                                                                  AF32=2,    SUMIF(AB:AB,AB32,AE:AE   ),0  )</f>
        <v>0</v>
      </c>
      <c r="AH32" s="272">
        <f ca="1">SUM(AG$2:AG32)</f>
        <v>73900.55</v>
      </c>
    </row>
    <row r="33" spans="1:34">
      <c r="A33" s="265">
        <f t="shared" si="6"/>
        <v>3</v>
      </c>
      <c r="B33" s="265">
        <f t="shared" si="7"/>
        <v>7</v>
      </c>
      <c r="C33" s="265">
        <f t="shared" ca="1" si="8"/>
        <v>3</v>
      </c>
      <c r="D33" s="265">
        <f t="shared" ca="1" si="9"/>
        <v>10</v>
      </c>
      <c r="E33" s="266">
        <v>5.0000000000000001E-3</v>
      </c>
      <c r="F33" s="267">
        <f>ÉV!$B$12</f>
        <v>0</v>
      </c>
      <c r="G33" s="271">
        <f ca="1">VLOOKUP(A33,ÉV!$A$18:$B$65,2,0)</f>
        <v>217807.74</v>
      </c>
      <c r="H33" s="271">
        <f ca="1">IF(OR(A33=1,AND(C33=ÉV!$I$2,D33&gt;ÉV!$J$2),C33&gt;ÉV!$I$2),0,INDEX(Pz!$B$2:$AM$48,A33-1,ÉV!$G$2-9)/100000*ÉV!$B$10)</f>
        <v>113890.47258586531</v>
      </c>
      <c r="I33" s="271">
        <f ca="1">INDEX(Pz!$B$2:$AM$48,HÓ!A33,ÉV!$G$2-9)/100000*ÉV!$B$10</f>
        <v>196975.13132965899</v>
      </c>
      <c r="J33" s="273">
        <f ca="1">IF(OR(A33=1,A33=2,AND(C33=ÉV!$I$2,D33&gt;ÉV!$J$2),C33&gt;ÉV!$I$2),0,VLOOKUP(A33-2,ÉV!$A$18:$C$65,3,0))</f>
        <v>41870.727591723866</v>
      </c>
      <c r="K33" s="273">
        <f ca="1">IF(OR(A33=1,AND(C33=ÉV!$I$2,D33&gt;ÉV!$J$2),C33&gt;ÉV!$I$2),0,VLOOKUP(A33-1,ÉV!$A$18:$C$65,3,0))</f>
        <v>154630.85788632699</v>
      </c>
      <c r="L33" s="273">
        <f ca="1">VLOOKUP(A33,ÉV!$A$18:$C$65,3,0)*IF(OR(AND(C33=ÉV!$I$2,D33&gt;ÉV!$J$2),C33&gt;ÉV!$I$2),0,1)</f>
        <v>351132.31875505357</v>
      </c>
      <c r="M33" s="273">
        <f ca="1">(K33*(12-B33)/12+L33*B33/12)*IF(A33&gt;ÉV!$G$2,0,1)+IF(A33&gt;ÉV!$G$2,M32,0)*IF(OR(AND(C33=ÉV!$I$2,D33&gt;ÉV!$J$2),C33&gt;ÉV!$I$2),0,1)</f>
        <v>269256.71005975083</v>
      </c>
      <c r="N33" s="274">
        <f ca="1">IF(AND(C33=1,D33&lt;12),0,1)*IF(D33=12,MAX(0,F33-E33-0.003)*0.9*((K33+I33)*(B33/12)+(J33+H33)*(1-B33/12))+MAX(0,F33-0.003)*0.9*N32+N32,IF(AND(C33=ÉV!$I$2,D33=ÉV!$J$2),(M33+N32)*MAX(0,F33-0.003)*0.9*(D33/12)+N32,N32))*IF(OR(C33&gt;ÉV!$I$2,AND(C33=ÉV!$I$2,D33&gt;ÉV!$J$2)),0,1)</f>
        <v>0</v>
      </c>
      <c r="O33" s="313">
        <f ca="1">IF(MAX(AF$2:AF32)=2,      0,IF(OR(AC33=7, AF33=2),    SUM(AE$2:AE33),    O32)   )</f>
        <v>73900.55</v>
      </c>
      <c r="P33" s="271">
        <f ca="1">IF(D33=12,V33+P32+P32*(F33-0.003)*0.9,IF(AND(C33=ÉV!$I$2,D33=ÉV!$J$2),V33+P32+P32*(F33-0.003)*0.9*D33/12,P32))*IF(OR(C33&gt;ÉV!$I$2,AND(C33=ÉV!$I$2,D33&gt;ÉV!$J$2)),0,1)</f>
        <v>0</v>
      </c>
      <c r="Q33" s="275">
        <f ca="1">(N33+P33)*IF(OR(AND(C33=ÉV!$I$2,D33&gt;ÉV!$J$2),C33&gt;ÉV!$I$2),0,1)</f>
        <v>0</v>
      </c>
      <c r="R33" s="271">
        <f ca="1">(MAX(0,F33-E33-0.003)*0.9*((K33+I33)*(1/12)))*IF(OR(C33&gt;ÉV!$I$2,AND(C33=ÉV!$I$2,D33&gt;ÉV!$J$2)),0,1)</f>
        <v>0</v>
      </c>
      <c r="S33" s="271">
        <f ca="1">(MAX(0,F33-0.003)*0.9*((O33)*(1/12)))*IF(OR(C33&gt;ÉV!$I$2,AND(C33=ÉV!$I$2,D33&gt;ÉV!$J$2)),0,1)</f>
        <v>0</v>
      </c>
      <c r="T33" s="271">
        <f ca="1">(MAX(0,F33-0.003)*0.9*((Q32)*(1/12)))*IF(OR(C33&gt;ÉV!$I$2,AND(C33=ÉV!$I$2,D33&gt;ÉV!$J$2)),0,1)</f>
        <v>0</v>
      </c>
      <c r="U33" s="271">
        <f ca="1">IF($D33=1,R33,R33+U32)*IF(OR(C33&gt;ÉV!$I$2,AND(C33=ÉV!$I$2,D33&gt;ÉV!$J$2)),0,1)</f>
        <v>0</v>
      </c>
      <c r="V33" s="271">
        <f ca="1">IF($D33=1,S33,S33+V32)*IF(OR(C33&gt;ÉV!$I$2,AND(C33=ÉV!$I$2,D33&gt;ÉV!$J$2)),0,1)</f>
        <v>0</v>
      </c>
      <c r="W33" s="271">
        <f ca="1">IF($D33=1,T33,T33+W32)*IF(OR(C33&gt;ÉV!$I$2,AND(C33=ÉV!$I$2,D33&gt;ÉV!$J$2)),0,1)</f>
        <v>0</v>
      </c>
      <c r="X33" s="271">
        <f ca="1">IF(OR(D33=12,AND(C33=ÉV!$I$2,D33=ÉV!$J$2)),SUM(U33:W33)+X32,X32)*IF(OR(C33&gt;ÉV!$I$2,AND(C33=ÉV!$I$2,D33&gt;ÉV!$J$2)),0,1)</f>
        <v>0</v>
      </c>
      <c r="Y33" s="271">
        <f t="shared" ca="1" si="0"/>
        <v>0</v>
      </c>
      <c r="Z33" s="265">
        <f t="shared" si="1"/>
        <v>7</v>
      </c>
      <c r="AA33" s="272">
        <f t="shared" ca="1" si="2"/>
        <v>18150.645</v>
      </c>
      <c r="AB33" s="265">
        <f t="shared" ca="1" si="10"/>
        <v>2019</v>
      </c>
      <c r="AC33" s="265">
        <f t="shared" ca="1" si="11"/>
        <v>10</v>
      </c>
      <c r="AD33" s="276">
        <f ca="1">IF(     OR(               AND(MAX(AF$6:AF33)&lt;2,  AC33=12),                 AF33=2),                   SUMIF(AB:AB,AB33,AA:AA),                       0)</f>
        <v>0</v>
      </c>
      <c r="AE33" s="277">
        <f t="shared" ca="1" si="12"/>
        <v>0</v>
      </c>
      <c r="AF33" s="277">
        <f t="shared" ca="1" si="4"/>
        <v>0</v>
      </c>
      <c r="AG33" s="402">
        <f ca="1">IF(  AND(AC33=AdóHó,   MAX(AF$1:AF32)&lt;2),   SUMIF(AB:AB,AB33-1,AE:AE),0  )
+ IF(AND(AC33&lt;AdóHó,                            AF33=2),   SUMIF(AB:AB,AB33-1,AE:AE),0  )
+ IF(                                                                  AF33=2,    SUMIF(AB:AB,AB33,AE:AE   ),0  )</f>
        <v>0</v>
      </c>
      <c r="AH33" s="272">
        <f ca="1">SUM(AG$2:AG33)</f>
        <v>73900.55</v>
      </c>
    </row>
    <row r="34" spans="1:34">
      <c r="A34" s="265">
        <f t="shared" si="6"/>
        <v>3</v>
      </c>
      <c r="B34" s="265">
        <f t="shared" si="7"/>
        <v>8</v>
      </c>
      <c r="C34" s="265">
        <f t="shared" ca="1" si="8"/>
        <v>3</v>
      </c>
      <c r="D34" s="265">
        <f t="shared" ca="1" si="9"/>
        <v>11</v>
      </c>
      <c r="E34" s="266">
        <v>5.0000000000000001E-3</v>
      </c>
      <c r="F34" s="267">
        <f>ÉV!$B$12</f>
        <v>0</v>
      </c>
      <c r="G34" s="271">
        <f ca="1">VLOOKUP(A34,ÉV!$A$18:$B$65,2,0)</f>
        <v>217807.74</v>
      </c>
      <c r="H34" s="271">
        <f ca="1">IF(OR(A34=1,AND(C34=ÉV!$I$2,D34&gt;ÉV!$J$2),C34&gt;ÉV!$I$2),0,INDEX(Pz!$B$2:$AM$48,A34-1,ÉV!$G$2-9)/100000*ÉV!$B$10)</f>
        <v>113890.47258586531</v>
      </c>
      <c r="I34" s="271">
        <f ca="1">INDEX(Pz!$B$2:$AM$48,HÓ!A34,ÉV!$G$2-9)/100000*ÉV!$B$10</f>
        <v>196975.13132965899</v>
      </c>
      <c r="J34" s="273">
        <f ca="1">IF(OR(A34=1,A34=2,AND(C34=ÉV!$I$2,D34&gt;ÉV!$J$2),C34&gt;ÉV!$I$2),0,VLOOKUP(A34-2,ÉV!$A$18:$C$65,3,0))</f>
        <v>41870.727591723866</v>
      </c>
      <c r="K34" s="273">
        <f ca="1">IF(OR(A34=1,AND(C34=ÉV!$I$2,D34&gt;ÉV!$J$2),C34&gt;ÉV!$I$2),0,VLOOKUP(A34-1,ÉV!$A$18:$C$65,3,0))</f>
        <v>154630.85788632699</v>
      </c>
      <c r="L34" s="273">
        <f ca="1">VLOOKUP(A34,ÉV!$A$18:$C$65,3,0)*IF(OR(AND(C34=ÉV!$I$2,D34&gt;ÉV!$J$2),C34&gt;ÉV!$I$2),0,1)</f>
        <v>351132.31875505357</v>
      </c>
      <c r="M34" s="273">
        <f ca="1">(K34*(12-B34)/12+L34*B34/12)*IF(A34&gt;ÉV!$G$2,0,1)+IF(A34&gt;ÉV!$G$2,M33,0)*IF(OR(AND(C34=ÉV!$I$2,D34&gt;ÉV!$J$2),C34&gt;ÉV!$I$2),0,1)</f>
        <v>285631.83179881138</v>
      </c>
      <c r="N34" s="274">
        <f ca="1">IF(AND(C34=1,D34&lt;12),0,1)*IF(D34=12,MAX(0,F34-E34-0.003)*0.9*((K34+I34)*(B34/12)+(J34+H34)*(1-B34/12))+MAX(0,F34-0.003)*0.9*N33+N33,IF(AND(C34=ÉV!$I$2,D34=ÉV!$J$2),(M34+N33)*MAX(0,F34-0.003)*0.9*(D34/12)+N33,N33))*IF(OR(C34&gt;ÉV!$I$2,AND(C34=ÉV!$I$2,D34&gt;ÉV!$J$2)),0,1)</f>
        <v>0</v>
      </c>
      <c r="O34" s="313">
        <f ca="1">IF(MAX(AF$2:AF33)=2,      0,IF(OR(AC34=7, AF34=2),    SUM(AE$2:AE34),    O33)   )</f>
        <v>73900.55</v>
      </c>
      <c r="P34" s="271">
        <f ca="1">IF(D34=12,V34+P33+P33*(F34-0.003)*0.9,IF(AND(C34=ÉV!$I$2,D34=ÉV!$J$2),V34+P33+P33*(F34-0.003)*0.9*D34/12,P33))*IF(OR(C34&gt;ÉV!$I$2,AND(C34=ÉV!$I$2,D34&gt;ÉV!$J$2)),0,1)</f>
        <v>0</v>
      </c>
      <c r="Q34" s="275">
        <f ca="1">(N34+P34)*IF(OR(AND(C34=ÉV!$I$2,D34&gt;ÉV!$J$2),C34&gt;ÉV!$I$2),0,1)</f>
        <v>0</v>
      </c>
      <c r="R34" s="271">
        <f ca="1">(MAX(0,F34-E34-0.003)*0.9*((K34+I34)*(1/12)))*IF(OR(C34&gt;ÉV!$I$2,AND(C34=ÉV!$I$2,D34&gt;ÉV!$J$2)),0,1)</f>
        <v>0</v>
      </c>
      <c r="S34" s="271">
        <f ca="1">(MAX(0,F34-0.003)*0.9*((O34)*(1/12)))*IF(OR(C34&gt;ÉV!$I$2,AND(C34=ÉV!$I$2,D34&gt;ÉV!$J$2)),0,1)</f>
        <v>0</v>
      </c>
      <c r="T34" s="271">
        <f ca="1">(MAX(0,F34-0.003)*0.9*((Q33)*(1/12)))*IF(OR(C34&gt;ÉV!$I$2,AND(C34=ÉV!$I$2,D34&gt;ÉV!$J$2)),0,1)</f>
        <v>0</v>
      </c>
      <c r="U34" s="271">
        <f ca="1">IF($D34=1,R34,R34+U33)*IF(OR(C34&gt;ÉV!$I$2,AND(C34=ÉV!$I$2,D34&gt;ÉV!$J$2)),0,1)</f>
        <v>0</v>
      </c>
      <c r="V34" s="271">
        <f ca="1">IF($D34=1,S34,S34+V33)*IF(OR(C34&gt;ÉV!$I$2,AND(C34=ÉV!$I$2,D34&gt;ÉV!$J$2)),0,1)</f>
        <v>0</v>
      </c>
      <c r="W34" s="271">
        <f ca="1">IF($D34=1,T34,T34+W33)*IF(OR(C34&gt;ÉV!$I$2,AND(C34=ÉV!$I$2,D34&gt;ÉV!$J$2)),0,1)</f>
        <v>0</v>
      </c>
      <c r="X34" s="271">
        <f ca="1">IF(OR(D34=12,AND(C34=ÉV!$I$2,D34=ÉV!$J$2)),SUM(U34:W34)+X33,X33)*IF(OR(C34&gt;ÉV!$I$2,AND(C34=ÉV!$I$2,D34&gt;ÉV!$J$2)),0,1)</f>
        <v>0</v>
      </c>
      <c r="Y34" s="271">
        <f t="shared" ca="1" si="0"/>
        <v>0</v>
      </c>
      <c r="Z34" s="265">
        <f t="shared" si="1"/>
        <v>8</v>
      </c>
      <c r="AA34" s="272">
        <f t="shared" ca="1" si="2"/>
        <v>18150.645</v>
      </c>
      <c r="AB34" s="265">
        <f t="shared" ca="1" si="10"/>
        <v>2019</v>
      </c>
      <c r="AC34" s="265">
        <f t="shared" ca="1" si="11"/>
        <v>11</v>
      </c>
      <c r="AD34" s="276">
        <f ca="1">IF(     OR(               AND(MAX(AF$6:AF34)&lt;2,  AC34=12),                 AF34=2),                   SUMIF(AB:AB,AB34,AA:AA),                       0)</f>
        <v>0</v>
      </c>
      <c r="AE34" s="277">
        <f t="shared" ca="1" si="12"/>
        <v>0</v>
      </c>
      <c r="AF34" s="277">
        <f t="shared" ca="1" si="4"/>
        <v>0</v>
      </c>
      <c r="AG34" s="402">
        <f ca="1">IF(  AND(AC34=AdóHó,   MAX(AF$1:AF33)&lt;2),   SUMIF(AB:AB,AB34-1,AE:AE),0  )
+ IF(AND(AC34&lt;AdóHó,                            AF34=2),   SUMIF(AB:AB,AB34-1,AE:AE),0  )
+ IF(                                                                  AF34=2,    SUMIF(AB:AB,AB34,AE:AE   ),0  )</f>
        <v>0</v>
      </c>
      <c r="AH34" s="272">
        <f ca="1">SUM(AG$2:AG34)</f>
        <v>73900.55</v>
      </c>
    </row>
    <row r="35" spans="1:34">
      <c r="A35" s="265">
        <f t="shared" si="6"/>
        <v>3</v>
      </c>
      <c r="B35" s="265">
        <f t="shared" si="7"/>
        <v>9</v>
      </c>
      <c r="C35" s="265">
        <f t="shared" ca="1" si="8"/>
        <v>3</v>
      </c>
      <c r="D35" s="265">
        <f t="shared" ca="1" si="9"/>
        <v>12</v>
      </c>
      <c r="E35" s="266">
        <v>5.0000000000000001E-3</v>
      </c>
      <c r="F35" s="267">
        <f>ÉV!$B$12</f>
        <v>0</v>
      </c>
      <c r="G35" s="271">
        <f ca="1">VLOOKUP(A35,ÉV!$A$18:$B$65,2,0)</f>
        <v>217807.74</v>
      </c>
      <c r="H35" s="271">
        <f ca="1">IF(OR(A35=1,AND(C35=ÉV!$I$2,D35&gt;ÉV!$J$2),C35&gt;ÉV!$I$2),0,INDEX(Pz!$B$2:$AM$48,A35-1,ÉV!$G$2-9)/100000*ÉV!$B$10)</f>
        <v>113890.47258586531</v>
      </c>
      <c r="I35" s="271">
        <f ca="1">INDEX(Pz!$B$2:$AM$48,HÓ!A35,ÉV!$G$2-9)/100000*ÉV!$B$10</f>
        <v>196975.13132965899</v>
      </c>
      <c r="J35" s="273">
        <f ca="1">IF(OR(A35=1,A35=2,AND(C35=ÉV!$I$2,D35&gt;ÉV!$J$2),C35&gt;ÉV!$I$2),0,VLOOKUP(A35-2,ÉV!$A$18:$C$65,3,0))</f>
        <v>41870.727591723866</v>
      </c>
      <c r="K35" s="273">
        <f ca="1">IF(OR(A35=1,AND(C35=ÉV!$I$2,D35&gt;ÉV!$J$2),C35&gt;ÉV!$I$2),0,VLOOKUP(A35-1,ÉV!$A$18:$C$65,3,0))</f>
        <v>154630.85788632699</v>
      </c>
      <c r="L35" s="273">
        <f ca="1">VLOOKUP(A35,ÉV!$A$18:$C$65,3,0)*IF(OR(AND(C35=ÉV!$I$2,D35&gt;ÉV!$J$2),C35&gt;ÉV!$I$2),0,1)</f>
        <v>351132.31875505357</v>
      </c>
      <c r="M35" s="273">
        <f ca="1">(K35*(12-B35)/12+L35*B35/12)*IF(A35&gt;ÉV!$G$2,0,1)+IF(A35&gt;ÉV!$G$2,M34,0)*IF(OR(AND(C35=ÉV!$I$2,D35&gt;ÉV!$J$2),C35&gt;ÉV!$I$2),0,1)</f>
        <v>302006.95353787189</v>
      </c>
      <c r="N35" s="274">
        <f ca="1">IF(AND(C35=1,D35&lt;12),0,1)*IF(D35=12,MAX(0,F35-E35-0.003)*0.9*((K35+I35)*(B35/12)+(J35+H35)*(1-B35/12))+MAX(0,F35-0.003)*0.9*N34+N34,IF(AND(C35=ÉV!$I$2,D35=ÉV!$J$2),(M35+N34)*MAX(0,F35-0.003)*0.9*(D35/12)+N34,N34))*IF(OR(C35&gt;ÉV!$I$2,AND(C35=ÉV!$I$2,D35&gt;ÉV!$J$2)),0,1)</f>
        <v>0</v>
      </c>
      <c r="O35" s="313">
        <f ca="1">IF(MAX(AF$2:AF34)=2,      0,IF(OR(AC35=7, AF35=2),    SUM(AE$2:AE35),    O34)   )</f>
        <v>73900.55</v>
      </c>
      <c r="P35" s="271">
        <f ca="1">IF(D35=12,V35+P34+P34*(F35-0.003)*0.9,IF(AND(C35=ÉV!$I$2,D35=ÉV!$J$2),V35+P34+P34*(F35-0.003)*0.9*D35/12,P34))*IF(OR(C35&gt;ÉV!$I$2,AND(C35=ÉV!$I$2,D35&gt;ÉV!$J$2)),0,1)</f>
        <v>0</v>
      </c>
      <c r="Q35" s="275">
        <f ca="1">(N35+P35)*IF(OR(AND(C35=ÉV!$I$2,D35&gt;ÉV!$J$2),C35&gt;ÉV!$I$2),0,1)</f>
        <v>0</v>
      </c>
      <c r="R35" s="271">
        <f ca="1">(MAX(0,F35-E35-0.003)*0.9*((K35+I35)*(1/12)))*IF(OR(C35&gt;ÉV!$I$2,AND(C35=ÉV!$I$2,D35&gt;ÉV!$J$2)),0,1)</f>
        <v>0</v>
      </c>
      <c r="S35" s="271">
        <f ca="1">(MAX(0,F35-0.003)*0.9*((O35)*(1/12)))*IF(OR(C35&gt;ÉV!$I$2,AND(C35=ÉV!$I$2,D35&gt;ÉV!$J$2)),0,1)</f>
        <v>0</v>
      </c>
      <c r="T35" s="271">
        <f ca="1">(MAX(0,F35-0.003)*0.9*((Q34)*(1/12)))*IF(OR(C35&gt;ÉV!$I$2,AND(C35=ÉV!$I$2,D35&gt;ÉV!$J$2)),0,1)</f>
        <v>0</v>
      </c>
      <c r="U35" s="271">
        <f ca="1">IF($D35=1,R35,R35+U34)*IF(OR(C35&gt;ÉV!$I$2,AND(C35=ÉV!$I$2,D35&gt;ÉV!$J$2)),0,1)</f>
        <v>0</v>
      </c>
      <c r="V35" s="271">
        <f ca="1">IF($D35=1,S35,S35+V34)*IF(OR(C35&gt;ÉV!$I$2,AND(C35=ÉV!$I$2,D35&gt;ÉV!$J$2)),0,1)</f>
        <v>0</v>
      </c>
      <c r="W35" s="271">
        <f ca="1">IF($D35=1,T35,T35+W34)*IF(OR(C35&gt;ÉV!$I$2,AND(C35=ÉV!$I$2,D35&gt;ÉV!$J$2)),0,1)</f>
        <v>0</v>
      </c>
      <c r="X35" s="271">
        <f ca="1">IF(OR(D35=12,AND(C35=ÉV!$I$2,D35=ÉV!$J$2)),SUM(U35:W35)+X34,X34)*IF(OR(C35&gt;ÉV!$I$2,AND(C35=ÉV!$I$2,D35&gt;ÉV!$J$2)),0,1)</f>
        <v>0</v>
      </c>
      <c r="Y35" s="271">
        <f t="shared" ca="1" si="0"/>
        <v>0</v>
      </c>
      <c r="Z35" s="265">
        <f t="shared" si="1"/>
        <v>9</v>
      </c>
      <c r="AA35" s="272">
        <f t="shared" ca="1" si="2"/>
        <v>18150.645</v>
      </c>
      <c r="AB35" s="265">
        <f t="shared" ca="1" si="10"/>
        <v>2019</v>
      </c>
      <c r="AC35" s="265">
        <f t="shared" ca="1" si="11"/>
        <v>12</v>
      </c>
      <c r="AD35" s="276">
        <f ca="1">IF(     OR(               AND(MAX(AF$6:AF35)&lt;2,  AC35=12),                 AF35=2),                   SUMIF(AB:AB,AB35,AA:AA),                       0)</f>
        <v>216740.05499999996</v>
      </c>
      <c r="AE35" s="277">
        <f t="shared" ca="1" si="12"/>
        <v>43348.010999999999</v>
      </c>
      <c r="AF35" s="277">
        <f t="shared" ca="1" si="4"/>
        <v>0</v>
      </c>
      <c r="AG35" s="402">
        <f ca="1">IF(  AND(AC35=AdóHó,   MAX(AF$1:AF34)&lt;2),   SUMIF(AB:AB,AB35-1,AE:AE),0  )
+ IF(AND(AC35&lt;AdóHó,                            AF35=2),   SUMIF(AB:AB,AB35-1,AE:AE),0  )
+ IF(                                                                  AF35=2,    SUMIF(AB:AB,AB35,AE:AE   ),0  )</f>
        <v>0</v>
      </c>
      <c r="AH35" s="272">
        <f ca="1">SUM(AG$2:AG35)</f>
        <v>73900.55</v>
      </c>
    </row>
    <row r="36" spans="1:34">
      <c r="A36" s="265">
        <f t="shared" si="6"/>
        <v>3</v>
      </c>
      <c r="B36" s="265">
        <f t="shared" si="7"/>
        <v>10</v>
      </c>
      <c r="C36" s="265">
        <f t="shared" ca="1" si="8"/>
        <v>4</v>
      </c>
      <c r="D36" s="265">
        <f t="shared" ca="1" si="9"/>
        <v>1</v>
      </c>
      <c r="E36" s="266">
        <v>5.0000000000000001E-3</v>
      </c>
      <c r="F36" s="267">
        <f>ÉV!$B$12</f>
        <v>0</v>
      </c>
      <c r="G36" s="271">
        <f ca="1">VLOOKUP(A36,ÉV!$A$18:$B$65,2,0)</f>
        <v>217807.74</v>
      </c>
      <c r="H36" s="271">
        <f ca="1">IF(OR(A36=1,AND(C36=ÉV!$I$2,D36&gt;ÉV!$J$2),C36&gt;ÉV!$I$2),0,INDEX(Pz!$B$2:$AM$48,A36-1,ÉV!$G$2-9)/100000*ÉV!$B$10)</f>
        <v>113890.47258586531</v>
      </c>
      <c r="I36" s="271">
        <f ca="1">INDEX(Pz!$B$2:$AM$48,HÓ!A36,ÉV!$G$2-9)/100000*ÉV!$B$10</f>
        <v>196975.13132965899</v>
      </c>
      <c r="J36" s="273">
        <f ca="1">IF(OR(A36=1,A36=2,AND(C36=ÉV!$I$2,D36&gt;ÉV!$J$2),C36&gt;ÉV!$I$2),0,VLOOKUP(A36-2,ÉV!$A$18:$C$65,3,0))</f>
        <v>41870.727591723866</v>
      </c>
      <c r="K36" s="273">
        <f ca="1">IF(OR(A36=1,AND(C36=ÉV!$I$2,D36&gt;ÉV!$J$2),C36&gt;ÉV!$I$2),0,VLOOKUP(A36-1,ÉV!$A$18:$C$65,3,0))</f>
        <v>154630.85788632699</v>
      </c>
      <c r="L36" s="273">
        <f ca="1">VLOOKUP(A36,ÉV!$A$18:$C$65,3,0)*IF(OR(AND(C36=ÉV!$I$2,D36&gt;ÉV!$J$2),C36&gt;ÉV!$I$2),0,1)</f>
        <v>351132.31875505357</v>
      </c>
      <c r="M36" s="273">
        <f ca="1">(K36*(12-B36)/12+L36*B36/12)*IF(A36&gt;ÉV!$G$2,0,1)+IF(A36&gt;ÉV!$G$2,M35,0)*IF(OR(AND(C36=ÉV!$I$2,D36&gt;ÉV!$J$2),C36&gt;ÉV!$I$2),0,1)</f>
        <v>318382.07527693245</v>
      </c>
      <c r="N36" s="274">
        <f ca="1">IF(AND(C36=1,D36&lt;12),0,1)*IF(D36=12,MAX(0,F36-E36-0.003)*0.9*((K36+I36)*(B36/12)+(J36+H36)*(1-B36/12))+MAX(0,F36-0.003)*0.9*N35+N35,IF(AND(C36=ÉV!$I$2,D36=ÉV!$J$2),(M36+N35)*MAX(0,F36-0.003)*0.9*(D36/12)+N35,N35))*IF(OR(C36&gt;ÉV!$I$2,AND(C36=ÉV!$I$2,D36&gt;ÉV!$J$2)),0,1)</f>
        <v>0</v>
      </c>
      <c r="O36" s="313">
        <f ca="1">IF(MAX(AF$2:AF35)=2,      0,IF(OR(AC36=7, AF36=2),    SUM(AE$2:AE36),    O35)   )</f>
        <v>73900.55</v>
      </c>
      <c r="P36" s="271">
        <f ca="1">IF(D36=12,V36+P35+P35*(F36-0.003)*0.9,IF(AND(C36=ÉV!$I$2,D36=ÉV!$J$2),V36+P35+P35*(F36-0.003)*0.9*D36/12,P35))*IF(OR(C36&gt;ÉV!$I$2,AND(C36=ÉV!$I$2,D36&gt;ÉV!$J$2)),0,1)</f>
        <v>0</v>
      </c>
      <c r="Q36" s="275">
        <f ca="1">(N36+P36)*IF(OR(AND(C36=ÉV!$I$2,D36&gt;ÉV!$J$2),C36&gt;ÉV!$I$2),0,1)</f>
        <v>0</v>
      </c>
      <c r="R36" s="271">
        <f ca="1">(MAX(0,F36-E36-0.003)*0.9*((K36+I36)*(1/12)))*IF(OR(C36&gt;ÉV!$I$2,AND(C36=ÉV!$I$2,D36&gt;ÉV!$J$2)),0,1)</f>
        <v>0</v>
      </c>
      <c r="S36" s="271">
        <f ca="1">(MAX(0,F36-0.003)*0.9*((O36)*(1/12)))*IF(OR(C36&gt;ÉV!$I$2,AND(C36=ÉV!$I$2,D36&gt;ÉV!$J$2)),0,1)</f>
        <v>0</v>
      </c>
      <c r="T36" s="271">
        <f ca="1">(MAX(0,F36-0.003)*0.9*((Q35)*(1/12)))*IF(OR(C36&gt;ÉV!$I$2,AND(C36=ÉV!$I$2,D36&gt;ÉV!$J$2)),0,1)</f>
        <v>0</v>
      </c>
      <c r="U36" s="271">
        <f ca="1">IF($D36=1,R36,R36+U35)*IF(OR(C36&gt;ÉV!$I$2,AND(C36=ÉV!$I$2,D36&gt;ÉV!$J$2)),0,1)</f>
        <v>0</v>
      </c>
      <c r="V36" s="271">
        <f ca="1">IF($D36=1,S36,S36+V35)*IF(OR(C36&gt;ÉV!$I$2,AND(C36=ÉV!$I$2,D36&gt;ÉV!$J$2)),0,1)</f>
        <v>0</v>
      </c>
      <c r="W36" s="271">
        <f ca="1">IF($D36=1,T36,T36+W35)*IF(OR(C36&gt;ÉV!$I$2,AND(C36=ÉV!$I$2,D36&gt;ÉV!$J$2)),0,1)</f>
        <v>0</v>
      </c>
      <c r="X36" s="271">
        <f ca="1">IF(OR(D36=12,AND(C36=ÉV!$I$2,D36=ÉV!$J$2)),SUM(U36:W36)+X35,X35)*IF(OR(C36&gt;ÉV!$I$2,AND(C36=ÉV!$I$2,D36&gt;ÉV!$J$2)),0,1)</f>
        <v>0</v>
      </c>
      <c r="Y36" s="271">
        <f t="shared" ca="1" si="0"/>
        <v>0</v>
      </c>
      <c r="Z36" s="265">
        <f t="shared" si="1"/>
        <v>10</v>
      </c>
      <c r="AA36" s="272">
        <f t="shared" ca="1" si="2"/>
        <v>18150.645</v>
      </c>
      <c r="AB36" s="265">
        <f t="shared" ca="1" si="10"/>
        <v>2020</v>
      </c>
      <c r="AC36" s="265">
        <f t="shared" ca="1" si="11"/>
        <v>1</v>
      </c>
      <c r="AD36" s="276">
        <f ca="1">IF(     OR(               AND(MAX(AF$6:AF36)&lt;2,  AC36=12),                 AF36=2),                   SUMIF(AB:AB,AB36,AA:AA),                       0)</f>
        <v>0</v>
      </c>
      <c r="AE36" s="277">
        <f t="shared" ca="1" si="12"/>
        <v>0</v>
      </c>
      <c r="AF36" s="277">
        <f t="shared" ca="1" si="4"/>
        <v>0</v>
      </c>
      <c r="AG36" s="402">
        <f ca="1">IF(  AND(AC36=AdóHó,   MAX(AF$1:AF35)&lt;2),   SUMIF(AB:AB,AB36-1,AE:AE),0  )
+ IF(AND(AC36&lt;AdóHó,                            AF36=2),   SUMIF(AB:AB,AB36-1,AE:AE),0  )
+ IF(                                                                  AF36=2,    SUMIF(AB:AB,AB36,AE:AE   ),0  )</f>
        <v>0</v>
      </c>
      <c r="AH36" s="272">
        <f ca="1">SUM(AG$2:AG36)</f>
        <v>73900.55</v>
      </c>
    </row>
    <row r="37" spans="1:34">
      <c r="A37" s="265">
        <f t="shared" si="6"/>
        <v>3</v>
      </c>
      <c r="B37" s="265">
        <f t="shared" si="7"/>
        <v>11</v>
      </c>
      <c r="C37" s="265">
        <f t="shared" ca="1" si="8"/>
        <v>4</v>
      </c>
      <c r="D37" s="265">
        <f t="shared" ca="1" si="9"/>
        <v>2</v>
      </c>
      <c r="E37" s="266">
        <v>5.0000000000000001E-3</v>
      </c>
      <c r="F37" s="267">
        <f>ÉV!$B$12</f>
        <v>0</v>
      </c>
      <c r="G37" s="271">
        <f ca="1">VLOOKUP(A37,ÉV!$A$18:$B$65,2,0)</f>
        <v>217807.74</v>
      </c>
      <c r="H37" s="271">
        <f ca="1">IF(OR(A37=1,AND(C37=ÉV!$I$2,D37&gt;ÉV!$J$2),C37&gt;ÉV!$I$2),0,INDEX(Pz!$B$2:$AM$48,A37-1,ÉV!$G$2-9)/100000*ÉV!$B$10)</f>
        <v>113890.47258586531</v>
      </c>
      <c r="I37" s="271">
        <f ca="1">INDEX(Pz!$B$2:$AM$48,HÓ!A37,ÉV!$G$2-9)/100000*ÉV!$B$10</f>
        <v>196975.13132965899</v>
      </c>
      <c r="J37" s="273">
        <f ca="1">IF(OR(A37=1,A37=2,AND(C37=ÉV!$I$2,D37&gt;ÉV!$J$2),C37&gt;ÉV!$I$2),0,VLOOKUP(A37-2,ÉV!$A$18:$C$65,3,0))</f>
        <v>41870.727591723866</v>
      </c>
      <c r="K37" s="273">
        <f ca="1">IF(OR(A37=1,AND(C37=ÉV!$I$2,D37&gt;ÉV!$J$2),C37&gt;ÉV!$I$2),0,VLOOKUP(A37-1,ÉV!$A$18:$C$65,3,0))</f>
        <v>154630.85788632699</v>
      </c>
      <c r="L37" s="273">
        <f ca="1">VLOOKUP(A37,ÉV!$A$18:$C$65,3,0)*IF(OR(AND(C37=ÉV!$I$2,D37&gt;ÉV!$J$2),C37&gt;ÉV!$I$2),0,1)</f>
        <v>351132.31875505357</v>
      </c>
      <c r="M37" s="273">
        <f ca="1">(K37*(12-B37)/12+L37*B37/12)*IF(A37&gt;ÉV!$G$2,0,1)+IF(A37&gt;ÉV!$G$2,M36,0)*IF(OR(AND(C37=ÉV!$I$2,D37&gt;ÉV!$J$2),C37&gt;ÉV!$I$2),0,1)</f>
        <v>334757.19701599301</v>
      </c>
      <c r="N37" s="274">
        <f ca="1">IF(AND(C37=1,D37&lt;12),0,1)*IF(D37=12,MAX(0,F37-E37-0.003)*0.9*((K37+I37)*(B37/12)+(J37+H37)*(1-B37/12))+MAX(0,F37-0.003)*0.9*N36+N36,IF(AND(C37=ÉV!$I$2,D37=ÉV!$J$2),(M37+N36)*MAX(0,F37-0.003)*0.9*(D37/12)+N36,N36))*IF(OR(C37&gt;ÉV!$I$2,AND(C37=ÉV!$I$2,D37&gt;ÉV!$J$2)),0,1)</f>
        <v>0</v>
      </c>
      <c r="O37" s="313">
        <f ca="1">IF(MAX(AF$2:AF36)=2,      0,IF(OR(AC37=7, AF37=2),    SUM(AE$2:AE37),    O36)   )</f>
        <v>73900.55</v>
      </c>
      <c r="P37" s="271">
        <f ca="1">IF(D37=12,V37+P36+P36*(F37-0.003)*0.9,IF(AND(C37=ÉV!$I$2,D37=ÉV!$J$2),V37+P36+P36*(F37-0.003)*0.9*D37/12,P36))*IF(OR(C37&gt;ÉV!$I$2,AND(C37=ÉV!$I$2,D37&gt;ÉV!$J$2)),0,1)</f>
        <v>0</v>
      </c>
      <c r="Q37" s="275">
        <f ca="1">(N37+P37)*IF(OR(AND(C37=ÉV!$I$2,D37&gt;ÉV!$J$2),C37&gt;ÉV!$I$2),0,1)</f>
        <v>0</v>
      </c>
      <c r="R37" s="271">
        <f ca="1">(MAX(0,F37-E37-0.003)*0.9*((K37+I37)*(1/12)))*IF(OR(C37&gt;ÉV!$I$2,AND(C37=ÉV!$I$2,D37&gt;ÉV!$J$2)),0,1)</f>
        <v>0</v>
      </c>
      <c r="S37" s="271">
        <f ca="1">(MAX(0,F37-0.003)*0.9*((O37)*(1/12)))*IF(OR(C37&gt;ÉV!$I$2,AND(C37=ÉV!$I$2,D37&gt;ÉV!$J$2)),0,1)</f>
        <v>0</v>
      </c>
      <c r="T37" s="271">
        <f ca="1">(MAX(0,F37-0.003)*0.9*((Q36)*(1/12)))*IF(OR(C37&gt;ÉV!$I$2,AND(C37=ÉV!$I$2,D37&gt;ÉV!$J$2)),0,1)</f>
        <v>0</v>
      </c>
      <c r="U37" s="271">
        <f ca="1">IF($D37=1,R37,R37+U36)*IF(OR(C37&gt;ÉV!$I$2,AND(C37=ÉV!$I$2,D37&gt;ÉV!$J$2)),0,1)</f>
        <v>0</v>
      </c>
      <c r="V37" s="271">
        <f ca="1">IF($D37=1,S37,S37+V36)*IF(OR(C37&gt;ÉV!$I$2,AND(C37=ÉV!$I$2,D37&gt;ÉV!$J$2)),0,1)</f>
        <v>0</v>
      </c>
      <c r="W37" s="271">
        <f ca="1">IF($D37=1,T37,T37+W36)*IF(OR(C37&gt;ÉV!$I$2,AND(C37=ÉV!$I$2,D37&gt;ÉV!$J$2)),0,1)</f>
        <v>0</v>
      </c>
      <c r="X37" s="271">
        <f ca="1">IF(OR(D37=12,AND(C37=ÉV!$I$2,D37=ÉV!$J$2)),SUM(U37:W37)+X36,X36)*IF(OR(C37&gt;ÉV!$I$2,AND(C37=ÉV!$I$2,D37&gt;ÉV!$J$2)),0,1)</f>
        <v>0</v>
      </c>
      <c r="Y37" s="271">
        <f t="shared" ca="1" si="0"/>
        <v>0</v>
      </c>
      <c r="Z37" s="265">
        <f t="shared" si="1"/>
        <v>11</v>
      </c>
      <c r="AA37" s="272">
        <f t="shared" ca="1" si="2"/>
        <v>18150.645</v>
      </c>
      <c r="AB37" s="265">
        <f t="shared" ca="1" si="10"/>
        <v>2020</v>
      </c>
      <c r="AC37" s="265">
        <f t="shared" ca="1" si="11"/>
        <v>2</v>
      </c>
      <c r="AD37" s="276">
        <f ca="1">IF(     OR(               AND(MAX(AF$6:AF37)&lt;2,  AC37=12),                 AF37=2),                   SUMIF(AB:AB,AB37,AA:AA),                       0)</f>
        <v>0</v>
      </c>
      <c r="AE37" s="277">
        <f t="shared" ca="1" si="12"/>
        <v>0</v>
      </c>
      <c r="AF37" s="277">
        <f t="shared" ca="1" si="4"/>
        <v>0</v>
      </c>
      <c r="AG37" s="402">
        <f ca="1">IF(  AND(AC37=AdóHó,   MAX(AF$1:AF36)&lt;2),   SUMIF(AB:AB,AB37-1,AE:AE),0  )
+ IF(AND(AC37&lt;AdóHó,                            AF37=2),   SUMIF(AB:AB,AB37-1,AE:AE),0  )
+ IF(                                                                  AF37=2,    SUMIF(AB:AB,AB37,AE:AE   ),0  )</f>
        <v>0</v>
      </c>
      <c r="AH37" s="272">
        <f ca="1">SUM(AG$2:AG37)</f>
        <v>73900.55</v>
      </c>
    </row>
    <row r="38" spans="1:34">
      <c r="A38" s="265">
        <f t="shared" si="6"/>
        <v>3</v>
      </c>
      <c r="B38" s="265">
        <f t="shared" si="7"/>
        <v>12</v>
      </c>
      <c r="C38" s="265">
        <f t="shared" ca="1" si="8"/>
        <v>4</v>
      </c>
      <c r="D38" s="265">
        <f t="shared" ca="1" si="9"/>
        <v>3</v>
      </c>
      <c r="E38" s="266">
        <v>5.0000000000000001E-3</v>
      </c>
      <c r="F38" s="267">
        <f>ÉV!$B$12</f>
        <v>0</v>
      </c>
      <c r="G38" s="271">
        <f ca="1">VLOOKUP(A38,ÉV!$A$18:$B$65,2,0)</f>
        <v>217807.74</v>
      </c>
      <c r="H38" s="271">
        <f ca="1">IF(OR(A38=1,AND(C38=ÉV!$I$2,D38&gt;ÉV!$J$2),C38&gt;ÉV!$I$2),0,INDEX(Pz!$B$2:$AM$48,A38-1,ÉV!$G$2-9)/100000*ÉV!$B$10)</f>
        <v>113890.47258586531</v>
      </c>
      <c r="I38" s="271">
        <f ca="1">INDEX(Pz!$B$2:$AM$48,HÓ!A38,ÉV!$G$2-9)/100000*ÉV!$B$10</f>
        <v>196975.13132965899</v>
      </c>
      <c r="J38" s="273">
        <f ca="1">IF(OR(A38=1,A38=2,AND(C38=ÉV!$I$2,D38&gt;ÉV!$J$2),C38&gt;ÉV!$I$2),0,VLOOKUP(A38-2,ÉV!$A$18:$C$65,3,0))</f>
        <v>41870.727591723866</v>
      </c>
      <c r="K38" s="273">
        <f ca="1">IF(OR(A38=1,AND(C38=ÉV!$I$2,D38&gt;ÉV!$J$2),C38&gt;ÉV!$I$2),0,VLOOKUP(A38-1,ÉV!$A$18:$C$65,3,0))</f>
        <v>154630.85788632699</v>
      </c>
      <c r="L38" s="273">
        <f ca="1">VLOOKUP(A38,ÉV!$A$18:$C$65,3,0)*IF(OR(AND(C38=ÉV!$I$2,D38&gt;ÉV!$J$2),C38&gt;ÉV!$I$2),0,1)</f>
        <v>351132.31875505357</v>
      </c>
      <c r="M38" s="273">
        <f ca="1">(K38*(12-B38)/12+L38*B38/12)*IF(A38&gt;ÉV!$G$2,0,1)+IF(A38&gt;ÉV!$G$2,M37,0)*IF(OR(AND(C38=ÉV!$I$2,D38&gt;ÉV!$J$2),C38&gt;ÉV!$I$2),0,1)</f>
        <v>351132.31875505362</v>
      </c>
      <c r="N38" s="274">
        <f ca="1">IF(AND(C38=1,D38&lt;12),0,1)*IF(D38=12,MAX(0,F38-E38-0.003)*0.9*((K38+I38)*(B38/12)+(J38+H38)*(1-B38/12))+MAX(0,F38-0.003)*0.9*N37+N37,IF(AND(C38=ÉV!$I$2,D38=ÉV!$J$2),(M38+N37)*MAX(0,F38-0.003)*0.9*(D38/12)+N37,N37))*IF(OR(C38&gt;ÉV!$I$2,AND(C38=ÉV!$I$2,D38&gt;ÉV!$J$2)),0,1)</f>
        <v>0</v>
      </c>
      <c r="O38" s="313">
        <f ca="1">IF(MAX(AF$2:AF37)=2,      0,IF(OR(AC38=7, AF38=2),    SUM(AE$2:AE38),    O37)   )</f>
        <v>73900.55</v>
      </c>
      <c r="P38" s="271">
        <f ca="1">IF(D38=12,V38+P37+P37*(F38-0.003)*0.9,IF(AND(C38=ÉV!$I$2,D38=ÉV!$J$2),V38+P37+P37*(F38-0.003)*0.9*D38/12,P37))*IF(OR(C38&gt;ÉV!$I$2,AND(C38=ÉV!$I$2,D38&gt;ÉV!$J$2)),0,1)</f>
        <v>0</v>
      </c>
      <c r="Q38" s="275">
        <f ca="1">(N38+P38)*IF(OR(AND(C38=ÉV!$I$2,D38&gt;ÉV!$J$2),C38&gt;ÉV!$I$2),0,1)</f>
        <v>0</v>
      </c>
      <c r="R38" s="271">
        <f ca="1">(MAX(0,F38-E38-0.003)*0.9*((K38+I38)*(1/12)))*IF(OR(C38&gt;ÉV!$I$2,AND(C38=ÉV!$I$2,D38&gt;ÉV!$J$2)),0,1)</f>
        <v>0</v>
      </c>
      <c r="S38" s="271">
        <f ca="1">(MAX(0,F38-0.003)*0.9*((O38)*(1/12)))*IF(OR(C38&gt;ÉV!$I$2,AND(C38=ÉV!$I$2,D38&gt;ÉV!$J$2)),0,1)</f>
        <v>0</v>
      </c>
      <c r="T38" s="271">
        <f ca="1">(MAX(0,F38-0.003)*0.9*((Q37)*(1/12)))*IF(OR(C38&gt;ÉV!$I$2,AND(C38=ÉV!$I$2,D38&gt;ÉV!$J$2)),0,1)</f>
        <v>0</v>
      </c>
      <c r="U38" s="271">
        <f ca="1">IF($D38=1,R38,R38+U37)*IF(OR(C38&gt;ÉV!$I$2,AND(C38=ÉV!$I$2,D38&gt;ÉV!$J$2)),0,1)</f>
        <v>0</v>
      </c>
      <c r="V38" s="271">
        <f ca="1">IF($D38=1,S38,S38+V37)*IF(OR(C38&gt;ÉV!$I$2,AND(C38=ÉV!$I$2,D38&gt;ÉV!$J$2)),0,1)</f>
        <v>0</v>
      </c>
      <c r="W38" s="271">
        <f ca="1">IF($D38=1,T38,T38+W37)*IF(OR(C38&gt;ÉV!$I$2,AND(C38=ÉV!$I$2,D38&gt;ÉV!$J$2)),0,1)</f>
        <v>0</v>
      </c>
      <c r="X38" s="271">
        <f ca="1">IF(OR(D38=12,AND(C38=ÉV!$I$2,D38=ÉV!$J$2)),SUM(U38:W38)+X37,X37)*IF(OR(C38&gt;ÉV!$I$2,AND(C38=ÉV!$I$2,D38&gt;ÉV!$J$2)),0,1)</f>
        <v>0</v>
      </c>
      <c r="Y38" s="271">
        <f t="shared" ca="1" si="0"/>
        <v>0</v>
      </c>
      <c r="Z38" s="265">
        <f t="shared" si="1"/>
        <v>12</v>
      </c>
      <c r="AA38" s="272">
        <f t="shared" ca="1" si="2"/>
        <v>18150.645</v>
      </c>
      <c r="AB38" s="265">
        <f t="shared" ca="1" si="10"/>
        <v>2020</v>
      </c>
      <c r="AC38" s="265">
        <f t="shared" ca="1" si="11"/>
        <v>3</v>
      </c>
      <c r="AD38" s="276">
        <f ca="1">IF(     OR(               AND(MAX(AF$6:AF38)&lt;2,  AC38=12),                 AF38=2),                   SUMIF(AB:AB,AB38,AA:AA),                       0)</f>
        <v>0</v>
      </c>
      <c r="AE38" s="277">
        <f t="shared" ca="1" si="12"/>
        <v>0</v>
      </c>
      <c r="AF38" s="277">
        <f t="shared" ca="1" si="4"/>
        <v>0</v>
      </c>
      <c r="AG38" s="402">
        <f ca="1">IF(  AND(AC38=AdóHó,   MAX(AF$1:AF37)&lt;2),   SUMIF(AB:AB,AB38-1,AE:AE),0  )
+ IF(AND(AC38&lt;AdóHó,                            AF38=2),   SUMIF(AB:AB,AB38-1,AE:AE),0  )
+ IF(                                                                  AF38=2,    SUMIF(AB:AB,AB38,AE:AE   ),0  )</f>
        <v>0</v>
      </c>
      <c r="AH38" s="272">
        <f ca="1">SUM(AG$2:AG38)</f>
        <v>73900.55</v>
      </c>
    </row>
    <row r="39" spans="1:34">
      <c r="A39" s="265">
        <f t="shared" si="6"/>
        <v>4</v>
      </c>
      <c r="B39" s="265">
        <f t="shared" si="7"/>
        <v>1</v>
      </c>
      <c r="C39" s="265">
        <f t="shared" ca="1" si="8"/>
        <v>4</v>
      </c>
      <c r="D39" s="265">
        <f t="shared" ca="1" si="9"/>
        <v>4</v>
      </c>
      <c r="E39" s="266">
        <v>5.0000000000000001E-3</v>
      </c>
      <c r="F39" s="267">
        <f>ÉV!$B$12</f>
        <v>0</v>
      </c>
      <c r="G39" s="271">
        <f ca="1">VLOOKUP(A39,ÉV!$A$18:$B$65,2,0)</f>
        <v>222163.89479999998</v>
      </c>
      <c r="H39" s="271">
        <f ca="1">IF(OR(A39=1,AND(C39=ÉV!$I$2,D39&gt;ÉV!$J$2),C39&gt;ÉV!$I$2),0,INDEX(Pz!$B$2:$AM$48,A39-1,ÉV!$G$2-9)/100000*ÉV!$B$10)</f>
        <v>196975.13132965899</v>
      </c>
      <c r="I39" s="271">
        <f ca="1">INDEX(Pz!$B$2:$AM$48,HÓ!A39,ÉV!$G$2-9)/100000*ÉV!$B$10</f>
        <v>200897.91689368687</v>
      </c>
      <c r="J39" s="273">
        <f ca="1">IF(OR(A39=1,A39=2,AND(C39=ÉV!$I$2,D39&gt;ÉV!$J$2),C39&gt;ÉV!$I$2),0,VLOOKUP(A39-2,ÉV!$A$18:$C$65,3,0))</f>
        <v>154630.85788632699</v>
      </c>
      <c r="K39" s="273">
        <f ca="1">IF(OR(A39=1,AND(C39=ÉV!$I$2,D39&gt;ÉV!$J$2),C39&gt;ÉV!$I$2),0,VLOOKUP(A39-1,ÉV!$A$18:$C$65,3,0))</f>
        <v>351132.31875505357</v>
      </c>
      <c r="L39" s="273">
        <f ca="1">VLOOKUP(A39,ÉV!$A$18:$C$65,3,0)*IF(OR(AND(C39=ÉV!$I$2,D39&gt;ÉV!$J$2),C39&gt;ÉV!$I$2),0,1)</f>
        <v>552209.02744219545</v>
      </c>
      <c r="M39" s="273">
        <f ca="1">(K39*(12-B39)/12+L39*B39/12)*IF(A39&gt;ÉV!$G$2,0,1)+IF(A39&gt;ÉV!$G$2,M38,0)*IF(OR(AND(C39=ÉV!$I$2,D39&gt;ÉV!$J$2),C39&gt;ÉV!$I$2),0,1)</f>
        <v>367888.71114564873</v>
      </c>
      <c r="N39" s="274">
        <f ca="1">IF(AND(C39=1,D39&lt;12),0,1)*IF(D39=12,MAX(0,F39-E39-0.003)*0.9*((K39+I39)*(B39/12)+(J39+H39)*(1-B39/12))+MAX(0,F39-0.003)*0.9*N38+N38,IF(AND(C39=ÉV!$I$2,D39=ÉV!$J$2),(M39+N38)*MAX(0,F39-0.003)*0.9*(D39/12)+N38,N38))*IF(OR(C39&gt;ÉV!$I$2,AND(C39=ÉV!$I$2,D39&gt;ÉV!$J$2)),0,1)</f>
        <v>0</v>
      </c>
      <c r="O39" s="313">
        <f ca="1">IF(MAX(AF$2:AF38)=2,      0,IF(OR(AC39=7, AF39=2),    SUM(AE$2:AE39),    O38)   )</f>
        <v>73900.55</v>
      </c>
      <c r="P39" s="271">
        <f ca="1">IF(D39=12,V39+P38+P38*(F39-0.003)*0.9,IF(AND(C39=ÉV!$I$2,D39=ÉV!$J$2),V39+P38+P38*(F39-0.003)*0.9*D39/12,P38))*IF(OR(C39&gt;ÉV!$I$2,AND(C39=ÉV!$I$2,D39&gt;ÉV!$J$2)),0,1)</f>
        <v>0</v>
      </c>
      <c r="Q39" s="275">
        <f ca="1">(N39+P39)*IF(OR(AND(C39=ÉV!$I$2,D39&gt;ÉV!$J$2),C39&gt;ÉV!$I$2),0,1)</f>
        <v>0</v>
      </c>
      <c r="R39" s="271">
        <f ca="1">(MAX(0,F39-E39-0.003)*0.9*((K39+I39)*(1/12)))*IF(OR(C39&gt;ÉV!$I$2,AND(C39=ÉV!$I$2,D39&gt;ÉV!$J$2)),0,1)</f>
        <v>0</v>
      </c>
      <c r="S39" s="271">
        <f ca="1">(MAX(0,F39-0.003)*0.9*((O39)*(1/12)))*IF(OR(C39&gt;ÉV!$I$2,AND(C39=ÉV!$I$2,D39&gt;ÉV!$J$2)),0,1)</f>
        <v>0</v>
      </c>
      <c r="T39" s="271">
        <f ca="1">(MAX(0,F39-0.003)*0.9*((Q38)*(1/12)))*IF(OR(C39&gt;ÉV!$I$2,AND(C39=ÉV!$I$2,D39&gt;ÉV!$J$2)),0,1)</f>
        <v>0</v>
      </c>
      <c r="U39" s="271">
        <f ca="1">IF($D39=1,R39,R39+U38)*IF(OR(C39&gt;ÉV!$I$2,AND(C39=ÉV!$I$2,D39&gt;ÉV!$J$2)),0,1)</f>
        <v>0</v>
      </c>
      <c r="V39" s="271">
        <f ca="1">IF($D39=1,S39,S39+V38)*IF(OR(C39&gt;ÉV!$I$2,AND(C39=ÉV!$I$2,D39&gt;ÉV!$J$2)),0,1)</f>
        <v>0</v>
      </c>
      <c r="W39" s="271">
        <f ca="1">IF($D39=1,T39,T39+W38)*IF(OR(C39&gt;ÉV!$I$2,AND(C39=ÉV!$I$2,D39&gt;ÉV!$J$2)),0,1)</f>
        <v>0</v>
      </c>
      <c r="X39" s="271">
        <f ca="1">IF(OR(D39=12,AND(C39=ÉV!$I$2,D39=ÉV!$J$2)),SUM(U39:W39)+X38,X38)*IF(OR(C39&gt;ÉV!$I$2,AND(C39=ÉV!$I$2,D39&gt;ÉV!$J$2)),0,1)</f>
        <v>0</v>
      </c>
      <c r="Y39" s="271">
        <f t="shared" ca="1" si="0"/>
        <v>0</v>
      </c>
      <c r="Z39" s="265">
        <f t="shared" si="1"/>
        <v>1</v>
      </c>
      <c r="AA39" s="272">
        <f t="shared" ca="1" si="2"/>
        <v>18513.657899999998</v>
      </c>
      <c r="AB39" s="265">
        <f t="shared" ca="1" si="10"/>
        <v>2020</v>
      </c>
      <c r="AC39" s="265">
        <f t="shared" ca="1" si="11"/>
        <v>4</v>
      </c>
      <c r="AD39" s="276">
        <f ca="1">IF(     OR(               AND(MAX(AF$6:AF39)&lt;2,  AC39=12),                 AF39=2),                   SUMIF(AB:AB,AB39,AA:AA),                       0)</f>
        <v>0</v>
      </c>
      <c r="AE39" s="277">
        <f t="shared" ca="1" si="12"/>
        <v>0</v>
      </c>
      <c r="AF39" s="277">
        <f t="shared" ca="1" si="4"/>
        <v>0</v>
      </c>
      <c r="AG39" s="402">
        <f ca="1">IF(  AND(AC39=AdóHó,   MAX(AF$1:AF38)&lt;2),   SUMIF(AB:AB,AB39-1,AE:AE),0  )
+ IF(AND(AC39&lt;AdóHó,                            AF39=2),   SUMIF(AB:AB,AB39-1,AE:AE),0  )
+ IF(                                                                  AF39=2,    SUMIF(AB:AB,AB39,AE:AE   ),0  )</f>
        <v>0</v>
      </c>
      <c r="AH39" s="272">
        <f ca="1">SUM(AG$2:AG39)</f>
        <v>73900.55</v>
      </c>
    </row>
    <row r="40" spans="1:34">
      <c r="A40" s="265">
        <f t="shared" si="6"/>
        <v>4</v>
      </c>
      <c r="B40" s="265">
        <f t="shared" si="7"/>
        <v>2</v>
      </c>
      <c r="C40" s="265">
        <f t="shared" ca="1" si="8"/>
        <v>4</v>
      </c>
      <c r="D40" s="265">
        <f t="shared" ca="1" si="9"/>
        <v>5</v>
      </c>
      <c r="E40" s="266">
        <v>5.0000000000000001E-3</v>
      </c>
      <c r="F40" s="267">
        <f>ÉV!$B$12</f>
        <v>0</v>
      </c>
      <c r="G40" s="271">
        <f ca="1">VLOOKUP(A40,ÉV!$A$18:$B$65,2,0)</f>
        <v>222163.89479999998</v>
      </c>
      <c r="H40" s="271">
        <f ca="1">IF(OR(A40=1,AND(C40=ÉV!$I$2,D40&gt;ÉV!$J$2),C40&gt;ÉV!$I$2),0,INDEX(Pz!$B$2:$AM$48,A40-1,ÉV!$G$2-9)/100000*ÉV!$B$10)</f>
        <v>196975.13132965899</v>
      </c>
      <c r="I40" s="271">
        <f ca="1">INDEX(Pz!$B$2:$AM$48,HÓ!A40,ÉV!$G$2-9)/100000*ÉV!$B$10</f>
        <v>200897.91689368687</v>
      </c>
      <c r="J40" s="273">
        <f ca="1">IF(OR(A40=1,A40=2,AND(C40=ÉV!$I$2,D40&gt;ÉV!$J$2),C40&gt;ÉV!$I$2),0,VLOOKUP(A40-2,ÉV!$A$18:$C$65,3,0))</f>
        <v>154630.85788632699</v>
      </c>
      <c r="K40" s="273">
        <f ca="1">IF(OR(A40=1,AND(C40=ÉV!$I$2,D40&gt;ÉV!$J$2),C40&gt;ÉV!$I$2),0,VLOOKUP(A40-1,ÉV!$A$18:$C$65,3,0))</f>
        <v>351132.31875505357</v>
      </c>
      <c r="L40" s="273">
        <f ca="1">VLOOKUP(A40,ÉV!$A$18:$C$65,3,0)*IF(OR(AND(C40=ÉV!$I$2,D40&gt;ÉV!$J$2),C40&gt;ÉV!$I$2),0,1)</f>
        <v>552209.02744219545</v>
      </c>
      <c r="M40" s="273">
        <f ca="1">(K40*(12-B40)/12+L40*B40/12)*IF(A40&gt;ÉV!$G$2,0,1)+IF(A40&gt;ÉV!$G$2,M39,0)*IF(OR(AND(C40=ÉV!$I$2,D40&gt;ÉV!$J$2),C40&gt;ÉV!$I$2),0,1)</f>
        <v>384645.10353624384</v>
      </c>
      <c r="N40" s="274">
        <f ca="1">IF(AND(C40=1,D40&lt;12),0,1)*IF(D40=12,MAX(0,F40-E40-0.003)*0.9*((K40+I40)*(B40/12)+(J40+H40)*(1-B40/12))+MAX(0,F40-0.003)*0.9*N39+N39,IF(AND(C40=ÉV!$I$2,D40=ÉV!$J$2),(M40+N39)*MAX(0,F40-0.003)*0.9*(D40/12)+N39,N39))*IF(OR(C40&gt;ÉV!$I$2,AND(C40=ÉV!$I$2,D40&gt;ÉV!$J$2)),0,1)</f>
        <v>0</v>
      </c>
      <c r="O40" s="313">
        <f ca="1">IF(MAX(AF$2:AF39)=2,      0,IF(OR(AC40=7, AF40=2),    SUM(AE$2:AE40),    O39)   )</f>
        <v>73900.55</v>
      </c>
      <c r="P40" s="271">
        <f ca="1">IF(D40=12,V40+P39+P39*(F40-0.003)*0.9,IF(AND(C40=ÉV!$I$2,D40=ÉV!$J$2),V40+P39+P39*(F40-0.003)*0.9*D40/12,P39))*IF(OR(C40&gt;ÉV!$I$2,AND(C40=ÉV!$I$2,D40&gt;ÉV!$J$2)),0,1)</f>
        <v>0</v>
      </c>
      <c r="Q40" s="275">
        <f ca="1">(N40+P40)*IF(OR(AND(C40=ÉV!$I$2,D40&gt;ÉV!$J$2),C40&gt;ÉV!$I$2),0,1)</f>
        <v>0</v>
      </c>
      <c r="R40" s="271">
        <f ca="1">(MAX(0,F40-E40-0.003)*0.9*((K40+I40)*(1/12)))*IF(OR(C40&gt;ÉV!$I$2,AND(C40=ÉV!$I$2,D40&gt;ÉV!$J$2)),0,1)</f>
        <v>0</v>
      </c>
      <c r="S40" s="271">
        <f ca="1">(MAX(0,F40-0.003)*0.9*((O40)*(1/12)))*IF(OR(C40&gt;ÉV!$I$2,AND(C40=ÉV!$I$2,D40&gt;ÉV!$J$2)),0,1)</f>
        <v>0</v>
      </c>
      <c r="T40" s="271">
        <f ca="1">(MAX(0,F40-0.003)*0.9*((Q39)*(1/12)))*IF(OR(C40&gt;ÉV!$I$2,AND(C40=ÉV!$I$2,D40&gt;ÉV!$J$2)),0,1)</f>
        <v>0</v>
      </c>
      <c r="U40" s="271">
        <f ca="1">IF($D40=1,R40,R40+U39)*IF(OR(C40&gt;ÉV!$I$2,AND(C40=ÉV!$I$2,D40&gt;ÉV!$J$2)),0,1)</f>
        <v>0</v>
      </c>
      <c r="V40" s="271">
        <f ca="1">IF($D40=1,S40,S40+V39)*IF(OR(C40&gt;ÉV!$I$2,AND(C40=ÉV!$I$2,D40&gt;ÉV!$J$2)),0,1)</f>
        <v>0</v>
      </c>
      <c r="W40" s="271">
        <f ca="1">IF($D40=1,T40,T40+W39)*IF(OR(C40&gt;ÉV!$I$2,AND(C40=ÉV!$I$2,D40&gt;ÉV!$J$2)),0,1)</f>
        <v>0</v>
      </c>
      <c r="X40" s="271">
        <f ca="1">IF(OR(D40=12,AND(C40=ÉV!$I$2,D40=ÉV!$J$2)),SUM(U40:W40)+X39,X39)*IF(OR(C40&gt;ÉV!$I$2,AND(C40=ÉV!$I$2,D40&gt;ÉV!$J$2)),0,1)</f>
        <v>0</v>
      </c>
      <c r="Y40" s="271">
        <f t="shared" ca="1" si="0"/>
        <v>0</v>
      </c>
      <c r="Z40" s="265">
        <f t="shared" si="1"/>
        <v>2</v>
      </c>
      <c r="AA40" s="272">
        <f t="shared" ca="1" si="2"/>
        <v>18513.657899999998</v>
      </c>
      <c r="AB40" s="265">
        <f t="shared" ca="1" si="10"/>
        <v>2020</v>
      </c>
      <c r="AC40" s="265">
        <f t="shared" ca="1" si="11"/>
        <v>5</v>
      </c>
      <c r="AD40" s="276">
        <f ca="1">IF(     OR(               AND(MAX(AF$6:AF40)&lt;2,  AC40=12),                 AF40=2),                   SUMIF(AB:AB,AB40,AA:AA),                       0)</f>
        <v>0</v>
      </c>
      <c r="AE40" s="277">
        <f t="shared" ca="1" si="12"/>
        <v>0</v>
      </c>
      <c r="AF40" s="277">
        <f t="shared" ca="1" si="4"/>
        <v>0</v>
      </c>
      <c r="AG40" s="402">
        <f ca="1">IF(  AND(AC40=AdóHó,   MAX(AF$1:AF39)&lt;2),   SUMIF(AB:AB,AB40-1,AE:AE),0  )
+ IF(AND(AC40&lt;AdóHó,                            AF40=2),   SUMIF(AB:AB,AB40-1,AE:AE),0  )
+ IF(                                                                  AF40=2,    SUMIF(AB:AB,AB40,AE:AE   ),0  )</f>
        <v>0</v>
      </c>
      <c r="AH40" s="272">
        <f ca="1">SUM(AG$2:AG40)</f>
        <v>73900.55</v>
      </c>
    </row>
    <row r="41" spans="1:34">
      <c r="A41" s="265">
        <f t="shared" si="6"/>
        <v>4</v>
      </c>
      <c r="B41" s="265">
        <f t="shared" si="7"/>
        <v>3</v>
      </c>
      <c r="C41" s="265">
        <f t="shared" ca="1" si="8"/>
        <v>4</v>
      </c>
      <c r="D41" s="265">
        <f t="shared" ca="1" si="9"/>
        <v>6</v>
      </c>
      <c r="E41" s="266">
        <v>5.0000000000000001E-3</v>
      </c>
      <c r="F41" s="267">
        <f>ÉV!$B$12</f>
        <v>0</v>
      </c>
      <c r="G41" s="271">
        <f ca="1">VLOOKUP(A41,ÉV!$A$18:$B$65,2,0)</f>
        <v>222163.89479999998</v>
      </c>
      <c r="H41" s="271">
        <f ca="1">IF(OR(A41=1,AND(C41=ÉV!$I$2,D41&gt;ÉV!$J$2),C41&gt;ÉV!$I$2),0,INDEX(Pz!$B$2:$AM$48,A41-1,ÉV!$G$2-9)/100000*ÉV!$B$10)</f>
        <v>196975.13132965899</v>
      </c>
      <c r="I41" s="271">
        <f ca="1">INDEX(Pz!$B$2:$AM$48,HÓ!A41,ÉV!$G$2-9)/100000*ÉV!$B$10</f>
        <v>200897.91689368687</v>
      </c>
      <c r="J41" s="273">
        <f ca="1">IF(OR(A41=1,A41=2,AND(C41=ÉV!$I$2,D41&gt;ÉV!$J$2),C41&gt;ÉV!$I$2),0,VLOOKUP(A41-2,ÉV!$A$18:$C$65,3,0))</f>
        <v>154630.85788632699</v>
      </c>
      <c r="K41" s="273">
        <f ca="1">IF(OR(A41=1,AND(C41=ÉV!$I$2,D41&gt;ÉV!$J$2),C41&gt;ÉV!$I$2),0,VLOOKUP(A41-1,ÉV!$A$18:$C$65,3,0))</f>
        <v>351132.31875505357</v>
      </c>
      <c r="L41" s="273">
        <f ca="1">VLOOKUP(A41,ÉV!$A$18:$C$65,3,0)*IF(OR(AND(C41=ÉV!$I$2,D41&gt;ÉV!$J$2),C41&gt;ÉV!$I$2),0,1)</f>
        <v>552209.02744219545</v>
      </c>
      <c r="M41" s="273">
        <f ca="1">(K41*(12-B41)/12+L41*B41/12)*IF(A41&gt;ÉV!$G$2,0,1)+IF(A41&gt;ÉV!$G$2,M40,0)*IF(OR(AND(C41=ÉV!$I$2,D41&gt;ÉV!$J$2),C41&gt;ÉV!$I$2),0,1)</f>
        <v>401401.49592683901</v>
      </c>
      <c r="N41" s="274">
        <f ca="1">IF(AND(C41=1,D41&lt;12),0,1)*IF(D41=12,MAX(0,F41-E41-0.003)*0.9*((K41+I41)*(B41/12)+(J41+H41)*(1-B41/12))+MAX(0,F41-0.003)*0.9*N40+N40,IF(AND(C41=ÉV!$I$2,D41=ÉV!$J$2),(M41+N40)*MAX(0,F41-0.003)*0.9*(D41/12)+N40,N40))*IF(OR(C41&gt;ÉV!$I$2,AND(C41=ÉV!$I$2,D41&gt;ÉV!$J$2)),0,1)</f>
        <v>0</v>
      </c>
      <c r="O41" s="313">
        <f ca="1">IF(MAX(AF$2:AF40)=2,      0,IF(OR(AC41=7, AF41=2),    SUM(AE$2:AE41),    O40)   )</f>
        <v>73900.55</v>
      </c>
      <c r="P41" s="271">
        <f ca="1">IF(D41=12,V41+P40+P40*(F41-0.003)*0.9,IF(AND(C41=ÉV!$I$2,D41=ÉV!$J$2),V41+P40+P40*(F41-0.003)*0.9*D41/12,P40))*IF(OR(C41&gt;ÉV!$I$2,AND(C41=ÉV!$I$2,D41&gt;ÉV!$J$2)),0,1)</f>
        <v>0</v>
      </c>
      <c r="Q41" s="275">
        <f ca="1">(N41+P41)*IF(OR(AND(C41=ÉV!$I$2,D41&gt;ÉV!$J$2),C41&gt;ÉV!$I$2),0,1)</f>
        <v>0</v>
      </c>
      <c r="R41" s="271">
        <f ca="1">(MAX(0,F41-E41-0.003)*0.9*((K41+I41)*(1/12)))*IF(OR(C41&gt;ÉV!$I$2,AND(C41=ÉV!$I$2,D41&gt;ÉV!$J$2)),0,1)</f>
        <v>0</v>
      </c>
      <c r="S41" s="271">
        <f ca="1">(MAX(0,F41-0.003)*0.9*((O41)*(1/12)))*IF(OR(C41&gt;ÉV!$I$2,AND(C41=ÉV!$I$2,D41&gt;ÉV!$J$2)),0,1)</f>
        <v>0</v>
      </c>
      <c r="T41" s="271">
        <f ca="1">(MAX(0,F41-0.003)*0.9*((Q40)*(1/12)))*IF(OR(C41&gt;ÉV!$I$2,AND(C41=ÉV!$I$2,D41&gt;ÉV!$J$2)),0,1)</f>
        <v>0</v>
      </c>
      <c r="U41" s="271">
        <f ca="1">IF($D41=1,R41,R41+U40)*IF(OR(C41&gt;ÉV!$I$2,AND(C41=ÉV!$I$2,D41&gt;ÉV!$J$2)),0,1)</f>
        <v>0</v>
      </c>
      <c r="V41" s="271">
        <f ca="1">IF($D41=1,S41,S41+V40)*IF(OR(C41&gt;ÉV!$I$2,AND(C41=ÉV!$I$2,D41&gt;ÉV!$J$2)),0,1)</f>
        <v>0</v>
      </c>
      <c r="W41" s="271">
        <f ca="1">IF($D41=1,T41,T41+W40)*IF(OR(C41&gt;ÉV!$I$2,AND(C41=ÉV!$I$2,D41&gt;ÉV!$J$2)),0,1)</f>
        <v>0</v>
      </c>
      <c r="X41" s="271">
        <f ca="1">IF(OR(D41=12,AND(C41=ÉV!$I$2,D41=ÉV!$J$2)),SUM(U41:W41)+X40,X40)*IF(OR(C41&gt;ÉV!$I$2,AND(C41=ÉV!$I$2,D41&gt;ÉV!$J$2)),0,1)</f>
        <v>0</v>
      </c>
      <c r="Y41" s="271">
        <f t="shared" ca="1" si="0"/>
        <v>0</v>
      </c>
      <c r="Z41" s="265">
        <f t="shared" si="1"/>
        <v>3</v>
      </c>
      <c r="AA41" s="272">
        <f t="shared" ca="1" si="2"/>
        <v>18513.657899999998</v>
      </c>
      <c r="AB41" s="265">
        <f t="shared" ca="1" si="10"/>
        <v>2020</v>
      </c>
      <c r="AC41" s="265">
        <f t="shared" ca="1" si="11"/>
        <v>6</v>
      </c>
      <c r="AD41" s="276">
        <f ca="1">IF(     OR(               AND(MAX(AF$6:AF41)&lt;2,  AC41=12),                 AF41=2),                   SUMIF(AB:AB,AB41,AA:AA),                       0)</f>
        <v>0</v>
      </c>
      <c r="AE41" s="277">
        <f t="shared" ca="1" si="12"/>
        <v>0</v>
      </c>
      <c r="AF41" s="277">
        <f t="shared" ca="1" si="4"/>
        <v>0</v>
      </c>
      <c r="AG41" s="402">
        <f ca="1">IF(  AND(AC41=AdóHó,   MAX(AF$1:AF40)&lt;2),   SUMIF(AB:AB,AB41-1,AE:AE),0  )
+ IF(AND(AC41&lt;AdóHó,                            AF41=2),   SUMIF(AB:AB,AB41-1,AE:AE),0  )
+ IF(                                                                  AF41=2,    SUMIF(AB:AB,AB41,AE:AE   ),0  )</f>
        <v>0</v>
      </c>
      <c r="AH41" s="272">
        <f ca="1">SUM(AG$2:AG41)</f>
        <v>73900.55</v>
      </c>
    </row>
    <row r="42" spans="1:34">
      <c r="A42" s="265">
        <f t="shared" si="6"/>
        <v>4</v>
      </c>
      <c r="B42" s="265">
        <f t="shared" si="7"/>
        <v>4</v>
      </c>
      <c r="C42" s="265">
        <f t="shared" ca="1" si="8"/>
        <v>4</v>
      </c>
      <c r="D42" s="265">
        <f t="shared" ca="1" si="9"/>
        <v>7</v>
      </c>
      <c r="E42" s="266">
        <v>5.0000000000000001E-3</v>
      </c>
      <c r="F42" s="267">
        <f>ÉV!$B$12</f>
        <v>0</v>
      </c>
      <c r="G42" s="271">
        <f ca="1">VLOOKUP(A42,ÉV!$A$18:$B$65,2,0)</f>
        <v>222163.89479999998</v>
      </c>
      <c r="H42" s="271">
        <f ca="1">IF(OR(A42=1,AND(C42=ÉV!$I$2,D42&gt;ÉV!$J$2),C42&gt;ÉV!$I$2),0,INDEX(Pz!$B$2:$AM$48,A42-1,ÉV!$G$2-9)/100000*ÉV!$B$10)</f>
        <v>196975.13132965899</v>
      </c>
      <c r="I42" s="271">
        <f ca="1">INDEX(Pz!$B$2:$AM$48,HÓ!A42,ÉV!$G$2-9)/100000*ÉV!$B$10</f>
        <v>200897.91689368687</v>
      </c>
      <c r="J42" s="273">
        <f ca="1">IF(OR(A42=1,A42=2,AND(C42=ÉV!$I$2,D42&gt;ÉV!$J$2),C42&gt;ÉV!$I$2),0,VLOOKUP(A42-2,ÉV!$A$18:$C$65,3,0))</f>
        <v>154630.85788632699</v>
      </c>
      <c r="K42" s="273">
        <f ca="1">IF(OR(A42=1,AND(C42=ÉV!$I$2,D42&gt;ÉV!$J$2),C42&gt;ÉV!$I$2),0,VLOOKUP(A42-1,ÉV!$A$18:$C$65,3,0))</f>
        <v>351132.31875505357</v>
      </c>
      <c r="L42" s="273">
        <f ca="1">VLOOKUP(A42,ÉV!$A$18:$C$65,3,0)*IF(OR(AND(C42=ÉV!$I$2,D42&gt;ÉV!$J$2),C42&gt;ÉV!$I$2),0,1)</f>
        <v>552209.02744219545</v>
      </c>
      <c r="M42" s="273">
        <f ca="1">(K42*(12-B42)/12+L42*B42/12)*IF(A42&gt;ÉV!$G$2,0,1)+IF(A42&gt;ÉV!$G$2,M41,0)*IF(OR(AND(C42=ÉV!$I$2,D42&gt;ÉV!$J$2),C42&gt;ÉV!$I$2),0,1)</f>
        <v>418157.88831743423</v>
      </c>
      <c r="N42" s="274">
        <f ca="1">IF(AND(C42=1,D42&lt;12),0,1)*IF(D42=12,MAX(0,F42-E42-0.003)*0.9*((K42+I42)*(B42/12)+(J42+H42)*(1-B42/12))+MAX(0,F42-0.003)*0.9*N41+N41,IF(AND(C42=ÉV!$I$2,D42=ÉV!$J$2),(M42+N41)*MAX(0,F42-0.003)*0.9*(D42/12)+N41,N41))*IF(OR(C42&gt;ÉV!$I$2,AND(C42=ÉV!$I$2,D42&gt;ÉV!$J$2)),0,1)</f>
        <v>0</v>
      </c>
      <c r="O42" s="313">
        <f ca="1">IF(MAX(AF$2:AF41)=2,      0,IF(OR(AC42=7, AF42=2),    SUM(AE$2:AE42),    O41)   )</f>
        <v>117248.561</v>
      </c>
      <c r="P42" s="271">
        <f ca="1">IF(D42=12,V42+P41+P41*(F42-0.003)*0.9,IF(AND(C42=ÉV!$I$2,D42=ÉV!$J$2),V42+P41+P41*(F42-0.003)*0.9*D42/12,P41))*IF(OR(C42&gt;ÉV!$I$2,AND(C42=ÉV!$I$2,D42&gt;ÉV!$J$2)),0,1)</f>
        <v>0</v>
      </c>
      <c r="Q42" s="275">
        <f ca="1">(N42+P42)*IF(OR(AND(C42=ÉV!$I$2,D42&gt;ÉV!$J$2),C42&gt;ÉV!$I$2),0,1)</f>
        <v>0</v>
      </c>
      <c r="R42" s="271">
        <f ca="1">(MAX(0,F42-E42-0.003)*0.9*((K42+I42)*(1/12)))*IF(OR(C42&gt;ÉV!$I$2,AND(C42=ÉV!$I$2,D42&gt;ÉV!$J$2)),0,1)</f>
        <v>0</v>
      </c>
      <c r="S42" s="271">
        <f ca="1">(MAX(0,F42-0.003)*0.9*((O42)*(1/12)))*IF(OR(C42&gt;ÉV!$I$2,AND(C42=ÉV!$I$2,D42&gt;ÉV!$J$2)),0,1)</f>
        <v>0</v>
      </c>
      <c r="T42" s="271">
        <f ca="1">(MAX(0,F42-0.003)*0.9*((Q41)*(1/12)))*IF(OR(C42&gt;ÉV!$I$2,AND(C42=ÉV!$I$2,D42&gt;ÉV!$J$2)),0,1)</f>
        <v>0</v>
      </c>
      <c r="U42" s="271">
        <f ca="1">IF($D42=1,R42,R42+U41)*IF(OR(C42&gt;ÉV!$I$2,AND(C42=ÉV!$I$2,D42&gt;ÉV!$J$2)),0,1)</f>
        <v>0</v>
      </c>
      <c r="V42" s="271">
        <f ca="1">IF($D42=1,S42,S42+V41)*IF(OR(C42&gt;ÉV!$I$2,AND(C42=ÉV!$I$2,D42&gt;ÉV!$J$2)),0,1)</f>
        <v>0</v>
      </c>
      <c r="W42" s="271">
        <f ca="1">IF($D42=1,T42,T42+W41)*IF(OR(C42&gt;ÉV!$I$2,AND(C42=ÉV!$I$2,D42&gt;ÉV!$J$2)),0,1)</f>
        <v>0</v>
      </c>
      <c r="X42" s="271">
        <f ca="1">IF(OR(D42=12,AND(C42=ÉV!$I$2,D42=ÉV!$J$2)),SUM(U42:W42)+X41,X41)*IF(OR(C42&gt;ÉV!$I$2,AND(C42=ÉV!$I$2,D42&gt;ÉV!$J$2)),0,1)</f>
        <v>0</v>
      </c>
      <c r="Y42" s="271">
        <f t="shared" ca="1" si="0"/>
        <v>0</v>
      </c>
      <c r="Z42" s="265">
        <f t="shared" si="1"/>
        <v>4</v>
      </c>
      <c r="AA42" s="272">
        <f t="shared" ca="1" si="2"/>
        <v>18513.657899999998</v>
      </c>
      <c r="AB42" s="265">
        <f t="shared" ca="1" si="10"/>
        <v>2020</v>
      </c>
      <c r="AC42" s="265">
        <f t="shared" ca="1" si="11"/>
        <v>7</v>
      </c>
      <c r="AD42" s="276">
        <f ca="1">IF(     OR(               AND(MAX(AF$6:AF42)&lt;2,  AC42=12),                 AF42=2),                   SUMIF(AB:AB,AB42,AA:AA),                       0)</f>
        <v>0</v>
      </c>
      <c r="AE42" s="277">
        <f t="shared" ca="1" si="12"/>
        <v>0</v>
      </c>
      <c r="AF42" s="277">
        <f t="shared" ca="1" si="4"/>
        <v>0</v>
      </c>
      <c r="AG42" s="402">
        <f ca="1">IF(  AND(AC42=AdóHó,   MAX(AF$1:AF41)&lt;2),   SUMIF(AB:AB,AB42-1,AE:AE),0  )
+ IF(AND(AC42&lt;AdóHó,                            AF42=2),   SUMIF(AB:AB,AB42-1,AE:AE),0  )
+ IF(                                                                  AF42=2,    SUMIF(AB:AB,AB42,AE:AE   ),0  )</f>
        <v>43348.010999999999</v>
      </c>
      <c r="AH42" s="272">
        <f ca="1">SUM(AG$2:AG42)</f>
        <v>117248.561</v>
      </c>
    </row>
    <row r="43" spans="1:34">
      <c r="A43" s="265">
        <f t="shared" si="6"/>
        <v>4</v>
      </c>
      <c r="B43" s="265">
        <f t="shared" si="7"/>
        <v>5</v>
      </c>
      <c r="C43" s="265">
        <f t="shared" ca="1" si="8"/>
        <v>4</v>
      </c>
      <c r="D43" s="265">
        <f t="shared" ca="1" si="9"/>
        <v>8</v>
      </c>
      <c r="E43" s="266">
        <v>5.0000000000000001E-3</v>
      </c>
      <c r="F43" s="267">
        <f>ÉV!$B$12</f>
        <v>0</v>
      </c>
      <c r="G43" s="271">
        <f ca="1">VLOOKUP(A43,ÉV!$A$18:$B$65,2,0)</f>
        <v>222163.89479999998</v>
      </c>
      <c r="H43" s="271">
        <f ca="1">IF(OR(A43=1,AND(C43=ÉV!$I$2,D43&gt;ÉV!$J$2),C43&gt;ÉV!$I$2),0,INDEX(Pz!$B$2:$AM$48,A43-1,ÉV!$G$2-9)/100000*ÉV!$B$10)</f>
        <v>196975.13132965899</v>
      </c>
      <c r="I43" s="271">
        <f ca="1">INDEX(Pz!$B$2:$AM$48,HÓ!A43,ÉV!$G$2-9)/100000*ÉV!$B$10</f>
        <v>200897.91689368687</v>
      </c>
      <c r="J43" s="273">
        <f ca="1">IF(OR(A43=1,A43=2,AND(C43=ÉV!$I$2,D43&gt;ÉV!$J$2),C43&gt;ÉV!$I$2),0,VLOOKUP(A43-2,ÉV!$A$18:$C$65,3,0))</f>
        <v>154630.85788632699</v>
      </c>
      <c r="K43" s="273">
        <f ca="1">IF(OR(A43=1,AND(C43=ÉV!$I$2,D43&gt;ÉV!$J$2),C43&gt;ÉV!$I$2),0,VLOOKUP(A43-1,ÉV!$A$18:$C$65,3,0))</f>
        <v>351132.31875505357</v>
      </c>
      <c r="L43" s="273">
        <f ca="1">VLOOKUP(A43,ÉV!$A$18:$C$65,3,0)*IF(OR(AND(C43=ÉV!$I$2,D43&gt;ÉV!$J$2),C43&gt;ÉV!$I$2),0,1)</f>
        <v>552209.02744219545</v>
      </c>
      <c r="M43" s="273">
        <f ca="1">(K43*(12-B43)/12+L43*B43/12)*IF(A43&gt;ÉV!$G$2,0,1)+IF(A43&gt;ÉV!$G$2,M42,0)*IF(OR(AND(C43=ÉV!$I$2,D43&gt;ÉV!$J$2),C43&gt;ÉV!$I$2),0,1)</f>
        <v>434914.2807080294</v>
      </c>
      <c r="N43" s="274">
        <f ca="1">IF(AND(C43=1,D43&lt;12),0,1)*IF(D43=12,MAX(0,F43-E43-0.003)*0.9*((K43+I43)*(B43/12)+(J43+H43)*(1-B43/12))+MAX(0,F43-0.003)*0.9*N42+N42,IF(AND(C43=ÉV!$I$2,D43=ÉV!$J$2),(M43+N42)*MAX(0,F43-0.003)*0.9*(D43/12)+N42,N42))*IF(OR(C43&gt;ÉV!$I$2,AND(C43=ÉV!$I$2,D43&gt;ÉV!$J$2)),0,1)</f>
        <v>0</v>
      </c>
      <c r="O43" s="313">
        <f ca="1">IF(MAX(AF$2:AF42)=2,      0,IF(OR(AC43=7, AF43=2),    SUM(AE$2:AE43),    O42)   )</f>
        <v>117248.561</v>
      </c>
      <c r="P43" s="271">
        <f ca="1">IF(D43=12,V43+P42+P42*(F43-0.003)*0.9,IF(AND(C43=ÉV!$I$2,D43=ÉV!$J$2),V43+P42+P42*(F43-0.003)*0.9*D43/12,P42))*IF(OR(C43&gt;ÉV!$I$2,AND(C43=ÉV!$I$2,D43&gt;ÉV!$J$2)),0,1)</f>
        <v>0</v>
      </c>
      <c r="Q43" s="275">
        <f ca="1">(N43+P43)*IF(OR(AND(C43=ÉV!$I$2,D43&gt;ÉV!$J$2),C43&gt;ÉV!$I$2),0,1)</f>
        <v>0</v>
      </c>
      <c r="R43" s="271">
        <f ca="1">(MAX(0,F43-E43-0.003)*0.9*((K43+I43)*(1/12)))*IF(OR(C43&gt;ÉV!$I$2,AND(C43=ÉV!$I$2,D43&gt;ÉV!$J$2)),0,1)</f>
        <v>0</v>
      </c>
      <c r="S43" s="271">
        <f ca="1">(MAX(0,F43-0.003)*0.9*((O43)*(1/12)))*IF(OR(C43&gt;ÉV!$I$2,AND(C43=ÉV!$I$2,D43&gt;ÉV!$J$2)),0,1)</f>
        <v>0</v>
      </c>
      <c r="T43" s="271">
        <f ca="1">(MAX(0,F43-0.003)*0.9*((Q42)*(1/12)))*IF(OR(C43&gt;ÉV!$I$2,AND(C43=ÉV!$I$2,D43&gt;ÉV!$J$2)),0,1)</f>
        <v>0</v>
      </c>
      <c r="U43" s="271">
        <f ca="1">IF($D43=1,R43,R43+U42)*IF(OR(C43&gt;ÉV!$I$2,AND(C43=ÉV!$I$2,D43&gt;ÉV!$J$2)),0,1)</f>
        <v>0</v>
      </c>
      <c r="V43" s="271">
        <f ca="1">IF($D43=1,S43,S43+V42)*IF(OR(C43&gt;ÉV!$I$2,AND(C43=ÉV!$I$2,D43&gt;ÉV!$J$2)),0,1)</f>
        <v>0</v>
      </c>
      <c r="W43" s="271">
        <f ca="1">IF($D43=1,T43,T43+W42)*IF(OR(C43&gt;ÉV!$I$2,AND(C43=ÉV!$I$2,D43&gt;ÉV!$J$2)),0,1)</f>
        <v>0</v>
      </c>
      <c r="X43" s="271">
        <f ca="1">IF(OR(D43=12,AND(C43=ÉV!$I$2,D43=ÉV!$J$2)),SUM(U43:W43)+X42,X42)*IF(OR(C43&gt;ÉV!$I$2,AND(C43=ÉV!$I$2,D43&gt;ÉV!$J$2)),0,1)</f>
        <v>0</v>
      </c>
      <c r="Y43" s="271">
        <f t="shared" ca="1" si="0"/>
        <v>0</v>
      </c>
      <c r="Z43" s="265">
        <f t="shared" si="1"/>
        <v>5</v>
      </c>
      <c r="AA43" s="272">
        <f t="shared" ca="1" si="2"/>
        <v>18513.657899999998</v>
      </c>
      <c r="AB43" s="265">
        <f t="shared" ca="1" si="10"/>
        <v>2020</v>
      </c>
      <c r="AC43" s="265">
        <f t="shared" ca="1" si="11"/>
        <v>8</v>
      </c>
      <c r="AD43" s="276">
        <f ca="1">IF(     OR(               AND(MAX(AF$6:AF43)&lt;2,  AC43=12),                 AF43=2),                   SUMIF(AB:AB,AB43,AA:AA),                       0)</f>
        <v>0</v>
      </c>
      <c r="AE43" s="277">
        <f t="shared" ca="1" si="12"/>
        <v>0</v>
      </c>
      <c r="AF43" s="277">
        <f t="shared" ca="1" si="4"/>
        <v>0</v>
      </c>
      <c r="AG43" s="402">
        <f ca="1">IF(  AND(AC43=AdóHó,   MAX(AF$1:AF42)&lt;2),   SUMIF(AB:AB,AB43-1,AE:AE),0  )
+ IF(AND(AC43&lt;AdóHó,                            AF43=2),   SUMIF(AB:AB,AB43-1,AE:AE),0  )
+ IF(                                                                  AF43=2,    SUMIF(AB:AB,AB43,AE:AE   ),0  )</f>
        <v>0</v>
      </c>
      <c r="AH43" s="272">
        <f ca="1">SUM(AG$2:AG43)</f>
        <v>117248.561</v>
      </c>
    </row>
    <row r="44" spans="1:34">
      <c r="A44" s="265">
        <f t="shared" si="6"/>
        <v>4</v>
      </c>
      <c r="B44" s="265">
        <f t="shared" si="7"/>
        <v>6</v>
      </c>
      <c r="C44" s="265">
        <f t="shared" ca="1" si="8"/>
        <v>4</v>
      </c>
      <c r="D44" s="265">
        <f t="shared" ca="1" si="9"/>
        <v>9</v>
      </c>
      <c r="E44" s="266">
        <v>5.0000000000000001E-3</v>
      </c>
      <c r="F44" s="267">
        <f>ÉV!$B$12</f>
        <v>0</v>
      </c>
      <c r="G44" s="271">
        <f ca="1">VLOOKUP(A44,ÉV!$A$18:$B$65,2,0)</f>
        <v>222163.89479999998</v>
      </c>
      <c r="H44" s="271">
        <f ca="1">IF(OR(A44=1,AND(C44=ÉV!$I$2,D44&gt;ÉV!$J$2),C44&gt;ÉV!$I$2),0,INDEX(Pz!$B$2:$AM$48,A44-1,ÉV!$G$2-9)/100000*ÉV!$B$10)</f>
        <v>196975.13132965899</v>
      </c>
      <c r="I44" s="271">
        <f ca="1">INDEX(Pz!$B$2:$AM$48,HÓ!A44,ÉV!$G$2-9)/100000*ÉV!$B$10</f>
        <v>200897.91689368687</v>
      </c>
      <c r="J44" s="273">
        <f ca="1">IF(OR(A44=1,A44=2,AND(C44=ÉV!$I$2,D44&gt;ÉV!$J$2),C44&gt;ÉV!$I$2),0,VLOOKUP(A44-2,ÉV!$A$18:$C$65,3,0))</f>
        <v>154630.85788632699</v>
      </c>
      <c r="K44" s="273">
        <f ca="1">IF(OR(A44=1,AND(C44=ÉV!$I$2,D44&gt;ÉV!$J$2),C44&gt;ÉV!$I$2),0,VLOOKUP(A44-1,ÉV!$A$18:$C$65,3,0))</f>
        <v>351132.31875505357</v>
      </c>
      <c r="L44" s="273">
        <f ca="1">VLOOKUP(A44,ÉV!$A$18:$C$65,3,0)*IF(OR(AND(C44=ÉV!$I$2,D44&gt;ÉV!$J$2),C44&gt;ÉV!$I$2),0,1)</f>
        <v>552209.02744219545</v>
      </c>
      <c r="M44" s="273">
        <f ca="1">(K44*(12-B44)/12+L44*B44/12)*IF(A44&gt;ÉV!$G$2,0,1)+IF(A44&gt;ÉV!$G$2,M43,0)*IF(OR(AND(C44=ÉV!$I$2,D44&gt;ÉV!$J$2),C44&gt;ÉV!$I$2),0,1)</f>
        <v>451670.67309862457</v>
      </c>
      <c r="N44" s="274">
        <f ca="1">IF(AND(C44=1,D44&lt;12),0,1)*IF(D44=12,MAX(0,F44-E44-0.003)*0.9*((K44+I44)*(B44/12)+(J44+H44)*(1-B44/12))+MAX(0,F44-0.003)*0.9*N43+N43,IF(AND(C44=ÉV!$I$2,D44=ÉV!$J$2),(M44+N43)*MAX(0,F44-0.003)*0.9*(D44/12)+N43,N43))*IF(OR(C44&gt;ÉV!$I$2,AND(C44=ÉV!$I$2,D44&gt;ÉV!$J$2)),0,1)</f>
        <v>0</v>
      </c>
      <c r="O44" s="313">
        <f ca="1">IF(MAX(AF$2:AF43)=2,      0,IF(OR(AC44=7, AF44=2),    SUM(AE$2:AE44),    O43)   )</f>
        <v>117248.561</v>
      </c>
      <c r="P44" s="271">
        <f ca="1">IF(D44=12,V44+P43+P43*(F44-0.003)*0.9,IF(AND(C44=ÉV!$I$2,D44=ÉV!$J$2),V44+P43+P43*(F44-0.003)*0.9*D44/12,P43))*IF(OR(C44&gt;ÉV!$I$2,AND(C44=ÉV!$I$2,D44&gt;ÉV!$J$2)),0,1)</f>
        <v>0</v>
      </c>
      <c r="Q44" s="275">
        <f ca="1">(N44+P44)*IF(OR(AND(C44=ÉV!$I$2,D44&gt;ÉV!$J$2),C44&gt;ÉV!$I$2),0,1)</f>
        <v>0</v>
      </c>
      <c r="R44" s="271">
        <f ca="1">(MAX(0,F44-E44-0.003)*0.9*((K44+I44)*(1/12)))*IF(OR(C44&gt;ÉV!$I$2,AND(C44=ÉV!$I$2,D44&gt;ÉV!$J$2)),0,1)</f>
        <v>0</v>
      </c>
      <c r="S44" s="271">
        <f ca="1">(MAX(0,F44-0.003)*0.9*((O44)*(1/12)))*IF(OR(C44&gt;ÉV!$I$2,AND(C44=ÉV!$I$2,D44&gt;ÉV!$J$2)),0,1)</f>
        <v>0</v>
      </c>
      <c r="T44" s="271">
        <f ca="1">(MAX(0,F44-0.003)*0.9*((Q43)*(1/12)))*IF(OR(C44&gt;ÉV!$I$2,AND(C44=ÉV!$I$2,D44&gt;ÉV!$J$2)),0,1)</f>
        <v>0</v>
      </c>
      <c r="U44" s="271">
        <f ca="1">IF($D44=1,R44,R44+U43)*IF(OR(C44&gt;ÉV!$I$2,AND(C44=ÉV!$I$2,D44&gt;ÉV!$J$2)),0,1)</f>
        <v>0</v>
      </c>
      <c r="V44" s="271">
        <f ca="1">IF($D44=1,S44,S44+V43)*IF(OR(C44&gt;ÉV!$I$2,AND(C44=ÉV!$I$2,D44&gt;ÉV!$J$2)),0,1)</f>
        <v>0</v>
      </c>
      <c r="W44" s="271">
        <f ca="1">IF($D44=1,T44,T44+W43)*IF(OR(C44&gt;ÉV!$I$2,AND(C44=ÉV!$I$2,D44&gt;ÉV!$J$2)),0,1)</f>
        <v>0</v>
      </c>
      <c r="X44" s="271">
        <f ca="1">IF(OR(D44=12,AND(C44=ÉV!$I$2,D44=ÉV!$J$2)),SUM(U44:W44)+X43,X43)*IF(OR(C44&gt;ÉV!$I$2,AND(C44=ÉV!$I$2,D44&gt;ÉV!$J$2)),0,1)</f>
        <v>0</v>
      </c>
      <c r="Y44" s="271">
        <f t="shared" ca="1" si="0"/>
        <v>0</v>
      </c>
      <c r="Z44" s="265">
        <f t="shared" si="1"/>
        <v>6</v>
      </c>
      <c r="AA44" s="272">
        <f t="shared" ca="1" si="2"/>
        <v>18513.657899999998</v>
      </c>
      <c r="AB44" s="265">
        <f t="shared" ca="1" si="10"/>
        <v>2020</v>
      </c>
      <c r="AC44" s="265">
        <f t="shared" ca="1" si="11"/>
        <v>9</v>
      </c>
      <c r="AD44" s="276">
        <f ca="1">IF(     OR(               AND(MAX(AF$6:AF44)&lt;2,  AC44=12),                 AF44=2),                   SUMIF(AB:AB,AB44,AA:AA),                       0)</f>
        <v>0</v>
      </c>
      <c r="AE44" s="277">
        <f t="shared" ca="1" si="12"/>
        <v>0</v>
      </c>
      <c r="AF44" s="277">
        <f t="shared" ca="1" si="4"/>
        <v>0</v>
      </c>
      <c r="AG44" s="402">
        <f ca="1">IF(  AND(AC44=AdóHó,   MAX(AF$1:AF43)&lt;2),   SUMIF(AB:AB,AB44-1,AE:AE),0  )
+ IF(AND(AC44&lt;AdóHó,                            AF44=2),   SUMIF(AB:AB,AB44-1,AE:AE),0  )
+ IF(                                                                  AF44=2,    SUMIF(AB:AB,AB44,AE:AE   ),0  )</f>
        <v>0</v>
      </c>
      <c r="AH44" s="272">
        <f ca="1">SUM(AG$2:AG44)</f>
        <v>117248.561</v>
      </c>
    </row>
    <row r="45" spans="1:34">
      <c r="A45" s="265">
        <f t="shared" si="6"/>
        <v>4</v>
      </c>
      <c r="B45" s="265">
        <f t="shared" si="7"/>
        <v>7</v>
      </c>
      <c r="C45" s="265">
        <f t="shared" ca="1" si="8"/>
        <v>4</v>
      </c>
      <c r="D45" s="265">
        <f t="shared" ca="1" si="9"/>
        <v>10</v>
      </c>
      <c r="E45" s="266">
        <v>5.0000000000000001E-3</v>
      </c>
      <c r="F45" s="267">
        <f>ÉV!$B$12</f>
        <v>0</v>
      </c>
      <c r="G45" s="271">
        <f ca="1">VLOOKUP(A45,ÉV!$A$18:$B$65,2,0)</f>
        <v>222163.89479999998</v>
      </c>
      <c r="H45" s="271">
        <f ca="1">IF(OR(A45=1,AND(C45=ÉV!$I$2,D45&gt;ÉV!$J$2),C45&gt;ÉV!$I$2),0,INDEX(Pz!$B$2:$AM$48,A45-1,ÉV!$G$2-9)/100000*ÉV!$B$10)</f>
        <v>196975.13132965899</v>
      </c>
      <c r="I45" s="271">
        <f ca="1">INDEX(Pz!$B$2:$AM$48,HÓ!A45,ÉV!$G$2-9)/100000*ÉV!$B$10</f>
        <v>200897.91689368687</v>
      </c>
      <c r="J45" s="273">
        <f ca="1">IF(OR(A45=1,A45=2,AND(C45=ÉV!$I$2,D45&gt;ÉV!$J$2),C45&gt;ÉV!$I$2),0,VLOOKUP(A45-2,ÉV!$A$18:$C$65,3,0))</f>
        <v>154630.85788632699</v>
      </c>
      <c r="K45" s="273">
        <f ca="1">IF(OR(A45=1,AND(C45=ÉV!$I$2,D45&gt;ÉV!$J$2),C45&gt;ÉV!$I$2),0,VLOOKUP(A45-1,ÉV!$A$18:$C$65,3,0))</f>
        <v>351132.31875505357</v>
      </c>
      <c r="L45" s="273">
        <f ca="1">VLOOKUP(A45,ÉV!$A$18:$C$65,3,0)*IF(OR(AND(C45=ÉV!$I$2,D45&gt;ÉV!$J$2),C45&gt;ÉV!$I$2),0,1)</f>
        <v>552209.02744219545</v>
      </c>
      <c r="M45" s="273">
        <f ca="1">(K45*(12-B45)/12+L45*B45/12)*IF(A45&gt;ÉV!$G$2,0,1)+IF(A45&gt;ÉV!$G$2,M44,0)*IF(OR(AND(C45=ÉV!$I$2,D45&gt;ÉV!$J$2),C45&gt;ÉV!$I$2),0,1)</f>
        <v>468427.06548921962</v>
      </c>
      <c r="N45" s="274">
        <f ca="1">IF(AND(C45=1,D45&lt;12),0,1)*IF(D45=12,MAX(0,F45-E45-0.003)*0.9*((K45+I45)*(B45/12)+(J45+H45)*(1-B45/12))+MAX(0,F45-0.003)*0.9*N44+N44,IF(AND(C45=ÉV!$I$2,D45=ÉV!$J$2),(M45+N44)*MAX(0,F45-0.003)*0.9*(D45/12)+N44,N44))*IF(OR(C45&gt;ÉV!$I$2,AND(C45=ÉV!$I$2,D45&gt;ÉV!$J$2)),0,1)</f>
        <v>0</v>
      </c>
      <c r="O45" s="313">
        <f ca="1">IF(MAX(AF$2:AF44)=2,      0,IF(OR(AC45=7, AF45=2),    SUM(AE$2:AE45),    O44)   )</f>
        <v>117248.561</v>
      </c>
      <c r="P45" s="271">
        <f ca="1">IF(D45=12,V45+P44+P44*(F45-0.003)*0.9,IF(AND(C45=ÉV!$I$2,D45=ÉV!$J$2),V45+P44+P44*(F45-0.003)*0.9*D45/12,P44))*IF(OR(C45&gt;ÉV!$I$2,AND(C45=ÉV!$I$2,D45&gt;ÉV!$J$2)),0,1)</f>
        <v>0</v>
      </c>
      <c r="Q45" s="275">
        <f ca="1">(N45+P45)*IF(OR(AND(C45=ÉV!$I$2,D45&gt;ÉV!$J$2),C45&gt;ÉV!$I$2),0,1)</f>
        <v>0</v>
      </c>
      <c r="R45" s="271">
        <f ca="1">(MAX(0,F45-E45-0.003)*0.9*((K45+I45)*(1/12)))*IF(OR(C45&gt;ÉV!$I$2,AND(C45=ÉV!$I$2,D45&gt;ÉV!$J$2)),0,1)</f>
        <v>0</v>
      </c>
      <c r="S45" s="271">
        <f ca="1">(MAX(0,F45-0.003)*0.9*((O45)*(1/12)))*IF(OR(C45&gt;ÉV!$I$2,AND(C45=ÉV!$I$2,D45&gt;ÉV!$J$2)),0,1)</f>
        <v>0</v>
      </c>
      <c r="T45" s="271">
        <f ca="1">(MAX(0,F45-0.003)*0.9*((Q44)*(1/12)))*IF(OR(C45&gt;ÉV!$I$2,AND(C45=ÉV!$I$2,D45&gt;ÉV!$J$2)),0,1)</f>
        <v>0</v>
      </c>
      <c r="U45" s="271">
        <f ca="1">IF($D45=1,R45,R45+U44)*IF(OR(C45&gt;ÉV!$I$2,AND(C45=ÉV!$I$2,D45&gt;ÉV!$J$2)),0,1)</f>
        <v>0</v>
      </c>
      <c r="V45" s="271">
        <f ca="1">IF($D45=1,S45,S45+V44)*IF(OR(C45&gt;ÉV!$I$2,AND(C45=ÉV!$I$2,D45&gt;ÉV!$J$2)),0,1)</f>
        <v>0</v>
      </c>
      <c r="W45" s="271">
        <f ca="1">IF($D45=1,T45,T45+W44)*IF(OR(C45&gt;ÉV!$I$2,AND(C45=ÉV!$I$2,D45&gt;ÉV!$J$2)),0,1)</f>
        <v>0</v>
      </c>
      <c r="X45" s="271">
        <f ca="1">IF(OR(D45=12,AND(C45=ÉV!$I$2,D45=ÉV!$J$2)),SUM(U45:W45)+X44,X44)*IF(OR(C45&gt;ÉV!$I$2,AND(C45=ÉV!$I$2,D45&gt;ÉV!$J$2)),0,1)</f>
        <v>0</v>
      </c>
      <c r="Y45" s="271">
        <f t="shared" ca="1" si="0"/>
        <v>0</v>
      </c>
      <c r="Z45" s="265">
        <f t="shared" si="1"/>
        <v>7</v>
      </c>
      <c r="AA45" s="272">
        <f t="shared" ca="1" si="2"/>
        <v>18513.657899999998</v>
      </c>
      <c r="AB45" s="265">
        <f t="shared" ca="1" si="10"/>
        <v>2020</v>
      </c>
      <c r="AC45" s="265">
        <f t="shared" ca="1" si="11"/>
        <v>10</v>
      </c>
      <c r="AD45" s="276">
        <f ca="1">IF(     OR(               AND(MAX(AF$6:AF45)&lt;2,  AC45=12),                 AF45=2),                   SUMIF(AB:AB,AB45,AA:AA),                       0)</f>
        <v>0</v>
      </c>
      <c r="AE45" s="277">
        <f t="shared" ca="1" si="12"/>
        <v>0</v>
      </c>
      <c r="AF45" s="277">
        <f t="shared" ca="1" si="4"/>
        <v>0</v>
      </c>
      <c r="AG45" s="402">
        <f ca="1">IF(  AND(AC45=AdóHó,   MAX(AF$1:AF44)&lt;2),   SUMIF(AB:AB,AB45-1,AE:AE),0  )
+ IF(AND(AC45&lt;AdóHó,                            AF45=2),   SUMIF(AB:AB,AB45-1,AE:AE),0  )
+ IF(                                                                  AF45=2,    SUMIF(AB:AB,AB45,AE:AE   ),0  )</f>
        <v>0</v>
      </c>
      <c r="AH45" s="272">
        <f ca="1">SUM(AG$2:AG45)</f>
        <v>117248.561</v>
      </c>
    </row>
    <row r="46" spans="1:34">
      <c r="A46" s="265">
        <f t="shared" si="6"/>
        <v>4</v>
      </c>
      <c r="B46" s="265">
        <f t="shared" si="7"/>
        <v>8</v>
      </c>
      <c r="C46" s="265">
        <f t="shared" ca="1" si="8"/>
        <v>4</v>
      </c>
      <c r="D46" s="265">
        <f t="shared" ca="1" si="9"/>
        <v>11</v>
      </c>
      <c r="E46" s="266">
        <v>5.0000000000000001E-3</v>
      </c>
      <c r="F46" s="267">
        <f>ÉV!$B$12</f>
        <v>0</v>
      </c>
      <c r="G46" s="271">
        <f ca="1">VLOOKUP(A46,ÉV!$A$18:$B$65,2,0)</f>
        <v>222163.89479999998</v>
      </c>
      <c r="H46" s="271">
        <f ca="1">IF(OR(A46=1,AND(C46=ÉV!$I$2,D46&gt;ÉV!$J$2),C46&gt;ÉV!$I$2),0,INDEX(Pz!$B$2:$AM$48,A46-1,ÉV!$G$2-9)/100000*ÉV!$B$10)</f>
        <v>196975.13132965899</v>
      </c>
      <c r="I46" s="271">
        <f ca="1">INDEX(Pz!$B$2:$AM$48,HÓ!A46,ÉV!$G$2-9)/100000*ÉV!$B$10</f>
        <v>200897.91689368687</v>
      </c>
      <c r="J46" s="273">
        <f ca="1">IF(OR(A46=1,A46=2,AND(C46=ÉV!$I$2,D46&gt;ÉV!$J$2),C46&gt;ÉV!$I$2),0,VLOOKUP(A46-2,ÉV!$A$18:$C$65,3,0))</f>
        <v>154630.85788632699</v>
      </c>
      <c r="K46" s="273">
        <f ca="1">IF(OR(A46=1,AND(C46=ÉV!$I$2,D46&gt;ÉV!$J$2),C46&gt;ÉV!$I$2),0,VLOOKUP(A46-1,ÉV!$A$18:$C$65,3,0))</f>
        <v>351132.31875505357</v>
      </c>
      <c r="L46" s="273">
        <f ca="1">VLOOKUP(A46,ÉV!$A$18:$C$65,3,0)*IF(OR(AND(C46=ÉV!$I$2,D46&gt;ÉV!$J$2),C46&gt;ÉV!$I$2),0,1)</f>
        <v>552209.02744219545</v>
      </c>
      <c r="M46" s="273">
        <f ca="1">(K46*(12-B46)/12+L46*B46/12)*IF(A46&gt;ÉV!$G$2,0,1)+IF(A46&gt;ÉV!$G$2,M45,0)*IF(OR(AND(C46=ÉV!$I$2,D46&gt;ÉV!$J$2),C46&gt;ÉV!$I$2),0,1)</f>
        <v>485183.45787981484</v>
      </c>
      <c r="N46" s="274">
        <f ca="1">IF(AND(C46=1,D46&lt;12),0,1)*IF(D46=12,MAX(0,F46-E46-0.003)*0.9*((K46+I46)*(B46/12)+(J46+H46)*(1-B46/12))+MAX(0,F46-0.003)*0.9*N45+N45,IF(AND(C46=ÉV!$I$2,D46=ÉV!$J$2),(M46+N45)*MAX(0,F46-0.003)*0.9*(D46/12)+N45,N45))*IF(OR(C46&gt;ÉV!$I$2,AND(C46=ÉV!$I$2,D46&gt;ÉV!$J$2)),0,1)</f>
        <v>0</v>
      </c>
      <c r="O46" s="313">
        <f ca="1">IF(MAX(AF$2:AF45)=2,      0,IF(OR(AC46=7, AF46=2),    SUM(AE$2:AE46),    O45)   )</f>
        <v>117248.561</v>
      </c>
      <c r="P46" s="271">
        <f ca="1">IF(D46=12,V46+P45+P45*(F46-0.003)*0.9,IF(AND(C46=ÉV!$I$2,D46=ÉV!$J$2),V46+P45+P45*(F46-0.003)*0.9*D46/12,P45))*IF(OR(C46&gt;ÉV!$I$2,AND(C46=ÉV!$I$2,D46&gt;ÉV!$J$2)),0,1)</f>
        <v>0</v>
      </c>
      <c r="Q46" s="275">
        <f ca="1">(N46+P46)*IF(OR(AND(C46=ÉV!$I$2,D46&gt;ÉV!$J$2),C46&gt;ÉV!$I$2),0,1)</f>
        <v>0</v>
      </c>
      <c r="R46" s="271">
        <f ca="1">(MAX(0,F46-E46-0.003)*0.9*((K46+I46)*(1/12)))*IF(OR(C46&gt;ÉV!$I$2,AND(C46=ÉV!$I$2,D46&gt;ÉV!$J$2)),0,1)</f>
        <v>0</v>
      </c>
      <c r="S46" s="271">
        <f ca="1">(MAX(0,F46-0.003)*0.9*((O46)*(1/12)))*IF(OR(C46&gt;ÉV!$I$2,AND(C46=ÉV!$I$2,D46&gt;ÉV!$J$2)),0,1)</f>
        <v>0</v>
      </c>
      <c r="T46" s="271">
        <f ca="1">(MAX(0,F46-0.003)*0.9*((Q45)*(1/12)))*IF(OR(C46&gt;ÉV!$I$2,AND(C46=ÉV!$I$2,D46&gt;ÉV!$J$2)),0,1)</f>
        <v>0</v>
      </c>
      <c r="U46" s="271">
        <f ca="1">IF($D46=1,R46,R46+U45)*IF(OR(C46&gt;ÉV!$I$2,AND(C46=ÉV!$I$2,D46&gt;ÉV!$J$2)),0,1)</f>
        <v>0</v>
      </c>
      <c r="V46" s="271">
        <f ca="1">IF($D46=1,S46,S46+V45)*IF(OR(C46&gt;ÉV!$I$2,AND(C46=ÉV!$I$2,D46&gt;ÉV!$J$2)),0,1)</f>
        <v>0</v>
      </c>
      <c r="W46" s="271">
        <f ca="1">IF($D46=1,T46,T46+W45)*IF(OR(C46&gt;ÉV!$I$2,AND(C46=ÉV!$I$2,D46&gt;ÉV!$J$2)),0,1)</f>
        <v>0</v>
      </c>
      <c r="X46" s="271">
        <f ca="1">IF(OR(D46=12,AND(C46=ÉV!$I$2,D46=ÉV!$J$2)),SUM(U46:W46)+X45,X45)*IF(OR(C46&gt;ÉV!$I$2,AND(C46=ÉV!$I$2,D46&gt;ÉV!$J$2)),0,1)</f>
        <v>0</v>
      </c>
      <c r="Y46" s="271">
        <f t="shared" ca="1" si="0"/>
        <v>0</v>
      </c>
      <c r="Z46" s="265">
        <f t="shared" si="1"/>
        <v>8</v>
      </c>
      <c r="AA46" s="272">
        <f t="shared" ca="1" si="2"/>
        <v>18513.657899999998</v>
      </c>
      <c r="AB46" s="265">
        <f t="shared" ca="1" si="10"/>
        <v>2020</v>
      </c>
      <c r="AC46" s="265">
        <f t="shared" ca="1" si="11"/>
        <v>11</v>
      </c>
      <c r="AD46" s="276">
        <f ca="1">IF(     OR(               AND(MAX(AF$6:AF46)&lt;2,  AC46=12),                 AF46=2),                   SUMIF(AB:AB,AB46,AA:AA),                       0)</f>
        <v>0</v>
      </c>
      <c r="AE46" s="277">
        <f t="shared" ca="1" si="12"/>
        <v>0</v>
      </c>
      <c r="AF46" s="277">
        <f t="shared" ca="1" si="4"/>
        <v>0</v>
      </c>
      <c r="AG46" s="402">
        <f ca="1">IF(  AND(AC46=AdóHó,   MAX(AF$1:AF45)&lt;2),   SUMIF(AB:AB,AB46-1,AE:AE),0  )
+ IF(AND(AC46&lt;AdóHó,                            AF46=2),   SUMIF(AB:AB,AB46-1,AE:AE),0  )
+ IF(                                                                  AF46=2,    SUMIF(AB:AB,AB46,AE:AE   ),0  )</f>
        <v>0</v>
      </c>
      <c r="AH46" s="272">
        <f ca="1">SUM(AG$2:AG46)</f>
        <v>117248.561</v>
      </c>
    </row>
    <row r="47" spans="1:34">
      <c r="A47" s="265">
        <f t="shared" si="6"/>
        <v>4</v>
      </c>
      <c r="B47" s="265">
        <f t="shared" si="7"/>
        <v>9</v>
      </c>
      <c r="C47" s="265">
        <f t="shared" ca="1" si="8"/>
        <v>4</v>
      </c>
      <c r="D47" s="265">
        <f t="shared" ca="1" si="9"/>
        <v>12</v>
      </c>
      <c r="E47" s="266">
        <v>5.0000000000000001E-3</v>
      </c>
      <c r="F47" s="267">
        <f>ÉV!$B$12</f>
        <v>0</v>
      </c>
      <c r="G47" s="271">
        <f ca="1">VLOOKUP(A47,ÉV!$A$18:$B$65,2,0)</f>
        <v>222163.89479999998</v>
      </c>
      <c r="H47" s="271">
        <f ca="1">IF(OR(A47=1,AND(C47=ÉV!$I$2,D47&gt;ÉV!$J$2),C47&gt;ÉV!$I$2),0,INDEX(Pz!$B$2:$AM$48,A47-1,ÉV!$G$2-9)/100000*ÉV!$B$10)</f>
        <v>196975.13132965899</v>
      </c>
      <c r="I47" s="271">
        <f ca="1">INDEX(Pz!$B$2:$AM$48,HÓ!A47,ÉV!$G$2-9)/100000*ÉV!$B$10</f>
        <v>200897.91689368687</v>
      </c>
      <c r="J47" s="273">
        <f ca="1">IF(OR(A47=1,A47=2,AND(C47=ÉV!$I$2,D47&gt;ÉV!$J$2),C47&gt;ÉV!$I$2),0,VLOOKUP(A47-2,ÉV!$A$18:$C$65,3,0))</f>
        <v>154630.85788632699</v>
      </c>
      <c r="K47" s="273">
        <f ca="1">IF(OR(A47=1,AND(C47=ÉV!$I$2,D47&gt;ÉV!$J$2),C47&gt;ÉV!$I$2),0,VLOOKUP(A47-1,ÉV!$A$18:$C$65,3,0))</f>
        <v>351132.31875505357</v>
      </c>
      <c r="L47" s="273">
        <f ca="1">VLOOKUP(A47,ÉV!$A$18:$C$65,3,0)*IF(OR(AND(C47=ÉV!$I$2,D47&gt;ÉV!$J$2),C47&gt;ÉV!$I$2),0,1)</f>
        <v>552209.02744219545</v>
      </c>
      <c r="M47" s="273">
        <f ca="1">(K47*(12-B47)/12+L47*B47/12)*IF(A47&gt;ÉV!$G$2,0,1)+IF(A47&gt;ÉV!$G$2,M46,0)*IF(OR(AND(C47=ÉV!$I$2,D47&gt;ÉV!$J$2),C47&gt;ÉV!$I$2),0,1)</f>
        <v>501939.85027041001</v>
      </c>
      <c r="N47" s="274">
        <f ca="1">IF(AND(C47=1,D47&lt;12),0,1)*IF(D47=12,MAX(0,F47-E47-0.003)*0.9*((K47+I47)*(B47/12)+(J47+H47)*(1-B47/12))+MAX(0,F47-0.003)*0.9*N46+N46,IF(AND(C47=ÉV!$I$2,D47=ÉV!$J$2),(M47+N46)*MAX(0,F47-0.003)*0.9*(D47/12)+N46,N46))*IF(OR(C47&gt;ÉV!$I$2,AND(C47=ÉV!$I$2,D47&gt;ÉV!$J$2)),0,1)</f>
        <v>0</v>
      </c>
      <c r="O47" s="313">
        <f ca="1">IF(MAX(AF$2:AF46)=2,      0,IF(OR(AC47=7, AF47=2),    SUM(AE$2:AE47),    O46)   )</f>
        <v>117248.561</v>
      </c>
      <c r="P47" s="271">
        <f ca="1">IF(D47=12,V47+P46+P46*(F47-0.003)*0.9,IF(AND(C47=ÉV!$I$2,D47=ÉV!$J$2),V47+P46+P46*(F47-0.003)*0.9*D47/12,P46))*IF(OR(C47&gt;ÉV!$I$2,AND(C47=ÉV!$I$2,D47&gt;ÉV!$J$2)),0,1)</f>
        <v>0</v>
      </c>
      <c r="Q47" s="275">
        <f ca="1">(N47+P47)*IF(OR(AND(C47=ÉV!$I$2,D47&gt;ÉV!$J$2),C47&gt;ÉV!$I$2),0,1)</f>
        <v>0</v>
      </c>
      <c r="R47" s="271">
        <f ca="1">(MAX(0,F47-E47-0.003)*0.9*((K47+I47)*(1/12)))*IF(OR(C47&gt;ÉV!$I$2,AND(C47=ÉV!$I$2,D47&gt;ÉV!$J$2)),0,1)</f>
        <v>0</v>
      </c>
      <c r="S47" s="271">
        <f ca="1">(MAX(0,F47-0.003)*0.9*((O47)*(1/12)))*IF(OR(C47&gt;ÉV!$I$2,AND(C47=ÉV!$I$2,D47&gt;ÉV!$J$2)),0,1)</f>
        <v>0</v>
      </c>
      <c r="T47" s="271">
        <f ca="1">(MAX(0,F47-0.003)*0.9*((Q46)*(1/12)))*IF(OR(C47&gt;ÉV!$I$2,AND(C47=ÉV!$I$2,D47&gt;ÉV!$J$2)),0,1)</f>
        <v>0</v>
      </c>
      <c r="U47" s="271">
        <f ca="1">IF($D47=1,R47,R47+U46)*IF(OR(C47&gt;ÉV!$I$2,AND(C47=ÉV!$I$2,D47&gt;ÉV!$J$2)),0,1)</f>
        <v>0</v>
      </c>
      <c r="V47" s="271">
        <f ca="1">IF($D47=1,S47,S47+V46)*IF(OR(C47&gt;ÉV!$I$2,AND(C47=ÉV!$I$2,D47&gt;ÉV!$J$2)),0,1)</f>
        <v>0</v>
      </c>
      <c r="W47" s="271">
        <f ca="1">IF($D47=1,T47,T47+W46)*IF(OR(C47&gt;ÉV!$I$2,AND(C47=ÉV!$I$2,D47&gt;ÉV!$J$2)),0,1)</f>
        <v>0</v>
      </c>
      <c r="X47" s="271">
        <f ca="1">IF(OR(D47=12,AND(C47=ÉV!$I$2,D47=ÉV!$J$2)),SUM(U47:W47)+X46,X46)*IF(OR(C47&gt;ÉV!$I$2,AND(C47=ÉV!$I$2,D47&gt;ÉV!$J$2)),0,1)</f>
        <v>0</v>
      </c>
      <c r="Y47" s="271">
        <f t="shared" ca="1" si="0"/>
        <v>0</v>
      </c>
      <c r="Z47" s="265">
        <f t="shared" si="1"/>
        <v>9</v>
      </c>
      <c r="AA47" s="272">
        <f t="shared" ca="1" si="2"/>
        <v>18513.657899999998</v>
      </c>
      <c r="AB47" s="265">
        <f t="shared" ca="1" si="10"/>
        <v>2020</v>
      </c>
      <c r="AC47" s="265">
        <f t="shared" ca="1" si="11"/>
        <v>12</v>
      </c>
      <c r="AD47" s="276">
        <f ca="1">IF(     OR(               AND(MAX(AF$6:AF47)&lt;2,  AC47=12),                 AF47=2),                   SUMIF(AB:AB,AB47,AA:AA),                       0)</f>
        <v>221074.85609999992</v>
      </c>
      <c r="AE47" s="277">
        <f t="shared" ca="1" si="12"/>
        <v>44214.971219999985</v>
      </c>
      <c r="AF47" s="277">
        <f t="shared" ca="1" si="4"/>
        <v>0</v>
      </c>
      <c r="AG47" s="402">
        <f ca="1">IF(  AND(AC47=AdóHó,   MAX(AF$1:AF46)&lt;2),   SUMIF(AB:AB,AB47-1,AE:AE),0  )
+ IF(AND(AC47&lt;AdóHó,                            AF47=2),   SUMIF(AB:AB,AB47-1,AE:AE),0  )
+ IF(                                                                  AF47=2,    SUMIF(AB:AB,AB47,AE:AE   ),0  )</f>
        <v>0</v>
      </c>
      <c r="AH47" s="272">
        <f ca="1">SUM(AG$2:AG47)</f>
        <v>117248.561</v>
      </c>
    </row>
    <row r="48" spans="1:34">
      <c r="A48" s="265">
        <f t="shared" si="6"/>
        <v>4</v>
      </c>
      <c r="B48" s="265">
        <f t="shared" si="7"/>
        <v>10</v>
      </c>
      <c r="C48" s="265">
        <f t="shared" ca="1" si="8"/>
        <v>5</v>
      </c>
      <c r="D48" s="265">
        <f t="shared" ca="1" si="9"/>
        <v>1</v>
      </c>
      <c r="E48" s="266">
        <v>5.0000000000000001E-3</v>
      </c>
      <c r="F48" s="267">
        <f>ÉV!$B$12</f>
        <v>0</v>
      </c>
      <c r="G48" s="271">
        <f ca="1">VLOOKUP(A48,ÉV!$A$18:$B$65,2,0)</f>
        <v>222163.89479999998</v>
      </c>
      <c r="H48" s="271">
        <f ca="1">IF(OR(A48=1,AND(C48=ÉV!$I$2,D48&gt;ÉV!$J$2),C48&gt;ÉV!$I$2),0,INDEX(Pz!$B$2:$AM$48,A48-1,ÉV!$G$2-9)/100000*ÉV!$B$10)</f>
        <v>196975.13132965899</v>
      </c>
      <c r="I48" s="271">
        <f ca="1">INDEX(Pz!$B$2:$AM$48,HÓ!A48,ÉV!$G$2-9)/100000*ÉV!$B$10</f>
        <v>200897.91689368687</v>
      </c>
      <c r="J48" s="273">
        <f ca="1">IF(OR(A48=1,A48=2,AND(C48=ÉV!$I$2,D48&gt;ÉV!$J$2),C48&gt;ÉV!$I$2),0,VLOOKUP(A48-2,ÉV!$A$18:$C$65,3,0))</f>
        <v>154630.85788632699</v>
      </c>
      <c r="K48" s="273">
        <f ca="1">IF(OR(A48=1,AND(C48=ÉV!$I$2,D48&gt;ÉV!$J$2),C48&gt;ÉV!$I$2),0,VLOOKUP(A48-1,ÉV!$A$18:$C$65,3,0))</f>
        <v>351132.31875505357</v>
      </c>
      <c r="L48" s="273">
        <f ca="1">VLOOKUP(A48,ÉV!$A$18:$C$65,3,0)*IF(OR(AND(C48=ÉV!$I$2,D48&gt;ÉV!$J$2),C48&gt;ÉV!$I$2),0,1)</f>
        <v>552209.02744219545</v>
      </c>
      <c r="M48" s="273">
        <f ca="1">(K48*(12-B48)/12+L48*B48/12)*IF(A48&gt;ÉV!$G$2,0,1)+IF(A48&gt;ÉV!$G$2,M47,0)*IF(OR(AND(C48=ÉV!$I$2,D48&gt;ÉV!$J$2),C48&gt;ÉV!$I$2),0,1)</f>
        <v>518696.24266100512</v>
      </c>
      <c r="N48" s="274">
        <f ca="1">IF(AND(C48=1,D48&lt;12),0,1)*IF(D48=12,MAX(0,F48-E48-0.003)*0.9*((K48+I48)*(B48/12)+(J48+H48)*(1-B48/12))+MAX(0,F48-0.003)*0.9*N47+N47,IF(AND(C48=ÉV!$I$2,D48=ÉV!$J$2),(M48+N47)*MAX(0,F48-0.003)*0.9*(D48/12)+N47,N47))*IF(OR(C48&gt;ÉV!$I$2,AND(C48=ÉV!$I$2,D48&gt;ÉV!$J$2)),0,1)</f>
        <v>0</v>
      </c>
      <c r="O48" s="313">
        <f ca="1">IF(MAX(AF$2:AF47)=2,      0,IF(OR(AC48=7, AF48=2),    SUM(AE$2:AE48),    O47)   )</f>
        <v>117248.561</v>
      </c>
      <c r="P48" s="271">
        <f ca="1">IF(D48=12,V48+P47+P47*(F48-0.003)*0.9,IF(AND(C48=ÉV!$I$2,D48=ÉV!$J$2),V48+P47+P47*(F48-0.003)*0.9*D48/12,P47))*IF(OR(C48&gt;ÉV!$I$2,AND(C48=ÉV!$I$2,D48&gt;ÉV!$J$2)),0,1)</f>
        <v>0</v>
      </c>
      <c r="Q48" s="275">
        <f ca="1">(N48+P48)*IF(OR(AND(C48=ÉV!$I$2,D48&gt;ÉV!$J$2),C48&gt;ÉV!$I$2),0,1)</f>
        <v>0</v>
      </c>
      <c r="R48" s="271">
        <f ca="1">(MAX(0,F48-E48-0.003)*0.9*((K48+I48)*(1/12)))*IF(OR(C48&gt;ÉV!$I$2,AND(C48=ÉV!$I$2,D48&gt;ÉV!$J$2)),0,1)</f>
        <v>0</v>
      </c>
      <c r="S48" s="271">
        <f ca="1">(MAX(0,F48-0.003)*0.9*((O48)*(1/12)))*IF(OR(C48&gt;ÉV!$I$2,AND(C48=ÉV!$I$2,D48&gt;ÉV!$J$2)),0,1)</f>
        <v>0</v>
      </c>
      <c r="T48" s="271">
        <f ca="1">(MAX(0,F48-0.003)*0.9*((Q47)*(1/12)))*IF(OR(C48&gt;ÉV!$I$2,AND(C48=ÉV!$I$2,D48&gt;ÉV!$J$2)),0,1)</f>
        <v>0</v>
      </c>
      <c r="U48" s="271">
        <f ca="1">IF($D48=1,R48,R48+U47)*IF(OR(C48&gt;ÉV!$I$2,AND(C48=ÉV!$I$2,D48&gt;ÉV!$J$2)),0,1)</f>
        <v>0</v>
      </c>
      <c r="V48" s="271">
        <f ca="1">IF($D48=1,S48,S48+V47)*IF(OR(C48&gt;ÉV!$I$2,AND(C48=ÉV!$I$2,D48&gt;ÉV!$J$2)),0,1)</f>
        <v>0</v>
      </c>
      <c r="W48" s="271">
        <f ca="1">IF($D48=1,T48,T48+W47)*IF(OR(C48&gt;ÉV!$I$2,AND(C48=ÉV!$I$2,D48&gt;ÉV!$J$2)),0,1)</f>
        <v>0</v>
      </c>
      <c r="X48" s="271">
        <f ca="1">IF(OR(D48=12,AND(C48=ÉV!$I$2,D48=ÉV!$J$2)),SUM(U48:W48)+X47,X47)*IF(OR(C48&gt;ÉV!$I$2,AND(C48=ÉV!$I$2,D48&gt;ÉV!$J$2)),0,1)</f>
        <v>0</v>
      </c>
      <c r="Y48" s="271">
        <f t="shared" ca="1" si="0"/>
        <v>0</v>
      </c>
      <c r="Z48" s="265">
        <f t="shared" si="1"/>
        <v>10</v>
      </c>
      <c r="AA48" s="272">
        <f t="shared" ca="1" si="2"/>
        <v>18513.657899999998</v>
      </c>
      <c r="AB48" s="265">
        <f t="shared" ca="1" si="10"/>
        <v>2021</v>
      </c>
      <c r="AC48" s="265">
        <f t="shared" ca="1" si="11"/>
        <v>1</v>
      </c>
      <c r="AD48" s="276">
        <f ca="1">IF(     OR(               AND(MAX(AF$6:AF48)&lt;2,  AC48=12),                 AF48=2),                   SUMIF(AB:AB,AB48,AA:AA),                       0)</f>
        <v>0</v>
      </c>
      <c r="AE48" s="277">
        <f t="shared" ca="1" si="12"/>
        <v>0</v>
      </c>
      <c r="AF48" s="277">
        <f t="shared" ca="1" si="4"/>
        <v>0</v>
      </c>
      <c r="AG48" s="402">
        <f ca="1">IF(  AND(AC48=AdóHó,   MAX(AF$1:AF47)&lt;2),   SUMIF(AB:AB,AB48-1,AE:AE),0  )
+ IF(AND(AC48&lt;AdóHó,                            AF48=2),   SUMIF(AB:AB,AB48-1,AE:AE),0  )
+ IF(                                                                  AF48=2,    SUMIF(AB:AB,AB48,AE:AE   ),0  )</f>
        <v>0</v>
      </c>
      <c r="AH48" s="272">
        <f ca="1">SUM(AG$2:AG48)</f>
        <v>117248.561</v>
      </c>
    </row>
    <row r="49" spans="1:34">
      <c r="A49" s="265">
        <f t="shared" si="6"/>
        <v>4</v>
      </c>
      <c r="B49" s="265">
        <f t="shared" si="7"/>
        <v>11</v>
      </c>
      <c r="C49" s="265">
        <f t="shared" ca="1" si="8"/>
        <v>5</v>
      </c>
      <c r="D49" s="265">
        <f t="shared" ca="1" si="9"/>
        <v>2</v>
      </c>
      <c r="E49" s="266">
        <v>5.0000000000000001E-3</v>
      </c>
      <c r="F49" s="267">
        <f>ÉV!$B$12</f>
        <v>0</v>
      </c>
      <c r="G49" s="271">
        <f ca="1">VLOOKUP(A49,ÉV!$A$18:$B$65,2,0)</f>
        <v>222163.89479999998</v>
      </c>
      <c r="H49" s="271">
        <f ca="1">IF(OR(A49=1,AND(C49=ÉV!$I$2,D49&gt;ÉV!$J$2),C49&gt;ÉV!$I$2),0,INDEX(Pz!$B$2:$AM$48,A49-1,ÉV!$G$2-9)/100000*ÉV!$B$10)</f>
        <v>196975.13132965899</v>
      </c>
      <c r="I49" s="271">
        <f ca="1">INDEX(Pz!$B$2:$AM$48,HÓ!A49,ÉV!$G$2-9)/100000*ÉV!$B$10</f>
        <v>200897.91689368687</v>
      </c>
      <c r="J49" s="273">
        <f ca="1">IF(OR(A49=1,A49=2,AND(C49=ÉV!$I$2,D49&gt;ÉV!$J$2),C49&gt;ÉV!$I$2),0,VLOOKUP(A49-2,ÉV!$A$18:$C$65,3,0))</f>
        <v>154630.85788632699</v>
      </c>
      <c r="K49" s="273">
        <f ca="1">IF(OR(A49=1,AND(C49=ÉV!$I$2,D49&gt;ÉV!$J$2),C49&gt;ÉV!$I$2),0,VLOOKUP(A49-1,ÉV!$A$18:$C$65,3,0))</f>
        <v>351132.31875505357</v>
      </c>
      <c r="L49" s="273">
        <f ca="1">VLOOKUP(A49,ÉV!$A$18:$C$65,3,0)*IF(OR(AND(C49=ÉV!$I$2,D49&gt;ÉV!$J$2),C49&gt;ÉV!$I$2),0,1)</f>
        <v>552209.02744219545</v>
      </c>
      <c r="M49" s="273">
        <f ca="1">(K49*(12-B49)/12+L49*B49/12)*IF(A49&gt;ÉV!$G$2,0,1)+IF(A49&gt;ÉV!$G$2,M48,0)*IF(OR(AND(C49=ÉV!$I$2,D49&gt;ÉV!$J$2),C49&gt;ÉV!$I$2),0,1)</f>
        <v>535452.63505160029</v>
      </c>
      <c r="N49" s="274">
        <f ca="1">IF(AND(C49=1,D49&lt;12),0,1)*IF(D49=12,MAX(0,F49-E49-0.003)*0.9*((K49+I49)*(B49/12)+(J49+H49)*(1-B49/12))+MAX(0,F49-0.003)*0.9*N48+N48,IF(AND(C49=ÉV!$I$2,D49=ÉV!$J$2),(M49+N48)*MAX(0,F49-0.003)*0.9*(D49/12)+N48,N48))*IF(OR(C49&gt;ÉV!$I$2,AND(C49=ÉV!$I$2,D49&gt;ÉV!$J$2)),0,1)</f>
        <v>0</v>
      </c>
      <c r="O49" s="313">
        <f ca="1">IF(MAX(AF$2:AF48)=2,      0,IF(OR(AC49=7, AF49=2),    SUM(AE$2:AE49),    O48)   )</f>
        <v>117248.561</v>
      </c>
      <c r="P49" s="271">
        <f ca="1">IF(D49=12,V49+P48+P48*(F49-0.003)*0.9,IF(AND(C49=ÉV!$I$2,D49=ÉV!$J$2),V49+P48+P48*(F49-0.003)*0.9*D49/12,P48))*IF(OR(C49&gt;ÉV!$I$2,AND(C49=ÉV!$I$2,D49&gt;ÉV!$J$2)),0,1)</f>
        <v>0</v>
      </c>
      <c r="Q49" s="275">
        <f ca="1">(N49+P49)*IF(OR(AND(C49=ÉV!$I$2,D49&gt;ÉV!$J$2),C49&gt;ÉV!$I$2),0,1)</f>
        <v>0</v>
      </c>
      <c r="R49" s="271">
        <f ca="1">(MAX(0,F49-E49-0.003)*0.9*((K49+I49)*(1/12)))*IF(OR(C49&gt;ÉV!$I$2,AND(C49=ÉV!$I$2,D49&gt;ÉV!$J$2)),0,1)</f>
        <v>0</v>
      </c>
      <c r="S49" s="271">
        <f ca="1">(MAX(0,F49-0.003)*0.9*((O49)*(1/12)))*IF(OR(C49&gt;ÉV!$I$2,AND(C49=ÉV!$I$2,D49&gt;ÉV!$J$2)),0,1)</f>
        <v>0</v>
      </c>
      <c r="T49" s="271">
        <f ca="1">(MAX(0,F49-0.003)*0.9*((Q48)*(1/12)))*IF(OR(C49&gt;ÉV!$I$2,AND(C49=ÉV!$I$2,D49&gt;ÉV!$J$2)),0,1)</f>
        <v>0</v>
      </c>
      <c r="U49" s="271">
        <f ca="1">IF($D49=1,R49,R49+U48)*IF(OR(C49&gt;ÉV!$I$2,AND(C49=ÉV!$I$2,D49&gt;ÉV!$J$2)),0,1)</f>
        <v>0</v>
      </c>
      <c r="V49" s="271">
        <f ca="1">IF($D49=1,S49,S49+V48)*IF(OR(C49&gt;ÉV!$I$2,AND(C49=ÉV!$I$2,D49&gt;ÉV!$J$2)),0,1)</f>
        <v>0</v>
      </c>
      <c r="W49" s="271">
        <f ca="1">IF($D49=1,T49,T49+W48)*IF(OR(C49&gt;ÉV!$I$2,AND(C49=ÉV!$I$2,D49&gt;ÉV!$J$2)),0,1)</f>
        <v>0</v>
      </c>
      <c r="X49" s="271">
        <f ca="1">IF(OR(D49=12,AND(C49=ÉV!$I$2,D49=ÉV!$J$2)),SUM(U49:W49)+X48,X48)*IF(OR(C49&gt;ÉV!$I$2,AND(C49=ÉV!$I$2,D49&gt;ÉV!$J$2)),0,1)</f>
        <v>0</v>
      </c>
      <c r="Y49" s="271">
        <f t="shared" ca="1" si="0"/>
        <v>0</v>
      </c>
      <c r="Z49" s="265">
        <f t="shared" si="1"/>
        <v>11</v>
      </c>
      <c r="AA49" s="272">
        <f t="shared" ca="1" si="2"/>
        <v>18513.657899999998</v>
      </c>
      <c r="AB49" s="265">
        <f t="shared" ca="1" si="10"/>
        <v>2021</v>
      </c>
      <c r="AC49" s="265">
        <f t="shared" ca="1" si="11"/>
        <v>2</v>
      </c>
      <c r="AD49" s="276">
        <f ca="1">IF(     OR(               AND(MAX(AF$6:AF49)&lt;2,  AC49=12),                 AF49=2),                   SUMIF(AB:AB,AB49,AA:AA),                       0)</f>
        <v>0</v>
      </c>
      <c r="AE49" s="277">
        <f t="shared" ca="1" si="12"/>
        <v>0</v>
      </c>
      <c r="AF49" s="277">
        <f t="shared" ca="1" si="4"/>
        <v>0</v>
      </c>
      <c r="AG49" s="402">
        <f ca="1">IF(  AND(AC49=AdóHó,   MAX(AF$1:AF48)&lt;2),   SUMIF(AB:AB,AB49-1,AE:AE),0  )
+ IF(AND(AC49&lt;AdóHó,                            AF49=2),   SUMIF(AB:AB,AB49-1,AE:AE),0  )
+ IF(                                                                  AF49=2,    SUMIF(AB:AB,AB49,AE:AE   ),0  )</f>
        <v>0</v>
      </c>
      <c r="AH49" s="272">
        <f ca="1">SUM(AG$2:AG49)</f>
        <v>117248.561</v>
      </c>
    </row>
    <row r="50" spans="1:34">
      <c r="A50" s="265">
        <f t="shared" si="6"/>
        <v>4</v>
      </c>
      <c r="B50" s="265">
        <f t="shared" si="7"/>
        <v>12</v>
      </c>
      <c r="C50" s="265">
        <f t="shared" ca="1" si="8"/>
        <v>5</v>
      </c>
      <c r="D50" s="265">
        <f t="shared" ca="1" si="9"/>
        <v>3</v>
      </c>
      <c r="E50" s="266">
        <v>5.0000000000000001E-3</v>
      </c>
      <c r="F50" s="267">
        <f>ÉV!$B$12</f>
        <v>0</v>
      </c>
      <c r="G50" s="271">
        <f ca="1">VLOOKUP(A50,ÉV!$A$18:$B$65,2,0)</f>
        <v>222163.89479999998</v>
      </c>
      <c r="H50" s="271">
        <f ca="1">IF(OR(A50=1,AND(C50=ÉV!$I$2,D50&gt;ÉV!$J$2),C50&gt;ÉV!$I$2),0,INDEX(Pz!$B$2:$AM$48,A50-1,ÉV!$G$2-9)/100000*ÉV!$B$10)</f>
        <v>196975.13132965899</v>
      </c>
      <c r="I50" s="271">
        <f ca="1">INDEX(Pz!$B$2:$AM$48,HÓ!A50,ÉV!$G$2-9)/100000*ÉV!$B$10</f>
        <v>200897.91689368687</v>
      </c>
      <c r="J50" s="273">
        <f ca="1">IF(OR(A50=1,A50=2,AND(C50=ÉV!$I$2,D50&gt;ÉV!$J$2),C50&gt;ÉV!$I$2),0,VLOOKUP(A50-2,ÉV!$A$18:$C$65,3,0))</f>
        <v>154630.85788632699</v>
      </c>
      <c r="K50" s="273">
        <f ca="1">IF(OR(A50=1,AND(C50=ÉV!$I$2,D50&gt;ÉV!$J$2),C50&gt;ÉV!$I$2),0,VLOOKUP(A50-1,ÉV!$A$18:$C$65,3,0))</f>
        <v>351132.31875505357</v>
      </c>
      <c r="L50" s="273">
        <f ca="1">VLOOKUP(A50,ÉV!$A$18:$C$65,3,0)*IF(OR(AND(C50=ÉV!$I$2,D50&gt;ÉV!$J$2),C50&gt;ÉV!$I$2),0,1)</f>
        <v>552209.02744219545</v>
      </c>
      <c r="M50" s="273">
        <f ca="1">(K50*(12-B50)/12+L50*B50/12)*IF(A50&gt;ÉV!$G$2,0,1)+IF(A50&gt;ÉV!$G$2,M49,0)*IF(OR(AND(C50=ÉV!$I$2,D50&gt;ÉV!$J$2),C50&gt;ÉV!$I$2),0,1)</f>
        <v>552209.02744219545</v>
      </c>
      <c r="N50" s="274">
        <f ca="1">IF(AND(C50=1,D50&lt;12),0,1)*IF(D50=12,MAX(0,F50-E50-0.003)*0.9*((K50+I50)*(B50/12)+(J50+H50)*(1-B50/12))+MAX(0,F50-0.003)*0.9*N49+N49,IF(AND(C50=ÉV!$I$2,D50=ÉV!$J$2),(M50+N49)*MAX(0,F50-0.003)*0.9*(D50/12)+N49,N49))*IF(OR(C50&gt;ÉV!$I$2,AND(C50=ÉV!$I$2,D50&gt;ÉV!$J$2)),0,1)</f>
        <v>0</v>
      </c>
      <c r="O50" s="313">
        <f ca="1">IF(MAX(AF$2:AF49)=2,      0,IF(OR(AC50=7, AF50=2),    SUM(AE$2:AE50),    O49)   )</f>
        <v>117248.561</v>
      </c>
      <c r="P50" s="271">
        <f ca="1">IF(D50=12,V50+P49+P49*(F50-0.003)*0.9,IF(AND(C50=ÉV!$I$2,D50=ÉV!$J$2),V50+P49+P49*(F50-0.003)*0.9*D50/12,P49))*IF(OR(C50&gt;ÉV!$I$2,AND(C50=ÉV!$I$2,D50&gt;ÉV!$J$2)),0,1)</f>
        <v>0</v>
      </c>
      <c r="Q50" s="275">
        <f ca="1">(N50+P50)*IF(OR(AND(C50=ÉV!$I$2,D50&gt;ÉV!$J$2),C50&gt;ÉV!$I$2),0,1)</f>
        <v>0</v>
      </c>
      <c r="R50" s="271">
        <f ca="1">(MAX(0,F50-E50-0.003)*0.9*((K50+I50)*(1/12)))*IF(OR(C50&gt;ÉV!$I$2,AND(C50=ÉV!$I$2,D50&gt;ÉV!$J$2)),0,1)</f>
        <v>0</v>
      </c>
      <c r="S50" s="271">
        <f ca="1">(MAX(0,F50-0.003)*0.9*((O50)*(1/12)))*IF(OR(C50&gt;ÉV!$I$2,AND(C50=ÉV!$I$2,D50&gt;ÉV!$J$2)),0,1)</f>
        <v>0</v>
      </c>
      <c r="T50" s="271">
        <f ca="1">(MAX(0,F50-0.003)*0.9*((Q49)*(1/12)))*IF(OR(C50&gt;ÉV!$I$2,AND(C50=ÉV!$I$2,D50&gt;ÉV!$J$2)),0,1)</f>
        <v>0</v>
      </c>
      <c r="U50" s="271">
        <f ca="1">IF($D50=1,R50,R50+U49)*IF(OR(C50&gt;ÉV!$I$2,AND(C50=ÉV!$I$2,D50&gt;ÉV!$J$2)),0,1)</f>
        <v>0</v>
      </c>
      <c r="V50" s="271">
        <f ca="1">IF($D50=1,S50,S50+V49)*IF(OR(C50&gt;ÉV!$I$2,AND(C50=ÉV!$I$2,D50&gt;ÉV!$J$2)),0,1)</f>
        <v>0</v>
      </c>
      <c r="W50" s="271">
        <f ca="1">IF($D50=1,T50,T50+W49)*IF(OR(C50&gt;ÉV!$I$2,AND(C50=ÉV!$I$2,D50&gt;ÉV!$J$2)),0,1)</f>
        <v>0</v>
      </c>
      <c r="X50" s="271">
        <f ca="1">IF(OR(D50=12,AND(C50=ÉV!$I$2,D50=ÉV!$J$2)),SUM(U50:W50)+X49,X49)*IF(OR(C50&gt;ÉV!$I$2,AND(C50=ÉV!$I$2,D50&gt;ÉV!$J$2)),0,1)</f>
        <v>0</v>
      </c>
      <c r="Y50" s="271">
        <f t="shared" ca="1" si="0"/>
        <v>0</v>
      </c>
      <c r="Z50" s="265">
        <f t="shared" si="1"/>
        <v>12</v>
      </c>
      <c r="AA50" s="272">
        <f t="shared" ca="1" si="2"/>
        <v>18513.657899999998</v>
      </c>
      <c r="AB50" s="265">
        <f t="shared" ca="1" si="10"/>
        <v>2021</v>
      </c>
      <c r="AC50" s="265">
        <f t="shared" ca="1" si="11"/>
        <v>3</v>
      </c>
      <c r="AD50" s="276">
        <f ca="1">IF(     OR(               AND(MAX(AF$6:AF50)&lt;2,  AC50=12),                 AF50=2),                   SUMIF(AB:AB,AB50,AA:AA),                       0)</f>
        <v>0</v>
      </c>
      <c r="AE50" s="277">
        <f t="shared" ca="1" si="12"/>
        <v>0</v>
      </c>
      <c r="AF50" s="277">
        <f t="shared" ca="1" si="4"/>
        <v>0</v>
      </c>
      <c r="AG50" s="402">
        <f ca="1">IF(  AND(AC50=AdóHó,   MAX(AF$1:AF49)&lt;2),   SUMIF(AB:AB,AB50-1,AE:AE),0  )
+ IF(AND(AC50&lt;AdóHó,                            AF50=2),   SUMIF(AB:AB,AB50-1,AE:AE),0  )
+ IF(                                                                  AF50=2,    SUMIF(AB:AB,AB50,AE:AE   ),0  )</f>
        <v>0</v>
      </c>
      <c r="AH50" s="272">
        <f ca="1">SUM(AG$2:AG50)</f>
        <v>117248.561</v>
      </c>
    </row>
    <row r="51" spans="1:34">
      <c r="A51" s="265">
        <f t="shared" si="6"/>
        <v>5</v>
      </c>
      <c r="B51" s="265">
        <f t="shared" si="7"/>
        <v>1</v>
      </c>
      <c r="C51" s="265">
        <f t="shared" ca="1" si="8"/>
        <v>5</v>
      </c>
      <c r="D51" s="265">
        <f t="shared" ca="1" si="9"/>
        <v>4</v>
      </c>
      <c r="E51" s="266">
        <v>5.0000000000000001E-3</v>
      </c>
      <c r="F51" s="267">
        <f>ÉV!$B$12</f>
        <v>0</v>
      </c>
      <c r="G51" s="271">
        <f ca="1">VLOOKUP(A51,ÉV!$A$18:$B$65,2,0)</f>
        <v>226607.17269599999</v>
      </c>
      <c r="H51" s="271">
        <f ca="1">IF(OR(A51=1,AND(C51=ÉV!$I$2,D51&gt;ÉV!$J$2),C51&gt;ÉV!$I$2),0,INDEX(Pz!$B$2:$AM$48,A51-1,ÉV!$G$2-9)/100000*ÉV!$B$10)</f>
        <v>200897.91689368687</v>
      </c>
      <c r="I51" s="271">
        <f ca="1">INDEX(Pz!$B$2:$AM$48,HÓ!A51,ÉV!$G$2-9)/100000*ÉV!$B$10</f>
        <v>204899.15816899529</v>
      </c>
      <c r="J51" s="273">
        <f ca="1">IF(OR(A51=1,A51=2,AND(C51=ÉV!$I$2,D51&gt;ÉV!$J$2),C51&gt;ÉV!$I$2),0,VLOOKUP(A51-2,ÉV!$A$18:$C$65,3,0))</f>
        <v>351132.31875505357</v>
      </c>
      <c r="K51" s="273">
        <f ca="1">IF(OR(A51=1,AND(C51=ÉV!$I$2,D51&gt;ÉV!$J$2),C51&gt;ÉV!$I$2),0,VLOOKUP(A51-1,ÉV!$A$18:$C$65,3,0))</f>
        <v>552209.02744219545</v>
      </c>
      <c r="L51" s="273">
        <f ca="1">VLOOKUP(A51,ÉV!$A$18:$C$65,3,0)*IF(OR(AND(C51=ÉV!$I$2,D51&gt;ÉV!$J$2),C51&gt;ÉV!$I$2),0,1)</f>
        <v>757946.78607107699</v>
      </c>
      <c r="M51" s="273">
        <f ca="1">(K51*(12-B51)/12+L51*B51/12)*IF(A51&gt;ÉV!$G$2,0,1)+IF(A51&gt;ÉV!$G$2,M50,0)*IF(OR(AND(C51=ÉV!$I$2,D51&gt;ÉV!$J$2),C51&gt;ÉV!$I$2),0,1)</f>
        <v>569353.84066126891</v>
      </c>
      <c r="N51" s="274">
        <f ca="1">IF(AND(C51=1,D51&lt;12),0,1)*IF(D51=12,MAX(0,F51-E51-0.003)*0.9*((K51+I51)*(B51/12)+(J51+H51)*(1-B51/12))+MAX(0,F51-0.003)*0.9*N50+N50,IF(AND(C51=ÉV!$I$2,D51=ÉV!$J$2),(M51+N50)*MAX(0,F51-0.003)*0.9*(D51/12)+N50,N50))*IF(OR(C51&gt;ÉV!$I$2,AND(C51=ÉV!$I$2,D51&gt;ÉV!$J$2)),0,1)</f>
        <v>0</v>
      </c>
      <c r="O51" s="313">
        <f ca="1">IF(MAX(AF$2:AF50)=2,      0,IF(OR(AC51=7, AF51=2),    SUM(AE$2:AE51),    O50)   )</f>
        <v>117248.561</v>
      </c>
      <c r="P51" s="271">
        <f ca="1">IF(D51=12,V51+P50+P50*(F51-0.003)*0.9,IF(AND(C51=ÉV!$I$2,D51=ÉV!$J$2),V51+P50+P50*(F51-0.003)*0.9*D51/12,P50))*IF(OR(C51&gt;ÉV!$I$2,AND(C51=ÉV!$I$2,D51&gt;ÉV!$J$2)),0,1)</f>
        <v>0</v>
      </c>
      <c r="Q51" s="275">
        <f ca="1">(N51+P51)*IF(OR(AND(C51=ÉV!$I$2,D51&gt;ÉV!$J$2),C51&gt;ÉV!$I$2),0,1)</f>
        <v>0</v>
      </c>
      <c r="R51" s="271">
        <f ca="1">(MAX(0,F51-E51-0.003)*0.9*((K51+I51)*(1/12)))*IF(OR(C51&gt;ÉV!$I$2,AND(C51=ÉV!$I$2,D51&gt;ÉV!$J$2)),0,1)</f>
        <v>0</v>
      </c>
      <c r="S51" s="271">
        <f ca="1">(MAX(0,F51-0.003)*0.9*((O51)*(1/12)))*IF(OR(C51&gt;ÉV!$I$2,AND(C51=ÉV!$I$2,D51&gt;ÉV!$J$2)),0,1)</f>
        <v>0</v>
      </c>
      <c r="T51" s="271">
        <f ca="1">(MAX(0,F51-0.003)*0.9*((Q50)*(1/12)))*IF(OR(C51&gt;ÉV!$I$2,AND(C51=ÉV!$I$2,D51&gt;ÉV!$J$2)),0,1)</f>
        <v>0</v>
      </c>
      <c r="U51" s="271">
        <f ca="1">IF($D51=1,R51,R51+U50)*IF(OR(C51&gt;ÉV!$I$2,AND(C51=ÉV!$I$2,D51&gt;ÉV!$J$2)),0,1)</f>
        <v>0</v>
      </c>
      <c r="V51" s="271">
        <f ca="1">IF($D51=1,S51,S51+V50)*IF(OR(C51&gt;ÉV!$I$2,AND(C51=ÉV!$I$2,D51&gt;ÉV!$J$2)),0,1)</f>
        <v>0</v>
      </c>
      <c r="W51" s="271">
        <f ca="1">IF($D51=1,T51,T51+W50)*IF(OR(C51&gt;ÉV!$I$2,AND(C51=ÉV!$I$2,D51&gt;ÉV!$J$2)),0,1)</f>
        <v>0</v>
      </c>
      <c r="X51" s="271">
        <f ca="1">IF(OR(D51=12,AND(C51=ÉV!$I$2,D51=ÉV!$J$2)),SUM(U51:W51)+X50,X50)*IF(OR(C51&gt;ÉV!$I$2,AND(C51=ÉV!$I$2,D51&gt;ÉV!$J$2)),0,1)</f>
        <v>0</v>
      </c>
      <c r="Y51" s="271">
        <f t="shared" ca="1" si="0"/>
        <v>0</v>
      </c>
      <c r="Z51" s="265">
        <f t="shared" si="1"/>
        <v>1</v>
      </c>
      <c r="AA51" s="272">
        <f t="shared" ca="1" si="2"/>
        <v>18883.931057999998</v>
      </c>
      <c r="AB51" s="265">
        <f t="shared" ca="1" si="10"/>
        <v>2021</v>
      </c>
      <c r="AC51" s="265">
        <f t="shared" ca="1" si="11"/>
        <v>4</v>
      </c>
      <c r="AD51" s="276">
        <f ca="1">IF(     OR(               AND(MAX(AF$6:AF51)&lt;2,  AC51=12),                 AF51=2),                   SUMIF(AB:AB,AB51,AA:AA),                       0)</f>
        <v>0</v>
      </c>
      <c r="AE51" s="277">
        <f t="shared" ca="1" si="12"/>
        <v>0</v>
      </c>
      <c r="AF51" s="277">
        <f t="shared" ca="1" si="4"/>
        <v>0</v>
      </c>
      <c r="AG51" s="402">
        <f ca="1">IF(  AND(AC51=AdóHó,   MAX(AF$1:AF50)&lt;2),   SUMIF(AB:AB,AB51-1,AE:AE),0  )
+ IF(AND(AC51&lt;AdóHó,                            AF51=2),   SUMIF(AB:AB,AB51-1,AE:AE),0  )
+ IF(                                                                  AF51=2,    SUMIF(AB:AB,AB51,AE:AE   ),0  )</f>
        <v>0</v>
      </c>
      <c r="AH51" s="272">
        <f ca="1">SUM(AG$2:AG51)</f>
        <v>117248.561</v>
      </c>
    </row>
    <row r="52" spans="1:34">
      <c r="A52" s="265">
        <f t="shared" si="6"/>
        <v>5</v>
      </c>
      <c r="B52" s="265">
        <f t="shared" si="7"/>
        <v>2</v>
      </c>
      <c r="C52" s="265">
        <f t="shared" ca="1" si="8"/>
        <v>5</v>
      </c>
      <c r="D52" s="265">
        <f t="shared" ca="1" si="9"/>
        <v>5</v>
      </c>
      <c r="E52" s="266">
        <v>5.0000000000000001E-3</v>
      </c>
      <c r="F52" s="267">
        <f>ÉV!$B$12</f>
        <v>0</v>
      </c>
      <c r="G52" s="271">
        <f ca="1">VLOOKUP(A52,ÉV!$A$18:$B$65,2,0)</f>
        <v>226607.17269599999</v>
      </c>
      <c r="H52" s="271">
        <f ca="1">IF(OR(A52=1,AND(C52=ÉV!$I$2,D52&gt;ÉV!$J$2),C52&gt;ÉV!$I$2),0,INDEX(Pz!$B$2:$AM$48,A52-1,ÉV!$G$2-9)/100000*ÉV!$B$10)</f>
        <v>200897.91689368687</v>
      </c>
      <c r="I52" s="271">
        <f ca="1">INDEX(Pz!$B$2:$AM$48,HÓ!A52,ÉV!$G$2-9)/100000*ÉV!$B$10</f>
        <v>204899.15816899529</v>
      </c>
      <c r="J52" s="273">
        <f ca="1">IF(OR(A52=1,A52=2,AND(C52=ÉV!$I$2,D52&gt;ÉV!$J$2),C52&gt;ÉV!$I$2),0,VLOOKUP(A52-2,ÉV!$A$18:$C$65,3,0))</f>
        <v>351132.31875505357</v>
      </c>
      <c r="K52" s="273">
        <f ca="1">IF(OR(A52=1,AND(C52=ÉV!$I$2,D52&gt;ÉV!$J$2),C52&gt;ÉV!$I$2),0,VLOOKUP(A52-1,ÉV!$A$18:$C$65,3,0))</f>
        <v>552209.02744219545</v>
      </c>
      <c r="L52" s="273">
        <f ca="1">VLOOKUP(A52,ÉV!$A$18:$C$65,3,0)*IF(OR(AND(C52=ÉV!$I$2,D52&gt;ÉV!$J$2),C52&gt;ÉV!$I$2),0,1)</f>
        <v>757946.78607107699</v>
      </c>
      <c r="M52" s="273">
        <f ca="1">(K52*(12-B52)/12+L52*B52/12)*IF(A52&gt;ÉV!$G$2,0,1)+IF(A52&gt;ÉV!$G$2,M51,0)*IF(OR(AND(C52=ÉV!$I$2,D52&gt;ÉV!$J$2),C52&gt;ÉV!$I$2),0,1)</f>
        <v>586498.65388034238</v>
      </c>
      <c r="N52" s="274">
        <f ca="1">IF(AND(C52=1,D52&lt;12),0,1)*IF(D52=12,MAX(0,F52-E52-0.003)*0.9*((K52+I52)*(B52/12)+(J52+H52)*(1-B52/12))+MAX(0,F52-0.003)*0.9*N51+N51,IF(AND(C52=ÉV!$I$2,D52=ÉV!$J$2),(M52+N51)*MAX(0,F52-0.003)*0.9*(D52/12)+N51,N51))*IF(OR(C52&gt;ÉV!$I$2,AND(C52=ÉV!$I$2,D52&gt;ÉV!$J$2)),0,1)</f>
        <v>0</v>
      </c>
      <c r="O52" s="313">
        <f ca="1">IF(MAX(AF$2:AF51)=2,      0,IF(OR(AC52=7, AF52=2),    SUM(AE$2:AE52),    O51)   )</f>
        <v>117248.561</v>
      </c>
      <c r="P52" s="271">
        <f ca="1">IF(D52=12,V52+P51+P51*(F52-0.003)*0.9,IF(AND(C52=ÉV!$I$2,D52=ÉV!$J$2),V52+P51+P51*(F52-0.003)*0.9*D52/12,P51))*IF(OR(C52&gt;ÉV!$I$2,AND(C52=ÉV!$I$2,D52&gt;ÉV!$J$2)),0,1)</f>
        <v>0</v>
      </c>
      <c r="Q52" s="275">
        <f ca="1">(N52+P52)*IF(OR(AND(C52=ÉV!$I$2,D52&gt;ÉV!$J$2),C52&gt;ÉV!$I$2),0,1)</f>
        <v>0</v>
      </c>
      <c r="R52" s="271">
        <f ca="1">(MAX(0,F52-E52-0.003)*0.9*((K52+I52)*(1/12)))*IF(OR(C52&gt;ÉV!$I$2,AND(C52=ÉV!$I$2,D52&gt;ÉV!$J$2)),0,1)</f>
        <v>0</v>
      </c>
      <c r="S52" s="271">
        <f ca="1">(MAX(0,F52-0.003)*0.9*((O52)*(1/12)))*IF(OR(C52&gt;ÉV!$I$2,AND(C52=ÉV!$I$2,D52&gt;ÉV!$J$2)),0,1)</f>
        <v>0</v>
      </c>
      <c r="T52" s="271">
        <f ca="1">(MAX(0,F52-0.003)*0.9*((Q51)*(1/12)))*IF(OR(C52&gt;ÉV!$I$2,AND(C52=ÉV!$I$2,D52&gt;ÉV!$J$2)),0,1)</f>
        <v>0</v>
      </c>
      <c r="U52" s="271">
        <f ca="1">IF($D52=1,R52,R52+U51)*IF(OR(C52&gt;ÉV!$I$2,AND(C52=ÉV!$I$2,D52&gt;ÉV!$J$2)),0,1)</f>
        <v>0</v>
      </c>
      <c r="V52" s="271">
        <f ca="1">IF($D52=1,S52,S52+V51)*IF(OR(C52&gt;ÉV!$I$2,AND(C52=ÉV!$I$2,D52&gt;ÉV!$J$2)),0,1)</f>
        <v>0</v>
      </c>
      <c r="W52" s="271">
        <f ca="1">IF($D52=1,T52,T52+W51)*IF(OR(C52&gt;ÉV!$I$2,AND(C52=ÉV!$I$2,D52&gt;ÉV!$J$2)),0,1)</f>
        <v>0</v>
      </c>
      <c r="X52" s="271">
        <f ca="1">IF(OR(D52=12,AND(C52=ÉV!$I$2,D52=ÉV!$J$2)),SUM(U52:W52)+X51,X51)*IF(OR(C52&gt;ÉV!$I$2,AND(C52=ÉV!$I$2,D52&gt;ÉV!$J$2)),0,1)</f>
        <v>0</v>
      </c>
      <c r="Y52" s="271">
        <f t="shared" ca="1" si="0"/>
        <v>0</v>
      </c>
      <c r="Z52" s="265">
        <f t="shared" si="1"/>
        <v>2</v>
      </c>
      <c r="AA52" s="272">
        <f t="shared" ca="1" si="2"/>
        <v>18883.931057999998</v>
      </c>
      <c r="AB52" s="265">
        <f t="shared" ca="1" si="10"/>
        <v>2021</v>
      </c>
      <c r="AC52" s="265">
        <f t="shared" ca="1" si="11"/>
        <v>5</v>
      </c>
      <c r="AD52" s="276">
        <f ca="1">IF(     OR(               AND(MAX(AF$6:AF52)&lt;2,  AC52=12),                 AF52=2),                   SUMIF(AB:AB,AB52,AA:AA),                       0)</f>
        <v>0</v>
      </c>
      <c r="AE52" s="277">
        <f t="shared" ca="1" si="12"/>
        <v>0</v>
      </c>
      <c r="AF52" s="277">
        <f t="shared" ca="1" si="4"/>
        <v>0</v>
      </c>
      <c r="AG52" s="402">
        <f ca="1">IF(  AND(AC52=AdóHó,   MAX(AF$1:AF51)&lt;2),   SUMIF(AB:AB,AB52-1,AE:AE),0  )
+ IF(AND(AC52&lt;AdóHó,                            AF52=2),   SUMIF(AB:AB,AB52-1,AE:AE),0  )
+ IF(                                                                  AF52=2,    SUMIF(AB:AB,AB52,AE:AE   ),0  )</f>
        <v>0</v>
      </c>
      <c r="AH52" s="272">
        <f ca="1">SUM(AG$2:AG52)</f>
        <v>117248.561</v>
      </c>
    </row>
    <row r="53" spans="1:34">
      <c r="A53" s="265">
        <f t="shared" si="6"/>
        <v>5</v>
      </c>
      <c r="B53" s="265">
        <f t="shared" si="7"/>
        <v>3</v>
      </c>
      <c r="C53" s="265">
        <f t="shared" ca="1" si="8"/>
        <v>5</v>
      </c>
      <c r="D53" s="265">
        <f t="shared" ca="1" si="9"/>
        <v>6</v>
      </c>
      <c r="E53" s="266">
        <v>5.0000000000000001E-3</v>
      </c>
      <c r="F53" s="267">
        <f>ÉV!$B$12</f>
        <v>0</v>
      </c>
      <c r="G53" s="271">
        <f ca="1">VLOOKUP(A53,ÉV!$A$18:$B$65,2,0)</f>
        <v>226607.17269599999</v>
      </c>
      <c r="H53" s="271">
        <f ca="1">IF(OR(A53=1,AND(C53=ÉV!$I$2,D53&gt;ÉV!$J$2),C53&gt;ÉV!$I$2),0,INDEX(Pz!$B$2:$AM$48,A53-1,ÉV!$G$2-9)/100000*ÉV!$B$10)</f>
        <v>200897.91689368687</v>
      </c>
      <c r="I53" s="271">
        <f ca="1">INDEX(Pz!$B$2:$AM$48,HÓ!A53,ÉV!$G$2-9)/100000*ÉV!$B$10</f>
        <v>204899.15816899529</v>
      </c>
      <c r="J53" s="273">
        <f ca="1">IF(OR(A53=1,A53=2,AND(C53=ÉV!$I$2,D53&gt;ÉV!$J$2),C53&gt;ÉV!$I$2),0,VLOOKUP(A53-2,ÉV!$A$18:$C$65,3,0))</f>
        <v>351132.31875505357</v>
      </c>
      <c r="K53" s="273">
        <f ca="1">IF(OR(A53=1,AND(C53=ÉV!$I$2,D53&gt;ÉV!$J$2),C53&gt;ÉV!$I$2),0,VLOOKUP(A53-1,ÉV!$A$18:$C$65,3,0))</f>
        <v>552209.02744219545</v>
      </c>
      <c r="L53" s="273">
        <f ca="1">VLOOKUP(A53,ÉV!$A$18:$C$65,3,0)*IF(OR(AND(C53=ÉV!$I$2,D53&gt;ÉV!$J$2),C53&gt;ÉV!$I$2),0,1)</f>
        <v>757946.78607107699</v>
      </c>
      <c r="M53" s="273">
        <f ca="1">(K53*(12-B53)/12+L53*B53/12)*IF(A53&gt;ÉV!$G$2,0,1)+IF(A53&gt;ÉV!$G$2,M52,0)*IF(OR(AND(C53=ÉV!$I$2,D53&gt;ÉV!$J$2),C53&gt;ÉV!$I$2),0,1)</f>
        <v>603643.46709941584</v>
      </c>
      <c r="N53" s="274">
        <f ca="1">IF(AND(C53=1,D53&lt;12),0,1)*IF(D53=12,MAX(0,F53-E53-0.003)*0.9*((K53+I53)*(B53/12)+(J53+H53)*(1-B53/12))+MAX(0,F53-0.003)*0.9*N52+N52,IF(AND(C53=ÉV!$I$2,D53=ÉV!$J$2),(M53+N52)*MAX(0,F53-0.003)*0.9*(D53/12)+N52,N52))*IF(OR(C53&gt;ÉV!$I$2,AND(C53=ÉV!$I$2,D53&gt;ÉV!$J$2)),0,1)</f>
        <v>0</v>
      </c>
      <c r="O53" s="313">
        <f ca="1">IF(MAX(AF$2:AF52)=2,      0,IF(OR(AC53=7, AF53=2),    SUM(AE$2:AE53),    O52)   )</f>
        <v>117248.561</v>
      </c>
      <c r="P53" s="271">
        <f ca="1">IF(D53=12,V53+P52+P52*(F53-0.003)*0.9,IF(AND(C53=ÉV!$I$2,D53=ÉV!$J$2),V53+P52+P52*(F53-0.003)*0.9*D53/12,P52))*IF(OR(C53&gt;ÉV!$I$2,AND(C53=ÉV!$I$2,D53&gt;ÉV!$J$2)),0,1)</f>
        <v>0</v>
      </c>
      <c r="Q53" s="275">
        <f ca="1">(N53+P53)*IF(OR(AND(C53=ÉV!$I$2,D53&gt;ÉV!$J$2),C53&gt;ÉV!$I$2),0,1)</f>
        <v>0</v>
      </c>
      <c r="R53" s="271">
        <f ca="1">(MAX(0,F53-E53-0.003)*0.9*((K53+I53)*(1/12)))*IF(OR(C53&gt;ÉV!$I$2,AND(C53=ÉV!$I$2,D53&gt;ÉV!$J$2)),0,1)</f>
        <v>0</v>
      </c>
      <c r="S53" s="271">
        <f ca="1">(MAX(0,F53-0.003)*0.9*((O53)*(1/12)))*IF(OR(C53&gt;ÉV!$I$2,AND(C53=ÉV!$I$2,D53&gt;ÉV!$J$2)),0,1)</f>
        <v>0</v>
      </c>
      <c r="T53" s="271">
        <f ca="1">(MAX(0,F53-0.003)*0.9*((Q52)*(1/12)))*IF(OR(C53&gt;ÉV!$I$2,AND(C53=ÉV!$I$2,D53&gt;ÉV!$J$2)),0,1)</f>
        <v>0</v>
      </c>
      <c r="U53" s="271">
        <f ca="1">IF($D53=1,R53,R53+U52)*IF(OR(C53&gt;ÉV!$I$2,AND(C53=ÉV!$I$2,D53&gt;ÉV!$J$2)),0,1)</f>
        <v>0</v>
      </c>
      <c r="V53" s="271">
        <f ca="1">IF($D53=1,S53,S53+V52)*IF(OR(C53&gt;ÉV!$I$2,AND(C53=ÉV!$I$2,D53&gt;ÉV!$J$2)),0,1)</f>
        <v>0</v>
      </c>
      <c r="W53" s="271">
        <f ca="1">IF($D53=1,T53,T53+W52)*IF(OR(C53&gt;ÉV!$I$2,AND(C53=ÉV!$I$2,D53&gt;ÉV!$J$2)),0,1)</f>
        <v>0</v>
      </c>
      <c r="X53" s="271">
        <f ca="1">IF(OR(D53=12,AND(C53=ÉV!$I$2,D53=ÉV!$J$2)),SUM(U53:W53)+X52,X52)*IF(OR(C53&gt;ÉV!$I$2,AND(C53=ÉV!$I$2,D53&gt;ÉV!$J$2)),0,1)</f>
        <v>0</v>
      </c>
      <c r="Y53" s="271">
        <f t="shared" ca="1" si="0"/>
        <v>0</v>
      </c>
      <c r="Z53" s="265">
        <f t="shared" si="1"/>
        <v>3</v>
      </c>
      <c r="AA53" s="272">
        <f t="shared" ca="1" si="2"/>
        <v>18883.931057999998</v>
      </c>
      <c r="AB53" s="265">
        <f t="shared" ca="1" si="10"/>
        <v>2021</v>
      </c>
      <c r="AC53" s="265">
        <f t="shared" ca="1" si="11"/>
        <v>6</v>
      </c>
      <c r="AD53" s="276">
        <f ca="1">IF(     OR(               AND(MAX(AF$6:AF53)&lt;2,  AC53=12),                 AF53=2),                   SUMIF(AB:AB,AB53,AA:AA),                       0)</f>
        <v>0</v>
      </c>
      <c r="AE53" s="277">
        <f t="shared" ca="1" si="12"/>
        <v>0</v>
      </c>
      <c r="AF53" s="277">
        <f t="shared" ca="1" si="4"/>
        <v>0</v>
      </c>
      <c r="AG53" s="402">
        <f ca="1">IF(  AND(AC53=AdóHó,   MAX(AF$1:AF52)&lt;2),   SUMIF(AB:AB,AB53-1,AE:AE),0  )
+ IF(AND(AC53&lt;AdóHó,                            AF53=2),   SUMIF(AB:AB,AB53-1,AE:AE),0  )
+ IF(                                                                  AF53=2,    SUMIF(AB:AB,AB53,AE:AE   ),0  )</f>
        <v>0</v>
      </c>
      <c r="AH53" s="272">
        <f ca="1">SUM(AG$2:AG53)</f>
        <v>117248.561</v>
      </c>
    </row>
    <row r="54" spans="1:34">
      <c r="A54" s="265">
        <f t="shared" si="6"/>
        <v>5</v>
      </c>
      <c r="B54" s="265">
        <f t="shared" si="7"/>
        <v>4</v>
      </c>
      <c r="C54" s="265">
        <f t="shared" ca="1" si="8"/>
        <v>5</v>
      </c>
      <c r="D54" s="265">
        <f t="shared" ca="1" si="9"/>
        <v>7</v>
      </c>
      <c r="E54" s="266">
        <v>5.0000000000000001E-3</v>
      </c>
      <c r="F54" s="267">
        <f>ÉV!$B$12</f>
        <v>0</v>
      </c>
      <c r="G54" s="271">
        <f ca="1">VLOOKUP(A54,ÉV!$A$18:$B$65,2,0)</f>
        <v>226607.17269599999</v>
      </c>
      <c r="H54" s="271">
        <f ca="1">IF(OR(A54=1,AND(C54=ÉV!$I$2,D54&gt;ÉV!$J$2),C54&gt;ÉV!$I$2),0,INDEX(Pz!$B$2:$AM$48,A54-1,ÉV!$G$2-9)/100000*ÉV!$B$10)</f>
        <v>200897.91689368687</v>
      </c>
      <c r="I54" s="271">
        <f ca="1">INDEX(Pz!$B$2:$AM$48,HÓ!A54,ÉV!$G$2-9)/100000*ÉV!$B$10</f>
        <v>204899.15816899529</v>
      </c>
      <c r="J54" s="273">
        <f ca="1">IF(OR(A54=1,A54=2,AND(C54=ÉV!$I$2,D54&gt;ÉV!$J$2),C54&gt;ÉV!$I$2),0,VLOOKUP(A54-2,ÉV!$A$18:$C$65,3,0))</f>
        <v>351132.31875505357</v>
      </c>
      <c r="K54" s="273">
        <f ca="1">IF(OR(A54=1,AND(C54=ÉV!$I$2,D54&gt;ÉV!$J$2),C54&gt;ÉV!$I$2),0,VLOOKUP(A54-1,ÉV!$A$18:$C$65,3,0))</f>
        <v>552209.02744219545</v>
      </c>
      <c r="L54" s="273">
        <f ca="1">VLOOKUP(A54,ÉV!$A$18:$C$65,3,0)*IF(OR(AND(C54=ÉV!$I$2,D54&gt;ÉV!$J$2),C54&gt;ÉV!$I$2),0,1)</f>
        <v>757946.78607107699</v>
      </c>
      <c r="M54" s="273">
        <f ca="1">(K54*(12-B54)/12+L54*B54/12)*IF(A54&gt;ÉV!$G$2,0,1)+IF(A54&gt;ÉV!$G$2,M53,0)*IF(OR(AND(C54=ÉV!$I$2,D54&gt;ÉV!$J$2),C54&gt;ÉV!$I$2),0,1)</f>
        <v>620788.2803184893</v>
      </c>
      <c r="N54" s="274">
        <f ca="1">IF(AND(C54=1,D54&lt;12),0,1)*IF(D54=12,MAX(0,F54-E54-0.003)*0.9*((K54+I54)*(B54/12)+(J54+H54)*(1-B54/12))+MAX(0,F54-0.003)*0.9*N53+N53,IF(AND(C54=ÉV!$I$2,D54=ÉV!$J$2),(M54+N53)*MAX(0,F54-0.003)*0.9*(D54/12)+N53,N53))*IF(OR(C54&gt;ÉV!$I$2,AND(C54=ÉV!$I$2,D54&gt;ÉV!$J$2)),0,1)</f>
        <v>0</v>
      </c>
      <c r="O54" s="313">
        <f ca="1">IF(MAX(AF$2:AF53)=2,      0,IF(OR(AC54=7, AF54=2),    SUM(AE$2:AE54),    O53)   )</f>
        <v>161463.53221999999</v>
      </c>
      <c r="P54" s="271">
        <f ca="1">IF(D54=12,V54+P53+P53*(F54-0.003)*0.9,IF(AND(C54=ÉV!$I$2,D54=ÉV!$J$2),V54+P53+P53*(F54-0.003)*0.9*D54/12,P53))*IF(OR(C54&gt;ÉV!$I$2,AND(C54=ÉV!$I$2,D54&gt;ÉV!$J$2)),0,1)</f>
        <v>0</v>
      </c>
      <c r="Q54" s="275">
        <f ca="1">(N54+P54)*IF(OR(AND(C54=ÉV!$I$2,D54&gt;ÉV!$J$2),C54&gt;ÉV!$I$2),0,1)</f>
        <v>0</v>
      </c>
      <c r="R54" s="271">
        <f ca="1">(MAX(0,F54-E54-0.003)*0.9*((K54+I54)*(1/12)))*IF(OR(C54&gt;ÉV!$I$2,AND(C54=ÉV!$I$2,D54&gt;ÉV!$J$2)),0,1)</f>
        <v>0</v>
      </c>
      <c r="S54" s="271">
        <f ca="1">(MAX(0,F54-0.003)*0.9*((O54)*(1/12)))*IF(OR(C54&gt;ÉV!$I$2,AND(C54=ÉV!$I$2,D54&gt;ÉV!$J$2)),0,1)</f>
        <v>0</v>
      </c>
      <c r="T54" s="271">
        <f ca="1">(MAX(0,F54-0.003)*0.9*((Q53)*(1/12)))*IF(OR(C54&gt;ÉV!$I$2,AND(C54=ÉV!$I$2,D54&gt;ÉV!$J$2)),0,1)</f>
        <v>0</v>
      </c>
      <c r="U54" s="271">
        <f ca="1">IF($D54=1,R54,R54+U53)*IF(OR(C54&gt;ÉV!$I$2,AND(C54=ÉV!$I$2,D54&gt;ÉV!$J$2)),0,1)</f>
        <v>0</v>
      </c>
      <c r="V54" s="271">
        <f ca="1">IF($D54=1,S54,S54+V53)*IF(OR(C54&gt;ÉV!$I$2,AND(C54=ÉV!$I$2,D54&gt;ÉV!$J$2)),0,1)</f>
        <v>0</v>
      </c>
      <c r="W54" s="271">
        <f ca="1">IF($D54=1,T54,T54+W53)*IF(OR(C54&gt;ÉV!$I$2,AND(C54=ÉV!$I$2,D54&gt;ÉV!$J$2)),0,1)</f>
        <v>0</v>
      </c>
      <c r="X54" s="271">
        <f ca="1">IF(OR(D54=12,AND(C54=ÉV!$I$2,D54=ÉV!$J$2)),SUM(U54:W54)+X53,X53)*IF(OR(C54&gt;ÉV!$I$2,AND(C54=ÉV!$I$2,D54&gt;ÉV!$J$2)),0,1)</f>
        <v>0</v>
      </c>
      <c r="Y54" s="271">
        <f t="shared" ca="1" si="0"/>
        <v>0</v>
      </c>
      <c r="Z54" s="265">
        <f t="shared" si="1"/>
        <v>4</v>
      </c>
      <c r="AA54" s="272">
        <f t="shared" ca="1" si="2"/>
        <v>18883.931057999998</v>
      </c>
      <c r="AB54" s="265">
        <f t="shared" ca="1" si="10"/>
        <v>2021</v>
      </c>
      <c r="AC54" s="265">
        <f t="shared" ca="1" si="11"/>
        <v>7</v>
      </c>
      <c r="AD54" s="276">
        <f ca="1">IF(     OR(               AND(MAX(AF$6:AF54)&lt;2,  AC54=12),                 AF54=2),                   SUMIF(AB:AB,AB54,AA:AA),                       0)</f>
        <v>0</v>
      </c>
      <c r="AE54" s="277">
        <f t="shared" ca="1" si="12"/>
        <v>0</v>
      </c>
      <c r="AF54" s="277">
        <f t="shared" ca="1" si="4"/>
        <v>0</v>
      </c>
      <c r="AG54" s="402">
        <f ca="1">IF(  AND(AC54=AdóHó,   MAX(AF$1:AF53)&lt;2),   SUMIF(AB:AB,AB54-1,AE:AE),0  )
+ IF(AND(AC54&lt;AdóHó,                            AF54=2),   SUMIF(AB:AB,AB54-1,AE:AE),0  )
+ IF(                                                                  AF54=2,    SUMIF(AB:AB,AB54,AE:AE   ),0  )</f>
        <v>44214.971219999985</v>
      </c>
      <c r="AH54" s="272">
        <f ca="1">SUM(AG$2:AG54)</f>
        <v>161463.53221999999</v>
      </c>
    </row>
    <row r="55" spans="1:34">
      <c r="A55" s="265">
        <f t="shared" si="6"/>
        <v>5</v>
      </c>
      <c r="B55" s="265">
        <f t="shared" si="7"/>
        <v>5</v>
      </c>
      <c r="C55" s="265">
        <f t="shared" ca="1" si="8"/>
        <v>5</v>
      </c>
      <c r="D55" s="265">
        <f t="shared" ca="1" si="9"/>
        <v>8</v>
      </c>
      <c r="E55" s="266">
        <v>5.0000000000000001E-3</v>
      </c>
      <c r="F55" s="267">
        <f>ÉV!$B$12</f>
        <v>0</v>
      </c>
      <c r="G55" s="271">
        <f ca="1">VLOOKUP(A55,ÉV!$A$18:$B$65,2,0)</f>
        <v>226607.17269599999</v>
      </c>
      <c r="H55" s="271">
        <f ca="1">IF(OR(A55=1,AND(C55=ÉV!$I$2,D55&gt;ÉV!$J$2),C55&gt;ÉV!$I$2),0,INDEX(Pz!$B$2:$AM$48,A55-1,ÉV!$G$2-9)/100000*ÉV!$B$10)</f>
        <v>200897.91689368687</v>
      </c>
      <c r="I55" s="271">
        <f ca="1">INDEX(Pz!$B$2:$AM$48,HÓ!A55,ÉV!$G$2-9)/100000*ÉV!$B$10</f>
        <v>204899.15816899529</v>
      </c>
      <c r="J55" s="273">
        <f ca="1">IF(OR(A55=1,A55=2,AND(C55=ÉV!$I$2,D55&gt;ÉV!$J$2),C55&gt;ÉV!$I$2),0,VLOOKUP(A55-2,ÉV!$A$18:$C$65,3,0))</f>
        <v>351132.31875505357</v>
      </c>
      <c r="K55" s="273">
        <f ca="1">IF(OR(A55=1,AND(C55=ÉV!$I$2,D55&gt;ÉV!$J$2),C55&gt;ÉV!$I$2),0,VLOOKUP(A55-1,ÉV!$A$18:$C$65,3,0))</f>
        <v>552209.02744219545</v>
      </c>
      <c r="L55" s="273">
        <f ca="1">VLOOKUP(A55,ÉV!$A$18:$C$65,3,0)*IF(OR(AND(C55=ÉV!$I$2,D55&gt;ÉV!$J$2),C55&gt;ÉV!$I$2),0,1)</f>
        <v>757946.78607107699</v>
      </c>
      <c r="M55" s="273">
        <f ca="1">(K55*(12-B55)/12+L55*B55/12)*IF(A55&gt;ÉV!$G$2,0,1)+IF(A55&gt;ÉV!$G$2,M54,0)*IF(OR(AND(C55=ÉV!$I$2,D55&gt;ÉV!$J$2),C55&gt;ÉV!$I$2),0,1)</f>
        <v>637933.09353756276</v>
      </c>
      <c r="N55" s="274">
        <f ca="1">IF(AND(C55=1,D55&lt;12),0,1)*IF(D55=12,MAX(0,F55-E55-0.003)*0.9*((K55+I55)*(B55/12)+(J55+H55)*(1-B55/12))+MAX(0,F55-0.003)*0.9*N54+N54,IF(AND(C55=ÉV!$I$2,D55=ÉV!$J$2),(M55+N54)*MAX(0,F55-0.003)*0.9*(D55/12)+N54,N54))*IF(OR(C55&gt;ÉV!$I$2,AND(C55=ÉV!$I$2,D55&gt;ÉV!$J$2)),0,1)</f>
        <v>0</v>
      </c>
      <c r="O55" s="313">
        <f ca="1">IF(MAX(AF$2:AF54)=2,      0,IF(OR(AC55=7, AF55=2),    SUM(AE$2:AE55),    O54)   )</f>
        <v>161463.53221999999</v>
      </c>
      <c r="P55" s="271">
        <f ca="1">IF(D55=12,V55+P54+P54*(F55-0.003)*0.9,IF(AND(C55=ÉV!$I$2,D55=ÉV!$J$2),V55+P54+P54*(F55-0.003)*0.9*D55/12,P54))*IF(OR(C55&gt;ÉV!$I$2,AND(C55=ÉV!$I$2,D55&gt;ÉV!$J$2)),0,1)</f>
        <v>0</v>
      </c>
      <c r="Q55" s="275">
        <f ca="1">(N55+P55)*IF(OR(AND(C55=ÉV!$I$2,D55&gt;ÉV!$J$2),C55&gt;ÉV!$I$2),0,1)</f>
        <v>0</v>
      </c>
      <c r="R55" s="271">
        <f ca="1">(MAX(0,F55-E55-0.003)*0.9*((K55+I55)*(1/12)))*IF(OR(C55&gt;ÉV!$I$2,AND(C55=ÉV!$I$2,D55&gt;ÉV!$J$2)),0,1)</f>
        <v>0</v>
      </c>
      <c r="S55" s="271">
        <f ca="1">(MAX(0,F55-0.003)*0.9*((O55)*(1/12)))*IF(OR(C55&gt;ÉV!$I$2,AND(C55=ÉV!$I$2,D55&gt;ÉV!$J$2)),0,1)</f>
        <v>0</v>
      </c>
      <c r="T55" s="271">
        <f ca="1">(MAX(0,F55-0.003)*0.9*((Q54)*(1/12)))*IF(OR(C55&gt;ÉV!$I$2,AND(C55=ÉV!$I$2,D55&gt;ÉV!$J$2)),0,1)</f>
        <v>0</v>
      </c>
      <c r="U55" s="271">
        <f ca="1">IF($D55=1,R55,R55+U54)*IF(OR(C55&gt;ÉV!$I$2,AND(C55=ÉV!$I$2,D55&gt;ÉV!$J$2)),0,1)</f>
        <v>0</v>
      </c>
      <c r="V55" s="271">
        <f ca="1">IF($D55=1,S55,S55+V54)*IF(OR(C55&gt;ÉV!$I$2,AND(C55=ÉV!$I$2,D55&gt;ÉV!$J$2)),0,1)</f>
        <v>0</v>
      </c>
      <c r="W55" s="271">
        <f ca="1">IF($D55=1,T55,T55+W54)*IF(OR(C55&gt;ÉV!$I$2,AND(C55=ÉV!$I$2,D55&gt;ÉV!$J$2)),0,1)</f>
        <v>0</v>
      </c>
      <c r="X55" s="271">
        <f ca="1">IF(OR(D55=12,AND(C55=ÉV!$I$2,D55=ÉV!$J$2)),SUM(U55:W55)+X54,X54)*IF(OR(C55&gt;ÉV!$I$2,AND(C55=ÉV!$I$2,D55&gt;ÉV!$J$2)),0,1)</f>
        <v>0</v>
      </c>
      <c r="Y55" s="271">
        <f t="shared" ca="1" si="0"/>
        <v>0</v>
      </c>
      <c r="Z55" s="265">
        <f t="shared" si="1"/>
        <v>5</v>
      </c>
      <c r="AA55" s="272">
        <f t="shared" ca="1" si="2"/>
        <v>18883.931057999998</v>
      </c>
      <c r="AB55" s="265">
        <f t="shared" ca="1" si="10"/>
        <v>2021</v>
      </c>
      <c r="AC55" s="265">
        <f t="shared" ca="1" si="11"/>
        <v>8</v>
      </c>
      <c r="AD55" s="276">
        <f ca="1">IF(     OR(               AND(MAX(AF$6:AF55)&lt;2,  AC55=12),                 AF55=2),                   SUMIF(AB:AB,AB55,AA:AA),                       0)</f>
        <v>0</v>
      </c>
      <c r="AE55" s="277">
        <f t="shared" ca="1" si="12"/>
        <v>0</v>
      </c>
      <c r="AF55" s="277">
        <f t="shared" ca="1" si="4"/>
        <v>0</v>
      </c>
      <c r="AG55" s="402">
        <f ca="1">IF(  AND(AC55=AdóHó,   MAX(AF$1:AF54)&lt;2),   SUMIF(AB:AB,AB55-1,AE:AE),0  )
+ IF(AND(AC55&lt;AdóHó,                            AF55=2),   SUMIF(AB:AB,AB55-1,AE:AE),0  )
+ IF(                                                                  AF55=2,    SUMIF(AB:AB,AB55,AE:AE   ),0  )</f>
        <v>0</v>
      </c>
      <c r="AH55" s="272">
        <f ca="1">SUM(AG$2:AG55)</f>
        <v>161463.53221999999</v>
      </c>
    </row>
    <row r="56" spans="1:34">
      <c r="A56" s="265">
        <f t="shared" si="6"/>
        <v>5</v>
      </c>
      <c r="B56" s="265">
        <f t="shared" si="7"/>
        <v>6</v>
      </c>
      <c r="C56" s="265">
        <f t="shared" ca="1" si="8"/>
        <v>5</v>
      </c>
      <c r="D56" s="265">
        <f t="shared" ca="1" si="9"/>
        <v>9</v>
      </c>
      <c r="E56" s="266">
        <v>5.0000000000000001E-3</v>
      </c>
      <c r="F56" s="267">
        <f>ÉV!$B$12</f>
        <v>0</v>
      </c>
      <c r="G56" s="271">
        <f ca="1">VLOOKUP(A56,ÉV!$A$18:$B$65,2,0)</f>
        <v>226607.17269599999</v>
      </c>
      <c r="H56" s="271">
        <f ca="1">IF(OR(A56=1,AND(C56=ÉV!$I$2,D56&gt;ÉV!$J$2),C56&gt;ÉV!$I$2),0,INDEX(Pz!$B$2:$AM$48,A56-1,ÉV!$G$2-9)/100000*ÉV!$B$10)</f>
        <v>200897.91689368687</v>
      </c>
      <c r="I56" s="271">
        <f ca="1">INDEX(Pz!$B$2:$AM$48,HÓ!A56,ÉV!$G$2-9)/100000*ÉV!$B$10</f>
        <v>204899.15816899529</v>
      </c>
      <c r="J56" s="273">
        <f ca="1">IF(OR(A56=1,A56=2,AND(C56=ÉV!$I$2,D56&gt;ÉV!$J$2),C56&gt;ÉV!$I$2),0,VLOOKUP(A56-2,ÉV!$A$18:$C$65,3,0))</f>
        <v>351132.31875505357</v>
      </c>
      <c r="K56" s="273">
        <f ca="1">IF(OR(A56=1,AND(C56=ÉV!$I$2,D56&gt;ÉV!$J$2),C56&gt;ÉV!$I$2),0,VLOOKUP(A56-1,ÉV!$A$18:$C$65,3,0))</f>
        <v>552209.02744219545</v>
      </c>
      <c r="L56" s="273">
        <f ca="1">VLOOKUP(A56,ÉV!$A$18:$C$65,3,0)*IF(OR(AND(C56=ÉV!$I$2,D56&gt;ÉV!$J$2),C56&gt;ÉV!$I$2),0,1)</f>
        <v>757946.78607107699</v>
      </c>
      <c r="M56" s="273">
        <f ca="1">(K56*(12-B56)/12+L56*B56/12)*IF(A56&gt;ÉV!$G$2,0,1)+IF(A56&gt;ÉV!$G$2,M55,0)*IF(OR(AND(C56=ÉV!$I$2,D56&gt;ÉV!$J$2),C56&gt;ÉV!$I$2),0,1)</f>
        <v>655077.90675663622</v>
      </c>
      <c r="N56" s="274">
        <f ca="1">IF(AND(C56=1,D56&lt;12),0,1)*IF(D56=12,MAX(0,F56-E56-0.003)*0.9*((K56+I56)*(B56/12)+(J56+H56)*(1-B56/12))+MAX(0,F56-0.003)*0.9*N55+N55,IF(AND(C56=ÉV!$I$2,D56=ÉV!$J$2),(M56+N55)*MAX(0,F56-0.003)*0.9*(D56/12)+N55,N55))*IF(OR(C56&gt;ÉV!$I$2,AND(C56=ÉV!$I$2,D56&gt;ÉV!$J$2)),0,1)</f>
        <v>0</v>
      </c>
      <c r="O56" s="313">
        <f ca="1">IF(MAX(AF$2:AF55)=2,      0,IF(OR(AC56=7, AF56=2),    SUM(AE$2:AE56),    O55)   )</f>
        <v>161463.53221999999</v>
      </c>
      <c r="P56" s="271">
        <f ca="1">IF(D56=12,V56+P55+P55*(F56-0.003)*0.9,IF(AND(C56=ÉV!$I$2,D56=ÉV!$J$2),V56+P55+P55*(F56-0.003)*0.9*D56/12,P55))*IF(OR(C56&gt;ÉV!$I$2,AND(C56=ÉV!$I$2,D56&gt;ÉV!$J$2)),0,1)</f>
        <v>0</v>
      </c>
      <c r="Q56" s="275">
        <f ca="1">(N56+P56)*IF(OR(AND(C56=ÉV!$I$2,D56&gt;ÉV!$J$2),C56&gt;ÉV!$I$2),0,1)</f>
        <v>0</v>
      </c>
      <c r="R56" s="271">
        <f ca="1">(MAX(0,F56-E56-0.003)*0.9*((K56+I56)*(1/12)))*IF(OR(C56&gt;ÉV!$I$2,AND(C56=ÉV!$I$2,D56&gt;ÉV!$J$2)),0,1)</f>
        <v>0</v>
      </c>
      <c r="S56" s="271">
        <f ca="1">(MAX(0,F56-0.003)*0.9*((O56)*(1/12)))*IF(OR(C56&gt;ÉV!$I$2,AND(C56=ÉV!$I$2,D56&gt;ÉV!$J$2)),0,1)</f>
        <v>0</v>
      </c>
      <c r="T56" s="271">
        <f ca="1">(MAX(0,F56-0.003)*0.9*((Q55)*(1/12)))*IF(OR(C56&gt;ÉV!$I$2,AND(C56=ÉV!$I$2,D56&gt;ÉV!$J$2)),0,1)</f>
        <v>0</v>
      </c>
      <c r="U56" s="271">
        <f ca="1">IF($D56=1,R56,R56+U55)*IF(OR(C56&gt;ÉV!$I$2,AND(C56=ÉV!$I$2,D56&gt;ÉV!$J$2)),0,1)</f>
        <v>0</v>
      </c>
      <c r="V56" s="271">
        <f ca="1">IF($D56=1,S56,S56+V55)*IF(OR(C56&gt;ÉV!$I$2,AND(C56=ÉV!$I$2,D56&gt;ÉV!$J$2)),0,1)</f>
        <v>0</v>
      </c>
      <c r="W56" s="271">
        <f ca="1">IF($D56=1,T56,T56+W55)*IF(OR(C56&gt;ÉV!$I$2,AND(C56=ÉV!$I$2,D56&gt;ÉV!$J$2)),0,1)</f>
        <v>0</v>
      </c>
      <c r="X56" s="271">
        <f ca="1">IF(OR(D56=12,AND(C56=ÉV!$I$2,D56=ÉV!$J$2)),SUM(U56:W56)+X55,X55)*IF(OR(C56&gt;ÉV!$I$2,AND(C56=ÉV!$I$2,D56&gt;ÉV!$J$2)),0,1)</f>
        <v>0</v>
      </c>
      <c r="Y56" s="271">
        <f t="shared" ca="1" si="0"/>
        <v>0</v>
      </c>
      <c r="Z56" s="265">
        <f t="shared" si="1"/>
        <v>6</v>
      </c>
      <c r="AA56" s="272">
        <f t="shared" ca="1" si="2"/>
        <v>18883.931057999998</v>
      </c>
      <c r="AB56" s="265">
        <f t="shared" ca="1" si="10"/>
        <v>2021</v>
      </c>
      <c r="AC56" s="265">
        <f t="shared" ca="1" si="11"/>
        <v>9</v>
      </c>
      <c r="AD56" s="276">
        <f ca="1">IF(     OR(               AND(MAX(AF$6:AF56)&lt;2,  AC56=12),                 AF56=2),                   SUMIF(AB:AB,AB56,AA:AA),                       0)</f>
        <v>0</v>
      </c>
      <c r="AE56" s="277">
        <f t="shared" ca="1" si="12"/>
        <v>0</v>
      </c>
      <c r="AF56" s="277">
        <f t="shared" ca="1" si="4"/>
        <v>0</v>
      </c>
      <c r="AG56" s="402">
        <f ca="1">IF(  AND(AC56=AdóHó,   MAX(AF$1:AF55)&lt;2),   SUMIF(AB:AB,AB56-1,AE:AE),0  )
+ IF(AND(AC56&lt;AdóHó,                            AF56=2),   SUMIF(AB:AB,AB56-1,AE:AE),0  )
+ IF(                                                                  AF56=2,    SUMIF(AB:AB,AB56,AE:AE   ),0  )</f>
        <v>0</v>
      </c>
      <c r="AH56" s="272">
        <f ca="1">SUM(AG$2:AG56)</f>
        <v>161463.53221999999</v>
      </c>
    </row>
    <row r="57" spans="1:34">
      <c r="A57" s="265">
        <f t="shared" si="6"/>
        <v>5</v>
      </c>
      <c r="B57" s="265">
        <f t="shared" si="7"/>
        <v>7</v>
      </c>
      <c r="C57" s="265">
        <f t="shared" ca="1" si="8"/>
        <v>5</v>
      </c>
      <c r="D57" s="265">
        <f t="shared" ca="1" si="9"/>
        <v>10</v>
      </c>
      <c r="E57" s="266">
        <v>5.0000000000000001E-3</v>
      </c>
      <c r="F57" s="267">
        <f>ÉV!$B$12</f>
        <v>0</v>
      </c>
      <c r="G57" s="271">
        <f ca="1">VLOOKUP(A57,ÉV!$A$18:$B$65,2,0)</f>
        <v>226607.17269599999</v>
      </c>
      <c r="H57" s="271">
        <f ca="1">IF(OR(A57=1,AND(C57=ÉV!$I$2,D57&gt;ÉV!$J$2),C57&gt;ÉV!$I$2),0,INDEX(Pz!$B$2:$AM$48,A57-1,ÉV!$G$2-9)/100000*ÉV!$B$10)</f>
        <v>200897.91689368687</v>
      </c>
      <c r="I57" s="271">
        <f ca="1">INDEX(Pz!$B$2:$AM$48,HÓ!A57,ÉV!$G$2-9)/100000*ÉV!$B$10</f>
        <v>204899.15816899529</v>
      </c>
      <c r="J57" s="273">
        <f ca="1">IF(OR(A57=1,A57=2,AND(C57=ÉV!$I$2,D57&gt;ÉV!$J$2),C57&gt;ÉV!$I$2),0,VLOOKUP(A57-2,ÉV!$A$18:$C$65,3,0))</f>
        <v>351132.31875505357</v>
      </c>
      <c r="K57" s="273">
        <f ca="1">IF(OR(A57=1,AND(C57=ÉV!$I$2,D57&gt;ÉV!$J$2),C57&gt;ÉV!$I$2),0,VLOOKUP(A57-1,ÉV!$A$18:$C$65,3,0))</f>
        <v>552209.02744219545</v>
      </c>
      <c r="L57" s="273">
        <f ca="1">VLOOKUP(A57,ÉV!$A$18:$C$65,3,0)*IF(OR(AND(C57=ÉV!$I$2,D57&gt;ÉV!$J$2),C57&gt;ÉV!$I$2),0,1)</f>
        <v>757946.78607107699</v>
      </c>
      <c r="M57" s="273">
        <f ca="1">(K57*(12-B57)/12+L57*B57/12)*IF(A57&gt;ÉV!$G$2,0,1)+IF(A57&gt;ÉV!$G$2,M56,0)*IF(OR(AND(C57=ÉV!$I$2,D57&gt;ÉV!$J$2),C57&gt;ÉV!$I$2),0,1)</f>
        <v>672222.71997570968</v>
      </c>
      <c r="N57" s="274">
        <f ca="1">IF(AND(C57=1,D57&lt;12),0,1)*IF(D57=12,MAX(0,F57-E57-0.003)*0.9*((K57+I57)*(B57/12)+(J57+H57)*(1-B57/12))+MAX(0,F57-0.003)*0.9*N56+N56,IF(AND(C57=ÉV!$I$2,D57=ÉV!$J$2),(M57+N56)*MAX(0,F57-0.003)*0.9*(D57/12)+N56,N56))*IF(OR(C57&gt;ÉV!$I$2,AND(C57=ÉV!$I$2,D57&gt;ÉV!$J$2)),0,1)</f>
        <v>0</v>
      </c>
      <c r="O57" s="313">
        <f ca="1">IF(MAX(AF$2:AF56)=2,      0,IF(OR(AC57=7, AF57=2),    SUM(AE$2:AE57),    O56)   )</f>
        <v>161463.53221999999</v>
      </c>
      <c r="P57" s="271">
        <f ca="1">IF(D57=12,V57+P56+P56*(F57-0.003)*0.9,IF(AND(C57=ÉV!$I$2,D57=ÉV!$J$2),V57+P56+P56*(F57-0.003)*0.9*D57/12,P56))*IF(OR(C57&gt;ÉV!$I$2,AND(C57=ÉV!$I$2,D57&gt;ÉV!$J$2)),0,1)</f>
        <v>0</v>
      </c>
      <c r="Q57" s="275">
        <f ca="1">(N57+P57)*IF(OR(AND(C57=ÉV!$I$2,D57&gt;ÉV!$J$2),C57&gt;ÉV!$I$2),0,1)</f>
        <v>0</v>
      </c>
      <c r="R57" s="271">
        <f ca="1">(MAX(0,F57-E57-0.003)*0.9*((K57+I57)*(1/12)))*IF(OR(C57&gt;ÉV!$I$2,AND(C57=ÉV!$I$2,D57&gt;ÉV!$J$2)),0,1)</f>
        <v>0</v>
      </c>
      <c r="S57" s="271">
        <f ca="1">(MAX(0,F57-0.003)*0.9*((O57)*(1/12)))*IF(OR(C57&gt;ÉV!$I$2,AND(C57=ÉV!$I$2,D57&gt;ÉV!$J$2)),0,1)</f>
        <v>0</v>
      </c>
      <c r="T57" s="271">
        <f ca="1">(MAX(0,F57-0.003)*0.9*((Q56)*(1/12)))*IF(OR(C57&gt;ÉV!$I$2,AND(C57=ÉV!$I$2,D57&gt;ÉV!$J$2)),0,1)</f>
        <v>0</v>
      </c>
      <c r="U57" s="271">
        <f ca="1">IF($D57=1,R57,R57+U56)*IF(OR(C57&gt;ÉV!$I$2,AND(C57=ÉV!$I$2,D57&gt;ÉV!$J$2)),0,1)</f>
        <v>0</v>
      </c>
      <c r="V57" s="271">
        <f ca="1">IF($D57=1,S57,S57+V56)*IF(OR(C57&gt;ÉV!$I$2,AND(C57=ÉV!$I$2,D57&gt;ÉV!$J$2)),0,1)</f>
        <v>0</v>
      </c>
      <c r="W57" s="271">
        <f ca="1">IF($D57=1,T57,T57+W56)*IF(OR(C57&gt;ÉV!$I$2,AND(C57=ÉV!$I$2,D57&gt;ÉV!$J$2)),0,1)</f>
        <v>0</v>
      </c>
      <c r="X57" s="271">
        <f ca="1">IF(OR(D57=12,AND(C57=ÉV!$I$2,D57=ÉV!$J$2)),SUM(U57:W57)+X56,X56)*IF(OR(C57&gt;ÉV!$I$2,AND(C57=ÉV!$I$2,D57&gt;ÉV!$J$2)),0,1)</f>
        <v>0</v>
      </c>
      <c r="Y57" s="271">
        <f t="shared" ca="1" si="0"/>
        <v>0</v>
      </c>
      <c r="Z57" s="265">
        <f t="shared" si="1"/>
        <v>7</v>
      </c>
      <c r="AA57" s="272">
        <f t="shared" ca="1" si="2"/>
        <v>18883.931057999998</v>
      </c>
      <c r="AB57" s="265">
        <f t="shared" ca="1" si="10"/>
        <v>2021</v>
      </c>
      <c r="AC57" s="265">
        <f t="shared" ca="1" si="11"/>
        <v>10</v>
      </c>
      <c r="AD57" s="276">
        <f ca="1">IF(     OR(               AND(MAX(AF$6:AF57)&lt;2,  AC57=12),                 AF57=2),                   SUMIF(AB:AB,AB57,AA:AA),                       0)</f>
        <v>0</v>
      </c>
      <c r="AE57" s="277">
        <f t="shared" ca="1" si="12"/>
        <v>0</v>
      </c>
      <c r="AF57" s="277">
        <f t="shared" ca="1" si="4"/>
        <v>0</v>
      </c>
      <c r="AG57" s="402">
        <f ca="1">IF(  AND(AC57=AdóHó,   MAX(AF$1:AF56)&lt;2),   SUMIF(AB:AB,AB57-1,AE:AE),0  )
+ IF(AND(AC57&lt;AdóHó,                            AF57=2),   SUMIF(AB:AB,AB57-1,AE:AE),0  )
+ IF(                                                                  AF57=2,    SUMIF(AB:AB,AB57,AE:AE   ),0  )</f>
        <v>0</v>
      </c>
      <c r="AH57" s="272">
        <f ca="1">SUM(AG$2:AG57)</f>
        <v>161463.53221999999</v>
      </c>
    </row>
    <row r="58" spans="1:34">
      <c r="A58" s="265">
        <f t="shared" si="6"/>
        <v>5</v>
      </c>
      <c r="B58" s="265">
        <f t="shared" si="7"/>
        <v>8</v>
      </c>
      <c r="C58" s="265">
        <f t="shared" ca="1" si="8"/>
        <v>5</v>
      </c>
      <c r="D58" s="265">
        <f t="shared" ca="1" si="9"/>
        <v>11</v>
      </c>
      <c r="E58" s="266">
        <v>5.0000000000000001E-3</v>
      </c>
      <c r="F58" s="267">
        <f>ÉV!$B$12</f>
        <v>0</v>
      </c>
      <c r="G58" s="271">
        <f ca="1">VLOOKUP(A58,ÉV!$A$18:$B$65,2,0)</f>
        <v>226607.17269599999</v>
      </c>
      <c r="H58" s="271">
        <f ca="1">IF(OR(A58=1,AND(C58=ÉV!$I$2,D58&gt;ÉV!$J$2),C58&gt;ÉV!$I$2),0,INDEX(Pz!$B$2:$AM$48,A58-1,ÉV!$G$2-9)/100000*ÉV!$B$10)</f>
        <v>200897.91689368687</v>
      </c>
      <c r="I58" s="271">
        <f ca="1">INDEX(Pz!$B$2:$AM$48,HÓ!A58,ÉV!$G$2-9)/100000*ÉV!$B$10</f>
        <v>204899.15816899529</v>
      </c>
      <c r="J58" s="273">
        <f ca="1">IF(OR(A58=1,A58=2,AND(C58=ÉV!$I$2,D58&gt;ÉV!$J$2),C58&gt;ÉV!$I$2),0,VLOOKUP(A58-2,ÉV!$A$18:$C$65,3,0))</f>
        <v>351132.31875505357</v>
      </c>
      <c r="K58" s="273">
        <f ca="1">IF(OR(A58=1,AND(C58=ÉV!$I$2,D58&gt;ÉV!$J$2),C58&gt;ÉV!$I$2),0,VLOOKUP(A58-1,ÉV!$A$18:$C$65,3,0))</f>
        <v>552209.02744219545</v>
      </c>
      <c r="L58" s="273">
        <f ca="1">VLOOKUP(A58,ÉV!$A$18:$C$65,3,0)*IF(OR(AND(C58=ÉV!$I$2,D58&gt;ÉV!$J$2),C58&gt;ÉV!$I$2),0,1)</f>
        <v>757946.78607107699</v>
      </c>
      <c r="M58" s="273">
        <f ca="1">(K58*(12-B58)/12+L58*B58/12)*IF(A58&gt;ÉV!$G$2,0,1)+IF(A58&gt;ÉV!$G$2,M57,0)*IF(OR(AND(C58=ÉV!$I$2,D58&gt;ÉV!$J$2),C58&gt;ÉV!$I$2),0,1)</f>
        <v>689367.53319478314</v>
      </c>
      <c r="N58" s="274">
        <f ca="1">IF(AND(C58=1,D58&lt;12),0,1)*IF(D58=12,MAX(0,F58-E58-0.003)*0.9*((K58+I58)*(B58/12)+(J58+H58)*(1-B58/12))+MAX(0,F58-0.003)*0.9*N57+N57,IF(AND(C58=ÉV!$I$2,D58=ÉV!$J$2),(M58+N57)*MAX(0,F58-0.003)*0.9*(D58/12)+N57,N57))*IF(OR(C58&gt;ÉV!$I$2,AND(C58=ÉV!$I$2,D58&gt;ÉV!$J$2)),0,1)</f>
        <v>0</v>
      </c>
      <c r="O58" s="313">
        <f ca="1">IF(MAX(AF$2:AF57)=2,      0,IF(OR(AC58=7, AF58=2),    SUM(AE$2:AE58),    O57)   )</f>
        <v>161463.53221999999</v>
      </c>
      <c r="P58" s="271">
        <f ca="1">IF(D58=12,V58+P57+P57*(F58-0.003)*0.9,IF(AND(C58=ÉV!$I$2,D58=ÉV!$J$2),V58+P57+P57*(F58-0.003)*0.9*D58/12,P57))*IF(OR(C58&gt;ÉV!$I$2,AND(C58=ÉV!$I$2,D58&gt;ÉV!$J$2)),0,1)</f>
        <v>0</v>
      </c>
      <c r="Q58" s="275">
        <f ca="1">(N58+P58)*IF(OR(AND(C58=ÉV!$I$2,D58&gt;ÉV!$J$2),C58&gt;ÉV!$I$2),0,1)</f>
        <v>0</v>
      </c>
      <c r="R58" s="271">
        <f ca="1">(MAX(0,F58-E58-0.003)*0.9*((K58+I58)*(1/12)))*IF(OR(C58&gt;ÉV!$I$2,AND(C58=ÉV!$I$2,D58&gt;ÉV!$J$2)),0,1)</f>
        <v>0</v>
      </c>
      <c r="S58" s="271">
        <f ca="1">(MAX(0,F58-0.003)*0.9*((O58)*(1/12)))*IF(OR(C58&gt;ÉV!$I$2,AND(C58=ÉV!$I$2,D58&gt;ÉV!$J$2)),0,1)</f>
        <v>0</v>
      </c>
      <c r="T58" s="271">
        <f ca="1">(MAX(0,F58-0.003)*0.9*((Q57)*(1/12)))*IF(OR(C58&gt;ÉV!$I$2,AND(C58=ÉV!$I$2,D58&gt;ÉV!$J$2)),0,1)</f>
        <v>0</v>
      </c>
      <c r="U58" s="271">
        <f ca="1">IF($D58=1,R58,R58+U57)*IF(OR(C58&gt;ÉV!$I$2,AND(C58=ÉV!$I$2,D58&gt;ÉV!$J$2)),0,1)</f>
        <v>0</v>
      </c>
      <c r="V58" s="271">
        <f ca="1">IF($D58=1,S58,S58+V57)*IF(OR(C58&gt;ÉV!$I$2,AND(C58=ÉV!$I$2,D58&gt;ÉV!$J$2)),0,1)</f>
        <v>0</v>
      </c>
      <c r="W58" s="271">
        <f ca="1">IF($D58=1,T58,T58+W57)*IF(OR(C58&gt;ÉV!$I$2,AND(C58=ÉV!$I$2,D58&gt;ÉV!$J$2)),0,1)</f>
        <v>0</v>
      </c>
      <c r="X58" s="271">
        <f ca="1">IF(OR(D58=12,AND(C58=ÉV!$I$2,D58=ÉV!$J$2)),SUM(U58:W58)+X57,X57)*IF(OR(C58&gt;ÉV!$I$2,AND(C58=ÉV!$I$2,D58&gt;ÉV!$J$2)),0,1)</f>
        <v>0</v>
      </c>
      <c r="Y58" s="271">
        <f t="shared" ca="1" si="0"/>
        <v>0</v>
      </c>
      <c r="Z58" s="265">
        <f t="shared" si="1"/>
        <v>8</v>
      </c>
      <c r="AA58" s="272">
        <f t="shared" ca="1" si="2"/>
        <v>18883.931057999998</v>
      </c>
      <c r="AB58" s="265">
        <f t="shared" ca="1" si="10"/>
        <v>2021</v>
      </c>
      <c r="AC58" s="265">
        <f t="shared" ca="1" si="11"/>
        <v>11</v>
      </c>
      <c r="AD58" s="276">
        <f ca="1">IF(     OR(               AND(MAX(AF$6:AF58)&lt;2,  AC58=12),                 AF58=2),                   SUMIF(AB:AB,AB58,AA:AA),                       0)</f>
        <v>0</v>
      </c>
      <c r="AE58" s="277">
        <f t="shared" ca="1" si="12"/>
        <v>0</v>
      </c>
      <c r="AF58" s="277">
        <f t="shared" ca="1" si="4"/>
        <v>0</v>
      </c>
      <c r="AG58" s="402">
        <f ca="1">IF(  AND(AC58=AdóHó,   MAX(AF$1:AF57)&lt;2),   SUMIF(AB:AB,AB58-1,AE:AE),0  )
+ IF(AND(AC58&lt;AdóHó,                            AF58=2),   SUMIF(AB:AB,AB58-1,AE:AE),0  )
+ IF(                                                                  AF58=2,    SUMIF(AB:AB,AB58,AE:AE   ),0  )</f>
        <v>0</v>
      </c>
      <c r="AH58" s="272">
        <f ca="1">SUM(AG$2:AG58)</f>
        <v>161463.53221999999</v>
      </c>
    </row>
    <row r="59" spans="1:34">
      <c r="A59" s="265">
        <f t="shared" si="6"/>
        <v>5</v>
      </c>
      <c r="B59" s="265">
        <f t="shared" si="7"/>
        <v>9</v>
      </c>
      <c r="C59" s="265">
        <f t="shared" ca="1" si="8"/>
        <v>5</v>
      </c>
      <c r="D59" s="265">
        <f t="shared" ca="1" si="9"/>
        <v>12</v>
      </c>
      <c r="E59" s="266">
        <v>5.0000000000000001E-3</v>
      </c>
      <c r="F59" s="267">
        <f>ÉV!$B$12</f>
        <v>0</v>
      </c>
      <c r="G59" s="271">
        <f ca="1">VLOOKUP(A59,ÉV!$A$18:$B$65,2,0)</f>
        <v>226607.17269599999</v>
      </c>
      <c r="H59" s="271">
        <f ca="1">IF(OR(A59=1,AND(C59=ÉV!$I$2,D59&gt;ÉV!$J$2),C59&gt;ÉV!$I$2),0,INDEX(Pz!$B$2:$AM$48,A59-1,ÉV!$G$2-9)/100000*ÉV!$B$10)</f>
        <v>200897.91689368687</v>
      </c>
      <c r="I59" s="271">
        <f ca="1">INDEX(Pz!$B$2:$AM$48,HÓ!A59,ÉV!$G$2-9)/100000*ÉV!$B$10</f>
        <v>204899.15816899529</v>
      </c>
      <c r="J59" s="273">
        <f ca="1">IF(OR(A59=1,A59=2,AND(C59=ÉV!$I$2,D59&gt;ÉV!$J$2),C59&gt;ÉV!$I$2),0,VLOOKUP(A59-2,ÉV!$A$18:$C$65,3,0))</f>
        <v>351132.31875505357</v>
      </c>
      <c r="K59" s="273">
        <f ca="1">IF(OR(A59=1,AND(C59=ÉV!$I$2,D59&gt;ÉV!$J$2),C59&gt;ÉV!$I$2),0,VLOOKUP(A59-1,ÉV!$A$18:$C$65,3,0))</f>
        <v>552209.02744219545</v>
      </c>
      <c r="L59" s="273">
        <f ca="1">VLOOKUP(A59,ÉV!$A$18:$C$65,3,0)*IF(OR(AND(C59=ÉV!$I$2,D59&gt;ÉV!$J$2),C59&gt;ÉV!$I$2),0,1)</f>
        <v>757946.78607107699</v>
      </c>
      <c r="M59" s="273">
        <f ca="1">(K59*(12-B59)/12+L59*B59/12)*IF(A59&gt;ÉV!$G$2,0,1)+IF(A59&gt;ÉV!$G$2,M58,0)*IF(OR(AND(C59=ÉV!$I$2,D59&gt;ÉV!$J$2),C59&gt;ÉV!$I$2),0,1)</f>
        <v>706512.34641385661</v>
      </c>
      <c r="N59" s="274">
        <f ca="1">IF(AND(C59=1,D59&lt;12),0,1)*IF(D59=12,MAX(0,F59-E59-0.003)*0.9*((K59+I59)*(B59/12)+(J59+H59)*(1-B59/12))+MAX(0,F59-0.003)*0.9*N58+N58,IF(AND(C59=ÉV!$I$2,D59=ÉV!$J$2),(M59+N58)*MAX(0,F59-0.003)*0.9*(D59/12)+N58,N58))*IF(OR(C59&gt;ÉV!$I$2,AND(C59=ÉV!$I$2,D59&gt;ÉV!$J$2)),0,1)</f>
        <v>0</v>
      </c>
      <c r="O59" s="313">
        <f ca="1">IF(MAX(AF$2:AF58)=2,      0,IF(OR(AC59=7, AF59=2),    SUM(AE$2:AE59),    O58)   )</f>
        <v>161463.53221999999</v>
      </c>
      <c r="P59" s="271">
        <f ca="1">IF(D59=12,V59+P58+P58*(F59-0.003)*0.9,IF(AND(C59=ÉV!$I$2,D59=ÉV!$J$2),V59+P58+P58*(F59-0.003)*0.9*D59/12,P58))*IF(OR(C59&gt;ÉV!$I$2,AND(C59=ÉV!$I$2,D59&gt;ÉV!$J$2)),0,1)</f>
        <v>0</v>
      </c>
      <c r="Q59" s="275">
        <f ca="1">(N59+P59)*IF(OR(AND(C59=ÉV!$I$2,D59&gt;ÉV!$J$2),C59&gt;ÉV!$I$2),0,1)</f>
        <v>0</v>
      </c>
      <c r="R59" s="271">
        <f ca="1">(MAX(0,F59-E59-0.003)*0.9*((K59+I59)*(1/12)))*IF(OR(C59&gt;ÉV!$I$2,AND(C59=ÉV!$I$2,D59&gt;ÉV!$J$2)),0,1)</f>
        <v>0</v>
      </c>
      <c r="S59" s="271">
        <f ca="1">(MAX(0,F59-0.003)*0.9*((O59)*(1/12)))*IF(OR(C59&gt;ÉV!$I$2,AND(C59=ÉV!$I$2,D59&gt;ÉV!$J$2)),0,1)</f>
        <v>0</v>
      </c>
      <c r="T59" s="271">
        <f ca="1">(MAX(0,F59-0.003)*0.9*((Q58)*(1/12)))*IF(OR(C59&gt;ÉV!$I$2,AND(C59=ÉV!$I$2,D59&gt;ÉV!$J$2)),0,1)</f>
        <v>0</v>
      </c>
      <c r="U59" s="271">
        <f ca="1">IF($D59=1,R59,R59+U58)*IF(OR(C59&gt;ÉV!$I$2,AND(C59=ÉV!$I$2,D59&gt;ÉV!$J$2)),0,1)</f>
        <v>0</v>
      </c>
      <c r="V59" s="271">
        <f ca="1">IF($D59=1,S59,S59+V58)*IF(OR(C59&gt;ÉV!$I$2,AND(C59=ÉV!$I$2,D59&gt;ÉV!$J$2)),0,1)</f>
        <v>0</v>
      </c>
      <c r="W59" s="271">
        <f ca="1">IF($D59=1,T59,T59+W58)*IF(OR(C59&gt;ÉV!$I$2,AND(C59=ÉV!$I$2,D59&gt;ÉV!$J$2)),0,1)</f>
        <v>0</v>
      </c>
      <c r="X59" s="271">
        <f ca="1">IF(OR(D59=12,AND(C59=ÉV!$I$2,D59=ÉV!$J$2)),SUM(U59:W59)+X58,X58)*IF(OR(C59&gt;ÉV!$I$2,AND(C59=ÉV!$I$2,D59&gt;ÉV!$J$2)),0,1)</f>
        <v>0</v>
      </c>
      <c r="Y59" s="271">
        <f t="shared" ca="1" si="0"/>
        <v>0</v>
      </c>
      <c r="Z59" s="265">
        <f t="shared" si="1"/>
        <v>9</v>
      </c>
      <c r="AA59" s="272">
        <f t="shared" ca="1" si="2"/>
        <v>18883.931057999998</v>
      </c>
      <c r="AB59" s="265">
        <f t="shared" ca="1" si="10"/>
        <v>2021</v>
      </c>
      <c r="AC59" s="265">
        <f t="shared" ca="1" si="11"/>
        <v>12</v>
      </c>
      <c r="AD59" s="276">
        <f ca="1">IF(     OR(               AND(MAX(AF$6:AF59)&lt;2,  AC59=12),                 AF59=2),                   SUMIF(AB:AB,AB59,AA:AA),                       0)</f>
        <v>225496.35322199992</v>
      </c>
      <c r="AE59" s="277">
        <f t="shared" ca="1" si="12"/>
        <v>45099.270644399985</v>
      </c>
      <c r="AF59" s="277">
        <f t="shared" ca="1" si="4"/>
        <v>0</v>
      </c>
      <c r="AG59" s="402">
        <f ca="1">IF(  AND(AC59=AdóHó,   MAX(AF$1:AF58)&lt;2),   SUMIF(AB:AB,AB59-1,AE:AE),0  )
+ IF(AND(AC59&lt;AdóHó,                            AF59=2),   SUMIF(AB:AB,AB59-1,AE:AE),0  )
+ IF(                                                                  AF59=2,    SUMIF(AB:AB,AB59,AE:AE   ),0  )</f>
        <v>0</v>
      </c>
      <c r="AH59" s="272">
        <f ca="1">SUM(AG$2:AG59)</f>
        <v>161463.53221999999</v>
      </c>
    </row>
    <row r="60" spans="1:34">
      <c r="A60" s="265">
        <f t="shared" si="6"/>
        <v>5</v>
      </c>
      <c r="B60" s="265">
        <f t="shared" si="7"/>
        <v>10</v>
      </c>
      <c r="C60" s="265">
        <f t="shared" ca="1" si="8"/>
        <v>6</v>
      </c>
      <c r="D60" s="265">
        <f t="shared" ca="1" si="9"/>
        <v>1</v>
      </c>
      <c r="E60" s="266">
        <v>5.0000000000000001E-3</v>
      </c>
      <c r="F60" s="267">
        <f>ÉV!$B$12</f>
        <v>0</v>
      </c>
      <c r="G60" s="271">
        <f ca="1">VLOOKUP(A60,ÉV!$A$18:$B$65,2,0)</f>
        <v>226607.17269599999</v>
      </c>
      <c r="H60" s="271">
        <f ca="1">IF(OR(A60=1,AND(C60=ÉV!$I$2,D60&gt;ÉV!$J$2),C60&gt;ÉV!$I$2),0,INDEX(Pz!$B$2:$AM$48,A60-1,ÉV!$G$2-9)/100000*ÉV!$B$10)</f>
        <v>200897.91689368687</v>
      </c>
      <c r="I60" s="271">
        <f ca="1">INDEX(Pz!$B$2:$AM$48,HÓ!A60,ÉV!$G$2-9)/100000*ÉV!$B$10</f>
        <v>204899.15816899529</v>
      </c>
      <c r="J60" s="273">
        <f ca="1">IF(OR(A60=1,A60=2,AND(C60=ÉV!$I$2,D60&gt;ÉV!$J$2),C60&gt;ÉV!$I$2),0,VLOOKUP(A60-2,ÉV!$A$18:$C$65,3,0))</f>
        <v>351132.31875505357</v>
      </c>
      <c r="K60" s="273">
        <f ca="1">IF(OR(A60=1,AND(C60=ÉV!$I$2,D60&gt;ÉV!$J$2),C60&gt;ÉV!$I$2),0,VLOOKUP(A60-1,ÉV!$A$18:$C$65,3,0))</f>
        <v>552209.02744219545</v>
      </c>
      <c r="L60" s="273">
        <f ca="1">VLOOKUP(A60,ÉV!$A$18:$C$65,3,0)*IF(OR(AND(C60=ÉV!$I$2,D60&gt;ÉV!$J$2),C60&gt;ÉV!$I$2),0,1)</f>
        <v>757946.78607107699</v>
      </c>
      <c r="M60" s="273">
        <f ca="1">(K60*(12-B60)/12+L60*B60/12)*IF(A60&gt;ÉV!$G$2,0,1)+IF(A60&gt;ÉV!$G$2,M59,0)*IF(OR(AND(C60=ÉV!$I$2,D60&gt;ÉV!$J$2),C60&gt;ÉV!$I$2),0,1)</f>
        <v>723657.15963293007</v>
      </c>
      <c r="N60" s="274">
        <f ca="1">IF(AND(C60=1,D60&lt;12),0,1)*IF(D60=12,MAX(0,F60-E60-0.003)*0.9*((K60+I60)*(B60/12)+(J60+H60)*(1-B60/12))+MAX(0,F60-0.003)*0.9*N59+N59,IF(AND(C60=ÉV!$I$2,D60=ÉV!$J$2),(M60+N59)*MAX(0,F60-0.003)*0.9*(D60/12)+N59,N59))*IF(OR(C60&gt;ÉV!$I$2,AND(C60=ÉV!$I$2,D60&gt;ÉV!$J$2)),0,1)</f>
        <v>0</v>
      </c>
      <c r="O60" s="313">
        <f ca="1">IF(MAX(AF$2:AF59)=2,      0,IF(OR(AC60=7, AF60=2),    SUM(AE$2:AE60),    O59)   )</f>
        <v>161463.53221999999</v>
      </c>
      <c r="P60" s="271">
        <f ca="1">IF(D60=12,V60+P59+P59*(F60-0.003)*0.9,IF(AND(C60=ÉV!$I$2,D60=ÉV!$J$2),V60+P59+P59*(F60-0.003)*0.9*D60/12,P59))*IF(OR(C60&gt;ÉV!$I$2,AND(C60=ÉV!$I$2,D60&gt;ÉV!$J$2)),0,1)</f>
        <v>0</v>
      </c>
      <c r="Q60" s="275">
        <f ca="1">(N60+P60)*IF(OR(AND(C60=ÉV!$I$2,D60&gt;ÉV!$J$2),C60&gt;ÉV!$I$2),0,1)</f>
        <v>0</v>
      </c>
      <c r="R60" s="271">
        <f ca="1">(MAX(0,F60-E60-0.003)*0.9*((K60+I60)*(1/12)))*IF(OR(C60&gt;ÉV!$I$2,AND(C60=ÉV!$I$2,D60&gt;ÉV!$J$2)),0,1)</f>
        <v>0</v>
      </c>
      <c r="S60" s="271">
        <f ca="1">(MAX(0,F60-0.003)*0.9*((O60)*(1/12)))*IF(OR(C60&gt;ÉV!$I$2,AND(C60=ÉV!$I$2,D60&gt;ÉV!$J$2)),0,1)</f>
        <v>0</v>
      </c>
      <c r="T60" s="271">
        <f ca="1">(MAX(0,F60-0.003)*0.9*((Q59)*(1/12)))*IF(OR(C60&gt;ÉV!$I$2,AND(C60=ÉV!$I$2,D60&gt;ÉV!$J$2)),0,1)</f>
        <v>0</v>
      </c>
      <c r="U60" s="271">
        <f ca="1">IF($D60=1,R60,R60+U59)*IF(OR(C60&gt;ÉV!$I$2,AND(C60=ÉV!$I$2,D60&gt;ÉV!$J$2)),0,1)</f>
        <v>0</v>
      </c>
      <c r="V60" s="271">
        <f ca="1">IF($D60=1,S60,S60+V59)*IF(OR(C60&gt;ÉV!$I$2,AND(C60=ÉV!$I$2,D60&gt;ÉV!$J$2)),0,1)</f>
        <v>0</v>
      </c>
      <c r="W60" s="271">
        <f ca="1">IF($D60=1,T60,T60+W59)*IF(OR(C60&gt;ÉV!$I$2,AND(C60=ÉV!$I$2,D60&gt;ÉV!$J$2)),0,1)</f>
        <v>0</v>
      </c>
      <c r="X60" s="271">
        <f ca="1">IF(OR(D60=12,AND(C60=ÉV!$I$2,D60=ÉV!$J$2)),SUM(U60:W60)+X59,X59)*IF(OR(C60&gt;ÉV!$I$2,AND(C60=ÉV!$I$2,D60&gt;ÉV!$J$2)),0,1)</f>
        <v>0</v>
      </c>
      <c r="Y60" s="271">
        <f t="shared" ca="1" si="0"/>
        <v>0</v>
      </c>
      <c r="Z60" s="265">
        <f t="shared" si="1"/>
        <v>10</v>
      </c>
      <c r="AA60" s="272">
        <f t="shared" ca="1" si="2"/>
        <v>18883.931057999998</v>
      </c>
      <c r="AB60" s="265">
        <f t="shared" ca="1" si="10"/>
        <v>2022</v>
      </c>
      <c r="AC60" s="265">
        <f t="shared" ca="1" si="11"/>
        <v>1</v>
      </c>
      <c r="AD60" s="276">
        <f ca="1">IF(     OR(               AND(MAX(AF$6:AF60)&lt;2,  AC60=12),                 AF60=2),                   SUMIF(AB:AB,AB60,AA:AA),                       0)</f>
        <v>0</v>
      </c>
      <c r="AE60" s="277">
        <f t="shared" ca="1" si="12"/>
        <v>0</v>
      </c>
      <c r="AF60" s="277">
        <f t="shared" ca="1" si="4"/>
        <v>0</v>
      </c>
      <c r="AG60" s="402">
        <f ca="1">IF(  AND(AC60=AdóHó,   MAX(AF$1:AF59)&lt;2),   SUMIF(AB:AB,AB60-1,AE:AE),0  )
+ IF(AND(AC60&lt;AdóHó,                            AF60=2),   SUMIF(AB:AB,AB60-1,AE:AE),0  )
+ IF(                                                                  AF60=2,    SUMIF(AB:AB,AB60,AE:AE   ),0  )</f>
        <v>0</v>
      </c>
      <c r="AH60" s="272">
        <f ca="1">SUM(AG$2:AG60)</f>
        <v>161463.53221999999</v>
      </c>
    </row>
    <row r="61" spans="1:34">
      <c r="A61" s="265">
        <f t="shared" si="6"/>
        <v>5</v>
      </c>
      <c r="B61" s="265">
        <f t="shared" si="7"/>
        <v>11</v>
      </c>
      <c r="C61" s="265">
        <f t="shared" ca="1" si="8"/>
        <v>6</v>
      </c>
      <c r="D61" s="265">
        <f t="shared" ca="1" si="9"/>
        <v>2</v>
      </c>
      <c r="E61" s="266">
        <v>5.0000000000000001E-3</v>
      </c>
      <c r="F61" s="267">
        <f>ÉV!$B$12</f>
        <v>0</v>
      </c>
      <c r="G61" s="271">
        <f ca="1">VLOOKUP(A61,ÉV!$A$18:$B$65,2,0)</f>
        <v>226607.17269599999</v>
      </c>
      <c r="H61" s="271">
        <f ca="1">IF(OR(A61=1,AND(C61=ÉV!$I$2,D61&gt;ÉV!$J$2),C61&gt;ÉV!$I$2),0,INDEX(Pz!$B$2:$AM$48,A61-1,ÉV!$G$2-9)/100000*ÉV!$B$10)</f>
        <v>200897.91689368687</v>
      </c>
      <c r="I61" s="271">
        <f ca="1">INDEX(Pz!$B$2:$AM$48,HÓ!A61,ÉV!$G$2-9)/100000*ÉV!$B$10</f>
        <v>204899.15816899529</v>
      </c>
      <c r="J61" s="273">
        <f ca="1">IF(OR(A61=1,A61=2,AND(C61=ÉV!$I$2,D61&gt;ÉV!$J$2),C61&gt;ÉV!$I$2),0,VLOOKUP(A61-2,ÉV!$A$18:$C$65,3,0))</f>
        <v>351132.31875505357</v>
      </c>
      <c r="K61" s="273">
        <f ca="1">IF(OR(A61=1,AND(C61=ÉV!$I$2,D61&gt;ÉV!$J$2),C61&gt;ÉV!$I$2),0,VLOOKUP(A61-1,ÉV!$A$18:$C$65,3,0))</f>
        <v>552209.02744219545</v>
      </c>
      <c r="L61" s="273">
        <f ca="1">VLOOKUP(A61,ÉV!$A$18:$C$65,3,0)*IF(OR(AND(C61=ÉV!$I$2,D61&gt;ÉV!$J$2),C61&gt;ÉV!$I$2),0,1)</f>
        <v>757946.78607107699</v>
      </c>
      <c r="M61" s="273">
        <f ca="1">(K61*(12-B61)/12+L61*B61/12)*IF(A61&gt;ÉV!$G$2,0,1)+IF(A61&gt;ÉV!$G$2,M60,0)*IF(OR(AND(C61=ÉV!$I$2,D61&gt;ÉV!$J$2),C61&gt;ÉV!$I$2),0,1)</f>
        <v>740801.97285200353</v>
      </c>
      <c r="N61" s="274">
        <f ca="1">IF(AND(C61=1,D61&lt;12),0,1)*IF(D61=12,MAX(0,F61-E61-0.003)*0.9*((K61+I61)*(B61/12)+(J61+H61)*(1-B61/12))+MAX(0,F61-0.003)*0.9*N60+N60,IF(AND(C61=ÉV!$I$2,D61=ÉV!$J$2),(M61+N60)*MAX(0,F61-0.003)*0.9*(D61/12)+N60,N60))*IF(OR(C61&gt;ÉV!$I$2,AND(C61=ÉV!$I$2,D61&gt;ÉV!$J$2)),0,1)</f>
        <v>0</v>
      </c>
      <c r="O61" s="313">
        <f ca="1">IF(MAX(AF$2:AF60)=2,      0,IF(OR(AC61=7, AF61=2),    SUM(AE$2:AE61),    O60)   )</f>
        <v>161463.53221999999</v>
      </c>
      <c r="P61" s="271">
        <f ca="1">IF(D61=12,V61+P60+P60*(F61-0.003)*0.9,IF(AND(C61=ÉV!$I$2,D61=ÉV!$J$2),V61+P60+P60*(F61-0.003)*0.9*D61/12,P60))*IF(OR(C61&gt;ÉV!$I$2,AND(C61=ÉV!$I$2,D61&gt;ÉV!$J$2)),0,1)</f>
        <v>0</v>
      </c>
      <c r="Q61" s="275">
        <f ca="1">(N61+P61)*IF(OR(AND(C61=ÉV!$I$2,D61&gt;ÉV!$J$2),C61&gt;ÉV!$I$2),0,1)</f>
        <v>0</v>
      </c>
      <c r="R61" s="271">
        <f ca="1">(MAX(0,F61-E61-0.003)*0.9*((K61+I61)*(1/12)))*IF(OR(C61&gt;ÉV!$I$2,AND(C61=ÉV!$I$2,D61&gt;ÉV!$J$2)),0,1)</f>
        <v>0</v>
      </c>
      <c r="S61" s="271">
        <f ca="1">(MAX(0,F61-0.003)*0.9*((O61)*(1/12)))*IF(OR(C61&gt;ÉV!$I$2,AND(C61=ÉV!$I$2,D61&gt;ÉV!$J$2)),0,1)</f>
        <v>0</v>
      </c>
      <c r="T61" s="271">
        <f ca="1">(MAX(0,F61-0.003)*0.9*((Q60)*(1/12)))*IF(OR(C61&gt;ÉV!$I$2,AND(C61=ÉV!$I$2,D61&gt;ÉV!$J$2)),0,1)</f>
        <v>0</v>
      </c>
      <c r="U61" s="271">
        <f ca="1">IF($D61=1,R61,R61+U60)*IF(OR(C61&gt;ÉV!$I$2,AND(C61=ÉV!$I$2,D61&gt;ÉV!$J$2)),0,1)</f>
        <v>0</v>
      </c>
      <c r="V61" s="271">
        <f ca="1">IF($D61=1,S61,S61+V60)*IF(OR(C61&gt;ÉV!$I$2,AND(C61=ÉV!$I$2,D61&gt;ÉV!$J$2)),0,1)</f>
        <v>0</v>
      </c>
      <c r="W61" s="271">
        <f ca="1">IF($D61=1,T61,T61+W60)*IF(OR(C61&gt;ÉV!$I$2,AND(C61=ÉV!$I$2,D61&gt;ÉV!$J$2)),0,1)</f>
        <v>0</v>
      </c>
      <c r="X61" s="271">
        <f ca="1">IF(OR(D61=12,AND(C61=ÉV!$I$2,D61=ÉV!$J$2)),SUM(U61:W61)+X60,X60)*IF(OR(C61&gt;ÉV!$I$2,AND(C61=ÉV!$I$2,D61&gt;ÉV!$J$2)),0,1)</f>
        <v>0</v>
      </c>
      <c r="Y61" s="271">
        <f t="shared" ca="1" si="0"/>
        <v>0</v>
      </c>
      <c r="Z61" s="265">
        <f t="shared" si="1"/>
        <v>11</v>
      </c>
      <c r="AA61" s="272">
        <f t="shared" ca="1" si="2"/>
        <v>18883.931057999998</v>
      </c>
      <c r="AB61" s="265">
        <f t="shared" ca="1" si="10"/>
        <v>2022</v>
      </c>
      <c r="AC61" s="265">
        <f t="shared" ca="1" si="11"/>
        <v>2</v>
      </c>
      <c r="AD61" s="276">
        <f ca="1">IF(     OR(               AND(MAX(AF$6:AF61)&lt;2,  AC61=12),                 AF61=2),                   SUMIF(AB:AB,AB61,AA:AA),                       0)</f>
        <v>0</v>
      </c>
      <c r="AE61" s="277">
        <f t="shared" ca="1" si="12"/>
        <v>0</v>
      </c>
      <c r="AF61" s="277">
        <f t="shared" ca="1" si="4"/>
        <v>0</v>
      </c>
      <c r="AG61" s="402">
        <f ca="1">IF(  AND(AC61=AdóHó,   MAX(AF$1:AF60)&lt;2),   SUMIF(AB:AB,AB61-1,AE:AE),0  )
+ IF(AND(AC61&lt;AdóHó,                            AF61=2),   SUMIF(AB:AB,AB61-1,AE:AE),0  )
+ IF(                                                                  AF61=2,    SUMIF(AB:AB,AB61,AE:AE   ),0  )</f>
        <v>0</v>
      </c>
      <c r="AH61" s="272">
        <f ca="1">SUM(AG$2:AG61)</f>
        <v>161463.53221999999</v>
      </c>
    </row>
    <row r="62" spans="1:34">
      <c r="A62" s="265">
        <f t="shared" si="6"/>
        <v>5</v>
      </c>
      <c r="B62" s="265">
        <f t="shared" si="7"/>
        <v>12</v>
      </c>
      <c r="C62" s="265">
        <f t="shared" ca="1" si="8"/>
        <v>6</v>
      </c>
      <c r="D62" s="265">
        <f t="shared" ca="1" si="9"/>
        <v>3</v>
      </c>
      <c r="E62" s="266">
        <v>5.0000000000000001E-3</v>
      </c>
      <c r="F62" s="267">
        <f>ÉV!$B$12</f>
        <v>0</v>
      </c>
      <c r="G62" s="271">
        <f ca="1">VLOOKUP(A62,ÉV!$A$18:$B$65,2,0)</f>
        <v>226607.17269599999</v>
      </c>
      <c r="H62" s="271">
        <f ca="1">IF(OR(A62=1,AND(C62=ÉV!$I$2,D62&gt;ÉV!$J$2),C62&gt;ÉV!$I$2),0,INDEX(Pz!$B$2:$AM$48,A62-1,ÉV!$G$2-9)/100000*ÉV!$B$10)</f>
        <v>200897.91689368687</v>
      </c>
      <c r="I62" s="271">
        <f ca="1">INDEX(Pz!$B$2:$AM$48,HÓ!A62,ÉV!$G$2-9)/100000*ÉV!$B$10</f>
        <v>204899.15816899529</v>
      </c>
      <c r="J62" s="273">
        <f ca="1">IF(OR(A62=1,A62=2,AND(C62=ÉV!$I$2,D62&gt;ÉV!$J$2),C62&gt;ÉV!$I$2),0,VLOOKUP(A62-2,ÉV!$A$18:$C$65,3,0))</f>
        <v>351132.31875505357</v>
      </c>
      <c r="K62" s="273">
        <f ca="1">IF(OR(A62=1,AND(C62=ÉV!$I$2,D62&gt;ÉV!$J$2),C62&gt;ÉV!$I$2),0,VLOOKUP(A62-1,ÉV!$A$18:$C$65,3,0))</f>
        <v>552209.02744219545</v>
      </c>
      <c r="L62" s="273">
        <f ca="1">VLOOKUP(A62,ÉV!$A$18:$C$65,3,0)*IF(OR(AND(C62=ÉV!$I$2,D62&gt;ÉV!$J$2),C62&gt;ÉV!$I$2),0,1)</f>
        <v>757946.78607107699</v>
      </c>
      <c r="M62" s="273">
        <f ca="1">(K62*(12-B62)/12+L62*B62/12)*IF(A62&gt;ÉV!$G$2,0,1)+IF(A62&gt;ÉV!$G$2,M61,0)*IF(OR(AND(C62=ÉV!$I$2,D62&gt;ÉV!$J$2),C62&gt;ÉV!$I$2),0,1)</f>
        <v>757946.78607107699</v>
      </c>
      <c r="N62" s="274">
        <f ca="1">IF(AND(C62=1,D62&lt;12),0,1)*IF(D62=12,MAX(0,F62-E62-0.003)*0.9*((K62+I62)*(B62/12)+(J62+H62)*(1-B62/12))+MAX(0,F62-0.003)*0.9*N61+N61,IF(AND(C62=ÉV!$I$2,D62=ÉV!$J$2),(M62+N61)*MAX(0,F62-0.003)*0.9*(D62/12)+N61,N61))*IF(OR(C62&gt;ÉV!$I$2,AND(C62=ÉV!$I$2,D62&gt;ÉV!$J$2)),0,1)</f>
        <v>0</v>
      </c>
      <c r="O62" s="313">
        <f ca="1">IF(MAX(AF$2:AF61)=2,      0,IF(OR(AC62=7, AF62=2),    SUM(AE$2:AE62),    O61)   )</f>
        <v>161463.53221999999</v>
      </c>
      <c r="P62" s="271">
        <f ca="1">IF(D62=12,V62+P61+P61*(F62-0.003)*0.9,IF(AND(C62=ÉV!$I$2,D62=ÉV!$J$2),V62+P61+P61*(F62-0.003)*0.9*D62/12,P61))*IF(OR(C62&gt;ÉV!$I$2,AND(C62=ÉV!$I$2,D62&gt;ÉV!$J$2)),0,1)</f>
        <v>0</v>
      </c>
      <c r="Q62" s="275">
        <f ca="1">(N62+P62)*IF(OR(AND(C62=ÉV!$I$2,D62&gt;ÉV!$J$2),C62&gt;ÉV!$I$2),0,1)</f>
        <v>0</v>
      </c>
      <c r="R62" s="271">
        <f ca="1">(MAX(0,F62-E62-0.003)*0.9*((K62+I62)*(1/12)))*IF(OR(C62&gt;ÉV!$I$2,AND(C62=ÉV!$I$2,D62&gt;ÉV!$J$2)),0,1)</f>
        <v>0</v>
      </c>
      <c r="S62" s="271">
        <f ca="1">(MAX(0,F62-0.003)*0.9*((O62)*(1/12)))*IF(OR(C62&gt;ÉV!$I$2,AND(C62=ÉV!$I$2,D62&gt;ÉV!$J$2)),0,1)</f>
        <v>0</v>
      </c>
      <c r="T62" s="271">
        <f ca="1">(MAX(0,F62-0.003)*0.9*((Q61)*(1/12)))*IF(OR(C62&gt;ÉV!$I$2,AND(C62=ÉV!$I$2,D62&gt;ÉV!$J$2)),0,1)</f>
        <v>0</v>
      </c>
      <c r="U62" s="271">
        <f ca="1">IF($D62=1,R62,R62+U61)*IF(OR(C62&gt;ÉV!$I$2,AND(C62=ÉV!$I$2,D62&gt;ÉV!$J$2)),0,1)</f>
        <v>0</v>
      </c>
      <c r="V62" s="271">
        <f ca="1">IF($D62=1,S62,S62+V61)*IF(OR(C62&gt;ÉV!$I$2,AND(C62=ÉV!$I$2,D62&gt;ÉV!$J$2)),0,1)</f>
        <v>0</v>
      </c>
      <c r="W62" s="271">
        <f ca="1">IF($D62=1,T62,T62+W61)*IF(OR(C62&gt;ÉV!$I$2,AND(C62=ÉV!$I$2,D62&gt;ÉV!$J$2)),0,1)</f>
        <v>0</v>
      </c>
      <c r="X62" s="271">
        <f ca="1">IF(OR(D62=12,AND(C62=ÉV!$I$2,D62=ÉV!$J$2)),SUM(U62:W62)+X61,X61)*IF(OR(C62&gt;ÉV!$I$2,AND(C62=ÉV!$I$2,D62&gt;ÉV!$J$2)),0,1)</f>
        <v>0</v>
      </c>
      <c r="Y62" s="271">
        <f t="shared" ca="1" si="0"/>
        <v>0</v>
      </c>
      <c r="Z62" s="265">
        <f t="shared" si="1"/>
        <v>12</v>
      </c>
      <c r="AA62" s="272">
        <f t="shared" ca="1" si="2"/>
        <v>18883.931057999998</v>
      </c>
      <c r="AB62" s="265">
        <f t="shared" ca="1" si="10"/>
        <v>2022</v>
      </c>
      <c r="AC62" s="265">
        <f t="shared" ca="1" si="11"/>
        <v>3</v>
      </c>
      <c r="AD62" s="276">
        <f ca="1">IF(     OR(               AND(MAX(AF$6:AF62)&lt;2,  AC62=12),                 AF62=2),                   SUMIF(AB:AB,AB62,AA:AA),                       0)</f>
        <v>0</v>
      </c>
      <c r="AE62" s="277">
        <f t="shared" ca="1" si="12"/>
        <v>0</v>
      </c>
      <c r="AF62" s="277">
        <f t="shared" ca="1" si="4"/>
        <v>0</v>
      </c>
      <c r="AG62" s="402">
        <f ca="1">IF(  AND(AC62=AdóHó,   MAX(AF$1:AF61)&lt;2),   SUMIF(AB:AB,AB62-1,AE:AE),0  )
+ IF(AND(AC62&lt;AdóHó,                            AF62=2),   SUMIF(AB:AB,AB62-1,AE:AE),0  )
+ IF(                                                                  AF62=2,    SUMIF(AB:AB,AB62,AE:AE   ),0  )</f>
        <v>0</v>
      </c>
      <c r="AH62" s="272">
        <f ca="1">SUM(AG$2:AG62)</f>
        <v>161463.53221999999</v>
      </c>
    </row>
    <row r="63" spans="1:34">
      <c r="A63" s="265">
        <f t="shared" si="6"/>
        <v>6</v>
      </c>
      <c r="B63" s="265">
        <f t="shared" si="7"/>
        <v>1</v>
      </c>
      <c r="C63" s="265">
        <f t="shared" ca="1" si="8"/>
        <v>6</v>
      </c>
      <c r="D63" s="265">
        <f t="shared" ca="1" si="9"/>
        <v>4</v>
      </c>
      <c r="E63" s="266">
        <v>5.0000000000000001E-3</v>
      </c>
      <c r="F63" s="267">
        <f>ÉV!$B$12</f>
        <v>0</v>
      </c>
      <c r="G63" s="271">
        <f ca="1">VLOOKUP(A63,ÉV!$A$18:$B$65,2,0)</f>
        <v>231139.31614991999</v>
      </c>
      <c r="H63" s="271">
        <f ca="1">IF(OR(A63=1,AND(C63=ÉV!$I$2,D63&gt;ÉV!$J$2),C63&gt;ÉV!$I$2),0,INDEX(Pz!$B$2:$AM$48,A63-1,ÉV!$G$2-9)/100000*ÉV!$B$10)</f>
        <v>204899.15816899529</v>
      </c>
      <c r="I63" s="271">
        <f ca="1">INDEX(Pz!$B$2:$AM$48,HÓ!A63,ÉV!$G$2-9)/100000*ÉV!$B$10</f>
        <v>208980.42426980985</v>
      </c>
      <c r="J63" s="273">
        <f ca="1">IF(OR(A63=1,A63=2,AND(C63=ÉV!$I$2,D63&gt;ÉV!$J$2),C63&gt;ÉV!$I$2),0,VLOOKUP(A63-2,ÉV!$A$18:$C$65,3,0))</f>
        <v>552209.02744219545</v>
      </c>
      <c r="K63" s="273">
        <f ca="1">IF(OR(A63=1,AND(C63=ÉV!$I$2,D63&gt;ÉV!$J$2),C63&gt;ÉV!$I$2),0,VLOOKUP(A63-1,ÉV!$A$18:$C$65,3,0))</f>
        <v>757946.78607107699</v>
      </c>
      <c r="L63" s="273">
        <f ca="1">VLOOKUP(A63,ÉV!$A$18:$C$65,3,0)*IF(OR(AND(C63=ÉV!$I$2,D63&gt;ÉV!$J$2),C63&gt;ÉV!$I$2),0,1)</f>
        <v>968419.63807544659</v>
      </c>
      <c r="M63" s="273">
        <f ca="1">(K63*(12-B63)/12+L63*B63/12)*IF(A63&gt;ÉV!$G$2,0,1)+IF(A63&gt;ÉV!$G$2,M62,0)*IF(OR(AND(C63=ÉV!$I$2,D63&gt;ÉV!$J$2),C63&gt;ÉV!$I$2),0,1)</f>
        <v>775486.1904047745</v>
      </c>
      <c r="N63" s="274">
        <f ca="1">IF(AND(C63=1,D63&lt;12),0,1)*IF(D63=12,MAX(0,F63-E63-0.003)*0.9*((K63+I63)*(B63/12)+(J63+H63)*(1-B63/12))+MAX(0,F63-0.003)*0.9*N62+N62,IF(AND(C63=ÉV!$I$2,D63=ÉV!$J$2),(M63+N62)*MAX(0,F63-0.003)*0.9*(D63/12)+N62,N62))*IF(OR(C63&gt;ÉV!$I$2,AND(C63=ÉV!$I$2,D63&gt;ÉV!$J$2)),0,1)</f>
        <v>0</v>
      </c>
      <c r="O63" s="313">
        <f ca="1">IF(MAX(AF$2:AF62)=2,      0,IF(OR(AC63=7, AF63=2),    SUM(AE$2:AE63),    O62)   )</f>
        <v>161463.53221999999</v>
      </c>
      <c r="P63" s="271">
        <f ca="1">IF(D63=12,V63+P62+P62*(F63-0.003)*0.9,IF(AND(C63=ÉV!$I$2,D63=ÉV!$J$2),V63+P62+P62*(F63-0.003)*0.9*D63/12,P62))*IF(OR(C63&gt;ÉV!$I$2,AND(C63=ÉV!$I$2,D63&gt;ÉV!$J$2)),0,1)</f>
        <v>0</v>
      </c>
      <c r="Q63" s="275">
        <f ca="1">(N63+P63)*IF(OR(AND(C63=ÉV!$I$2,D63&gt;ÉV!$J$2),C63&gt;ÉV!$I$2),0,1)</f>
        <v>0</v>
      </c>
      <c r="R63" s="271">
        <f ca="1">(MAX(0,F63-E63-0.003)*0.9*((K63+I63)*(1/12)))*IF(OR(C63&gt;ÉV!$I$2,AND(C63=ÉV!$I$2,D63&gt;ÉV!$J$2)),0,1)</f>
        <v>0</v>
      </c>
      <c r="S63" s="271">
        <f ca="1">(MAX(0,F63-0.003)*0.9*((O63)*(1/12)))*IF(OR(C63&gt;ÉV!$I$2,AND(C63=ÉV!$I$2,D63&gt;ÉV!$J$2)),0,1)</f>
        <v>0</v>
      </c>
      <c r="T63" s="271">
        <f ca="1">(MAX(0,F63-0.003)*0.9*((Q62)*(1/12)))*IF(OR(C63&gt;ÉV!$I$2,AND(C63=ÉV!$I$2,D63&gt;ÉV!$J$2)),0,1)</f>
        <v>0</v>
      </c>
      <c r="U63" s="271">
        <f ca="1">IF($D63=1,R63,R63+U62)*IF(OR(C63&gt;ÉV!$I$2,AND(C63=ÉV!$I$2,D63&gt;ÉV!$J$2)),0,1)</f>
        <v>0</v>
      </c>
      <c r="V63" s="271">
        <f ca="1">IF($D63=1,S63,S63+V62)*IF(OR(C63&gt;ÉV!$I$2,AND(C63=ÉV!$I$2,D63&gt;ÉV!$J$2)),0,1)</f>
        <v>0</v>
      </c>
      <c r="W63" s="271">
        <f ca="1">IF($D63=1,T63,T63+W62)*IF(OR(C63&gt;ÉV!$I$2,AND(C63=ÉV!$I$2,D63&gt;ÉV!$J$2)),0,1)</f>
        <v>0</v>
      </c>
      <c r="X63" s="271">
        <f ca="1">IF(OR(D63=12,AND(C63=ÉV!$I$2,D63=ÉV!$J$2)),SUM(U63:W63)+X62,X62)*IF(OR(C63&gt;ÉV!$I$2,AND(C63=ÉV!$I$2,D63&gt;ÉV!$J$2)),0,1)</f>
        <v>0</v>
      </c>
      <c r="Y63" s="271">
        <f t="shared" ca="1" si="0"/>
        <v>0</v>
      </c>
      <c r="Z63" s="265">
        <f t="shared" si="1"/>
        <v>1</v>
      </c>
      <c r="AA63" s="272">
        <f t="shared" ca="1" si="2"/>
        <v>19261.609679159999</v>
      </c>
      <c r="AB63" s="265">
        <f t="shared" ca="1" si="10"/>
        <v>2022</v>
      </c>
      <c r="AC63" s="265">
        <f t="shared" ca="1" si="11"/>
        <v>4</v>
      </c>
      <c r="AD63" s="276">
        <f ca="1">IF(     OR(               AND(MAX(AF$6:AF63)&lt;2,  AC63=12),                 AF63=2),                   SUMIF(AB:AB,AB63,AA:AA),                       0)</f>
        <v>0</v>
      </c>
      <c r="AE63" s="277">
        <f t="shared" ca="1" si="12"/>
        <v>0</v>
      </c>
      <c r="AF63" s="277">
        <f t="shared" ca="1" si="4"/>
        <v>0</v>
      </c>
      <c r="AG63" s="402">
        <f ca="1">IF(  AND(AC63=AdóHó,   MAX(AF$1:AF62)&lt;2),   SUMIF(AB:AB,AB63-1,AE:AE),0  )
+ IF(AND(AC63&lt;AdóHó,                            AF63=2),   SUMIF(AB:AB,AB63-1,AE:AE),0  )
+ IF(                                                                  AF63=2,    SUMIF(AB:AB,AB63,AE:AE   ),0  )</f>
        <v>0</v>
      </c>
      <c r="AH63" s="272">
        <f ca="1">SUM(AG$2:AG63)</f>
        <v>161463.53221999999</v>
      </c>
    </row>
    <row r="64" spans="1:34">
      <c r="A64" s="265">
        <f t="shared" si="6"/>
        <v>6</v>
      </c>
      <c r="B64" s="265">
        <f t="shared" si="7"/>
        <v>2</v>
      </c>
      <c r="C64" s="265">
        <f t="shared" ca="1" si="8"/>
        <v>6</v>
      </c>
      <c r="D64" s="265">
        <f t="shared" ca="1" si="9"/>
        <v>5</v>
      </c>
      <c r="E64" s="266">
        <v>5.0000000000000001E-3</v>
      </c>
      <c r="F64" s="267">
        <f>ÉV!$B$12</f>
        <v>0</v>
      </c>
      <c r="G64" s="271">
        <f ca="1">VLOOKUP(A64,ÉV!$A$18:$B$65,2,0)</f>
        <v>231139.31614991999</v>
      </c>
      <c r="H64" s="271">
        <f ca="1">IF(OR(A64=1,AND(C64=ÉV!$I$2,D64&gt;ÉV!$J$2),C64&gt;ÉV!$I$2),0,INDEX(Pz!$B$2:$AM$48,A64-1,ÉV!$G$2-9)/100000*ÉV!$B$10)</f>
        <v>204899.15816899529</v>
      </c>
      <c r="I64" s="271">
        <f ca="1">INDEX(Pz!$B$2:$AM$48,HÓ!A64,ÉV!$G$2-9)/100000*ÉV!$B$10</f>
        <v>208980.42426980985</v>
      </c>
      <c r="J64" s="273">
        <f ca="1">IF(OR(A64=1,A64=2,AND(C64=ÉV!$I$2,D64&gt;ÉV!$J$2),C64&gt;ÉV!$I$2),0,VLOOKUP(A64-2,ÉV!$A$18:$C$65,3,0))</f>
        <v>552209.02744219545</v>
      </c>
      <c r="K64" s="273">
        <f ca="1">IF(OR(A64=1,AND(C64=ÉV!$I$2,D64&gt;ÉV!$J$2),C64&gt;ÉV!$I$2),0,VLOOKUP(A64-1,ÉV!$A$18:$C$65,3,0))</f>
        <v>757946.78607107699</v>
      </c>
      <c r="L64" s="273">
        <f ca="1">VLOOKUP(A64,ÉV!$A$18:$C$65,3,0)*IF(OR(AND(C64=ÉV!$I$2,D64&gt;ÉV!$J$2),C64&gt;ÉV!$I$2),0,1)</f>
        <v>968419.63807544659</v>
      </c>
      <c r="M64" s="273">
        <f ca="1">(K64*(12-B64)/12+L64*B64/12)*IF(A64&gt;ÉV!$G$2,0,1)+IF(A64&gt;ÉV!$G$2,M63,0)*IF(OR(AND(C64=ÉV!$I$2,D64&gt;ÉV!$J$2),C64&gt;ÉV!$I$2),0,1)</f>
        <v>793025.5947384719</v>
      </c>
      <c r="N64" s="274">
        <f ca="1">IF(AND(C64=1,D64&lt;12),0,1)*IF(D64=12,MAX(0,F64-E64-0.003)*0.9*((K64+I64)*(B64/12)+(J64+H64)*(1-B64/12))+MAX(0,F64-0.003)*0.9*N63+N63,IF(AND(C64=ÉV!$I$2,D64=ÉV!$J$2),(M64+N63)*MAX(0,F64-0.003)*0.9*(D64/12)+N63,N63))*IF(OR(C64&gt;ÉV!$I$2,AND(C64=ÉV!$I$2,D64&gt;ÉV!$J$2)),0,1)</f>
        <v>0</v>
      </c>
      <c r="O64" s="313">
        <f ca="1">IF(MAX(AF$2:AF63)=2,      0,IF(OR(AC64=7, AF64=2),    SUM(AE$2:AE64),    O63)   )</f>
        <v>161463.53221999999</v>
      </c>
      <c r="P64" s="271">
        <f ca="1">IF(D64=12,V64+P63+P63*(F64-0.003)*0.9,IF(AND(C64=ÉV!$I$2,D64=ÉV!$J$2),V64+P63+P63*(F64-0.003)*0.9*D64/12,P63))*IF(OR(C64&gt;ÉV!$I$2,AND(C64=ÉV!$I$2,D64&gt;ÉV!$J$2)),0,1)</f>
        <v>0</v>
      </c>
      <c r="Q64" s="275">
        <f ca="1">(N64+P64)*IF(OR(AND(C64=ÉV!$I$2,D64&gt;ÉV!$J$2),C64&gt;ÉV!$I$2),0,1)</f>
        <v>0</v>
      </c>
      <c r="R64" s="271">
        <f ca="1">(MAX(0,F64-E64-0.003)*0.9*((K64+I64)*(1/12)))*IF(OR(C64&gt;ÉV!$I$2,AND(C64=ÉV!$I$2,D64&gt;ÉV!$J$2)),0,1)</f>
        <v>0</v>
      </c>
      <c r="S64" s="271">
        <f ca="1">(MAX(0,F64-0.003)*0.9*((O64)*(1/12)))*IF(OR(C64&gt;ÉV!$I$2,AND(C64=ÉV!$I$2,D64&gt;ÉV!$J$2)),0,1)</f>
        <v>0</v>
      </c>
      <c r="T64" s="271">
        <f ca="1">(MAX(0,F64-0.003)*0.9*((Q63)*(1/12)))*IF(OR(C64&gt;ÉV!$I$2,AND(C64=ÉV!$I$2,D64&gt;ÉV!$J$2)),0,1)</f>
        <v>0</v>
      </c>
      <c r="U64" s="271">
        <f ca="1">IF($D64=1,R64,R64+U63)*IF(OR(C64&gt;ÉV!$I$2,AND(C64=ÉV!$I$2,D64&gt;ÉV!$J$2)),0,1)</f>
        <v>0</v>
      </c>
      <c r="V64" s="271">
        <f ca="1">IF($D64=1,S64,S64+V63)*IF(OR(C64&gt;ÉV!$I$2,AND(C64=ÉV!$I$2,D64&gt;ÉV!$J$2)),0,1)</f>
        <v>0</v>
      </c>
      <c r="W64" s="271">
        <f ca="1">IF($D64=1,T64,T64+W63)*IF(OR(C64&gt;ÉV!$I$2,AND(C64=ÉV!$I$2,D64&gt;ÉV!$J$2)),0,1)</f>
        <v>0</v>
      </c>
      <c r="X64" s="271">
        <f ca="1">IF(OR(D64=12,AND(C64=ÉV!$I$2,D64=ÉV!$J$2)),SUM(U64:W64)+X63,X63)*IF(OR(C64&gt;ÉV!$I$2,AND(C64=ÉV!$I$2,D64&gt;ÉV!$J$2)),0,1)</f>
        <v>0</v>
      </c>
      <c r="Y64" s="271">
        <f t="shared" ca="1" si="0"/>
        <v>0</v>
      </c>
      <c r="Z64" s="265">
        <f t="shared" si="1"/>
        <v>2</v>
      </c>
      <c r="AA64" s="272">
        <f t="shared" ca="1" si="2"/>
        <v>19261.609679159999</v>
      </c>
      <c r="AB64" s="265">
        <f t="shared" ca="1" si="10"/>
        <v>2022</v>
      </c>
      <c r="AC64" s="265">
        <f t="shared" ca="1" si="11"/>
        <v>5</v>
      </c>
      <c r="AD64" s="276">
        <f ca="1">IF(     OR(               AND(MAX(AF$6:AF64)&lt;2,  AC64=12),                 AF64=2),                   SUMIF(AB:AB,AB64,AA:AA),                       0)</f>
        <v>0</v>
      </c>
      <c r="AE64" s="277">
        <f t="shared" ca="1" si="12"/>
        <v>0</v>
      </c>
      <c r="AF64" s="277">
        <f t="shared" ca="1" si="4"/>
        <v>0</v>
      </c>
      <c r="AG64" s="402">
        <f ca="1">IF(  AND(AC64=AdóHó,   MAX(AF$1:AF63)&lt;2),   SUMIF(AB:AB,AB64-1,AE:AE),0  )
+ IF(AND(AC64&lt;AdóHó,                            AF64=2),   SUMIF(AB:AB,AB64-1,AE:AE),0  )
+ IF(                                                                  AF64=2,    SUMIF(AB:AB,AB64,AE:AE   ),0  )</f>
        <v>0</v>
      </c>
      <c r="AH64" s="272">
        <f ca="1">SUM(AG$2:AG64)</f>
        <v>161463.53221999999</v>
      </c>
    </row>
    <row r="65" spans="1:34">
      <c r="A65" s="265">
        <f t="shared" si="6"/>
        <v>6</v>
      </c>
      <c r="B65" s="265">
        <f t="shared" si="7"/>
        <v>3</v>
      </c>
      <c r="C65" s="265">
        <f t="shared" ca="1" si="8"/>
        <v>6</v>
      </c>
      <c r="D65" s="265">
        <f t="shared" ca="1" si="9"/>
        <v>6</v>
      </c>
      <c r="E65" s="266">
        <v>5.0000000000000001E-3</v>
      </c>
      <c r="F65" s="267">
        <f>ÉV!$B$12</f>
        <v>0</v>
      </c>
      <c r="G65" s="271">
        <f ca="1">VLOOKUP(A65,ÉV!$A$18:$B$65,2,0)</f>
        <v>231139.31614991999</v>
      </c>
      <c r="H65" s="271">
        <f ca="1">IF(OR(A65=1,AND(C65=ÉV!$I$2,D65&gt;ÉV!$J$2),C65&gt;ÉV!$I$2),0,INDEX(Pz!$B$2:$AM$48,A65-1,ÉV!$G$2-9)/100000*ÉV!$B$10)</f>
        <v>204899.15816899529</v>
      </c>
      <c r="I65" s="271">
        <f ca="1">INDEX(Pz!$B$2:$AM$48,HÓ!A65,ÉV!$G$2-9)/100000*ÉV!$B$10</f>
        <v>208980.42426980985</v>
      </c>
      <c r="J65" s="273">
        <f ca="1">IF(OR(A65=1,A65=2,AND(C65=ÉV!$I$2,D65&gt;ÉV!$J$2),C65&gt;ÉV!$I$2),0,VLOOKUP(A65-2,ÉV!$A$18:$C$65,3,0))</f>
        <v>552209.02744219545</v>
      </c>
      <c r="K65" s="273">
        <f ca="1">IF(OR(A65=1,AND(C65=ÉV!$I$2,D65&gt;ÉV!$J$2),C65&gt;ÉV!$I$2),0,VLOOKUP(A65-1,ÉV!$A$18:$C$65,3,0))</f>
        <v>757946.78607107699</v>
      </c>
      <c r="L65" s="273">
        <f ca="1">VLOOKUP(A65,ÉV!$A$18:$C$65,3,0)*IF(OR(AND(C65=ÉV!$I$2,D65&gt;ÉV!$J$2),C65&gt;ÉV!$I$2),0,1)</f>
        <v>968419.63807544659</v>
      </c>
      <c r="M65" s="273">
        <f ca="1">(K65*(12-B65)/12+L65*B65/12)*IF(A65&gt;ÉV!$G$2,0,1)+IF(A65&gt;ÉV!$G$2,M64,0)*IF(OR(AND(C65=ÉV!$I$2,D65&gt;ÉV!$J$2),C65&gt;ÉV!$I$2),0,1)</f>
        <v>810564.99907216942</v>
      </c>
      <c r="N65" s="274">
        <f ca="1">IF(AND(C65=1,D65&lt;12),0,1)*IF(D65=12,MAX(0,F65-E65-0.003)*0.9*((K65+I65)*(B65/12)+(J65+H65)*(1-B65/12))+MAX(0,F65-0.003)*0.9*N64+N64,IF(AND(C65=ÉV!$I$2,D65=ÉV!$J$2),(M65+N64)*MAX(0,F65-0.003)*0.9*(D65/12)+N64,N64))*IF(OR(C65&gt;ÉV!$I$2,AND(C65=ÉV!$I$2,D65&gt;ÉV!$J$2)),0,1)</f>
        <v>0</v>
      </c>
      <c r="O65" s="313">
        <f ca="1">IF(MAX(AF$2:AF64)=2,      0,IF(OR(AC65=7, AF65=2),    SUM(AE$2:AE65),    O64)   )</f>
        <v>161463.53221999999</v>
      </c>
      <c r="P65" s="271">
        <f ca="1">IF(D65=12,V65+P64+P64*(F65-0.003)*0.9,IF(AND(C65=ÉV!$I$2,D65=ÉV!$J$2),V65+P64+P64*(F65-0.003)*0.9*D65/12,P64))*IF(OR(C65&gt;ÉV!$I$2,AND(C65=ÉV!$I$2,D65&gt;ÉV!$J$2)),0,1)</f>
        <v>0</v>
      </c>
      <c r="Q65" s="275">
        <f ca="1">(N65+P65)*IF(OR(AND(C65=ÉV!$I$2,D65&gt;ÉV!$J$2),C65&gt;ÉV!$I$2),0,1)</f>
        <v>0</v>
      </c>
      <c r="R65" s="271">
        <f ca="1">(MAX(0,F65-E65-0.003)*0.9*((K65+I65)*(1/12)))*IF(OR(C65&gt;ÉV!$I$2,AND(C65=ÉV!$I$2,D65&gt;ÉV!$J$2)),0,1)</f>
        <v>0</v>
      </c>
      <c r="S65" s="271">
        <f ca="1">(MAX(0,F65-0.003)*0.9*((O65)*(1/12)))*IF(OR(C65&gt;ÉV!$I$2,AND(C65=ÉV!$I$2,D65&gt;ÉV!$J$2)),0,1)</f>
        <v>0</v>
      </c>
      <c r="T65" s="271">
        <f ca="1">(MAX(0,F65-0.003)*0.9*((Q64)*(1/12)))*IF(OR(C65&gt;ÉV!$I$2,AND(C65=ÉV!$I$2,D65&gt;ÉV!$J$2)),0,1)</f>
        <v>0</v>
      </c>
      <c r="U65" s="271">
        <f ca="1">IF($D65=1,R65,R65+U64)*IF(OR(C65&gt;ÉV!$I$2,AND(C65=ÉV!$I$2,D65&gt;ÉV!$J$2)),0,1)</f>
        <v>0</v>
      </c>
      <c r="V65" s="271">
        <f ca="1">IF($D65=1,S65,S65+V64)*IF(OR(C65&gt;ÉV!$I$2,AND(C65=ÉV!$I$2,D65&gt;ÉV!$J$2)),0,1)</f>
        <v>0</v>
      </c>
      <c r="W65" s="271">
        <f ca="1">IF($D65=1,T65,T65+W64)*IF(OR(C65&gt;ÉV!$I$2,AND(C65=ÉV!$I$2,D65&gt;ÉV!$J$2)),0,1)</f>
        <v>0</v>
      </c>
      <c r="X65" s="271">
        <f ca="1">IF(OR(D65=12,AND(C65=ÉV!$I$2,D65=ÉV!$J$2)),SUM(U65:W65)+X64,X64)*IF(OR(C65&gt;ÉV!$I$2,AND(C65=ÉV!$I$2,D65&gt;ÉV!$J$2)),0,1)</f>
        <v>0</v>
      </c>
      <c r="Y65" s="271">
        <f t="shared" ca="1" si="0"/>
        <v>0</v>
      </c>
      <c r="Z65" s="265">
        <f t="shared" si="1"/>
        <v>3</v>
      </c>
      <c r="AA65" s="272">
        <f t="shared" ca="1" si="2"/>
        <v>19261.609679159999</v>
      </c>
      <c r="AB65" s="265">
        <f t="shared" ca="1" si="10"/>
        <v>2022</v>
      </c>
      <c r="AC65" s="265">
        <f t="shared" ca="1" si="11"/>
        <v>6</v>
      </c>
      <c r="AD65" s="276">
        <f ca="1">IF(     OR(               AND(MAX(AF$6:AF65)&lt;2,  AC65=12),                 AF65=2),                   SUMIF(AB:AB,AB65,AA:AA),                       0)</f>
        <v>0</v>
      </c>
      <c r="AE65" s="277">
        <f t="shared" ca="1" si="12"/>
        <v>0</v>
      </c>
      <c r="AF65" s="277">
        <f t="shared" ca="1" si="4"/>
        <v>0</v>
      </c>
      <c r="AG65" s="402">
        <f ca="1">IF(  AND(AC65=AdóHó,   MAX(AF$1:AF64)&lt;2),   SUMIF(AB:AB,AB65-1,AE:AE),0  )
+ IF(AND(AC65&lt;AdóHó,                            AF65=2),   SUMIF(AB:AB,AB65-1,AE:AE),0  )
+ IF(                                                                  AF65=2,    SUMIF(AB:AB,AB65,AE:AE   ),0  )</f>
        <v>0</v>
      </c>
      <c r="AH65" s="272">
        <f ca="1">SUM(AG$2:AG65)</f>
        <v>161463.53221999999</v>
      </c>
    </row>
    <row r="66" spans="1:34">
      <c r="A66" s="265">
        <f t="shared" si="6"/>
        <v>6</v>
      </c>
      <c r="B66" s="265">
        <f t="shared" si="7"/>
        <v>4</v>
      </c>
      <c r="C66" s="265">
        <f t="shared" ca="1" si="8"/>
        <v>6</v>
      </c>
      <c r="D66" s="265">
        <f t="shared" ca="1" si="9"/>
        <v>7</v>
      </c>
      <c r="E66" s="266">
        <v>5.0000000000000001E-3</v>
      </c>
      <c r="F66" s="267">
        <f>ÉV!$B$12</f>
        <v>0</v>
      </c>
      <c r="G66" s="271">
        <f ca="1">VLOOKUP(A66,ÉV!$A$18:$B$65,2,0)</f>
        <v>231139.31614991999</v>
      </c>
      <c r="H66" s="271">
        <f ca="1">IF(OR(A66=1,AND(C66=ÉV!$I$2,D66&gt;ÉV!$J$2),C66&gt;ÉV!$I$2),0,INDEX(Pz!$B$2:$AM$48,A66-1,ÉV!$G$2-9)/100000*ÉV!$B$10)</f>
        <v>204899.15816899529</v>
      </c>
      <c r="I66" s="271">
        <f ca="1">INDEX(Pz!$B$2:$AM$48,HÓ!A66,ÉV!$G$2-9)/100000*ÉV!$B$10</f>
        <v>208980.42426980985</v>
      </c>
      <c r="J66" s="273">
        <f ca="1">IF(OR(A66=1,A66=2,AND(C66=ÉV!$I$2,D66&gt;ÉV!$J$2),C66&gt;ÉV!$I$2),0,VLOOKUP(A66-2,ÉV!$A$18:$C$65,3,0))</f>
        <v>552209.02744219545</v>
      </c>
      <c r="K66" s="273">
        <f ca="1">IF(OR(A66=1,AND(C66=ÉV!$I$2,D66&gt;ÉV!$J$2),C66&gt;ÉV!$I$2),0,VLOOKUP(A66-1,ÉV!$A$18:$C$65,3,0))</f>
        <v>757946.78607107699</v>
      </c>
      <c r="L66" s="273">
        <f ca="1">VLOOKUP(A66,ÉV!$A$18:$C$65,3,0)*IF(OR(AND(C66=ÉV!$I$2,D66&gt;ÉV!$J$2),C66&gt;ÉV!$I$2),0,1)</f>
        <v>968419.63807544659</v>
      </c>
      <c r="M66" s="273">
        <f ca="1">(K66*(12-B66)/12+L66*B66/12)*IF(A66&gt;ÉV!$G$2,0,1)+IF(A66&gt;ÉV!$G$2,M65,0)*IF(OR(AND(C66=ÉV!$I$2,D66&gt;ÉV!$J$2),C66&gt;ÉV!$I$2),0,1)</f>
        <v>828104.40340586682</v>
      </c>
      <c r="N66" s="274">
        <f ca="1">IF(AND(C66=1,D66&lt;12),0,1)*IF(D66=12,MAX(0,F66-E66-0.003)*0.9*((K66+I66)*(B66/12)+(J66+H66)*(1-B66/12))+MAX(0,F66-0.003)*0.9*N65+N65,IF(AND(C66=ÉV!$I$2,D66=ÉV!$J$2),(M66+N65)*MAX(0,F66-0.003)*0.9*(D66/12)+N65,N65))*IF(OR(C66&gt;ÉV!$I$2,AND(C66=ÉV!$I$2,D66&gt;ÉV!$J$2)),0,1)</f>
        <v>0</v>
      </c>
      <c r="O66" s="313">
        <f ca="1">IF(MAX(AF$2:AF65)=2,      0,IF(OR(AC66=7, AF66=2),    SUM(AE$2:AE66),    O65)   )</f>
        <v>206562.80286439997</v>
      </c>
      <c r="P66" s="271">
        <f ca="1">IF(D66=12,V66+P65+P65*(F66-0.003)*0.9,IF(AND(C66=ÉV!$I$2,D66=ÉV!$J$2),V66+P65+P65*(F66-0.003)*0.9*D66/12,P65))*IF(OR(C66&gt;ÉV!$I$2,AND(C66=ÉV!$I$2,D66&gt;ÉV!$J$2)),0,1)</f>
        <v>0</v>
      </c>
      <c r="Q66" s="275">
        <f ca="1">(N66+P66)*IF(OR(AND(C66=ÉV!$I$2,D66&gt;ÉV!$J$2),C66&gt;ÉV!$I$2),0,1)</f>
        <v>0</v>
      </c>
      <c r="R66" s="271">
        <f ca="1">(MAX(0,F66-E66-0.003)*0.9*((K66+I66)*(1/12)))*IF(OR(C66&gt;ÉV!$I$2,AND(C66=ÉV!$I$2,D66&gt;ÉV!$J$2)),0,1)</f>
        <v>0</v>
      </c>
      <c r="S66" s="271">
        <f ca="1">(MAX(0,F66-0.003)*0.9*((O66)*(1/12)))*IF(OR(C66&gt;ÉV!$I$2,AND(C66=ÉV!$I$2,D66&gt;ÉV!$J$2)),0,1)</f>
        <v>0</v>
      </c>
      <c r="T66" s="271">
        <f ca="1">(MAX(0,F66-0.003)*0.9*((Q65)*(1/12)))*IF(OR(C66&gt;ÉV!$I$2,AND(C66=ÉV!$I$2,D66&gt;ÉV!$J$2)),0,1)</f>
        <v>0</v>
      </c>
      <c r="U66" s="271">
        <f ca="1">IF($D66=1,R66,R66+U65)*IF(OR(C66&gt;ÉV!$I$2,AND(C66=ÉV!$I$2,D66&gt;ÉV!$J$2)),0,1)</f>
        <v>0</v>
      </c>
      <c r="V66" s="271">
        <f ca="1">IF($D66=1,S66,S66+V65)*IF(OR(C66&gt;ÉV!$I$2,AND(C66=ÉV!$I$2,D66&gt;ÉV!$J$2)),0,1)</f>
        <v>0</v>
      </c>
      <c r="W66" s="271">
        <f ca="1">IF($D66=1,T66,T66+W65)*IF(OR(C66&gt;ÉV!$I$2,AND(C66=ÉV!$I$2,D66&gt;ÉV!$J$2)),0,1)</f>
        <v>0</v>
      </c>
      <c r="X66" s="271">
        <f ca="1">IF(OR(D66=12,AND(C66=ÉV!$I$2,D66=ÉV!$J$2)),SUM(U66:W66)+X65,X65)*IF(OR(C66&gt;ÉV!$I$2,AND(C66=ÉV!$I$2,D66&gt;ÉV!$J$2)),0,1)</f>
        <v>0</v>
      </c>
      <c r="Y66" s="271">
        <f t="shared" ca="1" si="0"/>
        <v>0</v>
      </c>
      <c r="Z66" s="265">
        <f t="shared" si="1"/>
        <v>4</v>
      </c>
      <c r="AA66" s="272">
        <f t="shared" ca="1" si="2"/>
        <v>19261.609679159999</v>
      </c>
      <c r="AB66" s="265">
        <f t="shared" ca="1" si="10"/>
        <v>2022</v>
      </c>
      <c r="AC66" s="265">
        <f t="shared" ca="1" si="11"/>
        <v>7</v>
      </c>
      <c r="AD66" s="276">
        <f ca="1">IF(     OR(               AND(MAX(AF$6:AF66)&lt;2,  AC66=12),                 AF66=2),                   SUMIF(AB:AB,AB66,AA:AA),                       0)</f>
        <v>0</v>
      </c>
      <c r="AE66" s="277">
        <f t="shared" ca="1" si="12"/>
        <v>0</v>
      </c>
      <c r="AF66" s="277">
        <f t="shared" ca="1" si="4"/>
        <v>0</v>
      </c>
      <c r="AG66" s="402">
        <f ca="1">IF(  AND(AC66=AdóHó,   MAX(AF$1:AF65)&lt;2),   SUMIF(AB:AB,AB66-1,AE:AE),0  )
+ IF(AND(AC66&lt;AdóHó,                            AF66=2),   SUMIF(AB:AB,AB66-1,AE:AE),0  )
+ IF(                                                                  AF66=2,    SUMIF(AB:AB,AB66,AE:AE   ),0  )</f>
        <v>45099.270644399985</v>
      </c>
      <c r="AH66" s="272">
        <f ca="1">SUM(AG$2:AG66)</f>
        <v>206562.80286439997</v>
      </c>
    </row>
    <row r="67" spans="1:34">
      <c r="A67" s="265">
        <f t="shared" si="6"/>
        <v>6</v>
      </c>
      <c r="B67" s="265">
        <f t="shared" si="7"/>
        <v>5</v>
      </c>
      <c r="C67" s="265">
        <f t="shared" ca="1" si="8"/>
        <v>6</v>
      </c>
      <c r="D67" s="265">
        <f t="shared" ca="1" si="9"/>
        <v>8</v>
      </c>
      <c r="E67" s="266">
        <v>5.0000000000000001E-3</v>
      </c>
      <c r="F67" s="267">
        <f>ÉV!$B$12</f>
        <v>0</v>
      </c>
      <c r="G67" s="271">
        <f ca="1">VLOOKUP(A67,ÉV!$A$18:$B$65,2,0)</f>
        <v>231139.31614991999</v>
      </c>
      <c r="H67" s="271">
        <f ca="1">IF(OR(A67=1,AND(C67=ÉV!$I$2,D67&gt;ÉV!$J$2),C67&gt;ÉV!$I$2),0,INDEX(Pz!$B$2:$AM$48,A67-1,ÉV!$G$2-9)/100000*ÉV!$B$10)</f>
        <v>204899.15816899529</v>
      </c>
      <c r="I67" s="271">
        <f ca="1">INDEX(Pz!$B$2:$AM$48,HÓ!A67,ÉV!$G$2-9)/100000*ÉV!$B$10</f>
        <v>208980.42426980985</v>
      </c>
      <c r="J67" s="273">
        <f ca="1">IF(OR(A67=1,A67=2,AND(C67=ÉV!$I$2,D67&gt;ÉV!$J$2),C67&gt;ÉV!$I$2),0,VLOOKUP(A67-2,ÉV!$A$18:$C$65,3,0))</f>
        <v>552209.02744219545</v>
      </c>
      <c r="K67" s="273">
        <f ca="1">IF(OR(A67=1,AND(C67=ÉV!$I$2,D67&gt;ÉV!$J$2),C67&gt;ÉV!$I$2),0,VLOOKUP(A67-1,ÉV!$A$18:$C$65,3,0))</f>
        <v>757946.78607107699</v>
      </c>
      <c r="L67" s="273">
        <f ca="1">VLOOKUP(A67,ÉV!$A$18:$C$65,3,0)*IF(OR(AND(C67=ÉV!$I$2,D67&gt;ÉV!$J$2),C67&gt;ÉV!$I$2),0,1)</f>
        <v>968419.63807544659</v>
      </c>
      <c r="M67" s="273">
        <f ca="1">(K67*(12-B67)/12+L67*B67/12)*IF(A67&gt;ÉV!$G$2,0,1)+IF(A67&gt;ÉV!$G$2,M66,0)*IF(OR(AND(C67=ÉV!$I$2,D67&gt;ÉV!$J$2),C67&gt;ÉV!$I$2),0,1)</f>
        <v>845643.80773956422</v>
      </c>
      <c r="N67" s="274">
        <f ca="1">IF(AND(C67=1,D67&lt;12),0,1)*IF(D67=12,MAX(0,F67-E67-0.003)*0.9*((K67+I67)*(B67/12)+(J67+H67)*(1-B67/12))+MAX(0,F67-0.003)*0.9*N66+N66,IF(AND(C67=ÉV!$I$2,D67=ÉV!$J$2),(M67+N66)*MAX(0,F67-0.003)*0.9*(D67/12)+N66,N66))*IF(OR(C67&gt;ÉV!$I$2,AND(C67=ÉV!$I$2,D67&gt;ÉV!$J$2)),0,1)</f>
        <v>0</v>
      </c>
      <c r="O67" s="313">
        <f ca="1">IF(MAX(AF$2:AF66)=2,      0,IF(OR(AC67=7, AF67=2),    SUM(AE$2:AE67),    O66)   )</f>
        <v>206562.80286439997</v>
      </c>
      <c r="P67" s="271">
        <f ca="1">IF(D67=12,V67+P66+P66*(F67-0.003)*0.9,IF(AND(C67=ÉV!$I$2,D67=ÉV!$J$2),V67+P66+P66*(F67-0.003)*0.9*D67/12,P66))*IF(OR(C67&gt;ÉV!$I$2,AND(C67=ÉV!$I$2,D67&gt;ÉV!$J$2)),0,1)</f>
        <v>0</v>
      </c>
      <c r="Q67" s="275">
        <f ca="1">(N67+P67)*IF(OR(AND(C67=ÉV!$I$2,D67&gt;ÉV!$J$2),C67&gt;ÉV!$I$2),0,1)</f>
        <v>0</v>
      </c>
      <c r="R67" s="271">
        <f ca="1">(MAX(0,F67-E67-0.003)*0.9*((K67+I67)*(1/12)))*IF(OR(C67&gt;ÉV!$I$2,AND(C67=ÉV!$I$2,D67&gt;ÉV!$J$2)),0,1)</f>
        <v>0</v>
      </c>
      <c r="S67" s="271">
        <f ca="1">(MAX(0,F67-0.003)*0.9*((O67)*(1/12)))*IF(OR(C67&gt;ÉV!$I$2,AND(C67=ÉV!$I$2,D67&gt;ÉV!$J$2)),0,1)</f>
        <v>0</v>
      </c>
      <c r="T67" s="271">
        <f ca="1">(MAX(0,F67-0.003)*0.9*((Q66)*(1/12)))*IF(OR(C67&gt;ÉV!$I$2,AND(C67=ÉV!$I$2,D67&gt;ÉV!$J$2)),0,1)</f>
        <v>0</v>
      </c>
      <c r="U67" s="271">
        <f ca="1">IF($D67=1,R67,R67+U66)*IF(OR(C67&gt;ÉV!$I$2,AND(C67=ÉV!$I$2,D67&gt;ÉV!$J$2)),0,1)</f>
        <v>0</v>
      </c>
      <c r="V67" s="271">
        <f ca="1">IF($D67=1,S67,S67+V66)*IF(OR(C67&gt;ÉV!$I$2,AND(C67=ÉV!$I$2,D67&gt;ÉV!$J$2)),0,1)</f>
        <v>0</v>
      </c>
      <c r="W67" s="271">
        <f ca="1">IF($D67=1,T67,T67+W66)*IF(OR(C67&gt;ÉV!$I$2,AND(C67=ÉV!$I$2,D67&gt;ÉV!$J$2)),0,1)</f>
        <v>0</v>
      </c>
      <c r="X67" s="271">
        <f ca="1">IF(OR(D67=12,AND(C67=ÉV!$I$2,D67=ÉV!$J$2)),SUM(U67:W67)+X66,X66)*IF(OR(C67&gt;ÉV!$I$2,AND(C67=ÉV!$I$2,D67&gt;ÉV!$J$2)),0,1)</f>
        <v>0</v>
      </c>
      <c r="Y67" s="271">
        <f t="shared" ref="Y67:Y130" ca="1" si="13">X67-Q67</f>
        <v>0</v>
      </c>
      <c r="Z67" s="265">
        <f t="shared" ref="Z67:Z130" si="14">B67</f>
        <v>5</v>
      </c>
      <c r="AA67" s="272">
        <f t="shared" ref="AA67:AA130" ca="1" si="15">IF(OR(FizGyakNr=12, MOD(B67,12/FizGyakNr)=1),  1,0)    *      G67/FizGyakNr</f>
        <v>19261.609679159999</v>
      </c>
      <c r="AB67" s="265">
        <f t="shared" ca="1" si="10"/>
        <v>2022</v>
      </c>
      <c r="AC67" s="265">
        <f t="shared" ca="1" si="11"/>
        <v>8</v>
      </c>
      <c r="AD67" s="276">
        <f ca="1">IF(     OR(               AND(MAX(AF$6:AF67)&lt;2,  AC67=12),                 AF67=2),                   SUMIF(AB:AB,AB67,AA:AA),                       0)</f>
        <v>0</v>
      </c>
      <c r="AE67" s="277">
        <f t="shared" ca="1" si="12"/>
        <v>0</v>
      </c>
      <c r="AF67" s="277">
        <f t="shared" ref="AF67:AF130" ca="1" si="16" xml:space="preserve"> IF(DATE(AB67,AC67,1)=DATE(YEAR(LejáratNyug),MONTH(LejáratNyug),1),     2,   IF(AND(A67=TartamDíjfiz,B67=12),     1,   0)  )</f>
        <v>0</v>
      </c>
      <c r="AG67" s="402">
        <f ca="1">IF(  AND(AC67=AdóHó,   MAX(AF$1:AF66)&lt;2),   SUMIF(AB:AB,AB67-1,AE:AE),0  )
+ IF(AND(AC67&lt;AdóHó,                            AF67=2),   SUMIF(AB:AB,AB67-1,AE:AE),0  )
+ IF(                                                                  AF67=2,    SUMIF(AB:AB,AB67,AE:AE   ),0  )</f>
        <v>0</v>
      </c>
      <c r="AH67" s="272">
        <f ca="1">SUM(AG$2:AG67)</f>
        <v>206562.80286439997</v>
      </c>
    </row>
    <row r="68" spans="1:34">
      <c r="A68" s="265">
        <f t="shared" si="6"/>
        <v>6</v>
      </c>
      <c r="B68" s="265">
        <f t="shared" si="7"/>
        <v>6</v>
      </c>
      <c r="C68" s="265">
        <f t="shared" ca="1" si="8"/>
        <v>6</v>
      </c>
      <c r="D68" s="265">
        <f t="shared" ca="1" si="9"/>
        <v>9</v>
      </c>
      <c r="E68" s="266">
        <v>5.0000000000000001E-3</v>
      </c>
      <c r="F68" s="267">
        <f>ÉV!$B$12</f>
        <v>0</v>
      </c>
      <c r="G68" s="271">
        <f ca="1">VLOOKUP(A68,ÉV!$A$18:$B$65,2,0)</f>
        <v>231139.31614991999</v>
      </c>
      <c r="H68" s="271">
        <f ca="1">IF(OR(A68=1,AND(C68=ÉV!$I$2,D68&gt;ÉV!$J$2),C68&gt;ÉV!$I$2),0,INDEX(Pz!$B$2:$AM$48,A68-1,ÉV!$G$2-9)/100000*ÉV!$B$10)</f>
        <v>204899.15816899529</v>
      </c>
      <c r="I68" s="271">
        <f ca="1">INDEX(Pz!$B$2:$AM$48,HÓ!A68,ÉV!$G$2-9)/100000*ÉV!$B$10</f>
        <v>208980.42426980985</v>
      </c>
      <c r="J68" s="273">
        <f ca="1">IF(OR(A68=1,A68=2,AND(C68=ÉV!$I$2,D68&gt;ÉV!$J$2),C68&gt;ÉV!$I$2),0,VLOOKUP(A68-2,ÉV!$A$18:$C$65,3,0))</f>
        <v>552209.02744219545</v>
      </c>
      <c r="K68" s="273">
        <f ca="1">IF(OR(A68=1,AND(C68=ÉV!$I$2,D68&gt;ÉV!$J$2),C68&gt;ÉV!$I$2),0,VLOOKUP(A68-1,ÉV!$A$18:$C$65,3,0))</f>
        <v>757946.78607107699</v>
      </c>
      <c r="L68" s="273">
        <f ca="1">VLOOKUP(A68,ÉV!$A$18:$C$65,3,0)*IF(OR(AND(C68=ÉV!$I$2,D68&gt;ÉV!$J$2),C68&gt;ÉV!$I$2),0,1)</f>
        <v>968419.63807544659</v>
      </c>
      <c r="M68" s="273">
        <f ca="1">(K68*(12-B68)/12+L68*B68/12)*IF(A68&gt;ÉV!$G$2,0,1)+IF(A68&gt;ÉV!$G$2,M67,0)*IF(OR(AND(C68=ÉV!$I$2,D68&gt;ÉV!$J$2),C68&gt;ÉV!$I$2),0,1)</f>
        <v>863183.21207326185</v>
      </c>
      <c r="N68" s="274">
        <f ca="1">IF(AND(C68=1,D68&lt;12),0,1)*IF(D68=12,MAX(0,F68-E68-0.003)*0.9*((K68+I68)*(B68/12)+(J68+H68)*(1-B68/12))+MAX(0,F68-0.003)*0.9*N67+N67,IF(AND(C68=ÉV!$I$2,D68=ÉV!$J$2),(M68+N67)*MAX(0,F68-0.003)*0.9*(D68/12)+N67,N67))*IF(OR(C68&gt;ÉV!$I$2,AND(C68=ÉV!$I$2,D68&gt;ÉV!$J$2)),0,1)</f>
        <v>0</v>
      </c>
      <c r="O68" s="313">
        <f ca="1">IF(MAX(AF$2:AF67)=2,      0,IF(OR(AC68=7, AF68=2),    SUM(AE$2:AE68),    O67)   )</f>
        <v>206562.80286439997</v>
      </c>
      <c r="P68" s="271">
        <f ca="1">IF(D68=12,V68+P67+P67*(F68-0.003)*0.9,IF(AND(C68=ÉV!$I$2,D68=ÉV!$J$2),V68+P67+P67*(F68-0.003)*0.9*D68/12,P67))*IF(OR(C68&gt;ÉV!$I$2,AND(C68=ÉV!$I$2,D68&gt;ÉV!$J$2)),0,1)</f>
        <v>0</v>
      </c>
      <c r="Q68" s="275">
        <f ca="1">(N68+P68)*IF(OR(AND(C68=ÉV!$I$2,D68&gt;ÉV!$J$2),C68&gt;ÉV!$I$2),0,1)</f>
        <v>0</v>
      </c>
      <c r="R68" s="271">
        <f ca="1">(MAX(0,F68-E68-0.003)*0.9*((K68+I68)*(1/12)))*IF(OR(C68&gt;ÉV!$I$2,AND(C68=ÉV!$I$2,D68&gt;ÉV!$J$2)),0,1)</f>
        <v>0</v>
      </c>
      <c r="S68" s="271">
        <f ca="1">(MAX(0,F68-0.003)*0.9*((O68)*(1/12)))*IF(OR(C68&gt;ÉV!$I$2,AND(C68=ÉV!$I$2,D68&gt;ÉV!$J$2)),0,1)</f>
        <v>0</v>
      </c>
      <c r="T68" s="271">
        <f ca="1">(MAX(0,F68-0.003)*0.9*((Q67)*(1/12)))*IF(OR(C68&gt;ÉV!$I$2,AND(C68=ÉV!$I$2,D68&gt;ÉV!$J$2)),0,1)</f>
        <v>0</v>
      </c>
      <c r="U68" s="271">
        <f ca="1">IF($D68=1,R68,R68+U67)*IF(OR(C68&gt;ÉV!$I$2,AND(C68=ÉV!$I$2,D68&gt;ÉV!$J$2)),0,1)</f>
        <v>0</v>
      </c>
      <c r="V68" s="271">
        <f ca="1">IF($D68=1,S68,S68+V67)*IF(OR(C68&gt;ÉV!$I$2,AND(C68=ÉV!$I$2,D68&gt;ÉV!$J$2)),0,1)</f>
        <v>0</v>
      </c>
      <c r="W68" s="271">
        <f ca="1">IF($D68=1,T68,T68+W67)*IF(OR(C68&gt;ÉV!$I$2,AND(C68=ÉV!$I$2,D68&gt;ÉV!$J$2)),0,1)</f>
        <v>0</v>
      </c>
      <c r="X68" s="271">
        <f ca="1">IF(OR(D68=12,AND(C68=ÉV!$I$2,D68=ÉV!$J$2)),SUM(U68:W68)+X67,X67)*IF(OR(C68&gt;ÉV!$I$2,AND(C68=ÉV!$I$2,D68&gt;ÉV!$J$2)),0,1)</f>
        <v>0</v>
      </c>
      <c r="Y68" s="271">
        <f t="shared" ca="1" si="13"/>
        <v>0</v>
      </c>
      <c r="Z68" s="265">
        <f t="shared" si="14"/>
        <v>6</v>
      </c>
      <c r="AA68" s="272">
        <f t="shared" ca="1" si="15"/>
        <v>19261.609679159999</v>
      </c>
      <c r="AB68" s="265">
        <f t="shared" ca="1" si="10"/>
        <v>2022</v>
      </c>
      <c r="AC68" s="265">
        <f t="shared" ca="1" si="11"/>
        <v>9</v>
      </c>
      <c r="AD68" s="276">
        <f ca="1">IF(     OR(               AND(MAX(AF$6:AF68)&lt;2,  AC68=12),                 AF68=2),                   SUMIF(AB:AB,AB68,AA:AA),                       0)</f>
        <v>0</v>
      </c>
      <c r="AE68" s="277">
        <f t="shared" ca="1" si="12"/>
        <v>0</v>
      </c>
      <c r="AF68" s="277">
        <f t="shared" ca="1" si="16"/>
        <v>0</v>
      </c>
      <c r="AG68" s="402">
        <f ca="1">IF(  AND(AC68=AdóHó,   MAX(AF$1:AF67)&lt;2),   SUMIF(AB:AB,AB68-1,AE:AE),0  )
+ IF(AND(AC68&lt;AdóHó,                            AF68=2),   SUMIF(AB:AB,AB68-1,AE:AE),0  )
+ IF(                                                                  AF68=2,    SUMIF(AB:AB,AB68,AE:AE   ),0  )</f>
        <v>0</v>
      </c>
      <c r="AH68" s="272">
        <f ca="1">SUM(AG$2:AG68)</f>
        <v>206562.80286439997</v>
      </c>
    </row>
    <row r="69" spans="1:34">
      <c r="A69" s="265">
        <f t="shared" ref="A69:A132" si="17">IF(B68=12,A68+1,A68)</f>
        <v>6</v>
      </c>
      <c r="B69" s="265">
        <f t="shared" ref="B69:B132" si="18">IF(B68=12,1,B68+1)</f>
        <v>7</v>
      </c>
      <c r="C69" s="265">
        <f t="shared" ref="C69:C132" ca="1" si="19">IF(D68=12,C68+1,C68)</f>
        <v>6</v>
      </c>
      <c r="D69" s="265">
        <f t="shared" ref="D69:D132" ca="1" si="20">IF(D68=12,1,D68+1)</f>
        <v>10</v>
      </c>
      <c r="E69" s="266">
        <v>5.0000000000000001E-3</v>
      </c>
      <c r="F69" s="267">
        <f>ÉV!$B$12</f>
        <v>0</v>
      </c>
      <c r="G69" s="271">
        <f ca="1">VLOOKUP(A69,ÉV!$A$18:$B$65,2,0)</f>
        <v>231139.31614991999</v>
      </c>
      <c r="H69" s="271">
        <f ca="1">IF(OR(A69=1,AND(C69=ÉV!$I$2,D69&gt;ÉV!$J$2),C69&gt;ÉV!$I$2),0,INDEX(Pz!$B$2:$AM$48,A69-1,ÉV!$G$2-9)/100000*ÉV!$B$10)</f>
        <v>204899.15816899529</v>
      </c>
      <c r="I69" s="271">
        <f ca="1">INDEX(Pz!$B$2:$AM$48,HÓ!A69,ÉV!$G$2-9)/100000*ÉV!$B$10</f>
        <v>208980.42426980985</v>
      </c>
      <c r="J69" s="273">
        <f ca="1">IF(OR(A69=1,A69=2,AND(C69=ÉV!$I$2,D69&gt;ÉV!$J$2),C69&gt;ÉV!$I$2),0,VLOOKUP(A69-2,ÉV!$A$18:$C$65,3,0))</f>
        <v>552209.02744219545</v>
      </c>
      <c r="K69" s="273">
        <f ca="1">IF(OR(A69=1,AND(C69=ÉV!$I$2,D69&gt;ÉV!$J$2),C69&gt;ÉV!$I$2),0,VLOOKUP(A69-1,ÉV!$A$18:$C$65,3,0))</f>
        <v>757946.78607107699</v>
      </c>
      <c r="L69" s="273">
        <f ca="1">VLOOKUP(A69,ÉV!$A$18:$C$65,3,0)*IF(OR(AND(C69=ÉV!$I$2,D69&gt;ÉV!$J$2),C69&gt;ÉV!$I$2),0,1)</f>
        <v>968419.63807544659</v>
      </c>
      <c r="M69" s="273">
        <f ca="1">(K69*(12-B69)/12+L69*B69/12)*IF(A69&gt;ÉV!$G$2,0,1)+IF(A69&gt;ÉV!$G$2,M68,0)*IF(OR(AND(C69=ÉV!$I$2,D69&gt;ÉV!$J$2),C69&gt;ÉV!$I$2),0,1)</f>
        <v>880722.61640695925</v>
      </c>
      <c r="N69" s="274">
        <f ca="1">IF(AND(C69=1,D69&lt;12),0,1)*IF(D69=12,MAX(0,F69-E69-0.003)*0.9*((K69+I69)*(B69/12)+(J69+H69)*(1-B69/12))+MAX(0,F69-0.003)*0.9*N68+N68,IF(AND(C69=ÉV!$I$2,D69=ÉV!$J$2),(M69+N68)*MAX(0,F69-0.003)*0.9*(D69/12)+N68,N68))*IF(OR(C69&gt;ÉV!$I$2,AND(C69=ÉV!$I$2,D69&gt;ÉV!$J$2)),0,1)</f>
        <v>0</v>
      </c>
      <c r="O69" s="313">
        <f ca="1">IF(MAX(AF$2:AF68)=2,      0,IF(OR(AC69=7, AF69=2),    SUM(AE$2:AE69),    O68)   )</f>
        <v>206562.80286439997</v>
      </c>
      <c r="P69" s="271">
        <f ca="1">IF(D69=12,V69+P68+P68*(F69-0.003)*0.9,IF(AND(C69=ÉV!$I$2,D69=ÉV!$J$2),V69+P68+P68*(F69-0.003)*0.9*D69/12,P68))*IF(OR(C69&gt;ÉV!$I$2,AND(C69=ÉV!$I$2,D69&gt;ÉV!$J$2)),0,1)</f>
        <v>0</v>
      </c>
      <c r="Q69" s="275">
        <f ca="1">(N69+P69)*IF(OR(AND(C69=ÉV!$I$2,D69&gt;ÉV!$J$2),C69&gt;ÉV!$I$2),0,1)</f>
        <v>0</v>
      </c>
      <c r="R69" s="271">
        <f ca="1">(MAX(0,F69-E69-0.003)*0.9*((K69+I69)*(1/12)))*IF(OR(C69&gt;ÉV!$I$2,AND(C69=ÉV!$I$2,D69&gt;ÉV!$J$2)),0,1)</f>
        <v>0</v>
      </c>
      <c r="S69" s="271">
        <f ca="1">(MAX(0,F69-0.003)*0.9*((O69)*(1/12)))*IF(OR(C69&gt;ÉV!$I$2,AND(C69=ÉV!$I$2,D69&gt;ÉV!$J$2)),0,1)</f>
        <v>0</v>
      </c>
      <c r="T69" s="271">
        <f ca="1">(MAX(0,F69-0.003)*0.9*((Q68)*(1/12)))*IF(OR(C69&gt;ÉV!$I$2,AND(C69=ÉV!$I$2,D69&gt;ÉV!$J$2)),0,1)</f>
        <v>0</v>
      </c>
      <c r="U69" s="271">
        <f ca="1">IF($D69=1,R69,R69+U68)*IF(OR(C69&gt;ÉV!$I$2,AND(C69=ÉV!$I$2,D69&gt;ÉV!$J$2)),0,1)</f>
        <v>0</v>
      </c>
      <c r="V69" s="271">
        <f ca="1">IF($D69=1,S69,S69+V68)*IF(OR(C69&gt;ÉV!$I$2,AND(C69=ÉV!$I$2,D69&gt;ÉV!$J$2)),0,1)</f>
        <v>0</v>
      </c>
      <c r="W69" s="271">
        <f ca="1">IF($D69=1,T69,T69+W68)*IF(OR(C69&gt;ÉV!$I$2,AND(C69=ÉV!$I$2,D69&gt;ÉV!$J$2)),0,1)</f>
        <v>0</v>
      </c>
      <c r="X69" s="271">
        <f ca="1">IF(OR(D69=12,AND(C69=ÉV!$I$2,D69=ÉV!$J$2)),SUM(U69:W69)+X68,X68)*IF(OR(C69&gt;ÉV!$I$2,AND(C69=ÉV!$I$2,D69&gt;ÉV!$J$2)),0,1)</f>
        <v>0</v>
      </c>
      <c r="Y69" s="271">
        <f t="shared" ca="1" si="13"/>
        <v>0</v>
      </c>
      <c r="Z69" s="265">
        <f t="shared" si="14"/>
        <v>7</v>
      </c>
      <c r="AA69" s="272">
        <f t="shared" ca="1" si="15"/>
        <v>19261.609679159999</v>
      </c>
      <c r="AB69" s="265">
        <f t="shared" ref="AB69:AB132" ca="1" si="21">IF(AC68=12,AB68+1,AB68)</f>
        <v>2022</v>
      </c>
      <c r="AC69" s="265">
        <f t="shared" ref="AC69:AC132" ca="1" si="22">IF(AC68=12,1,AC68+1)</f>
        <v>10</v>
      </c>
      <c r="AD69" s="276">
        <f ca="1">IF(     OR(               AND(MAX(AF$6:AF69)&lt;2,  AC69=12),                 AF69=2),                   SUMIF(AB:AB,AB69,AA:AA),                       0)</f>
        <v>0</v>
      </c>
      <c r="AE69" s="277">
        <f t="shared" ca="1" si="12"/>
        <v>0</v>
      </c>
      <c r="AF69" s="277">
        <f t="shared" ca="1" si="16"/>
        <v>0</v>
      </c>
      <c r="AG69" s="402">
        <f ca="1">IF(  AND(AC69=AdóHó,   MAX(AF$1:AF68)&lt;2),   SUMIF(AB:AB,AB69-1,AE:AE),0  )
+ IF(AND(AC69&lt;AdóHó,                            AF69=2),   SUMIF(AB:AB,AB69-1,AE:AE),0  )
+ IF(                                                                  AF69=2,    SUMIF(AB:AB,AB69,AE:AE   ),0  )</f>
        <v>0</v>
      </c>
      <c r="AH69" s="272">
        <f ca="1">SUM(AG$2:AG69)</f>
        <v>206562.80286439997</v>
      </c>
    </row>
    <row r="70" spans="1:34">
      <c r="A70" s="265">
        <f t="shared" si="17"/>
        <v>6</v>
      </c>
      <c r="B70" s="265">
        <f t="shared" si="18"/>
        <v>8</v>
      </c>
      <c r="C70" s="265">
        <f t="shared" ca="1" si="19"/>
        <v>6</v>
      </c>
      <c r="D70" s="265">
        <f t="shared" ca="1" si="20"/>
        <v>11</v>
      </c>
      <c r="E70" s="266">
        <v>5.0000000000000001E-3</v>
      </c>
      <c r="F70" s="267">
        <f>ÉV!$B$12</f>
        <v>0</v>
      </c>
      <c r="G70" s="271">
        <f ca="1">VLOOKUP(A70,ÉV!$A$18:$B$65,2,0)</f>
        <v>231139.31614991999</v>
      </c>
      <c r="H70" s="271">
        <f ca="1">IF(OR(A70=1,AND(C70=ÉV!$I$2,D70&gt;ÉV!$J$2),C70&gt;ÉV!$I$2),0,INDEX(Pz!$B$2:$AM$48,A70-1,ÉV!$G$2-9)/100000*ÉV!$B$10)</f>
        <v>204899.15816899529</v>
      </c>
      <c r="I70" s="271">
        <f ca="1">INDEX(Pz!$B$2:$AM$48,HÓ!A70,ÉV!$G$2-9)/100000*ÉV!$B$10</f>
        <v>208980.42426980985</v>
      </c>
      <c r="J70" s="273">
        <f ca="1">IF(OR(A70=1,A70=2,AND(C70=ÉV!$I$2,D70&gt;ÉV!$J$2),C70&gt;ÉV!$I$2),0,VLOOKUP(A70-2,ÉV!$A$18:$C$65,3,0))</f>
        <v>552209.02744219545</v>
      </c>
      <c r="K70" s="273">
        <f ca="1">IF(OR(A70=1,AND(C70=ÉV!$I$2,D70&gt;ÉV!$J$2),C70&gt;ÉV!$I$2),0,VLOOKUP(A70-1,ÉV!$A$18:$C$65,3,0))</f>
        <v>757946.78607107699</v>
      </c>
      <c r="L70" s="273">
        <f ca="1">VLOOKUP(A70,ÉV!$A$18:$C$65,3,0)*IF(OR(AND(C70=ÉV!$I$2,D70&gt;ÉV!$J$2),C70&gt;ÉV!$I$2),0,1)</f>
        <v>968419.63807544659</v>
      </c>
      <c r="M70" s="273">
        <f ca="1">(K70*(12-B70)/12+L70*B70/12)*IF(A70&gt;ÉV!$G$2,0,1)+IF(A70&gt;ÉV!$G$2,M69,0)*IF(OR(AND(C70=ÉV!$I$2,D70&gt;ÉV!$J$2),C70&gt;ÉV!$I$2),0,1)</f>
        <v>898262.02074065676</v>
      </c>
      <c r="N70" s="274">
        <f ca="1">IF(AND(C70=1,D70&lt;12),0,1)*IF(D70=12,MAX(0,F70-E70-0.003)*0.9*((K70+I70)*(B70/12)+(J70+H70)*(1-B70/12))+MAX(0,F70-0.003)*0.9*N69+N69,IF(AND(C70=ÉV!$I$2,D70=ÉV!$J$2),(M70+N69)*MAX(0,F70-0.003)*0.9*(D70/12)+N69,N69))*IF(OR(C70&gt;ÉV!$I$2,AND(C70=ÉV!$I$2,D70&gt;ÉV!$J$2)),0,1)</f>
        <v>0</v>
      </c>
      <c r="O70" s="313">
        <f ca="1">IF(MAX(AF$2:AF69)=2,      0,IF(OR(AC70=7, AF70=2),    SUM(AE$2:AE70),    O69)   )</f>
        <v>206562.80286439997</v>
      </c>
      <c r="P70" s="271">
        <f ca="1">IF(D70=12,V70+P69+P69*(F70-0.003)*0.9,IF(AND(C70=ÉV!$I$2,D70=ÉV!$J$2),V70+P69+P69*(F70-0.003)*0.9*D70/12,P69))*IF(OR(C70&gt;ÉV!$I$2,AND(C70=ÉV!$I$2,D70&gt;ÉV!$J$2)),0,1)</f>
        <v>0</v>
      </c>
      <c r="Q70" s="275">
        <f ca="1">(N70+P70)*IF(OR(AND(C70=ÉV!$I$2,D70&gt;ÉV!$J$2),C70&gt;ÉV!$I$2),0,1)</f>
        <v>0</v>
      </c>
      <c r="R70" s="271">
        <f ca="1">(MAX(0,F70-E70-0.003)*0.9*((K70+I70)*(1/12)))*IF(OR(C70&gt;ÉV!$I$2,AND(C70=ÉV!$I$2,D70&gt;ÉV!$J$2)),0,1)</f>
        <v>0</v>
      </c>
      <c r="S70" s="271">
        <f ca="1">(MAX(0,F70-0.003)*0.9*((O70)*(1/12)))*IF(OR(C70&gt;ÉV!$I$2,AND(C70=ÉV!$I$2,D70&gt;ÉV!$J$2)),0,1)</f>
        <v>0</v>
      </c>
      <c r="T70" s="271">
        <f ca="1">(MAX(0,F70-0.003)*0.9*((Q69)*(1/12)))*IF(OR(C70&gt;ÉV!$I$2,AND(C70=ÉV!$I$2,D70&gt;ÉV!$J$2)),0,1)</f>
        <v>0</v>
      </c>
      <c r="U70" s="271">
        <f ca="1">IF($D70=1,R70,R70+U69)*IF(OR(C70&gt;ÉV!$I$2,AND(C70=ÉV!$I$2,D70&gt;ÉV!$J$2)),0,1)</f>
        <v>0</v>
      </c>
      <c r="V70" s="271">
        <f ca="1">IF($D70=1,S70,S70+V69)*IF(OR(C70&gt;ÉV!$I$2,AND(C70=ÉV!$I$2,D70&gt;ÉV!$J$2)),0,1)</f>
        <v>0</v>
      </c>
      <c r="W70" s="271">
        <f ca="1">IF($D70=1,T70,T70+W69)*IF(OR(C70&gt;ÉV!$I$2,AND(C70=ÉV!$I$2,D70&gt;ÉV!$J$2)),0,1)</f>
        <v>0</v>
      </c>
      <c r="X70" s="271">
        <f ca="1">IF(OR(D70=12,AND(C70=ÉV!$I$2,D70=ÉV!$J$2)),SUM(U70:W70)+X69,X69)*IF(OR(C70&gt;ÉV!$I$2,AND(C70=ÉV!$I$2,D70&gt;ÉV!$J$2)),0,1)</f>
        <v>0</v>
      </c>
      <c r="Y70" s="271">
        <f t="shared" ca="1" si="13"/>
        <v>0</v>
      </c>
      <c r="Z70" s="265">
        <f t="shared" si="14"/>
        <v>8</v>
      </c>
      <c r="AA70" s="272">
        <f t="shared" ca="1" si="15"/>
        <v>19261.609679159999</v>
      </c>
      <c r="AB70" s="265">
        <f t="shared" ca="1" si="21"/>
        <v>2022</v>
      </c>
      <c r="AC70" s="265">
        <f t="shared" ca="1" si="22"/>
        <v>11</v>
      </c>
      <c r="AD70" s="276">
        <f ca="1">IF(     OR(               AND(MAX(AF$6:AF70)&lt;2,  AC70=12),                 AF70=2),                   SUMIF(AB:AB,AB70,AA:AA),                       0)</f>
        <v>0</v>
      </c>
      <c r="AE70" s="277">
        <f t="shared" ca="1" si="12"/>
        <v>0</v>
      </c>
      <c r="AF70" s="277">
        <f t="shared" ca="1" si="16"/>
        <v>0</v>
      </c>
      <c r="AG70" s="402">
        <f ca="1">IF(  AND(AC70=AdóHó,   MAX(AF$1:AF69)&lt;2),   SUMIF(AB:AB,AB70-1,AE:AE),0  )
+ IF(AND(AC70&lt;AdóHó,                            AF70=2),   SUMIF(AB:AB,AB70-1,AE:AE),0  )
+ IF(                                                                  AF70=2,    SUMIF(AB:AB,AB70,AE:AE   ),0  )</f>
        <v>0</v>
      </c>
      <c r="AH70" s="272">
        <f ca="1">SUM(AG$2:AG70)</f>
        <v>206562.80286439997</v>
      </c>
    </row>
    <row r="71" spans="1:34">
      <c r="A71" s="265">
        <f t="shared" si="17"/>
        <v>6</v>
      </c>
      <c r="B71" s="265">
        <f t="shared" si="18"/>
        <v>9</v>
      </c>
      <c r="C71" s="265">
        <f t="shared" ca="1" si="19"/>
        <v>6</v>
      </c>
      <c r="D71" s="265">
        <f t="shared" ca="1" si="20"/>
        <v>12</v>
      </c>
      <c r="E71" s="266">
        <v>5.0000000000000001E-3</v>
      </c>
      <c r="F71" s="267">
        <f>ÉV!$B$12</f>
        <v>0</v>
      </c>
      <c r="G71" s="271">
        <f ca="1">VLOOKUP(A71,ÉV!$A$18:$B$65,2,0)</f>
        <v>231139.31614991999</v>
      </c>
      <c r="H71" s="271">
        <f ca="1">IF(OR(A71=1,AND(C71=ÉV!$I$2,D71&gt;ÉV!$J$2),C71&gt;ÉV!$I$2),0,INDEX(Pz!$B$2:$AM$48,A71-1,ÉV!$G$2-9)/100000*ÉV!$B$10)</f>
        <v>204899.15816899529</v>
      </c>
      <c r="I71" s="271">
        <f ca="1">INDEX(Pz!$B$2:$AM$48,HÓ!A71,ÉV!$G$2-9)/100000*ÉV!$B$10</f>
        <v>208980.42426980985</v>
      </c>
      <c r="J71" s="273">
        <f ca="1">IF(OR(A71=1,A71=2,AND(C71=ÉV!$I$2,D71&gt;ÉV!$J$2),C71&gt;ÉV!$I$2),0,VLOOKUP(A71-2,ÉV!$A$18:$C$65,3,0))</f>
        <v>552209.02744219545</v>
      </c>
      <c r="K71" s="273">
        <f ca="1">IF(OR(A71=1,AND(C71=ÉV!$I$2,D71&gt;ÉV!$J$2),C71&gt;ÉV!$I$2),0,VLOOKUP(A71-1,ÉV!$A$18:$C$65,3,0))</f>
        <v>757946.78607107699</v>
      </c>
      <c r="L71" s="273">
        <f ca="1">VLOOKUP(A71,ÉV!$A$18:$C$65,3,0)*IF(OR(AND(C71=ÉV!$I$2,D71&gt;ÉV!$J$2),C71&gt;ÉV!$I$2),0,1)</f>
        <v>968419.63807544659</v>
      </c>
      <c r="M71" s="273">
        <f ca="1">(K71*(12-B71)/12+L71*B71/12)*IF(A71&gt;ÉV!$G$2,0,1)+IF(A71&gt;ÉV!$G$2,M70,0)*IF(OR(AND(C71=ÉV!$I$2,D71&gt;ÉV!$J$2),C71&gt;ÉV!$I$2),0,1)</f>
        <v>915801.42507435416</v>
      </c>
      <c r="N71" s="274">
        <f ca="1">IF(AND(C71=1,D71&lt;12),0,1)*IF(D71=12,MAX(0,F71-E71-0.003)*0.9*((K71+I71)*(B71/12)+(J71+H71)*(1-B71/12))+MAX(0,F71-0.003)*0.9*N70+N70,IF(AND(C71=ÉV!$I$2,D71=ÉV!$J$2),(M71+N70)*MAX(0,F71-0.003)*0.9*(D71/12)+N70,N70))*IF(OR(C71&gt;ÉV!$I$2,AND(C71=ÉV!$I$2,D71&gt;ÉV!$J$2)),0,1)</f>
        <v>0</v>
      </c>
      <c r="O71" s="313">
        <f ca="1">IF(MAX(AF$2:AF70)=2,      0,IF(OR(AC71=7, AF71=2),    SUM(AE$2:AE71),    O70)   )</f>
        <v>206562.80286439997</v>
      </c>
      <c r="P71" s="271">
        <f ca="1">IF(D71=12,V71+P70+P70*(F71-0.003)*0.9,IF(AND(C71=ÉV!$I$2,D71=ÉV!$J$2),V71+P70+P70*(F71-0.003)*0.9*D71/12,P70))*IF(OR(C71&gt;ÉV!$I$2,AND(C71=ÉV!$I$2,D71&gt;ÉV!$J$2)),0,1)</f>
        <v>0</v>
      </c>
      <c r="Q71" s="275">
        <f ca="1">(N71+P71)*IF(OR(AND(C71=ÉV!$I$2,D71&gt;ÉV!$J$2),C71&gt;ÉV!$I$2),0,1)</f>
        <v>0</v>
      </c>
      <c r="R71" s="271">
        <f ca="1">(MAX(0,F71-E71-0.003)*0.9*((K71+I71)*(1/12)))*IF(OR(C71&gt;ÉV!$I$2,AND(C71=ÉV!$I$2,D71&gt;ÉV!$J$2)),0,1)</f>
        <v>0</v>
      </c>
      <c r="S71" s="271">
        <f ca="1">(MAX(0,F71-0.003)*0.9*((O71)*(1/12)))*IF(OR(C71&gt;ÉV!$I$2,AND(C71=ÉV!$I$2,D71&gt;ÉV!$J$2)),0,1)</f>
        <v>0</v>
      </c>
      <c r="T71" s="271">
        <f ca="1">(MAX(0,F71-0.003)*0.9*((Q70)*(1/12)))*IF(OR(C71&gt;ÉV!$I$2,AND(C71=ÉV!$I$2,D71&gt;ÉV!$J$2)),0,1)</f>
        <v>0</v>
      </c>
      <c r="U71" s="271">
        <f ca="1">IF($D71=1,R71,R71+U70)*IF(OR(C71&gt;ÉV!$I$2,AND(C71=ÉV!$I$2,D71&gt;ÉV!$J$2)),0,1)</f>
        <v>0</v>
      </c>
      <c r="V71" s="271">
        <f ca="1">IF($D71=1,S71,S71+V70)*IF(OR(C71&gt;ÉV!$I$2,AND(C71=ÉV!$I$2,D71&gt;ÉV!$J$2)),0,1)</f>
        <v>0</v>
      </c>
      <c r="W71" s="271">
        <f ca="1">IF($D71=1,T71,T71+W70)*IF(OR(C71&gt;ÉV!$I$2,AND(C71=ÉV!$I$2,D71&gt;ÉV!$J$2)),0,1)</f>
        <v>0</v>
      </c>
      <c r="X71" s="271">
        <f ca="1">IF(OR(D71=12,AND(C71=ÉV!$I$2,D71=ÉV!$J$2)),SUM(U71:W71)+X70,X70)*IF(OR(C71&gt;ÉV!$I$2,AND(C71=ÉV!$I$2,D71&gt;ÉV!$J$2)),0,1)</f>
        <v>0</v>
      </c>
      <c r="Y71" s="271">
        <f t="shared" ca="1" si="13"/>
        <v>0</v>
      </c>
      <c r="Z71" s="265">
        <f t="shared" si="14"/>
        <v>9</v>
      </c>
      <c r="AA71" s="272">
        <f t="shared" ca="1" si="15"/>
        <v>19261.609679159999</v>
      </c>
      <c r="AB71" s="265">
        <f t="shared" ca="1" si="21"/>
        <v>2022</v>
      </c>
      <c r="AC71" s="265">
        <f t="shared" ca="1" si="22"/>
        <v>12</v>
      </c>
      <c r="AD71" s="276">
        <f ca="1">IF(     OR(               AND(MAX(AF$6:AF71)&lt;2,  AC71=12),                 AF71=2),                   SUMIF(AB:AB,AB71,AA:AA),                       0)</f>
        <v>230006.28028643999</v>
      </c>
      <c r="AE71" s="277">
        <f t="shared" ca="1" si="12"/>
        <v>46001.256057288003</v>
      </c>
      <c r="AF71" s="277">
        <f t="shared" ca="1" si="16"/>
        <v>0</v>
      </c>
      <c r="AG71" s="402">
        <f ca="1">IF(  AND(AC71=AdóHó,   MAX(AF$1:AF70)&lt;2),   SUMIF(AB:AB,AB71-1,AE:AE),0  )
+ IF(AND(AC71&lt;AdóHó,                            AF71=2),   SUMIF(AB:AB,AB71-1,AE:AE),0  )
+ IF(                                                                  AF71=2,    SUMIF(AB:AB,AB71,AE:AE   ),0  )</f>
        <v>0</v>
      </c>
      <c r="AH71" s="272">
        <f ca="1">SUM(AG$2:AG71)</f>
        <v>206562.80286439997</v>
      </c>
    </row>
    <row r="72" spans="1:34">
      <c r="A72" s="265">
        <f t="shared" si="17"/>
        <v>6</v>
      </c>
      <c r="B72" s="265">
        <f t="shared" si="18"/>
        <v>10</v>
      </c>
      <c r="C72" s="265">
        <f t="shared" ca="1" si="19"/>
        <v>7</v>
      </c>
      <c r="D72" s="265">
        <f t="shared" ca="1" si="20"/>
        <v>1</v>
      </c>
      <c r="E72" s="266">
        <v>5.0000000000000001E-3</v>
      </c>
      <c r="F72" s="267">
        <f>ÉV!$B$12</f>
        <v>0</v>
      </c>
      <c r="G72" s="271">
        <f ca="1">VLOOKUP(A72,ÉV!$A$18:$B$65,2,0)</f>
        <v>231139.31614991999</v>
      </c>
      <c r="H72" s="271">
        <f ca="1">IF(OR(A72=1,AND(C72=ÉV!$I$2,D72&gt;ÉV!$J$2),C72&gt;ÉV!$I$2),0,INDEX(Pz!$B$2:$AM$48,A72-1,ÉV!$G$2-9)/100000*ÉV!$B$10)</f>
        <v>204899.15816899529</v>
      </c>
      <c r="I72" s="271">
        <f ca="1">INDEX(Pz!$B$2:$AM$48,HÓ!A72,ÉV!$G$2-9)/100000*ÉV!$B$10</f>
        <v>208980.42426980985</v>
      </c>
      <c r="J72" s="273">
        <f ca="1">IF(OR(A72=1,A72=2,AND(C72=ÉV!$I$2,D72&gt;ÉV!$J$2),C72&gt;ÉV!$I$2),0,VLOOKUP(A72-2,ÉV!$A$18:$C$65,3,0))</f>
        <v>552209.02744219545</v>
      </c>
      <c r="K72" s="273">
        <f ca="1">IF(OR(A72=1,AND(C72=ÉV!$I$2,D72&gt;ÉV!$J$2),C72&gt;ÉV!$I$2),0,VLOOKUP(A72-1,ÉV!$A$18:$C$65,3,0))</f>
        <v>757946.78607107699</v>
      </c>
      <c r="L72" s="273">
        <f ca="1">VLOOKUP(A72,ÉV!$A$18:$C$65,3,0)*IF(OR(AND(C72=ÉV!$I$2,D72&gt;ÉV!$J$2),C72&gt;ÉV!$I$2),0,1)</f>
        <v>968419.63807544659</v>
      </c>
      <c r="M72" s="273">
        <f ca="1">(K72*(12-B72)/12+L72*B72/12)*IF(A72&gt;ÉV!$G$2,0,1)+IF(A72&gt;ÉV!$G$2,M71,0)*IF(OR(AND(C72=ÉV!$I$2,D72&gt;ÉV!$J$2),C72&gt;ÉV!$I$2),0,1)</f>
        <v>933340.82940805156</v>
      </c>
      <c r="N72" s="274">
        <f ca="1">IF(AND(C72=1,D72&lt;12),0,1)*IF(D72=12,MAX(0,F72-E72-0.003)*0.9*((K72+I72)*(B72/12)+(J72+H72)*(1-B72/12))+MAX(0,F72-0.003)*0.9*N71+N71,IF(AND(C72=ÉV!$I$2,D72=ÉV!$J$2),(M72+N71)*MAX(0,F72-0.003)*0.9*(D72/12)+N71,N71))*IF(OR(C72&gt;ÉV!$I$2,AND(C72=ÉV!$I$2,D72&gt;ÉV!$J$2)),0,1)</f>
        <v>0</v>
      </c>
      <c r="O72" s="313">
        <f ca="1">IF(MAX(AF$2:AF71)=2,      0,IF(OR(AC72=7, AF72=2),    SUM(AE$2:AE72),    O71)   )</f>
        <v>206562.80286439997</v>
      </c>
      <c r="P72" s="271">
        <f ca="1">IF(D72=12,V72+P71+P71*(F72-0.003)*0.9,IF(AND(C72=ÉV!$I$2,D72=ÉV!$J$2),V72+P71+P71*(F72-0.003)*0.9*D72/12,P71))*IF(OR(C72&gt;ÉV!$I$2,AND(C72=ÉV!$I$2,D72&gt;ÉV!$J$2)),0,1)</f>
        <v>0</v>
      </c>
      <c r="Q72" s="275">
        <f ca="1">(N72+P72)*IF(OR(AND(C72=ÉV!$I$2,D72&gt;ÉV!$J$2),C72&gt;ÉV!$I$2),0,1)</f>
        <v>0</v>
      </c>
      <c r="R72" s="271">
        <f ca="1">(MAX(0,F72-E72-0.003)*0.9*((K72+I72)*(1/12)))*IF(OR(C72&gt;ÉV!$I$2,AND(C72=ÉV!$I$2,D72&gt;ÉV!$J$2)),0,1)</f>
        <v>0</v>
      </c>
      <c r="S72" s="271">
        <f ca="1">(MAX(0,F72-0.003)*0.9*((O72)*(1/12)))*IF(OR(C72&gt;ÉV!$I$2,AND(C72=ÉV!$I$2,D72&gt;ÉV!$J$2)),0,1)</f>
        <v>0</v>
      </c>
      <c r="T72" s="271">
        <f ca="1">(MAX(0,F72-0.003)*0.9*((Q71)*(1/12)))*IF(OR(C72&gt;ÉV!$I$2,AND(C72=ÉV!$I$2,D72&gt;ÉV!$J$2)),0,1)</f>
        <v>0</v>
      </c>
      <c r="U72" s="271">
        <f ca="1">IF($D72=1,R72,R72+U71)*IF(OR(C72&gt;ÉV!$I$2,AND(C72=ÉV!$I$2,D72&gt;ÉV!$J$2)),0,1)</f>
        <v>0</v>
      </c>
      <c r="V72" s="271">
        <f ca="1">IF($D72=1,S72,S72+V71)*IF(OR(C72&gt;ÉV!$I$2,AND(C72=ÉV!$I$2,D72&gt;ÉV!$J$2)),0,1)</f>
        <v>0</v>
      </c>
      <c r="W72" s="271">
        <f ca="1">IF($D72=1,T72,T72+W71)*IF(OR(C72&gt;ÉV!$I$2,AND(C72=ÉV!$I$2,D72&gt;ÉV!$J$2)),0,1)</f>
        <v>0</v>
      </c>
      <c r="X72" s="271">
        <f ca="1">IF(OR(D72=12,AND(C72=ÉV!$I$2,D72=ÉV!$J$2)),SUM(U72:W72)+X71,X71)*IF(OR(C72&gt;ÉV!$I$2,AND(C72=ÉV!$I$2,D72&gt;ÉV!$J$2)),0,1)</f>
        <v>0</v>
      </c>
      <c r="Y72" s="271">
        <f t="shared" ca="1" si="13"/>
        <v>0</v>
      </c>
      <c r="Z72" s="265">
        <f t="shared" si="14"/>
        <v>10</v>
      </c>
      <c r="AA72" s="272">
        <f t="shared" ca="1" si="15"/>
        <v>19261.609679159999</v>
      </c>
      <c r="AB72" s="265">
        <f t="shared" ca="1" si="21"/>
        <v>2023</v>
      </c>
      <c r="AC72" s="265">
        <f t="shared" ca="1" si="22"/>
        <v>1</v>
      </c>
      <c r="AD72" s="276">
        <f ca="1">IF(     OR(               AND(MAX(AF$6:AF72)&lt;2,  AC72=12),                 AF72=2),                   SUMIF(AB:AB,AB72,AA:AA),                       0)</f>
        <v>0</v>
      </c>
      <c r="AE72" s="277">
        <f t="shared" ca="1" si="12"/>
        <v>0</v>
      </c>
      <c r="AF72" s="277">
        <f t="shared" ca="1" si="16"/>
        <v>0</v>
      </c>
      <c r="AG72" s="402">
        <f ca="1">IF(  AND(AC72=AdóHó,   MAX(AF$1:AF71)&lt;2),   SUMIF(AB:AB,AB72-1,AE:AE),0  )
+ IF(AND(AC72&lt;AdóHó,                            AF72=2),   SUMIF(AB:AB,AB72-1,AE:AE),0  )
+ IF(                                                                  AF72=2,    SUMIF(AB:AB,AB72,AE:AE   ),0  )</f>
        <v>0</v>
      </c>
      <c r="AH72" s="272">
        <f ca="1">SUM(AG$2:AG72)</f>
        <v>206562.80286439997</v>
      </c>
    </row>
    <row r="73" spans="1:34">
      <c r="A73" s="265">
        <f t="shared" si="17"/>
        <v>6</v>
      </c>
      <c r="B73" s="265">
        <f t="shared" si="18"/>
        <v>11</v>
      </c>
      <c r="C73" s="265">
        <f t="shared" ca="1" si="19"/>
        <v>7</v>
      </c>
      <c r="D73" s="265">
        <f t="shared" ca="1" si="20"/>
        <v>2</v>
      </c>
      <c r="E73" s="266">
        <v>5.0000000000000001E-3</v>
      </c>
      <c r="F73" s="267">
        <f>ÉV!$B$12</f>
        <v>0</v>
      </c>
      <c r="G73" s="271">
        <f ca="1">VLOOKUP(A73,ÉV!$A$18:$B$65,2,0)</f>
        <v>231139.31614991999</v>
      </c>
      <c r="H73" s="271">
        <f ca="1">IF(OR(A73=1,AND(C73=ÉV!$I$2,D73&gt;ÉV!$J$2),C73&gt;ÉV!$I$2),0,INDEX(Pz!$B$2:$AM$48,A73-1,ÉV!$G$2-9)/100000*ÉV!$B$10)</f>
        <v>204899.15816899529</v>
      </c>
      <c r="I73" s="271">
        <f ca="1">INDEX(Pz!$B$2:$AM$48,HÓ!A73,ÉV!$G$2-9)/100000*ÉV!$B$10</f>
        <v>208980.42426980985</v>
      </c>
      <c r="J73" s="273">
        <f ca="1">IF(OR(A73=1,A73=2,AND(C73=ÉV!$I$2,D73&gt;ÉV!$J$2),C73&gt;ÉV!$I$2),0,VLOOKUP(A73-2,ÉV!$A$18:$C$65,3,0))</f>
        <v>552209.02744219545</v>
      </c>
      <c r="K73" s="273">
        <f ca="1">IF(OR(A73=1,AND(C73=ÉV!$I$2,D73&gt;ÉV!$J$2),C73&gt;ÉV!$I$2),0,VLOOKUP(A73-1,ÉV!$A$18:$C$65,3,0))</f>
        <v>757946.78607107699</v>
      </c>
      <c r="L73" s="273">
        <f ca="1">VLOOKUP(A73,ÉV!$A$18:$C$65,3,0)*IF(OR(AND(C73=ÉV!$I$2,D73&gt;ÉV!$J$2),C73&gt;ÉV!$I$2),0,1)</f>
        <v>968419.63807544659</v>
      </c>
      <c r="M73" s="273">
        <f ca="1">(K73*(12-B73)/12+L73*B73/12)*IF(A73&gt;ÉV!$G$2,0,1)+IF(A73&gt;ÉV!$G$2,M72,0)*IF(OR(AND(C73=ÉV!$I$2,D73&gt;ÉV!$J$2),C73&gt;ÉV!$I$2),0,1)</f>
        <v>950880.23374174908</v>
      </c>
      <c r="N73" s="274">
        <f ca="1">IF(AND(C73=1,D73&lt;12),0,1)*IF(D73=12,MAX(0,F73-E73-0.003)*0.9*((K73+I73)*(B73/12)+(J73+H73)*(1-B73/12))+MAX(0,F73-0.003)*0.9*N72+N72,IF(AND(C73=ÉV!$I$2,D73=ÉV!$J$2),(M73+N72)*MAX(0,F73-0.003)*0.9*(D73/12)+N72,N72))*IF(OR(C73&gt;ÉV!$I$2,AND(C73=ÉV!$I$2,D73&gt;ÉV!$J$2)),0,1)</f>
        <v>0</v>
      </c>
      <c r="O73" s="313">
        <f ca="1">IF(MAX(AF$2:AF72)=2,      0,IF(OR(AC73=7, AF73=2),    SUM(AE$2:AE73),    O72)   )</f>
        <v>206562.80286439997</v>
      </c>
      <c r="P73" s="271">
        <f ca="1">IF(D73=12,V73+P72+P72*(F73-0.003)*0.9,IF(AND(C73=ÉV!$I$2,D73=ÉV!$J$2),V73+P72+P72*(F73-0.003)*0.9*D73/12,P72))*IF(OR(C73&gt;ÉV!$I$2,AND(C73=ÉV!$I$2,D73&gt;ÉV!$J$2)),0,1)</f>
        <v>0</v>
      </c>
      <c r="Q73" s="275">
        <f ca="1">(N73+P73)*IF(OR(AND(C73=ÉV!$I$2,D73&gt;ÉV!$J$2),C73&gt;ÉV!$I$2),0,1)</f>
        <v>0</v>
      </c>
      <c r="R73" s="271">
        <f ca="1">(MAX(0,F73-E73-0.003)*0.9*((K73+I73)*(1/12)))*IF(OR(C73&gt;ÉV!$I$2,AND(C73=ÉV!$I$2,D73&gt;ÉV!$J$2)),0,1)</f>
        <v>0</v>
      </c>
      <c r="S73" s="271">
        <f ca="1">(MAX(0,F73-0.003)*0.9*((O73)*(1/12)))*IF(OR(C73&gt;ÉV!$I$2,AND(C73=ÉV!$I$2,D73&gt;ÉV!$J$2)),0,1)</f>
        <v>0</v>
      </c>
      <c r="T73" s="271">
        <f ca="1">(MAX(0,F73-0.003)*0.9*((Q72)*(1/12)))*IF(OR(C73&gt;ÉV!$I$2,AND(C73=ÉV!$I$2,D73&gt;ÉV!$J$2)),0,1)</f>
        <v>0</v>
      </c>
      <c r="U73" s="271">
        <f ca="1">IF($D73=1,R73,R73+U72)*IF(OR(C73&gt;ÉV!$I$2,AND(C73=ÉV!$I$2,D73&gt;ÉV!$J$2)),0,1)</f>
        <v>0</v>
      </c>
      <c r="V73" s="271">
        <f ca="1">IF($D73=1,S73,S73+V72)*IF(OR(C73&gt;ÉV!$I$2,AND(C73=ÉV!$I$2,D73&gt;ÉV!$J$2)),0,1)</f>
        <v>0</v>
      </c>
      <c r="W73" s="271">
        <f ca="1">IF($D73=1,T73,T73+W72)*IF(OR(C73&gt;ÉV!$I$2,AND(C73=ÉV!$I$2,D73&gt;ÉV!$J$2)),0,1)</f>
        <v>0</v>
      </c>
      <c r="X73" s="271">
        <f ca="1">IF(OR(D73=12,AND(C73=ÉV!$I$2,D73=ÉV!$J$2)),SUM(U73:W73)+X72,X72)*IF(OR(C73&gt;ÉV!$I$2,AND(C73=ÉV!$I$2,D73&gt;ÉV!$J$2)),0,1)</f>
        <v>0</v>
      </c>
      <c r="Y73" s="271">
        <f t="shared" ca="1" si="13"/>
        <v>0</v>
      </c>
      <c r="Z73" s="265">
        <f t="shared" si="14"/>
        <v>11</v>
      </c>
      <c r="AA73" s="272">
        <f t="shared" ca="1" si="15"/>
        <v>19261.609679159999</v>
      </c>
      <c r="AB73" s="265">
        <f t="shared" ca="1" si="21"/>
        <v>2023</v>
      </c>
      <c r="AC73" s="265">
        <f t="shared" ca="1" si="22"/>
        <v>2</v>
      </c>
      <c r="AD73" s="276">
        <f ca="1">IF(     OR(               AND(MAX(AF$6:AF73)&lt;2,  AC73=12),                 AF73=2),                   SUMIF(AB:AB,AB73,AA:AA),                       0)</f>
        <v>0</v>
      </c>
      <c r="AE73" s="277">
        <f t="shared" ca="1" si="12"/>
        <v>0</v>
      </c>
      <c r="AF73" s="277">
        <f t="shared" ca="1" si="16"/>
        <v>0</v>
      </c>
      <c r="AG73" s="402">
        <f ca="1">IF(  AND(AC73=AdóHó,   MAX(AF$1:AF72)&lt;2),   SUMIF(AB:AB,AB73-1,AE:AE),0  )
+ IF(AND(AC73&lt;AdóHó,                            AF73=2),   SUMIF(AB:AB,AB73-1,AE:AE),0  )
+ IF(                                                                  AF73=2,    SUMIF(AB:AB,AB73,AE:AE   ),0  )</f>
        <v>0</v>
      </c>
      <c r="AH73" s="272">
        <f ca="1">SUM(AG$2:AG73)</f>
        <v>206562.80286439997</v>
      </c>
    </row>
    <row r="74" spans="1:34">
      <c r="A74" s="265">
        <f t="shared" si="17"/>
        <v>6</v>
      </c>
      <c r="B74" s="265">
        <f t="shared" si="18"/>
        <v>12</v>
      </c>
      <c r="C74" s="265">
        <f t="shared" ca="1" si="19"/>
        <v>7</v>
      </c>
      <c r="D74" s="265">
        <f t="shared" ca="1" si="20"/>
        <v>3</v>
      </c>
      <c r="E74" s="266">
        <v>5.0000000000000001E-3</v>
      </c>
      <c r="F74" s="267">
        <f>ÉV!$B$12</f>
        <v>0</v>
      </c>
      <c r="G74" s="271">
        <f ca="1">VLOOKUP(A74,ÉV!$A$18:$B$65,2,0)</f>
        <v>231139.31614991999</v>
      </c>
      <c r="H74" s="271">
        <f ca="1">IF(OR(A74=1,AND(C74=ÉV!$I$2,D74&gt;ÉV!$J$2),C74&gt;ÉV!$I$2),0,INDEX(Pz!$B$2:$AM$48,A74-1,ÉV!$G$2-9)/100000*ÉV!$B$10)</f>
        <v>204899.15816899529</v>
      </c>
      <c r="I74" s="271">
        <f ca="1">INDEX(Pz!$B$2:$AM$48,HÓ!A74,ÉV!$G$2-9)/100000*ÉV!$B$10</f>
        <v>208980.42426980985</v>
      </c>
      <c r="J74" s="273">
        <f ca="1">IF(OR(A74=1,A74=2,AND(C74=ÉV!$I$2,D74&gt;ÉV!$J$2),C74&gt;ÉV!$I$2),0,VLOOKUP(A74-2,ÉV!$A$18:$C$65,3,0))</f>
        <v>552209.02744219545</v>
      </c>
      <c r="K74" s="273">
        <f ca="1">IF(OR(A74=1,AND(C74=ÉV!$I$2,D74&gt;ÉV!$J$2),C74&gt;ÉV!$I$2),0,VLOOKUP(A74-1,ÉV!$A$18:$C$65,3,0))</f>
        <v>757946.78607107699</v>
      </c>
      <c r="L74" s="273">
        <f ca="1">VLOOKUP(A74,ÉV!$A$18:$C$65,3,0)*IF(OR(AND(C74=ÉV!$I$2,D74&gt;ÉV!$J$2),C74&gt;ÉV!$I$2),0,1)</f>
        <v>968419.63807544659</v>
      </c>
      <c r="M74" s="273">
        <f ca="1">(K74*(12-B74)/12+L74*B74/12)*IF(A74&gt;ÉV!$G$2,0,1)+IF(A74&gt;ÉV!$G$2,M73,0)*IF(OR(AND(C74=ÉV!$I$2,D74&gt;ÉV!$J$2),C74&gt;ÉV!$I$2),0,1)</f>
        <v>968419.63807544659</v>
      </c>
      <c r="N74" s="274">
        <f ca="1">IF(AND(C74=1,D74&lt;12),0,1)*IF(D74=12,MAX(0,F74-E74-0.003)*0.9*((K74+I74)*(B74/12)+(J74+H74)*(1-B74/12))+MAX(0,F74-0.003)*0.9*N73+N73,IF(AND(C74=ÉV!$I$2,D74=ÉV!$J$2),(M74+N73)*MAX(0,F74-0.003)*0.9*(D74/12)+N73,N73))*IF(OR(C74&gt;ÉV!$I$2,AND(C74=ÉV!$I$2,D74&gt;ÉV!$J$2)),0,1)</f>
        <v>0</v>
      </c>
      <c r="O74" s="313">
        <f ca="1">IF(MAX(AF$2:AF73)=2,      0,IF(OR(AC74=7, AF74=2),    SUM(AE$2:AE74),    O73)   )</f>
        <v>206562.80286439997</v>
      </c>
      <c r="P74" s="271">
        <f ca="1">IF(D74=12,V74+P73+P73*(F74-0.003)*0.9,IF(AND(C74=ÉV!$I$2,D74=ÉV!$J$2),V74+P73+P73*(F74-0.003)*0.9*D74/12,P73))*IF(OR(C74&gt;ÉV!$I$2,AND(C74=ÉV!$I$2,D74&gt;ÉV!$J$2)),0,1)</f>
        <v>0</v>
      </c>
      <c r="Q74" s="275">
        <f ca="1">(N74+P74)*IF(OR(AND(C74=ÉV!$I$2,D74&gt;ÉV!$J$2),C74&gt;ÉV!$I$2),0,1)</f>
        <v>0</v>
      </c>
      <c r="R74" s="271">
        <f ca="1">(MAX(0,F74-E74-0.003)*0.9*((K74+I74)*(1/12)))*IF(OR(C74&gt;ÉV!$I$2,AND(C74=ÉV!$I$2,D74&gt;ÉV!$J$2)),0,1)</f>
        <v>0</v>
      </c>
      <c r="S74" s="271">
        <f ca="1">(MAX(0,F74-0.003)*0.9*((O74)*(1/12)))*IF(OR(C74&gt;ÉV!$I$2,AND(C74=ÉV!$I$2,D74&gt;ÉV!$J$2)),0,1)</f>
        <v>0</v>
      </c>
      <c r="T74" s="271">
        <f ca="1">(MAX(0,F74-0.003)*0.9*((Q73)*(1/12)))*IF(OR(C74&gt;ÉV!$I$2,AND(C74=ÉV!$I$2,D74&gt;ÉV!$J$2)),0,1)</f>
        <v>0</v>
      </c>
      <c r="U74" s="271">
        <f ca="1">IF($D74=1,R74,R74+U73)*IF(OR(C74&gt;ÉV!$I$2,AND(C74=ÉV!$I$2,D74&gt;ÉV!$J$2)),0,1)</f>
        <v>0</v>
      </c>
      <c r="V74" s="271">
        <f ca="1">IF($D74=1,S74,S74+V73)*IF(OR(C74&gt;ÉV!$I$2,AND(C74=ÉV!$I$2,D74&gt;ÉV!$J$2)),0,1)</f>
        <v>0</v>
      </c>
      <c r="W74" s="271">
        <f ca="1">IF($D74=1,T74,T74+W73)*IF(OR(C74&gt;ÉV!$I$2,AND(C74=ÉV!$I$2,D74&gt;ÉV!$J$2)),0,1)</f>
        <v>0</v>
      </c>
      <c r="X74" s="271">
        <f ca="1">IF(OR(D74=12,AND(C74=ÉV!$I$2,D74=ÉV!$J$2)),SUM(U74:W74)+X73,X73)*IF(OR(C74&gt;ÉV!$I$2,AND(C74=ÉV!$I$2,D74&gt;ÉV!$J$2)),0,1)</f>
        <v>0</v>
      </c>
      <c r="Y74" s="271">
        <f t="shared" ca="1" si="13"/>
        <v>0</v>
      </c>
      <c r="Z74" s="265">
        <f t="shared" si="14"/>
        <v>12</v>
      </c>
      <c r="AA74" s="272">
        <f t="shared" ca="1" si="15"/>
        <v>19261.609679159999</v>
      </c>
      <c r="AB74" s="265">
        <f t="shared" ca="1" si="21"/>
        <v>2023</v>
      </c>
      <c r="AC74" s="265">
        <f t="shared" ca="1" si="22"/>
        <v>3</v>
      </c>
      <c r="AD74" s="276">
        <f ca="1">IF(     OR(               AND(MAX(AF$6:AF74)&lt;2,  AC74=12),                 AF74=2),                   SUMIF(AB:AB,AB74,AA:AA),                       0)</f>
        <v>0</v>
      </c>
      <c r="AE74" s="277">
        <f t="shared" ca="1" si="12"/>
        <v>0</v>
      </c>
      <c r="AF74" s="277">
        <f t="shared" ca="1" si="16"/>
        <v>0</v>
      </c>
      <c r="AG74" s="402">
        <f ca="1">IF(  AND(AC74=AdóHó,   MAX(AF$1:AF73)&lt;2),   SUMIF(AB:AB,AB74-1,AE:AE),0  )
+ IF(AND(AC74&lt;AdóHó,                            AF74=2),   SUMIF(AB:AB,AB74-1,AE:AE),0  )
+ IF(                                                                  AF74=2,    SUMIF(AB:AB,AB74,AE:AE   ),0  )</f>
        <v>0</v>
      </c>
      <c r="AH74" s="272">
        <f ca="1">SUM(AG$2:AG74)</f>
        <v>206562.80286439997</v>
      </c>
    </row>
    <row r="75" spans="1:34">
      <c r="A75" s="265">
        <f t="shared" si="17"/>
        <v>7</v>
      </c>
      <c r="B75" s="265">
        <f t="shared" si="18"/>
        <v>1</v>
      </c>
      <c r="C75" s="265">
        <f t="shared" ca="1" si="19"/>
        <v>7</v>
      </c>
      <c r="D75" s="265">
        <f t="shared" ca="1" si="20"/>
        <v>4</v>
      </c>
      <c r="E75" s="266">
        <v>5.0000000000000001E-3</v>
      </c>
      <c r="F75" s="267">
        <f>ÉV!$B$12</f>
        <v>0</v>
      </c>
      <c r="G75" s="271">
        <f ca="1">VLOOKUP(A75,ÉV!$A$18:$B$65,2,0)</f>
        <v>235762.1024729184</v>
      </c>
      <c r="H75" s="271">
        <f ca="1">IF(OR(A75=1,AND(C75=ÉV!$I$2,D75&gt;ÉV!$J$2),C75&gt;ÉV!$I$2),0,INDEX(Pz!$B$2:$AM$48,A75-1,ÉV!$G$2-9)/100000*ÉV!$B$10)</f>
        <v>208980.42426980985</v>
      </c>
      <c r="I75" s="271">
        <f ca="1">INDEX(Pz!$B$2:$AM$48,HÓ!A75,ÉV!$G$2-9)/100000*ÉV!$B$10</f>
        <v>213143.31569264075</v>
      </c>
      <c r="J75" s="273">
        <f ca="1">IF(OR(A75=1,A75=2,AND(C75=ÉV!$I$2,D75&gt;ÉV!$J$2),C75&gt;ÉV!$I$2),0,VLOOKUP(A75-2,ÉV!$A$18:$C$65,3,0))</f>
        <v>757946.78607107699</v>
      </c>
      <c r="K75" s="273">
        <f ca="1">IF(OR(A75=1,AND(C75=ÉV!$I$2,D75&gt;ÉV!$J$2),C75&gt;ÉV!$I$2),0,VLOOKUP(A75-1,ÉV!$A$18:$C$65,3,0))</f>
        <v>968419.63807544659</v>
      </c>
      <c r="L75" s="273">
        <f ca="1">VLOOKUP(A75,ÉV!$A$18:$C$65,3,0)*IF(OR(AND(C75=ÉV!$I$2,D75&gt;ÉV!$J$2),C75&gt;ÉV!$I$2),0,1)</f>
        <v>1183683.678754952</v>
      </c>
      <c r="M75" s="273">
        <f ca="1">(K75*(12-B75)/12+L75*B75/12)*IF(A75&gt;ÉV!$G$2,0,1)+IF(A75&gt;ÉV!$G$2,M74,0)*IF(OR(AND(C75=ÉV!$I$2,D75&gt;ÉV!$J$2),C75&gt;ÉV!$I$2),0,1)</f>
        <v>986358.30813207198</v>
      </c>
      <c r="N75" s="274">
        <f ca="1">IF(AND(C75=1,D75&lt;12),0,1)*IF(D75=12,MAX(0,F75-E75-0.003)*0.9*((K75+I75)*(B75/12)+(J75+H75)*(1-B75/12))+MAX(0,F75-0.003)*0.9*N74+N74,IF(AND(C75=ÉV!$I$2,D75=ÉV!$J$2),(M75+N74)*MAX(0,F75-0.003)*0.9*(D75/12)+N74,N74))*IF(OR(C75&gt;ÉV!$I$2,AND(C75=ÉV!$I$2,D75&gt;ÉV!$J$2)),0,1)</f>
        <v>0</v>
      </c>
      <c r="O75" s="313">
        <f ca="1">IF(MAX(AF$2:AF74)=2,      0,IF(OR(AC75=7, AF75=2),    SUM(AE$2:AE75),    O74)   )</f>
        <v>206562.80286439997</v>
      </c>
      <c r="P75" s="271">
        <f ca="1">IF(D75=12,V75+P74+P74*(F75-0.003)*0.9,IF(AND(C75=ÉV!$I$2,D75=ÉV!$J$2),V75+P74+P74*(F75-0.003)*0.9*D75/12,P74))*IF(OR(C75&gt;ÉV!$I$2,AND(C75=ÉV!$I$2,D75&gt;ÉV!$J$2)),0,1)</f>
        <v>0</v>
      </c>
      <c r="Q75" s="275">
        <f ca="1">(N75+P75)*IF(OR(AND(C75=ÉV!$I$2,D75&gt;ÉV!$J$2),C75&gt;ÉV!$I$2),0,1)</f>
        <v>0</v>
      </c>
      <c r="R75" s="271">
        <f ca="1">(MAX(0,F75-E75-0.003)*0.9*((K75+I75)*(1/12)))*IF(OR(C75&gt;ÉV!$I$2,AND(C75=ÉV!$I$2,D75&gt;ÉV!$J$2)),0,1)</f>
        <v>0</v>
      </c>
      <c r="S75" s="271">
        <f ca="1">(MAX(0,F75-0.003)*0.9*((O75)*(1/12)))*IF(OR(C75&gt;ÉV!$I$2,AND(C75=ÉV!$I$2,D75&gt;ÉV!$J$2)),0,1)</f>
        <v>0</v>
      </c>
      <c r="T75" s="271">
        <f ca="1">(MAX(0,F75-0.003)*0.9*((Q74)*(1/12)))*IF(OR(C75&gt;ÉV!$I$2,AND(C75=ÉV!$I$2,D75&gt;ÉV!$J$2)),0,1)</f>
        <v>0</v>
      </c>
      <c r="U75" s="271">
        <f ca="1">IF($D75=1,R75,R75+U74)*IF(OR(C75&gt;ÉV!$I$2,AND(C75=ÉV!$I$2,D75&gt;ÉV!$J$2)),0,1)</f>
        <v>0</v>
      </c>
      <c r="V75" s="271">
        <f ca="1">IF($D75=1,S75,S75+V74)*IF(OR(C75&gt;ÉV!$I$2,AND(C75=ÉV!$I$2,D75&gt;ÉV!$J$2)),0,1)</f>
        <v>0</v>
      </c>
      <c r="W75" s="271">
        <f ca="1">IF($D75=1,T75,T75+W74)*IF(OR(C75&gt;ÉV!$I$2,AND(C75=ÉV!$I$2,D75&gt;ÉV!$J$2)),0,1)</f>
        <v>0</v>
      </c>
      <c r="X75" s="271">
        <f ca="1">IF(OR(D75=12,AND(C75=ÉV!$I$2,D75=ÉV!$J$2)),SUM(U75:W75)+X74,X74)*IF(OR(C75&gt;ÉV!$I$2,AND(C75=ÉV!$I$2,D75&gt;ÉV!$J$2)),0,1)</f>
        <v>0</v>
      </c>
      <c r="Y75" s="271">
        <f t="shared" ca="1" si="13"/>
        <v>0</v>
      </c>
      <c r="Z75" s="265">
        <f t="shared" si="14"/>
        <v>1</v>
      </c>
      <c r="AA75" s="272">
        <f t="shared" ca="1" si="15"/>
        <v>19646.8418727432</v>
      </c>
      <c r="AB75" s="265">
        <f t="shared" ca="1" si="21"/>
        <v>2023</v>
      </c>
      <c r="AC75" s="265">
        <f t="shared" ca="1" si="22"/>
        <v>4</v>
      </c>
      <c r="AD75" s="276">
        <f ca="1">IF(     OR(               AND(MAX(AF$6:AF75)&lt;2,  AC75=12),                 AF75=2),                   SUMIF(AB:AB,AB75,AA:AA),                       0)</f>
        <v>0</v>
      </c>
      <c r="AE75" s="277">
        <f t="shared" ca="1" si="12"/>
        <v>0</v>
      </c>
      <c r="AF75" s="277">
        <f t="shared" ca="1" si="16"/>
        <v>0</v>
      </c>
      <c r="AG75" s="402">
        <f ca="1">IF(  AND(AC75=AdóHó,   MAX(AF$1:AF74)&lt;2),   SUMIF(AB:AB,AB75-1,AE:AE),0  )
+ IF(AND(AC75&lt;AdóHó,                            AF75=2),   SUMIF(AB:AB,AB75-1,AE:AE),0  )
+ IF(                                                                  AF75=2,    SUMIF(AB:AB,AB75,AE:AE   ),0  )</f>
        <v>0</v>
      </c>
      <c r="AH75" s="272">
        <f ca="1">SUM(AG$2:AG75)</f>
        <v>206562.80286439997</v>
      </c>
    </row>
    <row r="76" spans="1:34">
      <c r="A76" s="265">
        <f t="shared" si="17"/>
        <v>7</v>
      </c>
      <c r="B76" s="265">
        <f t="shared" si="18"/>
        <v>2</v>
      </c>
      <c r="C76" s="265">
        <f t="shared" ca="1" si="19"/>
        <v>7</v>
      </c>
      <c r="D76" s="265">
        <f t="shared" ca="1" si="20"/>
        <v>5</v>
      </c>
      <c r="E76" s="266">
        <v>5.0000000000000001E-3</v>
      </c>
      <c r="F76" s="267">
        <f>ÉV!$B$12</f>
        <v>0</v>
      </c>
      <c r="G76" s="271">
        <f ca="1">VLOOKUP(A76,ÉV!$A$18:$B$65,2,0)</f>
        <v>235762.1024729184</v>
      </c>
      <c r="H76" s="271">
        <f ca="1">IF(OR(A76=1,AND(C76=ÉV!$I$2,D76&gt;ÉV!$J$2),C76&gt;ÉV!$I$2),0,INDEX(Pz!$B$2:$AM$48,A76-1,ÉV!$G$2-9)/100000*ÉV!$B$10)</f>
        <v>208980.42426980985</v>
      </c>
      <c r="I76" s="271">
        <f ca="1">INDEX(Pz!$B$2:$AM$48,HÓ!A76,ÉV!$G$2-9)/100000*ÉV!$B$10</f>
        <v>213143.31569264075</v>
      </c>
      <c r="J76" s="273">
        <f ca="1">IF(OR(A76=1,A76=2,AND(C76=ÉV!$I$2,D76&gt;ÉV!$J$2),C76&gt;ÉV!$I$2),0,VLOOKUP(A76-2,ÉV!$A$18:$C$65,3,0))</f>
        <v>757946.78607107699</v>
      </c>
      <c r="K76" s="273">
        <f ca="1">IF(OR(A76=1,AND(C76=ÉV!$I$2,D76&gt;ÉV!$J$2),C76&gt;ÉV!$I$2),0,VLOOKUP(A76-1,ÉV!$A$18:$C$65,3,0))</f>
        <v>968419.63807544659</v>
      </c>
      <c r="L76" s="273">
        <f ca="1">VLOOKUP(A76,ÉV!$A$18:$C$65,3,0)*IF(OR(AND(C76=ÉV!$I$2,D76&gt;ÉV!$J$2),C76&gt;ÉV!$I$2),0,1)</f>
        <v>1183683.678754952</v>
      </c>
      <c r="M76" s="273">
        <f ca="1">(K76*(12-B76)/12+L76*B76/12)*IF(A76&gt;ÉV!$G$2,0,1)+IF(A76&gt;ÉV!$G$2,M75,0)*IF(OR(AND(C76=ÉV!$I$2,D76&gt;ÉV!$J$2),C76&gt;ÉV!$I$2),0,1)</f>
        <v>1004296.9781886974</v>
      </c>
      <c r="N76" s="274">
        <f ca="1">IF(AND(C76=1,D76&lt;12),0,1)*IF(D76=12,MAX(0,F76-E76-0.003)*0.9*((K76+I76)*(B76/12)+(J76+H76)*(1-B76/12))+MAX(0,F76-0.003)*0.9*N75+N75,IF(AND(C76=ÉV!$I$2,D76=ÉV!$J$2),(M76+N75)*MAX(0,F76-0.003)*0.9*(D76/12)+N75,N75))*IF(OR(C76&gt;ÉV!$I$2,AND(C76=ÉV!$I$2,D76&gt;ÉV!$J$2)),0,1)</f>
        <v>0</v>
      </c>
      <c r="O76" s="313">
        <f ca="1">IF(MAX(AF$2:AF75)=2,      0,IF(OR(AC76=7, AF76=2),    SUM(AE$2:AE76),    O75)   )</f>
        <v>206562.80286439997</v>
      </c>
      <c r="P76" s="271">
        <f ca="1">IF(D76=12,V76+P75+P75*(F76-0.003)*0.9,IF(AND(C76=ÉV!$I$2,D76=ÉV!$J$2),V76+P75+P75*(F76-0.003)*0.9*D76/12,P75))*IF(OR(C76&gt;ÉV!$I$2,AND(C76=ÉV!$I$2,D76&gt;ÉV!$J$2)),0,1)</f>
        <v>0</v>
      </c>
      <c r="Q76" s="275">
        <f ca="1">(N76+P76)*IF(OR(AND(C76=ÉV!$I$2,D76&gt;ÉV!$J$2),C76&gt;ÉV!$I$2),0,1)</f>
        <v>0</v>
      </c>
      <c r="R76" s="271">
        <f ca="1">(MAX(0,F76-E76-0.003)*0.9*((K76+I76)*(1/12)))*IF(OR(C76&gt;ÉV!$I$2,AND(C76=ÉV!$I$2,D76&gt;ÉV!$J$2)),0,1)</f>
        <v>0</v>
      </c>
      <c r="S76" s="271">
        <f ca="1">(MAX(0,F76-0.003)*0.9*((O76)*(1/12)))*IF(OR(C76&gt;ÉV!$I$2,AND(C76=ÉV!$I$2,D76&gt;ÉV!$J$2)),0,1)</f>
        <v>0</v>
      </c>
      <c r="T76" s="271">
        <f ca="1">(MAX(0,F76-0.003)*0.9*((Q75)*(1/12)))*IF(OR(C76&gt;ÉV!$I$2,AND(C76=ÉV!$I$2,D76&gt;ÉV!$J$2)),0,1)</f>
        <v>0</v>
      </c>
      <c r="U76" s="271">
        <f ca="1">IF($D76=1,R76,R76+U75)*IF(OR(C76&gt;ÉV!$I$2,AND(C76=ÉV!$I$2,D76&gt;ÉV!$J$2)),0,1)</f>
        <v>0</v>
      </c>
      <c r="V76" s="271">
        <f ca="1">IF($D76=1,S76,S76+V75)*IF(OR(C76&gt;ÉV!$I$2,AND(C76=ÉV!$I$2,D76&gt;ÉV!$J$2)),0,1)</f>
        <v>0</v>
      </c>
      <c r="W76" s="271">
        <f ca="1">IF($D76=1,T76,T76+W75)*IF(OR(C76&gt;ÉV!$I$2,AND(C76=ÉV!$I$2,D76&gt;ÉV!$J$2)),0,1)</f>
        <v>0</v>
      </c>
      <c r="X76" s="271">
        <f ca="1">IF(OR(D76=12,AND(C76=ÉV!$I$2,D76=ÉV!$J$2)),SUM(U76:W76)+X75,X75)*IF(OR(C76&gt;ÉV!$I$2,AND(C76=ÉV!$I$2,D76&gt;ÉV!$J$2)),0,1)</f>
        <v>0</v>
      </c>
      <c r="Y76" s="271">
        <f t="shared" ca="1" si="13"/>
        <v>0</v>
      </c>
      <c r="Z76" s="265">
        <f t="shared" si="14"/>
        <v>2</v>
      </c>
      <c r="AA76" s="272">
        <f t="shared" ca="1" si="15"/>
        <v>19646.8418727432</v>
      </c>
      <c r="AB76" s="265">
        <f t="shared" ca="1" si="21"/>
        <v>2023</v>
      </c>
      <c r="AC76" s="265">
        <f t="shared" ca="1" si="22"/>
        <v>5</v>
      </c>
      <c r="AD76" s="276">
        <f ca="1">IF(     OR(               AND(MAX(AF$6:AF76)&lt;2,  AC76=12),                 AF76=2),                   SUMIF(AB:AB,AB76,AA:AA),                       0)</f>
        <v>0</v>
      </c>
      <c r="AE76" s="277">
        <f t="shared" ca="1" si="12"/>
        <v>0</v>
      </c>
      <c r="AF76" s="277">
        <f t="shared" ca="1" si="16"/>
        <v>0</v>
      </c>
      <c r="AG76" s="402">
        <f ca="1">IF(  AND(AC76=AdóHó,   MAX(AF$1:AF75)&lt;2),   SUMIF(AB:AB,AB76-1,AE:AE),0  )
+ IF(AND(AC76&lt;AdóHó,                            AF76=2),   SUMIF(AB:AB,AB76-1,AE:AE),0  )
+ IF(                                                                  AF76=2,    SUMIF(AB:AB,AB76,AE:AE   ),0  )</f>
        <v>0</v>
      </c>
      <c r="AH76" s="272">
        <f ca="1">SUM(AG$2:AG76)</f>
        <v>206562.80286439997</v>
      </c>
    </row>
    <row r="77" spans="1:34">
      <c r="A77" s="265">
        <f t="shared" si="17"/>
        <v>7</v>
      </c>
      <c r="B77" s="265">
        <f t="shared" si="18"/>
        <v>3</v>
      </c>
      <c r="C77" s="265">
        <f t="shared" ca="1" si="19"/>
        <v>7</v>
      </c>
      <c r="D77" s="265">
        <f t="shared" ca="1" si="20"/>
        <v>6</v>
      </c>
      <c r="E77" s="266">
        <v>5.0000000000000001E-3</v>
      </c>
      <c r="F77" s="267">
        <f>ÉV!$B$12</f>
        <v>0</v>
      </c>
      <c r="G77" s="271">
        <f ca="1">VLOOKUP(A77,ÉV!$A$18:$B$65,2,0)</f>
        <v>235762.1024729184</v>
      </c>
      <c r="H77" s="271">
        <f ca="1">IF(OR(A77=1,AND(C77=ÉV!$I$2,D77&gt;ÉV!$J$2),C77&gt;ÉV!$I$2),0,INDEX(Pz!$B$2:$AM$48,A77-1,ÉV!$G$2-9)/100000*ÉV!$B$10)</f>
        <v>208980.42426980985</v>
      </c>
      <c r="I77" s="271">
        <f ca="1">INDEX(Pz!$B$2:$AM$48,HÓ!A77,ÉV!$G$2-9)/100000*ÉV!$B$10</f>
        <v>213143.31569264075</v>
      </c>
      <c r="J77" s="273">
        <f ca="1">IF(OR(A77=1,A77=2,AND(C77=ÉV!$I$2,D77&gt;ÉV!$J$2),C77&gt;ÉV!$I$2),0,VLOOKUP(A77-2,ÉV!$A$18:$C$65,3,0))</f>
        <v>757946.78607107699</v>
      </c>
      <c r="K77" s="273">
        <f ca="1">IF(OR(A77=1,AND(C77=ÉV!$I$2,D77&gt;ÉV!$J$2),C77&gt;ÉV!$I$2),0,VLOOKUP(A77-1,ÉV!$A$18:$C$65,3,0))</f>
        <v>968419.63807544659</v>
      </c>
      <c r="L77" s="273">
        <f ca="1">VLOOKUP(A77,ÉV!$A$18:$C$65,3,0)*IF(OR(AND(C77=ÉV!$I$2,D77&gt;ÉV!$J$2),C77&gt;ÉV!$I$2),0,1)</f>
        <v>1183683.678754952</v>
      </c>
      <c r="M77" s="273">
        <f ca="1">(K77*(12-B77)/12+L77*B77/12)*IF(A77&gt;ÉV!$G$2,0,1)+IF(A77&gt;ÉV!$G$2,M76,0)*IF(OR(AND(C77=ÉV!$I$2,D77&gt;ÉV!$J$2),C77&gt;ÉV!$I$2),0,1)</f>
        <v>1022235.648245323</v>
      </c>
      <c r="N77" s="274">
        <f ca="1">IF(AND(C77=1,D77&lt;12),0,1)*IF(D77=12,MAX(0,F77-E77-0.003)*0.9*((K77+I77)*(B77/12)+(J77+H77)*(1-B77/12))+MAX(0,F77-0.003)*0.9*N76+N76,IF(AND(C77=ÉV!$I$2,D77=ÉV!$J$2),(M77+N76)*MAX(0,F77-0.003)*0.9*(D77/12)+N76,N76))*IF(OR(C77&gt;ÉV!$I$2,AND(C77=ÉV!$I$2,D77&gt;ÉV!$J$2)),0,1)</f>
        <v>0</v>
      </c>
      <c r="O77" s="313">
        <f ca="1">IF(MAX(AF$2:AF76)=2,      0,IF(OR(AC77=7, AF77=2),    SUM(AE$2:AE77),    O76)   )</f>
        <v>206562.80286439997</v>
      </c>
      <c r="P77" s="271">
        <f ca="1">IF(D77=12,V77+P76+P76*(F77-0.003)*0.9,IF(AND(C77=ÉV!$I$2,D77=ÉV!$J$2),V77+P76+P76*(F77-0.003)*0.9*D77/12,P76))*IF(OR(C77&gt;ÉV!$I$2,AND(C77=ÉV!$I$2,D77&gt;ÉV!$J$2)),0,1)</f>
        <v>0</v>
      </c>
      <c r="Q77" s="275">
        <f ca="1">(N77+P77)*IF(OR(AND(C77=ÉV!$I$2,D77&gt;ÉV!$J$2),C77&gt;ÉV!$I$2),0,1)</f>
        <v>0</v>
      </c>
      <c r="R77" s="271">
        <f ca="1">(MAX(0,F77-E77-0.003)*0.9*((K77+I77)*(1/12)))*IF(OR(C77&gt;ÉV!$I$2,AND(C77=ÉV!$I$2,D77&gt;ÉV!$J$2)),0,1)</f>
        <v>0</v>
      </c>
      <c r="S77" s="271">
        <f ca="1">(MAX(0,F77-0.003)*0.9*((O77)*(1/12)))*IF(OR(C77&gt;ÉV!$I$2,AND(C77=ÉV!$I$2,D77&gt;ÉV!$J$2)),0,1)</f>
        <v>0</v>
      </c>
      <c r="T77" s="271">
        <f ca="1">(MAX(0,F77-0.003)*0.9*((Q76)*(1/12)))*IF(OR(C77&gt;ÉV!$I$2,AND(C77=ÉV!$I$2,D77&gt;ÉV!$J$2)),0,1)</f>
        <v>0</v>
      </c>
      <c r="U77" s="271">
        <f ca="1">IF($D77=1,R77,R77+U76)*IF(OR(C77&gt;ÉV!$I$2,AND(C77=ÉV!$I$2,D77&gt;ÉV!$J$2)),0,1)</f>
        <v>0</v>
      </c>
      <c r="V77" s="271">
        <f ca="1">IF($D77=1,S77,S77+V76)*IF(OR(C77&gt;ÉV!$I$2,AND(C77=ÉV!$I$2,D77&gt;ÉV!$J$2)),0,1)</f>
        <v>0</v>
      </c>
      <c r="W77" s="271">
        <f ca="1">IF($D77=1,T77,T77+W76)*IF(OR(C77&gt;ÉV!$I$2,AND(C77=ÉV!$I$2,D77&gt;ÉV!$J$2)),0,1)</f>
        <v>0</v>
      </c>
      <c r="X77" s="271">
        <f ca="1">IF(OR(D77=12,AND(C77=ÉV!$I$2,D77=ÉV!$J$2)),SUM(U77:W77)+X76,X76)*IF(OR(C77&gt;ÉV!$I$2,AND(C77=ÉV!$I$2,D77&gt;ÉV!$J$2)),0,1)</f>
        <v>0</v>
      </c>
      <c r="Y77" s="271">
        <f t="shared" ca="1" si="13"/>
        <v>0</v>
      </c>
      <c r="Z77" s="265">
        <f t="shared" si="14"/>
        <v>3</v>
      </c>
      <c r="AA77" s="272">
        <f t="shared" ca="1" si="15"/>
        <v>19646.8418727432</v>
      </c>
      <c r="AB77" s="265">
        <f t="shared" ca="1" si="21"/>
        <v>2023</v>
      </c>
      <c r="AC77" s="265">
        <f t="shared" ca="1" si="22"/>
        <v>6</v>
      </c>
      <c r="AD77" s="276">
        <f ca="1">IF(     OR(               AND(MAX(AF$6:AF77)&lt;2,  AC77=12),                 AF77=2),                   SUMIF(AB:AB,AB77,AA:AA),                       0)</f>
        <v>0</v>
      </c>
      <c r="AE77" s="277">
        <f t="shared" ca="1" si="12"/>
        <v>0</v>
      </c>
      <c r="AF77" s="277">
        <f t="shared" ca="1" si="16"/>
        <v>0</v>
      </c>
      <c r="AG77" s="402">
        <f ca="1">IF(  AND(AC77=AdóHó,   MAX(AF$1:AF76)&lt;2),   SUMIF(AB:AB,AB77-1,AE:AE),0  )
+ IF(AND(AC77&lt;AdóHó,                            AF77=2),   SUMIF(AB:AB,AB77-1,AE:AE),0  )
+ IF(                                                                  AF77=2,    SUMIF(AB:AB,AB77,AE:AE   ),0  )</f>
        <v>0</v>
      </c>
      <c r="AH77" s="272">
        <f ca="1">SUM(AG$2:AG77)</f>
        <v>206562.80286439997</v>
      </c>
    </row>
    <row r="78" spans="1:34">
      <c r="A78" s="265">
        <f t="shared" si="17"/>
        <v>7</v>
      </c>
      <c r="B78" s="265">
        <f t="shared" si="18"/>
        <v>4</v>
      </c>
      <c r="C78" s="265">
        <f t="shared" ca="1" si="19"/>
        <v>7</v>
      </c>
      <c r="D78" s="265">
        <f t="shared" ca="1" si="20"/>
        <v>7</v>
      </c>
      <c r="E78" s="266">
        <v>5.0000000000000001E-3</v>
      </c>
      <c r="F78" s="267">
        <f>ÉV!$B$12</f>
        <v>0</v>
      </c>
      <c r="G78" s="271">
        <f ca="1">VLOOKUP(A78,ÉV!$A$18:$B$65,2,0)</f>
        <v>235762.1024729184</v>
      </c>
      <c r="H78" s="271">
        <f ca="1">IF(OR(A78=1,AND(C78=ÉV!$I$2,D78&gt;ÉV!$J$2),C78&gt;ÉV!$I$2),0,INDEX(Pz!$B$2:$AM$48,A78-1,ÉV!$G$2-9)/100000*ÉV!$B$10)</f>
        <v>208980.42426980985</v>
      </c>
      <c r="I78" s="271">
        <f ca="1">INDEX(Pz!$B$2:$AM$48,HÓ!A78,ÉV!$G$2-9)/100000*ÉV!$B$10</f>
        <v>213143.31569264075</v>
      </c>
      <c r="J78" s="273">
        <f ca="1">IF(OR(A78=1,A78=2,AND(C78=ÉV!$I$2,D78&gt;ÉV!$J$2),C78&gt;ÉV!$I$2),0,VLOOKUP(A78-2,ÉV!$A$18:$C$65,3,0))</f>
        <v>757946.78607107699</v>
      </c>
      <c r="K78" s="273">
        <f ca="1">IF(OR(A78=1,AND(C78=ÉV!$I$2,D78&gt;ÉV!$J$2),C78&gt;ÉV!$I$2),0,VLOOKUP(A78-1,ÉV!$A$18:$C$65,3,0))</f>
        <v>968419.63807544659</v>
      </c>
      <c r="L78" s="273">
        <f ca="1">VLOOKUP(A78,ÉV!$A$18:$C$65,3,0)*IF(OR(AND(C78=ÉV!$I$2,D78&gt;ÉV!$J$2),C78&gt;ÉV!$I$2),0,1)</f>
        <v>1183683.678754952</v>
      </c>
      <c r="M78" s="273">
        <f ca="1">(K78*(12-B78)/12+L78*B78/12)*IF(A78&gt;ÉV!$G$2,0,1)+IF(A78&gt;ÉV!$G$2,M77,0)*IF(OR(AND(C78=ÉV!$I$2,D78&gt;ÉV!$J$2),C78&gt;ÉV!$I$2),0,1)</f>
        <v>1040174.3183019485</v>
      </c>
      <c r="N78" s="274">
        <f ca="1">IF(AND(C78=1,D78&lt;12),0,1)*IF(D78=12,MAX(0,F78-E78-0.003)*0.9*((K78+I78)*(B78/12)+(J78+H78)*(1-B78/12))+MAX(0,F78-0.003)*0.9*N77+N77,IF(AND(C78=ÉV!$I$2,D78=ÉV!$J$2),(M78+N77)*MAX(0,F78-0.003)*0.9*(D78/12)+N77,N77))*IF(OR(C78&gt;ÉV!$I$2,AND(C78=ÉV!$I$2,D78&gt;ÉV!$J$2)),0,1)</f>
        <v>0</v>
      </c>
      <c r="O78" s="313">
        <f ca="1">IF(MAX(AF$2:AF77)=2,      0,IF(OR(AC78=7, AF78=2),    SUM(AE$2:AE78),    O77)   )</f>
        <v>252564.05892168797</v>
      </c>
      <c r="P78" s="271">
        <f ca="1">IF(D78=12,V78+P77+P77*(F78-0.003)*0.9,IF(AND(C78=ÉV!$I$2,D78=ÉV!$J$2),V78+P77+P77*(F78-0.003)*0.9*D78/12,P77))*IF(OR(C78&gt;ÉV!$I$2,AND(C78=ÉV!$I$2,D78&gt;ÉV!$J$2)),0,1)</f>
        <v>0</v>
      </c>
      <c r="Q78" s="275">
        <f ca="1">(N78+P78)*IF(OR(AND(C78=ÉV!$I$2,D78&gt;ÉV!$J$2),C78&gt;ÉV!$I$2),0,1)</f>
        <v>0</v>
      </c>
      <c r="R78" s="271">
        <f ca="1">(MAX(0,F78-E78-0.003)*0.9*((K78+I78)*(1/12)))*IF(OR(C78&gt;ÉV!$I$2,AND(C78=ÉV!$I$2,D78&gt;ÉV!$J$2)),0,1)</f>
        <v>0</v>
      </c>
      <c r="S78" s="271">
        <f ca="1">(MAX(0,F78-0.003)*0.9*((O78)*(1/12)))*IF(OR(C78&gt;ÉV!$I$2,AND(C78=ÉV!$I$2,D78&gt;ÉV!$J$2)),0,1)</f>
        <v>0</v>
      </c>
      <c r="T78" s="271">
        <f ca="1">(MAX(0,F78-0.003)*0.9*((Q77)*(1/12)))*IF(OR(C78&gt;ÉV!$I$2,AND(C78=ÉV!$I$2,D78&gt;ÉV!$J$2)),0,1)</f>
        <v>0</v>
      </c>
      <c r="U78" s="271">
        <f ca="1">IF($D78=1,R78,R78+U77)*IF(OR(C78&gt;ÉV!$I$2,AND(C78=ÉV!$I$2,D78&gt;ÉV!$J$2)),0,1)</f>
        <v>0</v>
      </c>
      <c r="V78" s="271">
        <f ca="1">IF($D78=1,S78,S78+V77)*IF(OR(C78&gt;ÉV!$I$2,AND(C78=ÉV!$I$2,D78&gt;ÉV!$J$2)),0,1)</f>
        <v>0</v>
      </c>
      <c r="W78" s="271">
        <f ca="1">IF($D78=1,T78,T78+W77)*IF(OR(C78&gt;ÉV!$I$2,AND(C78=ÉV!$I$2,D78&gt;ÉV!$J$2)),0,1)</f>
        <v>0</v>
      </c>
      <c r="X78" s="271">
        <f ca="1">IF(OR(D78=12,AND(C78=ÉV!$I$2,D78=ÉV!$J$2)),SUM(U78:W78)+X77,X77)*IF(OR(C78&gt;ÉV!$I$2,AND(C78=ÉV!$I$2,D78&gt;ÉV!$J$2)),0,1)</f>
        <v>0</v>
      </c>
      <c r="Y78" s="271">
        <f t="shared" ca="1" si="13"/>
        <v>0</v>
      </c>
      <c r="Z78" s="265">
        <f t="shared" si="14"/>
        <v>4</v>
      </c>
      <c r="AA78" s="272">
        <f t="shared" ca="1" si="15"/>
        <v>19646.8418727432</v>
      </c>
      <c r="AB78" s="265">
        <f t="shared" ca="1" si="21"/>
        <v>2023</v>
      </c>
      <c r="AC78" s="265">
        <f t="shared" ca="1" si="22"/>
        <v>7</v>
      </c>
      <c r="AD78" s="276">
        <f ca="1">IF(     OR(               AND(MAX(AF$6:AF78)&lt;2,  AC78=12),                 AF78=2),                   SUMIF(AB:AB,AB78,AA:AA),                       0)</f>
        <v>0</v>
      </c>
      <c r="AE78" s="277">
        <f t="shared" ref="AE78:AE141" ca="1" si="23">MIN(AD78*0.2,130000)</f>
        <v>0</v>
      </c>
      <c r="AF78" s="277">
        <f t="shared" ca="1" si="16"/>
        <v>0</v>
      </c>
      <c r="AG78" s="402">
        <f ca="1">IF(  AND(AC78=AdóHó,   MAX(AF$1:AF77)&lt;2),   SUMIF(AB:AB,AB78-1,AE:AE),0  )
+ IF(AND(AC78&lt;AdóHó,                            AF78=2),   SUMIF(AB:AB,AB78-1,AE:AE),0  )
+ IF(                                                                  AF78=2,    SUMIF(AB:AB,AB78,AE:AE   ),0  )</f>
        <v>46001.256057288003</v>
      </c>
      <c r="AH78" s="272">
        <f ca="1">SUM(AG$2:AG78)</f>
        <v>252564.05892168797</v>
      </c>
    </row>
    <row r="79" spans="1:34">
      <c r="A79" s="265">
        <f t="shared" si="17"/>
        <v>7</v>
      </c>
      <c r="B79" s="265">
        <f t="shared" si="18"/>
        <v>5</v>
      </c>
      <c r="C79" s="265">
        <f t="shared" ca="1" si="19"/>
        <v>7</v>
      </c>
      <c r="D79" s="265">
        <f t="shared" ca="1" si="20"/>
        <v>8</v>
      </c>
      <c r="E79" s="266">
        <v>5.0000000000000001E-3</v>
      </c>
      <c r="F79" s="267">
        <f>ÉV!$B$12</f>
        <v>0</v>
      </c>
      <c r="G79" s="271">
        <f ca="1">VLOOKUP(A79,ÉV!$A$18:$B$65,2,0)</f>
        <v>235762.1024729184</v>
      </c>
      <c r="H79" s="271">
        <f ca="1">IF(OR(A79=1,AND(C79=ÉV!$I$2,D79&gt;ÉV!$J$2),C79&gt;ÉV!$I$2),0,INDEX(Pz!$B$2:$AM$48,A79-1,ÉV!$G$2-9)/100000*ÉV!$B$10)</f>
        <v>208980.42426980985</v>
      </c>
      <c r="I79" s="271">
        <f ca="1">INDEX(Pz!$B$2:$AM$48,HÓ!A79,ÉV!$G$2-9)/100000*ÉV!$B$10</f>
        <v>213143.31569264075</v>
      </c>
      <c r="J79" s="273">
        <f ca="1">IF(OR(A79=1,A79=2,AND(C79=ÉV!$I$2,D79&gt;ÉV!$J$2),C79&gt;ÉV!$I$2),0,VLOOKUP(A79-2,ÉV!$A$18:$C$65,3,0))</f>
        <v>757946.78607107699</v>
      </c>
      <c r="K79" s="273">
        <f ca="1">IF(OR(A79=1,AND(C79=ÉV!$I$2,D79&gt;ÉV!$J$2),C79&gt;ÉV!$I$2),0,VLOOKUP(A79-1,ÉV!$A$18:$C$65,3,0))</f>
        <v>968419.63807544659</v>
      </c>
      <c r="L79" s="273">
        <f ca="1">VLOOKUP(A79,ÉV!$A$18:$C$65,3,0)*IF(OR(AND(C79=ÉV!$I$2,D79&gt;ÉV!$J$2),C79&gt;ÉV!$I$2),0,1)</f>
        <v>1183683.678754952</v>
      </c>
      <c r="M79" s="273">
        <f ca="1">(K79*(12-B79)/12+L79*B79/12)*IF(A79&gt;ÉV!$G$2,0,1)+IF(A79&gt;ÉV!$G$2,M78,0)*IF(OR(AND(C79=ÉV!$I$2,D79&gt;ÉV!$J$2),C79&gt;ÉV!$I$2),0,1)</f>
        <v>1058112.9883585738</v>
      </c>
      <c r="N79" s="274">
        <f ca="1">IF(AND(C79=1,D79&lt;12),0,1)*IF(D79=12,MAX(0,F79-E79-0.003)*0.9*((K79+I79)*(B79/12)+(J79+H79)*(1-B79/12))+MAX(0,F79-0.003)*0.9*N78+N78,IF(AND(C79=ÉV!$I$2,D79=ÉV!$J$2),(M79+N78)*MAX(0,F79-0.003)*0.9*(D79/12)+N78,N78))*IF(OR(C79&gt;ÉV!$I$2,AND(C79=ÉV!$I$2,D79&gt;ÉV!$J$2)),0,1)</f>
        <v>0</v>
      </c>
      <c r="O79" s="313">
        <f ca="1">IF(MAX(AF$2:AF78)=2,      0,IF(OR(AC79=7, AF79=2),    SUM(AE$2:AE79),    O78)   )</f>
        <v>252564.05892168797</v>
      </c>
      <c r="P79" s="271">
        <f ca="1">IF(D79=12,V79+P78+P78*(F79-0.003)*0.9,IF(AND(C79=ÉV!$I$2,D79=ÉV!$J$2),V79+P78+P78*(F79-0.003)*0.9*D79/12,P78))*IF(OR(C79&gt;ÉV!$I$2,AND(C79=ÉV!$I$2,D79&gt;ÉV!$J$2)),0,1)</f>
        <v>0</v>
      </c>
      <c r="Q79" s="275">
        <f ca="1">(N79+P79)*IF(OR(AND(C79=ÉV!$I$2,D79&gt;ÉV!$J$2),C79&gt;ÉV!$I$2),0,1)</f>
        <v>0</v>
      </c>
      <c r="R79" s="271">
        <f ca="1">(MAX(0,F79-E79-0.003)*0.9*((K79+I79)*(1/12)))*IF(OR(C79&gt;ÉV!$I$2,AND(C79=ÉV!$I$2,D79&gt;ÉV!$J$2)),0,1)</f>
        <v>0</v>
      </c>
      <c r="S79" s="271">
        <f ca="1">(MAX(0,F79-0.003)*0.9*((O79)*(1/12)))*IF(OR(C79&gt;ÉV!$I$2,AND(C79=ÉV!$I$2,D79&gt;ÉV!$J$2)),0,1)</f>
        <v>0</v>
      </c>
      <c r="T79" s="271">
        <f ca="1">(MAX(0,F79-0.003)*0.9*((Q78)*(1/12)))*IF(OR(C79&gt;ÉV!$I$2,AND(C79=ÉV!$I$2,D79&gt;ÉV!$J$2)),0,1)</f>
        <v>0</v>
      </c>
      <c r="U79" s="271">
        <f ca="1">IF($D79=1,R79,R79+U78)*IF(OR(C79&gt;ÉV!$I$2,AND(C79=ÉV!$I$2,D79&gt;ÉV!$J$2)),0,1)</f>
        <v>0</v>
      </c>
      <c r="V79" s="271">
        <f ca="1">IF($D79=1,S79,S79+V78)*IF(OR(C79&gt;ÉV!$I$2,AND(C79=ÉV!$I$2,D79&gt;ÉV!$J$2)),0,1)</f>
        <v>0</v>
      </c>
      <c r="W79" s="271">
        <f ca="1">IF($D79=1,T79,T79+W78)*IF(OR(C79&gt;ÉV!$I$2,AND(C79=ÉV!$I$2,D79&gt;ÉV!$J$2)),0,1)</f>
        <v>0</v>
      </c>
      <c r="X79" s="271">
        <f ca="1">IF(OR(D79=12,AND(C79=ÉV!$I$2,D79=ÉV!$J$2)),SUM(U79:W79)+X78,X78)*IF(OR(C79&gt;ÉV!$I$2,AND(C79=ÉV!$I$2,D79&gt;ÉV!$J$2)),0,1)</f>
        <v>0</v>
      </c>
      <c r="Y79" s="271">
        <f t="shared" ca="1" si="13"/>
        <v>0</v>
      </c>
      <c r="Z79" s="265">
        <f t="shared" si="14"/>
        <v>5</v>
      </c>
      <c r="AA79" s="272">
        <f t="shared" ca="1" si="15"/>
        <v>19646.8418727432</v>
      </c>
      <c r="AB79" s="265">
        <f t="shared" ca="1" si="21"/>
        <v>2023</v>
      </c>
      <c r="AC79" s="265">
        <f t="shared" ca="1" si="22"/>
        <v>8</v>
      </c>
      <c r="AD79" s="276">
        <f ca="1">IF(     OR(               AND(MAX(AF$6:AF79)&lt;2,  AC79=12),                 AF79=2),                   SUMIF(AB:AB,AB79,AA:AA),                       0)</f>
        <v>0</v>
      </c>
      <c r="AE79" s="277">
        <f t="shared" ca="1" si="23"/>
        <v>0</v>
      </c>
      <c r="AF79" s="277">
        <f t="shared" ca="1" si="16"/>
        <v>0</v>
      </c>
      <c r="AG79" s="402">
        <f ca="1">IF(  AND(AC79=AdóHó,   MAX(AF$1:AF78)&lt;2),   SUMIF(AB:AB,AB79-1,AE:AE),0  )
+ IF(AND(AC79&lt;AdóHó,                            AF79=2),   SUMIF(AB:AB,AB79-1,AE:AE),0  )
+ IF(                                                                  AF79=2,    SUMIF(AB:AB,AB79,AE:AE   ),0  )</f>
        <v>0</v>
      </c>
      <c r="AH79" s="272">
        <f ca="1">SUM(AG$2:AG79)</f>
        <v>252564.05892168797</v>
      </c>
    </row>
    <row r="80" spans="1:34">
      <c r="A80" s="265">
        <f t="shared" si="17"/>
        <v>7</v>
      </c>
      <c r="B80" s="265">
        <f t="shared" si="18"/>
        <v>6</v>
      </c>
      <c r="C80" s="265">
        <f t="shared" ca="1" si="19"/>
        <v>7</v>
      </c>
      <c r="D80" s="265">
        <f t="shared" ca="1" si="20"/>
        <v>9</v>
      </c>
      <c r="E80" s="266">
        <v>5.0000000000000001E-3</v>
      </c>
      <c r="F80" s="267">
        <f>ÉV!$B$12</f>
        <v>0</v>
      </c>
      <c r="G80" s="271">
        <f ca="1">VLOOKUP(A80,ÉV!$A$18:$B$65,2,0)</f>
        <v>235762.1024729184</v>
      </c>
      <c r="H80" s="271">
        <f ca="1">IF(OR(A80=1,AND(C80=ÉV!$I$2,D80&gt;ÉV!$J$2),C80&gt;ÉV!$I$2),0,INDEX(Pz!$B$2:$AM$48,A80-1,ÉV!$G$2-9)/100000*ÉV!$B$10)</f>
        <v>208980.42426980985</v>
      </c>
      <c r="I80" s="271">
        <f ca="1">INDEX(Pz!$B$2:$AM$48,HÓ!A80,ÉV!$G$2-9)/100000*ÉV!$B$10</f>
        <v>213143.31569264075</v>
      </c>
      <c r="J80" s="273">
        <f ca="1">IF(OR(A80=1,A80=2,AND(C80=ÉV!$I$2,D80&gt;ÉV!$J$2),C80&gt;ÉV!$I$2),0,VLOOKUP(A80-2,ÉV!$A$18:$C$65,3,0))</f>
        <v>757946.78607107699</v>
      </c>
      <c r="K80" s="273">
        <f ca="1">IF(OR(A80=1,AND(C80=ÉV!$I$2,D80&gt;ÉV!$J$2),C80&gt;ÉV!$I$2),0,VLOOKUP(A80-1,ÉV!$A$18:$C$65,3,0))</f>
        <v>968419.63807544659</v>
      </c>
      <c r="L80" s="273">
        <f ca="1">VLOOKUP(A80,ÉV!$A$18:$C$65,3,0)*IF(OR(AND(C80=ÉV!$I$2,D80&gt;ÉV!$J$2),C80&gt;ÉV!$I$2),0,1)</f>
        <v>1183683.678754952</v>
      </c>
      <c r="M80" s="273">
        <f ca="1">(K80*(12-B80)/12+L80*B80/12)*IF(A80&gt;ÉV!$G$2,0,1)+IF(A80&gt;ÉV!$G$2,M79,0)*IF(OR(AND(C80=ÉV!$I$2,D80&gt;ÉV!$J$2),C80&gt;ÉV!$I$2),0,1)</f>
        <v>1076051.6584151993</v>
      </c>
      <c r="N80" s="274">
        <f ca="1">IF(AND(C80=1,D80&lt;12),0,1)*IF(D80=12,MAX(0,F80-E80-0.003)*0.9*((K80+I80)*(B80/12)+(J80+H80)*(1-B80/12))+MAX(0,F80-0.003)*0.9*N79+N79,IF(AND(C80=ÉV!$I$2,D80=ÉV!$J$2),(M80+N79)*MAX(0,F80-0.003)*0.9*(D80/12)+N79,N79))*IF(OR(C80&gt;ÉV!$I$2,AND(C80=ÉV!$I$2,D80&gt;ÉV!$J$2)),0,1)</f>
        <v>0</v>
      </c>
      <c r="O80" s="313">
        <f ca="1">IF(MAX(AF$2:AF79)=2,      0,IF(OR(AC80=7, AF80=2),    SUM(AE$2:AE80),    O79)   )</f>
        <v>252564.05892168797</v>
      </c>
      <c r="P80" s="271">
        <f ca="1">IF(D80=12,V80+P79+P79*(F80-0.003)*0.9,IF(AND(C80=ÉV!$I$2,D80=ÉV!$J$2),V80+P79+P79*(F80-0.003)*0.9*D80/12,P79))*IF(OR(C80&gt;ÉV!$I$2,AND(C80=ÉV!$I$2,D80&gt;ÉV!$J$2)),0,1)</f>
        <v>0</v>
      </c>
      <c r="Q80" s="275">
        <f ca="1">(N80+P80)*IF(OR(AND(C80=ÉV!$I$2,D80&gt;ÉV!$J$2),C80&gt;ÉV!$I$2),0,1)</f>
        <v>0</v>
      </c>
      <c r="R80" s="271">
        <f ca="1">(MAX(0,F80-E80-0.003)*0.9*((K80+I80)*(1/12)))*IF(OR(C80&gt;ÉV!$I$2,AND(C80=ÉV!$I$2,D80&gt;ÉV!$J$2)),0,1)</f>
        <v>0</v>
      </c>
      <c r="S80" s="271">
        <f ca="1">(MAX(0,F80-0.003)*0.9*((O80)*(1/12)))*IF(OR(C80&gt;ÉV!$I$2,AND(C80=ÉV!$I$2,D80&gt;ÉV!$J$2)),0,1)</f>
        <v>0</v>
      </c>
      <c r="T80" s="271">
        <f ca="1">(MAX(0,F80-0.003)*0.9*((Q79)*(1/12)))*IF(OR(C80&gt;ÉV!$I$2,AND(C80=ÉV!$I$2,D80&gt;ÉV!$J$2)),0,1)</f>
        <v>0</v>
      </c>
      <c r="U80" s="271">
        <f ca="1">IF($D80=1,R80,R80+U79)*IF(OR(C80&gt;ÉV!$I$2,AND(C80=ÉV!$I$2,D80&gt;ÉV!$J$2)),0,1)</f>
        <v>0</v>
      </c>
      <c r="V80" s="271">
        <f ca="1">IF($D80=1,S80,S80+V79)*IF(OR(C80&gt;ÉV!$I$2,AND(C80=ÉV!$I$2,D80&gt;ÉV!$J$2)),0,1)</f>
        <v>0</v>
      </c>
      <c r="W80" s="271">
        <f ca="1">IF($D80=1,T80,T80+W79)*IF(OR(C80&gt;ÉV!$I$2,AND(C80=ÉV!$I$2,D80&gt;ÉV!$J$2)),0,1)</f>
        <v>0</v>
      </c>
      <c r="X80" s="271">
        <f ca="1">IF(OR(D80=12,AND(C80=ÉV!$I$2,D80=ÉV!$J$2)),SUM(U80:W80)+X79,X79)*IF(OR(C80&gt;ÉV!$I$2,AND(C80=ÉV!$I$2,D80&gt;ÉV!$J$2)),0,1)</f>
        <v>0</v>
      </c>
      <c r="Y80" s="271">
        <f t="shared" ca="1" si="13"/>
        <v>0</v>
      </c>
      <c r="Z80" s="265">
        <f t="shared" si="14"/>
        <v>6</v>
      </c>
      <c r="AA80" s="272">
        <f t="shared" ca="1" si="15"/>
        <v>19646.8418727432</v>
      </c>
      <c r="AB80" s="265">
        <f t="shared" ca="1" si="21"/>
        <v>2023</v>
      </c>
      <c r="AC80" s="265">
        <f t="shared" ca="1" si="22"/>
        <v>9</v>
      </c>
      <c r="AD80" s="276">
        <f ca="1">IF(     OR(               AND(MAX(AF$6:AF80)&lt;2,  AC80=12),                 AF80=2),                   SUMIF(AB:AB,AB80,AA:AA),                       0)</f>
        <v>0</v>
      </c>
      <c r="AE80" s="277">
        <f t="shared" ca="1" si="23"/>
        <v>0</v>
      </c>
      <c r="AF80" s="277">
        <f t="shared" ca="1" si="16"/>
        <v>0</v>
      </c>
      <c r="AG80" s="402">
        <f ca="1">IF(  AND(AC80=AdóHó,   MAX(AF$1:AF79)&lt;2),   SUMIF(AB:AB,AB80-1,AE:AE),0  )
+ IF(AND(AC80&lt;AdóHó,                            AF80=2),   SUMIF(AB:AB,AB80-1,AE:AE),0  )
+ IF(                                                                  AF80=2,    SUMIF(AB:AB,AB80,AE:AE   ),0  )</f>
        <v>0</v>
      </c>
      <c r="AH80" s="272">
        <f ca="1">SUM(AG$2:AG80)</f>
        <v>252564.05892168797</v>
      </c>
    </row>
    <row r="81" spans="1:34">
      <c r="A81" s="265">
        <f t="shared" si="17"/>
        <v>7</v>
      </c>
      <c r="B81" s="265">
        <f t="shared" si="18"/>
        <v>7</v>
      </c>
      <c r="C81" s="265">
        <f t="shared" ca="1" si="19"/>
        <v>7</v>
      </c>
      <c r="D81" s="265">
        <f t="shared" ca="1" si="20"/>
        <v>10</v>
      </c>
      <c r="E81" s="266">
        <v>5.0000000000000001E-3</v>
      </c>
      <c r="F81" s="267">
        <f>ÉV!$B$12</f>
        <v>0</v>
      </c>
      <c r="G81" s="271">
        <f ca="1">VLOOKUP(A81,ÉV!$A$18:$B$65,2,0)</f>
        <v>235762.1024729184</v>
      </c>
      <c r="H81" s="271">
        <f ca="1">IF(OR(A81=1,AND(C81=ÉV!$I$2,D81&gt;ÉV!$J$2),C81&gt;ÉV!$I$2),0,INDEX(Pz!$B$2:$AM$48,A81-1,ÉV!$G$2-9)/100000*ÉV!$B$10)</f>
        <v>208980.42426980985</v>
      </c>
      <c r="I81" s="271">
        <f ca="1">INDEX(Pz!$B$2:$AM$48,HÓ!A81,ÉV!$G$2-9)/100000*ÉV!$B$10</f>
        <v>213143.31569264075</v>
      </c>
      <c r="J81" s="273">
        <f ca="1">IF(OR(A81=1,A81=2,AND(C81=ÉV!$I$2,D81&gt;ÉV!$J$2),C81&gt;ÉV!$I$2),0,VLOOKUP(A81-2,ÉV!$A$18:$C$65,3,0))</f>
        <v>757946.78607107699</v>
      </c>
      <c r="K81" s="273">
        <f ca="1">IF(OR(A81=1,AND(C81=ÉV!$I$2,D81&gt;ÉV!$J$2),C81&gt;ÉV!$I$2),0,VLOOKUP(A81-1,ÉV!$A$18:$C$65,3,0))</f>
        <v>968419.63807544659</v>
      </c>
      <c r="L81" s="273">
        <f ca="1">VLOOKUP(A81,ÉV!$A$18:$C$65,3,0)*IF(OR(AND(C81=ÉV!$I$2,D81&gt;ÉV!$J$2),C81&gt;ÉV!$I$2),0,1)</f>
        <v>1183683.678754952</v>
      </c>
      <c r="M81" s="273">
        <f ca="1">(K81*(12-B81)/12+L81*B81/12)*IF(A81&gt;ÉV!$G$2,0,1)+IF(A81&gt;ÉV!$G$2,M80,0)*IF(OR(AND(C81=ÉV!$I$2,D81&gt;ÉV!$J$2),C81&gt;ÉV!$I$2),0,1)</f>
        <v>1093990.3284718248</v>
      </c>
      <c r="N81" s="274">
        <f ca="1">IF(AND(C81=1,D81&lt;12),0,1)*IF(D81=12,MAX(0,F81-E81-0.003)*0.9*((K81+I81)*(B81/12)+(J81+H81)*(1-B81/12))+MAX(0,F81-0.003)*0.9*N80+N80,IF(AND(C81=ÉV!$I$2,D81=ÉV!$J$2),(M81+N80)*MAX(0,F81-0.003)*0.9*(D81/12)+N80,N80))*IF(OR(C81&gt;ÉV!$I$2,AND(C81=ÉV!$I$2,D81&gt;ÉV!$J$2)),0,1)</f>
        <v>0</v>
      </c>
      <c r="O81" s="313">
        <f ca="1">IF(MAX(AF$2:AF80)=2,      0,IF(OR(AC81=7, AF81=2),    SUM(AE$2:AE81),    O80)   )</f>
        <v>252564.05892168797</v>
      </c>
      <c r="P81" s="271">
        <f ca="1">IF(D81=12,V81+P80+P80*(F81-0.003)*0.9,IF(AND(C81=ÉV!$I$2,D81=ÉV!$J$2),V81+P80+P80*(F81-0.003)*0.9*D81/12,P80))*IF(OR(C81&gt;ÉV!$I$2,AND(C81=ÉV!$I$2,D81&gt;ÉV!$J$2)),0,1)</f>
        <v>0</v>
      </c>
      <c r="Q81" s="275">
        <f ca="1">(N81+P81)*IF(OR(AND(C81=ÉV!$I$2,D81&gt;ÉV!$J$2),C81&gt;ÉV!$I$2),0,1)</f>
        <v>0</v>
      </c>
      <c r="R81" s="271">
        <f ca="1">(MAX(0,F81-E81-0.003)*0.9*((K81+I81)*(1/12)))*IF(OR(C81&gt;ÉV!$I$2,AND(C81=ÉV!$I$2,D81&gt;ÉV!$J$2)),0,1)</f>
        <v>0</v>
      </c>
      <c r="S81" s="271">
        <f ca="1">(MAX(0,F81-0.003)*0.9*((O81)*(1/12)))*IF(OR(C81&gt;ÉV!$I$2,AND(C81=ÉV!$I$2,D81&gt;ÉV!$J$2)),0,1)</f>
        <v>0</v>
      </c>
      <c r="T81" s="271">
        <f ca="1">(MAX(0,F81-0.003)*0.9*((Q80)*(1/12)))*IF(OR(C81&gt;ÉV!$I$2,AND(C81=ÉV!$I$2,D81&gt;ÉV!$J$2)),0,1)</f>
        <v>0</v>
      </c>
      <c r="U81" s="271">
        <f ca="1">IF($D81=1,R81,R81+U80)*IF(OR(C81&gt;ÉV!$I$2,AND(C81=ÉV!$I$2,D81&gt;ÉV!$J$2)),0,1)</f>
        <v>0</v>
      </c>
      <c r="V81" s="271">
        <f ca="1">IF($D81=1,S81,S81+V80)*IF(OR(C81&gt;ÉV!$I$2,AND(C81=ÉV!$I$2,D81&gt;ÉV!$J$2)),0,1)</f>
        <v>0</v>
      </c>
      <c r="W81" s="271">
        <f ca="1">IF($D81=1,T81,T81+W80)*IF(OR(C81&gt;ÉV!$I$2,AND(C81=ÉV!$I$2,D81&gt;ÉV!$J$2)),0,1)</f>
        <v>0</v>
      </c>
      <c r="X81" s="271">
        <f ca="1">IF(OR(D81=12,AND(C81=ÉV!$I$2,D81=ÉV!$J$2)),SUM(U81:W81)+X80,X80)*IF(OR(C81&gt;ÉV!$I$2,AND(C81=ÉV!$I$2,D81&gt;ÉV!$J$2)),0,1)</f>
        <v>0</v>
      </c>
      <c r="Y81" s="271">
        <f t="shared" ca="1" si="13"/>
        <v>0</v>
      </c>
      <c r="Z81" s="265">
        <f t="shared" si="14"/>
        <v>7</v>
      </c>
      <c r="AA81" s="272">
        <f t="shared" ca="1" si="15"/>
        <v>19646.8418727432</v>
      </c>
      <c r="AB81" s="265">
        <f t="shared" ca="1" si="21"/>
        <v>2023</v>
      </c>
      <c r="AC81" s="265">
        <f t="shared" ca="1" si="22"/>
        <v>10</v>
      </c>
      <c r="AD81" s="276">
        <f ca="1">IF(     OR(               AND(MAX(AF$6:AF81)&lt;2,  AC81=12),                 AF81=2),                   SUMIF(AB:AB,AB81,AA:AA),                       0)</f>
        <v>0</v>
      </c>
      <c r="AE81" s="277">
        <f t="shared" ca="1" si="23"/>
        <v>0</v>
      </c>
      <c r="AF81" s="277">
        <f t="shared" ca="1" si="16"/>
        <v>0</v>
      </c>
      <c r="AG81" s="402">
        <f ca="1">IF(  AND(AC81=AdóHó,   MAX(AF$1:AF80)&lt;2),   SUMIF(AB:AB,AB81-1,AE:AE),0  )
+ IF(AND(AC81&lt;AdóHó,                            AF81=2),   SUMIF(AB:AB,AB81-1,AE:AE),0  )
+ IF(                                                                  AF81=2,    SUMIF(AB:AB,AB81,AE:AE   ),0  )</f>
        <v>0</v>
      </c>
      <c r="AH81" s="272">
        <f ca="1">SUM(AG$2:AG81)</f>
        <v>252564.05892168797</v>
      </c>
    </row>
    <row r="82" spans="1:34">
      <c r="A82" s="265">
        <f t="shared" si="17"/>
        <v>7</v>
      </c>
      <c r="B82" s="265">
        <f t="shared" si="18"/>
        <v>8</v>
      </c>
      <c r="C82" s="265">
        <f t="shared" ca="1" si="19"/>
        <v>7</v>
      </c>
      <c r="D82" s="265">
        <f t="shared" ca="1" si="20"/>
        <v>11</v>
      </c>
      <c r="E82" s="266">
        <v>5.0000000000000001E-3</v>
      </c>
      <c r="F82" s="267">
        <f>ÉV!$B$12</f>
        <v>0</v>
      </c>
      <c r="G82" s="271">
        <f ca="1">VLOOKUP(A82,ÉV!$A$18:$B$65,2,0)</f>
        <v>235762.1024729184</v>
      </c>
      <c r="H82" s="271">
        <f ca="1">IF(OR(A82=1,AND(C82=ÉV!$I$2,D82&gt;ÉV!$J$2),C82&gt;ÉV!$I$2),0,INDEX(Pz!$B$2:$AM$48,A82-1,ÉV!$G$2-9)/100000*ÉV!$B$10)</f>
        <v>208980.42426980985</v>
      </c>
      <c r="I82" s="271">
        <f ca="1">INDEX(Pz!$B$2:$AM$48,HÓ!A82,ÉV!$G$2-9)/100000*ÉV!$B$10</f>
        <v>213143.31569264075</v>
      </c>
      <c r="J82" s="273">
        <f ca="1">IF(OR(A82=1,A82=2,AND(C82=ÉV!$I$2,D82&gt;ÉV!$J$2),C82&gt;ÉV!$I$2),0,VLOOKUP(A82-2,ÉV!$A$18:$C$65,3,0))</f>
        <v>757946.78607107699</v>
      </c>
      <c r="K82" s="273">
        <f ca="1">IF(OR(A82=1,AND(C82=ÉV!$I$2,D82&gt;ÉV!$J$2),C82&gt;ÉV!$I$2),0,VLOOKUP(A82-1,ÉV!$A$18:$C$65,3,0))</f>
        <v>968419.63807544659</v>
      </c>
      <c r="L82" s="273">
        <f ca="1">VLOOKUP(A82,ÉV!$A$18:$C$65,3,0)*IF(OR(AND(C82=ÉV!$I$2,D82&gt;ÉV!$J$2),C82&gt;ÉV!$I$2),0,1)</f>
        <v>1183683.678754952</v>
      </c>
      <c r="M82" s="273">
        <f ca="1">(K82*(12-B82)/12+L82*B82/12)*IF(A82&gt;ÉV!$G$2,0,1)+IF(A82&gt;ÉV!$G$2,M81,0)*IF(OR(AND(C82=ÉV!$I$2,D82&gt;ÉV!$J$2),C82&gt;ÉV!$I$2),0,1)</f>
        <v>1111928.9985284503</v>
      </c>
      <c r="N82" s="274">
        <f ca="1">IF(AND(C82=1,D82&lt;12),0,1)*IF(D82=12,MAX(0,F82-E82-0.003)*0.9*((K82+I82)*(B82/12)+(J82+H82)*(1-B82/12))+MAX(0,F82-0.003)*0.9*N81+N81,IF(AND(C82=ÉV!$I$2,D82=ÉV!$J$2),(M82+N81)*MAX(0,F82-0.003)*0.9*(D82/12)+N81,N81))*IF(OR(C82&gt;ÉV!$I$2,AND(C82=ÉV!$I$2,D82&gt;ÉV!$J$2)),0,1)</f>
        <v>0</v>
      </c>
      <c r="O82" s="313">
        <f ca="1">IF(MAX(AF$2:AF81)=2,      0,IF(OR(AC82=7, AF82=2),    SUM(AE$2:AE82),    O81)   )</f>
        <v>252564.05892168797</v>
      </c>
      <c r="P82" s="271">
        <f ca="1">IF(D82=12,V82+P81+P81*(F82-0.003)*0.9,IF(AND(C82=ÉV!$I$2,D82=ÉV!$J$2),V82+P81+P81*(F82-0.003)*0.9*D82/12,P81))*IF(OR(C82&gt;ÉV!$I$2,AND(C82=ÉV!$I$2,D82&gt;ÉV!$J$2)),0,1)</f>
        <v>0</v>
      </c>
      <c r="Q82" s="275">
        <f ca="1">(N82+P82)*IF(OR(AND(C82=ÉV!$I$2,D82&gt;ÉV!$J$2),C82&gt;ÉV!$I$2),0,1)</f>
        <v>0</v>
      </c>
      <c r="R82" s="271">
        <f ca="1">(MAX(0,F82-E82-0.003)*0.9*((K82+I82)*(1/12)))*IF(OR(C82&gt;ÉV!$I$2,AND(C82=ÉV!$I$2,D82&gt;ÉV!$J$2)),0,1)</f>
        <v>0</v>
      </c>
      <c r="S82" s="271">
        <f ca="1">(MAX(0,F82-0.003)*0.9*((O82)*(1/12)))*IF(OR(C82&gt;ÉV!$I$2,AND(C82=ÉV!$I$2,D82&gt;ÉV!$J$2)),0,1)</f>
        <v>0</v>
      </c>
      <c r="T82" s="271">
        <f ca="1">(MAX(0,F82-0.003)*0.9*((Q81)*(1/12)))*IF(OR(C82&gt;ÉV!$I$2,AND(C82=ÉV!$I$2,D82&gt;ÉV!$J$2)),0,1)</f>
        <v>0</v>
      </c>
      <c r="U82" s="271">
        <f ca="1">IF($D82=1,R82,R82+U81)*IF(OR(C82&gt;ÉV!$I$2,AND(C82=ÉV!$I$2,D82&gt;ÉV!$J$2)),0,1)</f>
        <v>0</v>
      </c>
      <c r="V82" s="271">
        <f ca="1">IF($D82=1,S82,S82+V81)*IF(OR(C82&gt;ÉV!$I$2,AND(C82=ÉV!$I$2,D82&gt;ÉV!$J$2)),0,1)</f>
        <v>0</v>
      </c>
      <c r="W82" s="271">
        <f ca="1">IF($D82=1,T82,T82+W81)*IF(OR(C82&gt;ÉV!$I$2,AND(C82=ÉV!$I$2,D82&gt;ÉV!$J$2)),0,1)</f>
        <v>0</v>
      </c>
      <c r="X82" s="271">
        <f ca="1">IF(OR(D82=12,AND(C82=ÉV!$I$2,D82=ÉV!$J$2)),SUM(U82:W82)+X81,X81)*IF(OR(C82&gt;ÉV!$I$2,AND(C82=ÉV!$I$2,D82&gt;ÉV!$J$2)),0,1)</f>
        <v>0</v>
      </c>
      <c r="Y82" s="271">
        <f t="shared" ca="1" si="13"/>
        <v>0</v>
      </c>
      <c r="Z82" s="265">
        <f t="shared" si="14"/>
        <v>8</v>
      </c>
      <c r="AA82" s="272">
        <f t="shared" ca="1" si="15"/>
        <v>19646.8418727432</v>
      </c>
      <c r="AB82" s="265">
        <f t="shared" ca="1" si="21"/>
        <v>2023</v>
      </c>
      <c r="AC82" s="265">
        <f t="shared" ca="1" si="22"/>
        <v>11</v>
      </c>
      <c r="AD82" s="276">
        <f ca="1">IF(     OR(               AND(MAX(AF$6:AF82)&lt;2,  AC82=12),                 AF82=2),                   SUMIF(AB:AB,AB82,AA:AA),                       0)</f>
        <v>0</v>
      </c>
      <c r="AE82" s="277">
        <f t="shared" ca="1" si="23"/>
        <v>0</v>
      </c>
      <c r="AF82" s="277">
        <f t="shared" ca="1" si="16"/>
        <v>0</v>
      </c>
      <c r="AG82" s="402">
        <f ca="1">IF(  AND(AC82=AdóHó,   MAX(AF$1:AF81)&lt;2),   SUMIF(AB:AB,AB82-1,AE:AE),0  )
+ IF(AND(AC82&lt;AdóHó,                            AF82=2),   SUMIF(AB:AB,AB82-1,AE:AE),0  )
+ IF(                                                                  AF82=2,    SUMIF(AB:AB,AB82,AE:AE   ),0  )</f>
        <v>0</v>
      </c>
      <c r="AH82" s="272">
        <f ca="1">SUM(AG$2:AG82)</f>
        <v>252564.05892168797</v>
      </c>
    </row>
    <row r="83" spans="1:34">
      <c r="A83" s="265">
        <f t="shared" si="17"/>
        <v>7</v>
      </c>
      <c r="B83" s="265">
        <f t="shared" si="18"/>
        <v>9</v>
      </c>
      <c r="C83" s="265">
        <f t="shared" ca="1" si="19"/>
        <v>7</v>
      </c>
      <c r="D83" s="265">
        <f t="shared" ca="1" si="20"/>
        <v>12</v>
      </c>
      <c r="E83" s="266">
        <v>5.0000000000000001E-3</v>
      </c>
      <c r="F83" s="267">
        <f>ÉV!$B$12</f>
        <v>0</v>
      </c>
      <c r="G83" s="271">
        <f ca="1">VLOOKUP(A83,ÉV!$A$18:$B$65,2,0)</f>
        <v>235762.1024729184</v>
      </c>
      <c r="H83" s="271">
        <f ca="1">IF(OR(A83=1,AND(C83=ÉV!$I$2,D83&gt;ÉV!$J$2),C83&gt;ÉV!$I$2),0,INDEX(Pz!$B$2:$AM$48,A83-1,ÉV!$G$2-9)/100000*ÉV!$B$10)</f>
        <v>208980.42426980985</v>
      </c>
      <c r="I83" s="271">
        <f ca="1">INDEX(Pz!$B$2:$AM$48,HÓ!A83,ÉV!$G$2-9)/100000*ÉV!$B$10</f>
        <v>213143.31569264075</v>
      </c>
      <c r="J83" s="273">
        <f ca="1">IF(OR(A83=1,A83=2,AND(C83=ÉV!$I$2,D83&gt;ÉV!$J$2),C83&gt;ÉV!$I$2),0,VLOOKUP(A83-2,ÉV!$A$18:$C$65,3,0))</f>
        <v>757946.78607107699</v>
      </c>
      <c r="K83" s="273">
        <f ca="1">IF(OR(A83=1,AND(C83=ÉV!$I$2,D83&gt;ÉV!$J$2),C83&gt;ÉV!$I$2),0,VLOOKUP(A83-1,ÉV!$A$18:$C$65,3,0))</f>
        <v>968419.63807544659</v>
      </c>
      <c r="L83" s="273">
        <f ca="1">VLOOKUP(A83,ÉV!$A$18:$C$65,3,0)*IF(OR(AND(C83=ÉV!$I$2,D83&gt;ÉV!$J$2),C83&gt;ÉV!$I$2),0,1)</f>
        <v>1183683.678754952</v>
      </c>
      <c r="M83" s="273">
        <f ca="1">(K83*(12-B83)/12+L83*B83/12)*IF(A83&gt;ÉV!$G$2,0,1)+IF(A83&gt;ÉV!$G$2,M82,0)*IF(OR(AND(C83=ÉV!$I$2,D83&gt;ÉV!$J$2),C83&gt;ÉV!$I$2),0,1)</f>
        <v>1129867.6685850755</v>
      </c>
      <c r="N83" s="274">
        <f ca="1">IF(AND(C83=1,D83&lt;12),0,1)*IF(D83=12,MAX(0,F83-E83-0.003)*0.9*((K83+I83)*(B83/12)+(J83+H83)*(1-B83/12))+MAX(0,F83-0.003)*0.9*N82+N82,IF(AND(C83=ÉV!$I$2,D83=ÉV!$J$2),(M83+N82)*MAX(0,F83-0.003)*0.9*(D83/12)+N82,N82))*IF(OR(C83&gt;ÉV!$I$2,AND(C83=ÉV!$I$2,D83&gt;ÉV!$J$2)),0,1)</f>
        <v>0</v>
      </c>
      <c r="O83" s="313">
        <f ca="1">IF(MAX(AF$2:AF82)=2,      0,IF(OR(AC83=7, AF83=2),    SUM(AE$2:AE83),    O82)   )</f>
        <v>252564.05892168797</v>
      </c>
      <c r="P83" s="271">
        <f ca="1">IF(D83=12,V83+P82+P82*(F83-0.003)*0.9,IF(AND(C83=ÉV!$I$2,D83=ÉV!$J$2),V83+P82+P82*(F83-0.003)*0.9*D83/12,P82))*IF(OR(C83&gt;ÉV!$I$2,AND(C83=ÉV!$I$2,D83&gt;ÉV!$J$2)),0,1)</f>
        <v>0</v>
      </c>
      <c r="Q83" s="275">
        <f ca="1">(N83+P83)*IF(OR(AND(C83=ÉV!$I$2,D83&gt;ÉV!$J$2),C83&gt;ÉV!$I$2),0,1)</f>
        <v>0</v>
      </c>
      <c r="R83" s="271">
        <f ca="1">(MAX(0,F83-E83-0.003)*0.9*((K83+I83)*(1/12)))*IF(OR(C83&gt;ÉV!$I$2,AND(C83=ÉV!$I$2,D83&gt;ÉV!$J$2)),0,1)</f>
        <v>0</v>
      </c>
      <c r="S83" s="271">
        <f ca="1">(MAX(0,F83-0.003)*0.9*((O83)*(1/12)))*IF(OR(C83&gt;ÉV!$I$2,AND(C83=ÉV!$I$2,D83&gt;ÉV!$J$2)),0,1)</f>
        <v>0</v>
      </c>
      <c r="T83" s="271">
        <f ca="1">(MAX(0,F83-0.003)*0.9*((Q82)*(1/12)))*IF(OR(C83&gt;ÉV!$I$2,AND(C83=ÉV!$I$2,D83&gt;ÉV!$J$2)),0,1)</f>
        <v>0</v>
      </c>
      <c r="U83" s="271">
        <f ca="1">IF($D83=1,R83,R83+U82)*IF(OR(C83&gt;ÉV!$I$2,AND(C83=ÉV!$I$2,D83&gt;ÉV!$J$2)),0,1)</f>
        <v>0</v>
      </c>
      <c r="V83" s="271">
        <f ca="1">IF($D83=1,S83,S83+V82)*IF(OR(C83&gt;ÉV!$I$2,AND(C83=ÉV!$I$2,D83&gt;ÉV!$J$2)),0,1)</f>
        <v>0</v>
      </c>
      <c r="W83" s="271">
        <f ca="1">IF($D83=1,T83,T83+W82)*IF(OR(C83&gt;ÉV!$I$2,AND(C83=ÉV!$I$2,D83&gt;ÉV!$J$2)),0,1)</f>
        <v>0</v>
      </c>
      <c r="X83" s="271">
        <f ca="1">IF(OR(D83=12,AND(C83=ÉV!$I$2,D83=ÉV!$J$2)),SUM(U83:W83)+X82,X82)*IF(OR(C83&gt;ÉV!$I$2,AND(C83=ÉV!$I$2,D83&gt;ÉV!$J$2)),0,1)</f>
        <v>0</v>
      </c>
      <c r="Y83" s="271">
        <f t="shared" ca="1" si="13"/>
        <v>0</v>
      </c>
      <c r="Z83" s="265">
        <f t="shared" si="14"/>
        <v>9</v>
      </c>
      <c r="AA83" s="272">
        <f t="shared" ca="1" si="15"/>
        <v>19646.8418727432</v>
      </c>
      <c r="AB83" s="265">
        <f t="shared" ca="1" si="21"/>
        <v>2023</v>
      </c>
      <c r="AC83" s="265">
        <f t="shared" ca="1" si="22"/>
        <v>12</v>
      </c>
      <c r="AD83" s="276">
        <f ca="1">IF(     OR(               AND(MAX(AF$6:AF83)&lt;2,  AC83=12),                 AF83=2),                   SUMIF(AB:AB,AB83,AA:AA),                       0)</f>
        <v>234606.40589216887</v>
      </c>
      <c r="AE83" s="277">
        <f t="shared" ca="1" si="23"/>
        <v>46921.281178433775</v>
      </c>
      <c r="AF83" s="277">
        <f t="shared" ca="1" si="16"/>
        <v>0</v>
      </c>
      <c r="AG83" s="402">
        <f ca="1">IF(  AND(AC83=AdóHó,   MAX(AF$1:AF82)&lt;2),   SUMIF(AB:AB,AB83-1,AE:AE),0  )
+ IF(AND(AC83&lt;AdóHó,                            AF83=2),   SUMIF(AB:AB,AB83-1,AE:AE),0  )
+ IF(                                                                  AF83=2,    SUMIF(AB:AB,AB83,AE:AE   ),0  )</f>
        <v>0</v>
      </c>
      <c r="AH83" s="272">
        <f ca="1">SUM(AG$2:AG83)</f>
        <v>252564.05892168797</v>
      </c>
    </row>
    <row r="84" spans="1:34">
      <c r="A84" s="265">
        <f t="shared" si="17"/>
        <v>7</v>
      </c>
      <c r="B84" s="265">
        <f t="shared" si="18"/>
        <v>10</v>
      </c>
      <c r="C84" s="265">
        <f t="shared" ca="1" si="19"/>
        <v>8</v>
      </c>
      <c r="D84" s="265">
        <f t="shared" ca="1" si="20"/>
        <v>1</v>
      </c>
      <c r="E84" s="266">
        <v>5.0000000000000001E-3</v>
      </c>
      <c r="F84" s="267">
        <f>ÉV!$B$12</f>
        <v>0</v>
      </c>
      <c r="G84" s="271">
        <f ca="1">VLOOKUP(A84,ÉV!$A$18:$B$65,2,0)</f>
        <v>235762.1024729184</v>
      </c>
      <c r="H84" s="271">
        <f ca="1">IF(OR(A84=1,AND(C84=ÉV!$I$2,D84&gt;ÉV!$J$2),C84&gt;ÉV!$I$2),0,INDEX(Pz!$B$2:$AM$48,A84-1,ÉV!$G$2-9)/100000*ÉV!$B$10)</f>
        <v>208980.42426980985</v>
      </c>
      <c r="I84" s="271">
        <f ca="1">INDEX(Pz!$B$2:$AM$48,HÓ!A84,ÉV!$G$2-9)/100000*ÉV!$B$10</f>
        <v>213143.31569264075</v>
      </c>
      <c r="J84" s="273">
        <f ca="1">IF(OR(A84=1,A84=2,AND(C84=ÉV!$I$2,D84&gt;ÉV!$J$2),C84&gt;ÉV!$I$2),0,VLOOKUP(A84-2,ÉV!$A$18:$C$65,3,0))</f>
        <v>757946.78607107699</v>
      </c>
      <c r="K84" s="273">
        <f ca="1">IF(OR(A84=1,AND(C84=ÉV!$I$2,D84&gt;ÉV!$J$2),C84&gt;ÉV!$I$2),0,VLOOKUP(A84-1,ÉV!$A$18:$C$65,3,0))</f>
        <v>968419.63807544659</v>
      </c>
      <c r="L84" s="273">
        <f ca="1">VLOOKUP(A84,ÉV!$A$18:$C$65,3,0)*IF(OR(AND(C84=ÉV!$I$2,D84&gt;ÉV!$J$2),C84&gt;ÉV!$I$2),0,1)</f>
        <v>1183683.678754952</v>
      </c>
      <c r="M84" s="273">
        <f ca="1">(K84*(12-B84)/12+L84*B84/12)*IF(A84&gt;ÉV!$G$2,0,1)+IF(A84&gt;ÉV!$G$2,M83,0)*IF(OR(AND(C84=ÉV!$I$2,D84&gt;ÉV!$J$2),C84&gt;ÉV!$I$2),0,1)</f>
        <v>1147806.338641701</v>
      </c>
      <c r="N84" s="274">
        <f ca="1">IF(AND(C84=1,D84&lt;12),0,1)*IF(D84=12,MAX(0,F84-E84-0.003)*0.9*((K84+I84)*(B84/12)+(J84+H84)*(1-B84/12))+MAX(0,F84-0.003)*0.9*N83+N83,IF(AND(C84=ÉV!$I$2,D84=ÉV!$J$2),(M84+N83)*MAX(0,F84-0.003)*0.9*(D84/12)+N83,N83))*IF(OR(C84&gt;ÉV!$I$2,AND(C84=ÉV!$I$2,D84&gt;ÉV!$J$2)),0,1)</f>
        <v>0</v>
      </c>
      <c r="O84" s="313">
        <f ca="1">IF(MAX(AF$2:AF83)=2,      0,IF(OR(AC84=7, AF84=2),    SUM(AE$2:AE84),    O83)   )</f>
        <v>252564.05892168797</v>
      </c>
      <c r="P84" s="271">
        <f ca="1">IF(D84=12,V84+P83+P83*(F84-0.003)*0.9,IF(AND(C84=ÉV!$I$2,D84=ÉV!$J$2),V84+P83+P83*(F84-0.003)*0.9*D84/12,P83))*IF(OR(C84&gt;ÉV!$I$2,AND(C84=ÉV!$I$2,D84&gt;ÉV!$J$2)),0,1)</f>
        <v>0</v>
      </c>
      <c r="Q84" s="275">
        <f ca="1">(N84+P84)*IF(OR(AND(C84=ÉV!$I$2,D84&gt;ÉV!$J$2),C84&gt;ÉV!$I$2),0,1)</f>
        <v>0</v>
      </c>
      <c r="R84" s="271">
        <f ca="1">(MAX(0,F84-E84-0.003)*0.9*((K84+I84)*(1/12)))*IF(OR(C84&gt;ÉV!$I$2,AND(C84=ÉV!$I$2,D84&gt;ÉV!$J$2)),0,1)</f>
        <v>0</v>
      </c>
      <c r="S84" s="271">
        <f ca="1">(MAX(0,F84-0.003)*0.9*((O84)*(1/12)))*IF(OR(C84&gt;ÉV!$I$2,AND(C84=ÉV!$I$2,D84&gt;ÉV!$J$2)),0,1)</f>
        <v>0</v>
      </c>
      <c r="T84" s="271">
        <f ca="1">(MAX(0,F84-0.003)*0.9*((Q83)*(1/12)))*IF(OR(C84&gt;ÉV!$I$2,AND(C84=ÉV!$I$2,D84&gt;ÉV!$J$2)),0,1)</f>
        <v>0</v>
      </c>
      <c r="U84" s="271">
        <f ca="1">IF($D84=1,R84,R84+U83)*IF(OR(C84&gt;ÉV!$I$2,AND(C84=ÉV!$I$2,D84&gt;ÉV!$J$2)),0,1)</f>
        <v>0</v>
      </c>
      <c r="V84" s="271">
        <f ca="1">IF($D84=1,S84,S84+V83)*IF(OR(C84&gt;ÉV!$I$2,AND(C84=ÉV!$I$2,D84&gt;ÉV!$J$2)),0,1)</f>
        <v>0</v>
      </c>
      <c r="W84" s="271">
        <f ca="1">IF($D84=1,T84,T84+W83)*IF(OR(C84&gt;ÉV!$I$2,AND(C84=ÉV!$I$2,D84&gt;ÉV!$J$2)),0,1)</f>
        <v>0</v>
      </c>
      <c r="X84" s="271">
        <f ca="1">IF(OR(D84=12,AND(C84=ÉV!$I$2,D84=ÉV!$J$2)),SUM(U84:W84)+X83,X83)*IF(OR(C84&gt;ÉV!$I$2,AND(C84=ÉV!$I$2,D84&gt;ÉV!$J$2)),0,1)</f>
        <v>0</v>
      </c>
      <c r="Y84" s="271">
        <f t="shared" ca="1" si="13"/>
        <v>0</v>
      </c>
      <c r="Z84" s="265">
        <f t="shared" si="14"/>
        <v>10</v>
      </c>
      <c r="AA84" s="272">
        <f t="shared" ca="1" si="15"/>
        <v>19646.8418727432</v>
      </c>
      <c r="AB84" s="265">
        <f t="shared" ca="1" si="21"/>
        <v>2024</v>
      </c>
      <c r="AC84" s="265">
        <f t="shared" ca="1" si="22"/>
        <v>1</v>
      </c>
      <c r="AD84" s="276">
        <f ca="1">IF(     OR(               AND(MAX(AF$6:AF84)&lt;2,  AC84=12),                 AF84=2),                   SUMIF(AB:AB,AB84,AA:AA),                       0)</f>
        <v>0</v>
      </c>
      <c r="AE84" s="277">
        <f t="shared" ca="1" si="23"/>
        <v>0</v>
      </c>
      <c r="AF84" s="277">
        <f t="shared" ca="1" si="16"/>
        <v>0</v>
      </c>
      <c r="AG84" s="402">
        <f ca="1">IF(  AND(AC84=AdóHó,   MAX(AF$1:AF83)&lt;2),   SUMIF(AB:AB,AB84-1,AE:AE),0  )
+ IF(AND(AC84&lt;AdóHó,                            AF84=2),   SUMIF(AB:AB,AB84-1,AE:AE),0  )
+ IF(                                                                  AF84=2,    SUMIF(AB:AB,AB84,AE:AE   ),0  )</f>
        <v>0</v>
      </c>
      <c r="AH84" s="272">
        <f ca="1">SUM(AG$2:AG84)</f>
        <v>252564.05892168797</v>
      </c>
    </row>
    <row r="85" spans="1:34">
      <c r="A85" s="265">
        <f t="shared" si="17"/>
        <v>7</v>
      </c>
      <c r="B85" s="265">
        <f t="shared" si="18"/>
        <v>11</v>
      </c>
      <c r="C85" s="265">
        <f t="shared" ca="1" si="19"/>
        <v>8</v>
      </c>
      <c r="D85" s="265">
        <f t="shared" ca="1" si="20"/>
        <v>2</v>
      </c>
      <c r="E85" s="266">
        <v>5.0000000000000001E-3</v>
      </c>
      <c r="F85" s="267">
        <f>ÉV!$B$12</f>
        <v>0</v>
      </c>
      <c r="G85" s="271">
        <f ca="1">VLOOKUP(A85,ÉV!$A$18:$B$65,2,0)</f>
        <v>235762.1024729184</v>
      </c>
      <c r="H85" s="271">
        <f ca="1">IF(OR(A85=1,AND(C85=ÉV!$I$2,D85&gt;ÉV!$J$2),C85&gt;ÉV!$I$2),0,INDEX(Pz!$B$2:$AM$48,A85-1,ÉV!$G$2-9)/100000*ÉV!$B$10)</f>
        <v>208980.42426980985</v>
      </c>
      <c r="I85" s="271">
        <f ca="1">INDEX(Pz!$B$2:$AM$48,HÓ!A85,ÉV!$G$2-9)/100000*ÉV!$B$10</f>
        <v>213143.31569264075</v>
      </c>
      <c r="J85" s="273">
        <f ca="1">IF(OR(A85=1,A85=2,AND(C85=ÉV!$I$2,D85&gt;ÉV!$J$2),C85&gt;ÉV!$I$2),0,VLOOKUP(A85-2,ÉV!$A$18:$C$65,3,0))</f>
        <v>757946.78607107699</v>
      </c>
      <c r="K85" s="273">
        <f ca="1">IF(OR(A85=1,AND(C85=ÉV!$I$2,D85&gt;ÉV!$J$2),C85&gt;ÉV!$I$2),0,VLOOKUP(A85-1,ÉV!$A$18:$C$65,3,0))</f>
        <v>968419.63807544659</v>
      </c>
      <c r="L85" s="273">
        <f ca="1">VLOOKUP(A85,ÉV!$A$18:$C$65,3,0)*IF(OR(AND(C85=ÉV!$I$2,D85&gt;ÉV!$J$2),C85&gt;ÉV!$I$2),0,1)</f>
        <v>1183683.678754952</v>
      </c>
      <c r="M85" s="273">
        <f ca="1">(K85*(12-B85)/12+L85*B85/12)*IF(A85&gt;ÉV!$G$2,0,1)+IF(A85&gt;ÉV!$G$2,M84,0)*IF(OR(AND(C85=ÉV!$I$2,D85&gt;ÉV!$J$2),C85&gt;ÉV!$I$2),0,1)</f>
        <v>1165745.0086983265</v>
      </c>
      <c r="N85" s="274">
        <f ca="1">IF(AND(C85=1,D85&lt;12),0,1)*IF(D85=12,MAX(0,F85-E85-0.003)*0.9*((K85+I85)*(B85/12)+(J85+H85)*(1-B85/12))+MAX(0,F85-0.003)*0.9*N84+N84,IF(AND(C85=ÉV!$I$2,D85=ÉV!$J$2),(M85+N84)*MAX(0,F85-0.003)*0.9*(D85/12)+N84,N84))*IF(OR(C85&gt;ÉV!$I$2,AND(C85=ÉV!$I$2,D85&gt;ÉV!$J$2)),0,1)</f>
        <v>0</v>
      </c>
      <c r="O85" s="313">
        <f ca="1">IF(MAX(AF$2:AF84)=2,      0,IF(OR(AC85=7, AF85=2),    SUM(AE$2:AE85),    O84)   )</f>
        <v>252564.05892168797</v>
      </c>
      <c r="P85" s="271">
        <f ca="1">IF(D85=12,V85+P84+P84*(F85-0.003)*0.9,IF(AND(C85=ÉV!$I$2,D85=ÉV!$J$2),V85+P84+P84*(F85-0.003)*0.9*D85/12,P84))*IF(OR(C85&gt;ÉV!$I$2,AND(C85=ÉV!$I$2,D85&gt;ÉV!$J$2)),0,1)</f>
        <v>0</v>
      </c>
      <c r="Q85" s="275">
        <f ca="1">(N85+P85)*IF(OR(AND(C85=ÉV!$I$2,D85&gt;ÉV!$J$2),C85&gt;ÉV!$I$2),0,1)</f>
        <v>0</v>
      </c>
      <c r="R85" s="271">
        <f ca="1">(MAX(0,F85-E85-0.003)*0.9*((K85+I85)*(1/12)))*IF(OR(C85&gt;ÉV!$I$2,AND(C85=ÉV!$I$2,D85&gt;ÉV!$J$2)),0,1)</f>
        <v>0</v>
      </c>
      <c r="S85" s="271">
        <f ca="1">(MAX(0,F85-0.003)*0.9*((O85)*(1/12)))*IF(OR(C85&gt;ÉV!$I$2,AND(C85=ÉV!$I$2,D85&gt;ÉV!$J$2)),0,1)</f>
        <v>0</v>
      </c>
      <c r="T85" s="271">
        <f ca="1">(MAX(0,F85-0.003)*0.9*((Q84)*(1/12)))*IF(OR(C85&gt;ÉV!$I$2,AND(C85=ÉV!$I$2,D85&gt;ÉV!$J$2)),0,1)</f>
        <v>0</v>
      </c>
      <c r="U85" s="271">
        <f ca="1">IF($D85=1,R85,R85+U84)*IF(OR(C85&gt;ÉV!$I$2,AND(C85=ÉV!$I$2,D85&gt;ÉV!$J$2)),0,1)</f>
        <v>0</v>
      </c>
      <c r="V85" s="271">
        <f ca="1">IF($D85=1,S85,S85+V84)*IF(OR(C85&gt;ÉV!$I$2,AND(C85=ÉV!$I$2,D85&gt;ÉV!$J$2)),0,1)</f>
        <v>0</v>
      </c>
      <c r="W85" s="271">
        <f ca="1">IF($D85=1,T85,T85+W84)*IF(OR(C85&gt;ÉV!$I$2,AND(C85=ÉV!$I$2,D85&gt;ÉV!$J$2)),0,1)</f>
        <v>0</v>
      </c>
      <c r="X85" s="271">
        <f ca="1">IF(OR(D85=12,AND(C85=ÉV!$I$2,D85=ÉV!$J$2)),SUM(U85:W85)+X84,X84)*IF(OR(C85&gt;ÉV!$I$2,AND(C85=ÉV!$I$2,D85&gt;ÉV!$J$2)),0,1)</f>
        <v>0</v>
      </c>
      <c r="Y85" s="271">
        <f t="shared" ca="1" si="13"/>
        <v>0</v>
      </c>
      <c r="Z85" s="265">
        <f t="shared" si="14"/>
        <v>11</v>
      </c>
      <c r="AA85" s="272">
        <f t="shared" ca="1" si="15"/>
        <v>19646.8418727432</v>
      </c>
      <c r="AB85" s="265">
        <f t="shared" ca="1" si="21"/>
        <v>2024</v>
      </c>
      <c r="AC85" s="265">
        <f t="shared" ca="1" si="22"/>
        <v>2</v>
      </c>
      <c r="AD85" s="276">
        <f ca="1">IF(     OR(               AND(MAX(AF$6:AF85)&lt;2,  AC85=12),                 AF85=2),                   SUMIF(AB:AB,AB85,AA:AA),                       0)</f>
        <v>0</v>
      </c>
      <c r="AE85" s="277">
        <f t="shared" ca="1" si="23"/>
        <v>0</v>
      </c>
      <c r="AF85" s="277">
        <f t="shared" ca="1" si="16"/>
        <v>0</v>
      </c>
      <c r="AG85" s="402">
        <f ca="1">IF(  AND(AC85=AdóHó,   MAX(AF$1:AF84)&lt;2),   SUMIF(AB:AB,AB85-1,AE:AE),0  )
+ IF(AND(AC85&lt;AdóHó,                            AF85=2),   SUMIF(AB:AB,AB85-1,AE:AE),0  )
+ IF(                                                                  AF85=2,    SUMIF(AB:AB,AB85,AE:AE   ),0  )</f>
        <v>0</v>
      </c>
      <c r="AH85" s="272">
        <f ca="1">SUM(AG$2:AG85)</f>
        <v>252564.05892168797</v>
      </c>
    </row>
    <row r="86" spans="1:34">
      <c r="A86" s="265">
        <f t="shared" si="17"/>
        <v>7</v>
      </c>
      <c r="B86" s="265">
        <f t="shared" si="18"/>
        <v>12</v>
      </c>
      <c r="C86" s="265">
        <f t="shared" ca="1" si="19"/>
        <v>8</v>
      </c>
      <c r="D86" s="265">
        <f t="shared" ca="1" si="20"/>
        <v>3</v>
      </c>
      <c r="E86" s="266">
        <v>5.0000000000000001E-3</v>
      </c>
      <c r="F86" s="267">
        <f>ÉV!$B$12</f>
        <v>0</v>
      </c>
      <c r="G86" s="271">
        <f ca="1">VLOOKUP(A86,ÉV!$A$18:$B$65,2,0)</f>
        <v>235762.1024729184</v>
      </c>
      <c r="H86" s="271">
        <f ca="1">IF(OR(A86=1,AND(C86=ÉV!$I$2,D86&gt;ÉV!$J$2),C86&gt;ÉV!$I$2),0,INDEX(Pz!$B$2:$AM$48,A86-1,ÉV!$G$2-9)/100000*ÉV!$B$10)</f>
        <v>208980.42426980985</v>
      </c>
      <c r="I86" s="271">
        <f ca="1">INDEX(Pz!$B$2:$AM$48,HÓ!A86,ÉV!$G$2-9)/100000*ÉV!$B$10</f>
        <v>213143.31569264075</v>
      </c>
      <c r="J86" s="273">
        <f ca="1">IF(OR(A86=1,A86=2,AND(C86=ÉV!$I$2,D86&gt;ÉV!$J$2),C86&gt;ÉV!$I$2),0,VLOOKUP(A86-2,ÉV!$A$18:$C$65,3,0))</f>
        <v>757946.78607107699</v>
      </c>
      <c r="K86" s="273">
        <f ca="1">IF(OR(A86=1,AND(C86=ÉV!$I$2,D86&gt;ÉV!$J$2),C86&gt;ÉV!$I$2),0,VLOOKUP(A86-1,ÉV!$A$18:$C$65,3,0))</f>
        <v>968419.63807544659</v>
      </c>
      <c r="L86" s="273">
        <f ca="1">VLOOKUP(A86,ÉV!$A$18:$C$65,3,0)*IF(OR(AND(C86=ÉV!$I$2,D86&gt;ÉV!$J$2),C86&gt;ÉV!$I$2),0,1)</f>
        <v>1183683.678754952</v>
      </c>
      <c r="M86" s="273">
        <f ca="1">(K86*(12-B86)/12+L86*B86/12)*IF(A86&gt;ÉV!$G$2,0,1)+IF(A86&gt;ÉV!$G$2,M85,0)*IF(OR(AND(C86=ÉV!$I$2,D86&gt;ÉV!$J$2),C86&gt;ÉV!$I$2),0,1)</f>
        <v>1183683.678754952</v>
      </c>
      <c r="N86" s="274">
        <f ca="1">IF(AND(C86=1,D86&lt;12),0,1)*IF(D86=12,MAX(0,F86-E86-0.003)*0.9*((K86+I86)*(B86/12)+(J86+H86)*(1-B86/12))+MAX(0,F86-0.003)*0.9*N85+N85,IF(AND(C86=ÉV!$I$2,D86=ÉV!$J$2),(M86+N85)*MAX(0,F86-0.003)*0.9*(D86/12)+N85,N85))*IF(OR(C86&gt;ÉV!$I$2,AND(C86=ÉV!$I$2,D86&gt;ÉV!$J$2)),0,1)</f>
        <v>0</v>
      </c>
      <c r="O86" s="313">
        <f ca="1">IF(MAX(AF$2:AF85)=2,      0,IF(OR(AC86=7, AF86=2),    SUM(AE$2:AE86),    O85)   )</f>
        <v>252564.05892168797</v>
      </c>
      <c r="P86" s="271">
        <f ca="1">IF(D86=12,V86+P85+P85*(F86-0.003)*0.9,IF(AND(C86=ÉV!$I$2,D86=ÉV!$J$2),V86+P85+P85*(F86-0.003)*0.9*D86/12,P85))*IF(OR(C86&gt;ÉV!$I$2,AND(C86=ÉV!$I$2,D86&gt;ÉV!$J$2)),0,1)</f>
        <v>0</v>
      </c>
      <c r="Q86" s="275">
        <f ca="1">(N86+P86)*IF(OR(AND(C86=ÉV!$I$2,D86&gt;ÉV!$J$2),C86&gt;ÉV!$I$2),0,1)</f>
        <v>0</v>
      </c>
      <c r="R86" s="271">
        <f ca="1">(MAX(0,F86-E86-0.003)*0.9*((K86+I86)*(1/12)))*IF(OR(C86&gt;ÉV!$I$2,AND(C86=ÉV!$I$2,D86&gt;ÉV!$J$2)),0,1)</f>
        <v>0</v>
      </c>
      <c r="S86" s="271">
        <f ca="1">(MAX(0,F86-0.003)*0.9*((O86)*(1/12)))*IF(OR(C86&gt;ÉV!$I$2,AND(C86=ÉV!$I$2,D86&gt;ÉV!$J$2)),0,1)</f>
        <v>0</v>
      </c>
      <c r="T86" s="271">
        <f ca="1">(MAX(0,F86-0.003)*0.9*((Q85)*(1/12)))*IF(OR(C86&gt;ÉV!$I$2,AND(C86=ÉV!$I$2,D86&gt;ÉV!$J$2)),0,1)</f>
        <v>0</v>
      </c>
      <c r="U86" s="271">
        <f ca="1">IF($D86=1,R86,R86+U85)*IF(OR(C86&gt;ÉV!$I$2,AND(C86=ÉV!$I$2,D86&gt;ÉV!$J$2)),0,1)</f>
        <v>0</v>
      </c>
      <c r="V86" s="271">
        <f ca="1">IF($D86=1,S86,S86+V85)*IF(OR(C86&gt;ÉV!$I$2,AND(C86=ÉV!$I$2,D86&gt;ÉV!$J$2)),0,1)</f>
        <v>0</v>
      </c>
      <c r="W86" s="271">
        <f ca="1">IF($D86=1,T86,T86+W85)*IF(OR(C86&gt;ÉV!$I$2,AND(C86=ÉV!$I$2,D86&gt;ÉV!$J$2)),0,1)</f>
        <v>0</v>
      </c>
      <c r="X86" s="271">
        <f ca="1">IF(OR(D86=12,AND(C86=ÉV!$I$2,D86=ÉV!$J$2)),SUM(U86:W86)+X85,X85)*IF(OR(C86&gt;ÉV!$I$2,AND(C86=ÉV!$I$2,D86&gt;ÉV!$J$2)),0,1)</f>
        <v>0</v>
      </c>
      <c r="Y86" s="271">
        <f t="shared" ca="1" si="13"/>
        <v>0</v>
      </c>
      <c r="Z86" s="265">
        <f t="shared" si="14"/>
        <v>12</v>
      </c>
      <c r="AA86" s="272">
        <f t="shared" ca="1" si="15"/>
        <v>19646.8418727432</v>
      </c>
      <c r="AB86" s="265">
        <f t="shared" ca="1" si="21"/>
        <v>2024</v>
      </c>
      <c r="AC86" s="265">
        <f t="shared" ca="1" si="22"/>
        <v>3</v>
      </c>
      <c r="AD86" s="276">
        <f ca="1">IF(     OR(               AND(MAX(AF$6:AF86)&lt;2,  AC86=12),                 AF86=2),                   SUMIF(AB:AB,AB86,AA:AA),                       0)</f>
        <v>0</v>
      </c>
      <c r="AE86" s="277">
        <f t="shared" ca="1" si="23"/>
        <v>0</v>
      </c>
      <c r="AF86" s="277">
        <f t="shared" ca="1" si="16"/>
        <v>0</v>
      </c>
      <c r="AG86" s="402">
        <f ca="1">IF(  AND(AC86=AdóHó,   MAX(AF$1:AF85)&lt;2),   SUMIF(AB:AB,AB86-1,AE:AE),0  )
+ IF(AND(AC86&lt;AdóHó,                            AF86=2),   SUMIF(AB:AB,AB86-1,AE:AE),0  )
+ IF(                                                                  AF86=2,    SUMIF(AB:AB,AB86,AE:AE   ),0  )</f>
        <v>0</v>
      </c>
      <c r="AH86" s="272">
        <f ca="1">SUM(AG$2:AG86)</f>
        <v>252564.05892168797</v>
      </c>
    </row>
    <row r="87" spans="1:34">
      <c r="A87" s="265">
        <f t="shared" si="17"/>
        <v>8</v>
      </c>
      <c r="B87" s="265">
        <f t="shared" si="18"/>
        <v>1</v>
      </c>
      <c r="C87" s="265">
        <f t="shared" ca="1" si="19"/>
        <v>8</v>
      </c>
      <c r="D87" s="265">
        <f t="shared" ca="1" si="20"/>
        <v>4</v>
      </c>
      <c r="E87" s="266">
        <v>5.0000000000000001E-3</v>
      </c>
      <c r="F87" s="267">
        <f>ÉV!$B$12</f>
        <v>0</v>
      </c>
      <c r="G87" s="271">
        <f ca="1">VLOOKUP(A87,ÉV!$A$18:$B$65,2,0)</f>
        <v>240477.34452237678</v>
      </c>
      <c r="H87" s="271">
        <f ca="1">IF(OR(A87=1,AND(C87=ÉV!$I$2,D87&gt;ÉV!$J$2),C87&gt;ÉV!$I$2),0,INDEX(Pz!$B$2:$AM$48,A87-1,ÉV!$G$2-9)/100000*ÉV!$B$10)</f>
        <v>213143.31569264075</v>
      </c>
      <c r="I87" s="271">
        <f ca="1">INDEX(Pz!$B$2:$AM$48,HÓ!A87,ÉV!$G$2-9)/100000*ÉV!$B$10</f>
        <v>217389.46494392827</v>
      </c>
      <c r="J87" s="273">
        <f ca="1">IF(OR(A87=1,A87=2,AND(C87=ÉV!$I$2,D87&gt;ÉV!$J$2),C87&gt;ÉV!$I$2),0,VLOOKUP(A87-2,ÉV!$A$18:$C$65,3,0))</f>
        <v>968419.63807544659</v>
      </c>
      <c r="K87" s="273">
        <f ca="1">IF(OR(A87=1,AND(C87=ÉV!$I$2,D87&gt;ÉV!$J$2),C87&gt;ÉV!$I$2),0,VLOOKUP(A87-1,ÉV!$A$18:$C$65,3,0))</f>
        <v>1183683.678754952</v>
      </c>
      <c r="L87" s="273">
        <f ca="1">VLOOKUP(A87,ÉV!$A$18:$C$65,3,0)*IF(OR(AND(C87=ÉV!$I$2,D87&gt;ÉV!$J$2),C87&gt;ÉV!$I$2),0,1)</f>
        <v>1403795.1298145123</v>
      </c>
      <c r="M87" s="273">
        <f ca="1">(K87*(12-B87)/12+L87*B87/12)*IF(A87&gt;ÉV!$G$2,0,1)+IF(A87&gt;ÉV!$G$2,M86,0)*IF(OR(AND(C87=ÉV!$I$2,D87&gt;ÉV!$J$2),C87&gt;ÉV!$I$2),0,1)</f>
        <v>1202026.299676582</v>
      </c>
      <c r="N87" s="274">
        <f ca="1">IF(AND(C87=1,D87&lt;12),0,1)*IF(D87=12,MAX(0,F87-E87-0.003)*0.9*((K87+I87)*(B87/12)+(J87+H87)*(1-B87/12))+MAX(0,F87-0.003)*0.9*N86+N86,IF(AND(C87=ÉV!$I$2,D87=ÉV!$J$2),(M87+N86)*MAX(0,F87-0.003)*0.9*(D87/12)+N86,N86))*IF(OR(C87&gt;ÉV!$I$2,AND(C87=ÉV!$I$2,D87&gt;ÉV!$J$2)),0,1)</f>
        <v>0</v>
      </c>
      <c r="O87" s="313">
        <f ca="1">IF(MAX(AF$2:AF86)=2,      0,IF(OR(AC87=7, AF87=2),    SUM(AE$2:AE87),    O86)   )</f>
        <v>252564.05892168797</v>
      </c>
      <c r="P87" s="271">
        <f ca="1">IF(D87=12,V87+P86+P86*(F87-0.003)*0.9,IF(AND(C87=ÉV!$I$2,D87=ÉV!$J$2),V87+P86+P86*(F87-0.003)*0.9*D87/12,P86))*IF(OR(C87&gt;ÉV!$I$2,AND(C87=ÉV!$I$2,D87&gt;ÉV!$J$2)),0,1)</f>
        <v>0</v>
      </c>
      <c r="Q87" s="275">
        <f ca="1">(N87+P87)*IF(OR(AND(C87=ÉV!$I$2,D87&gt;ÉV!$J$2),C87&gt;ÉV!$I$2),0,1)</f>
        <v>0</v>
      </c>
      <c r="R87" s="271">
        <f ca="1">(MAX(0,F87-E87-0.003)*0.9*((K87+I87)*(1/12)))*IF(OR(C87&gt;ÉV!$I$2,AND(C87=ÉV!$I$2,D87&gt;ÉV!$J$2)),0,1)</f>
        <v>0</v>
      </c>
      <c r="S87" s="271">
        <f ca="1">(MAX(0,F87-0.003)*0.9*((O87)*(1/12)))*IF(OR(C87&gt;ÉV!$I$2,AND(C87=ÉV!$I$2,D87&gt;ÉV!$J$2)),0,1)</f>
        <v>0</v>
      </c>
      <c r="T87" s="271">
        <f ca="1">(MAX(0,F87-0.003)*0.9*((Q86)*(1/12)))*IF(OR(C87&gt;ÉV!$I$2,AND(C87=ÉV!$I$2,D87&gt;ÉV!$J$2)),0,1)</f>
        <v>0</v>
      </c>
      <c r="U87" s="271">
        <f ca="1">IF($D87=1,R87,R87+U86)*IF(OR(C87&gt;ÉV!$I$2,AND(C87=ÉV!$I$2,D87&gt;ÉV!$J$2)),0,1)</f>
        <v>0</v>
      </c>
      <c r="V87" s="271">
        <f ca="1">IF($D87=1,S87,S87+V86)*IF(OR(C87&gt;ÉV!$I$2,AND(C87=ÉV!$I$2,D87&gt;ÉV!$J$2)),0,1)</f>
        <v>0</v>
      </c>
      <c r="W87" s="271">
        <f ca="1">IF($D87=1,T87,T87+W86)*IF(OR(C87&gt;ÉV!$I$2,AND(C87=ÉV!$I$2,D87&gt;ÉV!$J$2)),0,1)</f>
        <v>0</v>
      </c>
      <c r="X87" s="271">
        <f ca="1">IF(OR(D87=12,AND(C87=ÉV!$I$2,D87=ÉV!$J$2)),SUM(U87:W87)+X86,X86)*IF(OR(C87&gt;ÉV!$I$2,AND(C87=ÉV!$I$2,D87&gt;ÉV!$J$2)),0,1)</f>
        <v>0</v>
      </c>
      <c r="Y87" s="271">
        <f t="shared" ca="1" si="13"/>
        <v>0</v>
      </c>
      <c r="Z87" s="265">
        <f t="shared" si="14"/>
        <v>1</v>
      </c>
      <c r="AA87" s="272">
        <f t="shared" ca="1" si="15"/>
        <v>20039.778710198065</v>
      </c>
      <c r="AB87" s="265">
        <f t="shared" ca="1" si="21"/>
        <v>2024</v>
      </c>
      <c r="AC87" s="265">
        <f t="shared" ca="1" si="22"/>
        <v>4</v>
      </c>
      <c r="AD87" s="276">
        <f ca="1">IF(     OR(               AND(MAX(AF$6:AF87)&lt;2,  AC87=12),                 AF87=2),                   SUMIF(AB:AB,AB87,AA:AA),                       0)</f>
        <v>0</v>
      </c>
      <c r="AE87" s="277">
        <f t="shared" ca="1" si="23"/>
        <v>0</v>
      </c>
      <c r="AF87" s="277">
        <f t="shared" ca="1" si="16"/>
        <v>0</v>
      </c>
      <c r="AG87" s="402">
        <f ca="1">IF(  AND(AC87=AdóHó,   MAX(AF$1:AF86)&lt;2),   SUMIF(AB:AB,AB87-1,AE:AE),0  )
+ IF(AND(AC87&lt;AdóHó,                            AF87=2),   SUMIF(AB:AB,AB87-1,AE:AE),0  )
+ IF(                                                                  AF87=2,    SUMIF(AB:AB,AB87,AE:AE   ),0  )</f>
        <v>0</v>
      </c>
      <c r="AH87" s="272">
        <f ca="1">SUM(AG$2:AG87)</f>
        <v>252564.05892168797</v>
      </c>
    </row>
    <row r="88" spans="1:34">
      <c r="A88" s="265">
        <f t="shared" si="17"/>
        <v>8</v>
      </c>
      <c r="B88" s="265">
        <f t="shared" si="18"/>
        <v>2</v>
      </c>
      <c r="C88" s="265">
        <f t="shared" ca="1" si="19"/>
        <v>8</v>
      </c>
      <c r="D88" s="265">
        <f t="shared" ca="1" si="20"/>
        <v>5</v>
      </c>
      <c r="E88" s="266">
        <v>5.0000000000000001E-3</v>
      </c>
      <c r="F88" s="267">
        <f>ÉV!$B$12</f>
        <v>0</v>
      </c>
      <c r="G88" s="271">
        <f ca="1">VLOOKUP(A88,ÉV!$A$18:$B$65,2,0)</f>
        <v>240477.34452237678</v>
      </c>
      <c r="H88" s="271">
        <f ca="1">IF(OR(A88=1,AND(C88=ÉV!$I$2,D88&gt;ÉV!$J$2),C88&gt;ÉV!$I$2),0,INDEX(Pz!$B$2:$AM$48,A88-1,ÉV!$G$2-9)/100000*ÉV!$B$10)</f>
        <v>213143.31569264075</v>
      </c>
      <c r="I88" s="271">
        <f ca="1">INDEX(Pz!$B$2:$AM$48,HÓ!A88,ÉV!$G$2-9)/100000*ÉV!$B$10</f>
        <v>217389.46494392827</v>
      </c>
      <c r="J88" s="273">
        <f ca="1">IF(OR(A88=1,A88=2,AND(C88=ÉV!$I$2,D88&gt;ÉV!$J$2),C88&gt;ÉV!$I$2),0,VLOOKUP(A88-2,ÉV!$A$18:$C$65,3,0))</f>
        <v>968419.63807544659</v>
      </c>
      <c r="K88" s="273">
        <f ca="1">IF(OR(A88=1,AND(C88=ÉV!$I$2,D88&gt;ÉV!$J$2),C88&gt;ÉV!$I$2),0,VLOOKUP(A88-1,ÉV!$A$18:$C$65,3,0))</f>
        <v>1183683.678754952</v>
      </c>
      <c r="L88" s="273">
        <f ca="1">VLOOKUP(A88,ÉV!$A$18:$C$65,3,0)*IF(OR(AND(C88=ÉV!$I$2,D88&gt;ÉV!$J$2),C88&gt;ÉV!$I$2),0,1)</f>
        <v>1403795.1298145123</v>
      </c>
      <c r="M88" s="273">
        <f ca="1">(K88*(12-B88)/12+L88*B88/12)*IF(A88&gt;ÉV!$G$2,0,1)+IF(A88&gt;ÉV!$G$2,M87,0)*IF(OR(AND(C88=ÉV!$I$2,D88&gt;ÉV!$J$2),C88&gt;ÉV!$I$2),0,1)</f>
        <v>1220368.9205982119</v>
      </c>
      <c r="N88" s="274">
        <f ca="1">IF(AND(C88=1,D88&lt;12),0,1)*IF(D88=12,MAX(0,F88-E88-0.003)*0.9*((K88+I88)*(B88/12)+(J88+H88)*(1-B88/12))+MAX(0,F88-0.003)*0.9*N87+N87,IF(AND(C88=ÉV!$I$2,D88=ÉV!$J$2),(M88+N87)*MAX(0,F88-0.003)*0.9*(D88/12)+N87,N87))*IF(OR(C88&gt;ÉV!$I$2,AND(C88=ÉV!$I$2,D88&gt;ÉV!$J$2)),0,1)</f>
        <v>0</v>
      </c>
      <c r="O88" s="313">
        <f ca="1">IF(MAX(AF$2:AF87)=2,      0,IF(OR(AC88=7, AF88=2),    SUM(AE$2:AE88),    O87)   )</f>
        <v>252564.05892168797</v>
      </c>
      <c r="P88" s="271">
        <f ca="1">IF(D88=12,V88+P87+P87*(F88-0.003)*0.9,IF(AND(C88=ÉV!$I$2,D88=ÉV!$J$2),V88+P87+P87*(F88-0.003)*0.9*D88/12,P87))*IF(OR(C88&gt;ÉV!$I$2,AND(C88=ÉV!$I$2,D88&gt;ÉV!$J$2)),0,1)</f>
        <v>0</v>
      </c>
      <c r="Q88" s="275">
        <f ca="1">(N88+P88)*IF(OR(AND(C88=ÉV!$I$2,D88&gt;ÉV!$J$2),C88&gt;ÉV!$I$2),0,1)</f>
        <v>0</v>
      </c>
      <c r="R88" s="271">
        <f ca="1">(MAX(0,F88-E88-0.003)*0.9*((K88+I88)*(1/12)))*IF(OR(C88&gt;ÉV!$I$2,AND(C88=ÉV!$I$2,D88&gt;ÉV!$J$2)),0,1)</f>
        <v>0</v>
      </c>
      <c r="S88" s="271">
        <f ca="1">(MAX(0,F88-0.003)*0.9*((O88)*(1/12)))*IF(OR(C88&gt;ÉV!$I$2,AND(C88=ÉV!$I$2,D88&gt;ÉV!$J$2)),0,1)</f>
        <v>0</v>
      </c>
      <c r="T88" s="271">
        <f ca="1">(MAX(0,F88-0.003)*0.9*((Q87)*(1/12)))*IF(OR(C88&gt;ÉV!$I$2,AND(C88=ÉV!$I$2,D88&gt;ÉV!$J$2)),0,1)</f>
        <v>0</v>
      </c>
      <c r="U88" s="271">
        <f ca="1">IF($D88=1,R88,R88+U87)*IF(OR(C88&gt;ÉV!$I$2,AND(C88=ÉV!$I$2,D88&gt;ÉV!$J$2)),0,1)</f>
        <v>0</v>
      </c>
      <c r="V88" s="271">
        <f ca="1">IF($D88=1,S88,S88+V87)*IF(OR(C88&gt;ÉV!$I$2,AND(C88=ÉV!$I$2,D88&gt;ÉV!$J$2)),0,1)</f>
        <v>0</v>
      </c>
      <c r="W88" s="271">
        <f ca="1">IF($D88=1,T88,T88+W87)*IF(OR(C88&gt;ÉV!$I$2,AND(C88=ÉV!$I$2,D88&gt;ÉV!$J$2)),0,1)</f>
        <v>0</v>
      </c>
      <c r="X88" s="271">
        <f ca="1">IF(OR(D88=12,AND(C88=ÉV!$I$2,D88=ÉV!$J$2)),SUM(U88:W88)+X87,X87)*IF(OR(C88&gt;ÉV!$I$2,AND(C88=ÉV!$I$2,D88&gt;ÉV!$J$2)),0,1)</f>
        <v>0</v>
      </c>
      <c r="Y88" s="271">
        <f t="shared" ca="1" si="13"/>
        <v>0</v>
      </c>
      <c r="Z88" s="265">
        <f t="shared" si="14"/>
        <v>2</v>
      </c>
      <c r="AA88" s="272">
        <f t="shared" ca="1" si="15"/>
        <v>20039.778710198065</v>
      </c>
      <c r="AB88" s="265">
        <f t="shared" ca="1" si="21"/>
        <v>2024</v>
      </c>
      <c r="AC88" s="265">
        <f t="shared" ca="1" si="22"/>
        <v>5</v>
      </c>
      <c r="AD88" s="276">
        <f ca="1">IF(     OR(               AND(MAX(AF$6:AF88)&lt;2,  AC88=12),                 AF88=2),                   SUMIF(AB:AB,AB88,AA:AA),                       0)</f>
        <v>0</v>
      </c>
      <c r="AE88" s="277">
        <f t="shared" ca="1" si="23"/>
        <v>0</v>
      </c>
      <c r="AF88" s="277">
        <f t="shared" ca="1" si="16"/>
        <v>0</v>
      </c>
      <c r="AG88" s="402">
        <f ca="1">IF(  AND(AC88=AdóHó,   MAX(AF$1:AF87)&lt;2),   SUMIF(AB:AB,AB88-1,AE:AE),0  )
+ IF(AND(AC88&lt;AdóHó,                            AF88=2),   SUMIF(AB:AB,AB88-1,AE:AE),0  )
+ IF(                                                                  AF88=2,    SUMIF(AB:AB,AB88,AE:AE   ),0  )</f>
        <v>0</v>
      </c>
      <c r="AH88" s="272">
        <f ca="1">SUM(AG$2:AG88)</f>
        <v>252564.05892168797</v>
      </c>
    </row>
    <row r="89" spans="1:34">
      <c r="A89" s="265">
        <f t="shared" si="17"/>
        <v>8</v>
      </c>
      <c r="B89" s="265">
        <f t="shared" si="18"/>
        <v>3</v>
      </c>
      <c r="C89" s="265">
        <f t="shared" ca="1" si="19"/>
        <v>8</v>
      </c>
      <c r="D89" s="265">
        <f t="shared" ca="1" si="20"/>
        <v>6</v>
      </c>
      <c r="E89" s="266">
        <v>5.0000000000000001E-3</v>
      </c>
      <c r="F89" s="267">
        <f>ÉV!$B$12</f>
        <v>0</v>
      </c>
      <c r="G89" s="271">
        <f ca="1">VLOOKUP(A89,ÉV!$A$18:$B$65,2,0)</f>
        <v>240477.34452237678</v>
      </c>
      <c r="H89" s="271">
        <f ca="1">IF(OR(A89=1,AND(C89=ÉV!$I$2,D89&gt;ÉV!$J$2),C89&gt;ÉV!$I$2),0,INDEX(Pz!$B$2:$AM$48,A89-1,ÉV!$G$2-9)/100000*ÉV!$B$10)</f>
        <v>213143.31569264075</v>
      </c>
      <c r="I89" s="271">
        <f ca="1">INDEX(Pz!$B$2:$AM$48,HÓ!A89,ÉV!$G$2-9)/100000*ÉV!$B$10</f>
        <v>217389.46494392827</v>
      </c>
      <c r="J89" s="273">
        <f ca="1">IF(OR(A89=1,A89=2,AND(C89=ÉV!$I$2,D89&gt;ÉV!$J$2),C89&gt;ÉV!$I$2),0,VLOOKUP(A89-2,ÉV!$A$18:$C$65,3,0))</f>
        <v>968419.63807544659</v>
      </c>
      <c r="K89" s="273">
        <f ca="1">IF(OR(A89=1,AND(C89=ÉV!$I$2,D89&gt;ÉV!$J$2),C89&gt;ÉV!$I$2),0,VLOOKUP(A89-1,ÉV!$A$18:$C$65,3,0))</f>
        <v>1183683.678754952</v>
      </c>
      <c r="L89" s="273">
        <f ca="1">VLOOKUP(A89,ÉV!$A$18:$C$65,3,0)*IF(OR(AND(C89=ÉV!$I$2,D89&gt;ÉV!$J$2),C89&gt;ÉV!$I$2),0,1)</f>
        <v>1403795.1298145123</v>
      </c>
      <c r="M89" s="273">
        <f ca="1">(K89*(12-B89)/12+L89*B89/12)*IF(A89&gt;ÉV!$G$2,0,1)+IF(A89&gt;ÉV!$G$2,M88,0)*IF(OR(AND(C89=ÉV!$I$2,D89&gt;ÉV!$J$2),C89&gt;ÉV!$I$2),0,1)</f>
        <v>1238711.5415198421</v>
      </c>
      <c r="N89" s="274">
        <f ca="1">IF(AND(C89=1,D89&lt;12),0,1)*IF(D89=12,MAX(0,F89-E89-0.003)*0.9*((K89+I89)*(B89/12)+(J89+H89)*(1-B89/12))+MAX(0,F89-0.003)*0.9*N88+N88,IF(AND(C89=ÉV!$I$2,D89=ÉV!$J$2),(M89+N88)*MAX(0,F89-0.003)*0.9*(D89/12)+N88,N88))*IF(OR(C89&gt;ÉV!$I$2,AND(C89=ÉV!$I$2,D89&gt;ÉV!$J$2)),0,1)</f>
        <v>0</v>
      </c>
      <c r="O89" s="313">
        <f ca="1">IF(MAX(AF$2:AF88)=2,      0,IF(OR(AC89=7, AF89=2),    SUM(AE$2:AE89),    O88)   )</f>
        <v>252564.05892168797</v>
      </c>
      <c r="P89" s="271">
        <f ca="1">IF(D89=12,V89+P88+P88*(F89-0.003)*0.9,IF(AND(C89=ÉV!$I$2,D89=ÉV!$J$2),V89+P88+P88*(F89-0.003)*0.9*D89/12,P88))*IF(OR(C89&gt;ÉV!$I$2,AND(C89=ÉV!$I$2,D89&gt;ÉV!$J$2)),0,1)</f>
        <v>0</v>
      </c>
      <c r="Q89" s="275">
        <f ca="1">(N89+P89)*IF(OR(AND(C89=ÉV!$I$2,D89&gt;ÉV!$J$2),C89&gt;ÉV!$I$2),0,1)</f>
        <v>0</v>
      </c>
      <c r="R89" s="271">
        <f ca="1">(MAX(0,F89-E89-0.003)*0.9*((K89+I89)*(1/12)))*IF(OR(C89&gt;ÉV!$I$2,AND(C89=ÉV!$I$2,D89&gt;ÉV!$J$2)),0,1)</f>
        <v>0</v>
      </c>
      <c r="S89" s="271">
        <f ca="1">(MAX(0,F89-0.003)*0.9*((O89)*(1/12)))*IF(OR(C89&gt;ÉV!$I$2,AND(C89=ÉV!$I$2,D89&gt;ÉV!$J$2)),0,1)</f>
        <v>0</v>
      </c>
      <c r="T89" s="271">
        <f ca="1">(MAX(0,F89-0.003)*0.9*((Q88)*(1/12)))*IF(OR(C89&gt;ÉV!$I$2,AND(C89=ÉV!$I$2,D89&gt;ÉV!$J$2)),0,1)</f>
        <v>0</v>
      </c>
      <c r="U89" s="271">
        <f ca="1">IF($D89=1,R89,R89+U88)*IF(OR(C89&gt;ÉV!$I$2,AND(C89=ÉV!$I$2,D89&gt;ÉV!$J$2)),0,1)</f>
        <v>0</v>
      </c>
      <c r="V89" s="271">
        <f ca="1">IF($D89=1,S89,S89+V88)*IF(OR(C89&gt;ÉV!$I$2,AND(C89=ÉV!$I$2,D89&gt;ÉV!$J$2)),0,1)</f>
        <v>0</v>
      </c>
      <c r="W89" s="271">
        <f ca="1">IF($D89=1,T89,T89+W88)*IF(OR(C89&gt;ÉV!$I$2,AND(C89=ÉV!$I$2,D89&gt;ÉV!$J$2)),0,1)</f>
        <v>0</v>
      </c>
      <c r="X89" s="271">
        <f ca="1">IF(OR(D89=12,AND(C89=ÉV!$I$2,D89=ÉV!$J$2)),SUM(U89:W89)+X88,X88)*IF(OR(C89&gt;ÉV!$I$2,AND(C89=ÉV!$I$2,D89&gt;ÉV!$J$2)),0,1)</f>
        <v>0</v>
      </c>
      <c r="Y89" s="271">
        <f t="shared" ca="1" si="13"/>
        <v>0</v>
      </c>
      <c r="Z89" s="265">
        <f t="shared" si="14"/>
        <v>3</v>
      </c>
      <c r="AA89" s="272">
        <f t="shared" ca="1" si="15"/>
        <v>20039.778710198065</v>
      </c>
      <c r="AB89" s="265">
        <f t="shared" ca="1" si="21"/>
        <v>2024</v>
      </c>
      <c r="AC89" s="265">
        <f t="shared" ca="1" si="22"/>
        <v>6</v>
      </c>
      <c r="AD89" s="276">
        <f ca="1">IF(     OR(               AND(MAX(AF$6:AF89)&lt;2,  AC89=12),                 AF89=2),                   SUMIF(AB:AB,AB89,AA:AA),                       0)</f>
        <v>0</v>
      </c>
      <c r="AE89" s="277">
        <f t="shared" ca="1" si="23"/>
        <v>0</v>
      </c>
      <c r="AF89" s="277">
        <f t="shared" ca="1" si="16"/>
        <v>0</v>
      </c>
      <c r="AG89" s="402">
        <f ca="1">IF(  AND(AC89=AdóHó,   MAX(AF$1:AF88)&lt;2),   SUMIF(AB:AB,AB89-1,AE:AE),0  )
+ IF(AND(AC89&lt;AdóHó,                            AF89=2),   SUMIF(AB:AB,AB89-1,AE:AE),0  )
+ IF(                                                                  AF89=2,    SUMIF(AB:AB,AB89,AE:AE   ),0  )</f>
        <v>0</v>
      </c>
      <c r="AH89" s="272">
        <f ca="1">SUM(AG$2:AG89)</f>
        <v>252564.05892168797</v>
      </c>
    </row>
    <row r="90" spans="1:34">
      <c r="A90" s="265">
        <f t="shared" si="17"/>
        <v>8</v>
      </c>
      <c r="B90" s="265">
        <f t="shared" si="18"/>
        <v>4</v>
      </c>
      <c r="C90" s="265">
        <f t="shared" ca="1" si="19"/>
        <v>8</v>
      </c>
      <c r="D90" s="265">
        <f t="shared" ca="1" si="20"/>
        <v>7</v>
      </c>
      <c r="E90" s="266">
        <v>5.0000000000000001E-3</v>
      </c>
      <c r="F90" s="267">
        <f>ÉV!$B$12</f>
        <v>0</v>
      </c>
      <c r="G90" s="271">
        <f ca="1">VLOOKUP(A90,ÉV!$A$18:$B$65,2,0)</f>
        <v>240477.34452237678</v>
      </c>
      <c r="H90" s="271">
        <f ca="1">IF(OR(A90=1,AND(C90=ÉV!$I$2,D90&gt;ÉV!$J$2),C90&gt;ÉV!$I$2),0,INDEX(Pz!$B$2:$AM$48,A90-1,ÉV!$G$2-9)/100000*ÉV!$B$10)</f>
        <v>213143.31569264075</v>
      </c>
      <c r="I90" s="271">
        <f ca="1">INDEX(Pz!$B$2:$AM$48,HÓ!A90,ÉV!$G$2-9)/100000*ÉV!$B$10</f>
        <v>217389.46494392827</v>
      </c>
      <c r="J90" s="273">
        <f ca="1">IF(OR(A90=1,A90=2,AND(C90=ÉV!$I$2,D90&gt;ÉV!$J$2),C90&gt;ÉV!$I$2),0,VLOOKUP(A90-2,ÉV!$A$18:$C$65,3,0))</f>
        <v>968419.63807544659</v>
      </c>
      <c r="K90" s="273">
        <f ca="1">IF(OR(A90=1,AND(C90=ÉV!$I$2,D90&gt;ÉV!$J$2),C90&gt;ÉV!$I$2),0,VLOOKUP(A90-1,ÉV!$A$18:$C$65,3,0))</f>
        <v>1183683.678754952</v>
      </c>
      <c r="L90" s="273">
        <f ca="1">VLOOKUP(A90,ÉV!$A$18:$C$65,3,0)*IF(OR(AND(C90=ÉV!$I$2,D90&gt;ÉV!$J$2),C90&gt;ÉV!$I$2),0,1)</f>
        <v>1403795.1298145123</v>
      </c>
      <c r="M90" s="273">
        <f ca="1">(K90*(12-B90)/12+L90*B90/12)*IF(A90&gt;ÉV!$G$2,0,1)+IF(A90&gt;ÉV!$G$2,M89,0)*IF(OR(AND(C90=ÉV!$I$2,D90&gt;ÉV!$J$2),C90&gt;ÉV!$I$2),0,1)</f>
        <v>1257054.1624414721</v>
      </c>
      <c r="N90" s="274">
        <f ca="1">IF(AND(C90=1,D90&lt;12),0,1)*IF(D90=12,MAX(0,F90-E90-0.003)*0.9*((K90+I90)*(B90/12)+(J90+H90)*(1-B90/12))+MAX(0,F90-0.003)*0.9*N89+N89,IF(AND(C90=ÉV!$I$2,D90=ÉV!$J$2),(M90+N89)*MAX(0,F90-0.003)*0.9*(D90/12)+N89,N89))*IF(OR(C90&gt;ÉV!$I$2,AND(C90=ÉV!$I$2,D90&gt;ÉV!$J$2)),0,1)</f>
        <v>0</v>
      </c>
      <c r="O90" s="313">
        <f ca="1">IF(MAX(AF$2:AF89)=2,      0,IF(OR(AC90=7, AF90=2),    SUM(AE$2:AE90),    O89)   )</f>
        <v>299485.34010012174</v>
      </c>
      <c r="P90" s="271">
        <f ca="1">IF(D90=12,V90+P89+P89*(F90-0.003)*0.9,IF(AND(C90=ÉV!$I$2,D90=ÉV!$J$2),V90+P89+P89*(F90-0.003)*0.9*D90/12,P89))*IF(OR(C90&gt;ÉV!$I$2,AND(C90=ÉV!$I$2,D90&gt;ÉV!$J$2)),0,1)</f>
        <v>0</v>
      </c>
      <c r="Q90" s="275">
        <f ca="1">(N90+P90)*IF(OR(AND(C90=ÉV!$I$2,D90&gt;ÉV!$J$2),C90&gt;ÉV!$I$2),0,1)</f>
        <v>0</v>
      </c>
      <c r="R90" s="271">
        <f ca="1">(MAX(0,F90-E90-0.003)*0.9*((K90+I90)*(1/12)))*IF(OR(C90&gt;ÉV!$I$2,AND(C90=ÉV!$I$2,D90&gt;ÉV!$J$2)),0,1)</f>
        <v>0</v>
      </c>
      <c r="S90" s="271">
        <f ca="1">(MAX(0,F90-0.003)*0.9*((O90)*(1/12)))*IF(OR(C90&gt;ÉV!$I$2,AND(C90=ÉV!$I$2,D90&gt;ÉV!$J$2)),0,1)</f>
        <v>0</v>
      </c>
      <c r="T90" s="271">
        <f ca="1">(MAX(0,F90-0.003)*0.9*((Q89)*(1/12)))*IF(OR(C90&gt;ÉV!$I$2,AND(C90=ÉV!$I$2,D90&gt;ÉV!$J$2)),0,1)</f>
        <v>0</v>
      </c>
      <c r="U90" s="271">
        <f ca="1">IF($D90=1,R90,R90+U89)*IF(OR(C90&gt;ÉV!$I$2,AND(C90=ÉV!$I$2,D90&gt;ÉV!$J$2)),0,1)</f>
        <v>0</v>
      </c>
      <c r="V90" s="271">
        <f ca="1">IF($D90=1,S90,S90+V89)*IF(OR(C90&gt;ÉV!$I$2,AND(C90=ÉV!$I$2,D90&gt;ÉV!$J$2)),0,1)</f>
        <v>0</v>
      </c>
      <c r="W90" s="271">
        <f ca="1">IF($D90=1,T90,T90+W89)*IF(OR(C90&gt;ÉV!$I$2,AND(C90=ÉV!$I$2,D90&gt;ÉV!$J$2)),0,1)</f>
        <v>0</v>
      </c>
      <c r="X90" s="271">
        <f ca="1">IF(OR(D90=12,AND(C90=ÉV!$I$2,D90=ÉV!$J$2)),SUM(U90:W90)+X89,X89)*IF(OR(C90&gt;ÉV!$I$2,AND(C90=ÉV!$I$2,D90&gt;ÉV!$J$2)),0,1)</f>
        <v>0</v>
      </c>
      <c r="Y90" s="271">
        <f t="shared" ca="1" si="13"/>
        <v>0</v>
      </c>
      <c r="Z90" s="265">
        <f t="shared" si="14"/>
        <v>4</v>
      </c>
      <c r="AA90" s="272">
        <f t="shared" ca="1" si="15"/>
        <v>20039.778710198065</v>
      </c>
      <c r="AB90" s="265">
        <f t="shared" ca="1" si="21"/>
        <v>2024</v>
      </c>
      <c r="AC90" s="265">
        <f t="shared" ca="1" si="22"/>
        <v>7</v>
      </c>
      <c r="AD90" s="276">
        <f ca="1">IF(     OR(               AND(MAX(AF$6:AF90)&lt;2,  AC90=12),                 AF90=2),                   SUMIF(AB:AB,AB90,AA:AA),                       0)</f>
        <v>0</v>
      </c>
      <c r="AE90" s="277">
        <f t="shared" ca="1" si="23"/>
        <v>0</v>
      </c>
      <c r="AF90" s="277">
        <f t="shared" ca="1" si="16"/>
        <v>0</v>
      </c>
      <c r="AG90" s="402">
        <f ca="1">IF(  AND(AC90=AdóHó,   MAX(AF$1:AF89)&lt;2),   SUMIF(AB:AB,AB90-1,AE:AE),0  )
+ IF(AND(AC90&lt;AdóHó,                            AF90=2),   SUMIF(AB:AB,AB90-1,AE:AE),0  )
+ IF(                                                                  AF90=2,    SUMIF(AB:AB,AB90,AE:AE   ),0  )</f>
        <v>46921.281178433775</v>
      </c>
      <c r="AH90" s="272">
        <f ca="1">SUM(AG$2:AG90)</f>
        <v>299485.34010012174</v>
      </c>
    </row>
    <row r="91" spans="1:34">
      <c r="A91" s="265">
        <f t="shared" si="17"/>
        <v>8</v>
      </c>
      <c r="B91" s="265">
        <f t="shared" si="18"/>
        <v>5</v>
      </c>
      <c r="C91" s="265">
        <f t="shared" ca="1" si="19"/>
        <v>8</v>
      </c>
      <c r="D91" s="265">
        <f t="shared" ca="1" si="20"/>
        <v>8</v>
      </c>
      <c r="E91" s="266">
        <v>5.0000000000000001E-3</v>
      </c>
      <c r="F91" s="267">
        <f>ÉV!$B$12</f>
        <v>0</v>
      </c>
      <c r="G91" s="271">
        <f ca="1">VLOOKUP(A91,ÉV!$A$18:$B$65,2,0)</f>
        <v>240477.34452237678</v>
      </c>
      <c r="H91" s="271">
        <f ca="1">IF(OR(A91=1,AND(C91=ÉV!$I$2,D91&gt;ÉV!$J$2),C91&gt;ÉV!$I$2),0,INDEX(Pz!$B$2:$AM$48,A91-1,ÉV!$G$2-9)/100000*ÉV!$B$10)</f>
        <v>213143.31569264075</v>
      </c>
      <c r="I91" s="271">
        <f ca="1">INDEX(Pz!$B$2:$AM$48,HÓ!A91,ÉV!$G$2-9)/100000*ÉV!$B$10</f>
        <v>217389.46494392827</v>
      </c>
      <c r="J91" s="273">
        <f ca="1">IF(OR(A91=1,A91=2,AND(C91=ÉV!$I$2,D91&gt;ÉV!$J$2),C91&gt;ÉV!$I$2),0,VLOOKUP(A91-2,ÉV!$A$18:$C$65,3,0))</f>
        <v>968419.63807544659</v>
      </c>
      <c r="K91" s="273">
        <f ca="1">IF(OR(A91=1,AND(C91=ÉV!$I$2,D91&gt;ÉV!$J$2),C91&gt;ÉV!$I$2),0,VLOOKUP(A91-1,ÉV!$A$18:$C$65,3,0))</f>
        <v>1183683.678754952</v>
      </c>
      <c r="L91" s="273">
        <f ca="1">VLOOKUP(A91,ÉV!$A$18:$C$65,3,0)*IF(OR(AND(C91=ÉV!$I$2,D91&gt;ÉV!$J$2),C91&gt;ÉV!$I$2),0,1)</f>
        <v>1403795.1298145123</v>
      </c>
      <c r="M91" s="273">
        <f ca="1">(K91*(12-B91)/12+L91*B91/12)*IF(A91&gt;ÉV!$G$2,0,1)+IF(A91&gt;ÉV!$G$2,M90,0)*IF(OR(AND(C91=ÉV!$I$2,D91&gt;ÉV!$J$2),C91&gt;ÉV!$I$2),0,1)</f>
        <v>1275396.783363102</v>
      </c>
      <c r="N91" s="274">
        <f ca="1">IF(AND(C91=1,D91&lt;12),0,1)*IF(D91=12,MAX(0,F91-E91-0.003)*0.9*((K91+I91)*(B91/12)+(J91+H91)*(1-B91/12))+MAX(0,F91-0.003)*0.9*N90+N90,IF(AND(C91=ÉV!$I$2,D91=ÉV!$J$2),(M91+N90)*MAX(0,F91-0.003)*0.9*(D91/12)+N90,N90))*IF(OR(C91&gt;ÉV!$I$2,AND(C91=ÉV!$I$2,D91&gt;ÉV!$J$2)),0,1)</f>
        <v>0</v>
      </c>
      <c r="O91" s="313">
        <f ca="1">IF(MAX(AF$2:AF90)=2,      0,IF(OR(AC91=7, AF91=2),    SUM(AE$2:AE91),    O90)   )</f>
        <v>299485.34010012174</v>
      </c>
      <c r="P91" s="271">
        <f ca="1">IF(D91=12,V91+P90+P90*(F91-0.003)*0.9,IF(AND(C91=ÉV!$I$2,D91=ÉV!$J$2),V91+P90+P90*(F91-0.003)*0.9*D91/12,P90))*IF(OR(C91&gt;ÉV!$I$2,AND(C91=ÉV!$I$2,D91&gt;ÉV!$J$2)),0,1)</f>
        <v>0</v>
      </c>
      <c r="Q91" s="275">
        <f ca="1">(N91+P91)*IF(OR(AND(C91=ÉV!$I$2,D91&gt;ÉV!$J$2),C91&gt;ÉV!$I$2),0,1)</f>
        <v>0</v>
      </c>
      <c r="R91" s="271">
        <f ca="1">(MAX(0,F91-E91-0.003)*0.9*((K91+I91)*(1/12)))*IF(OR(C91&gt;ÉV!$I$2,AND(C91=ÉV!$I$2,D91&gt;ÉV!$J$2)),0,1)</f>
        <v>0</v>
      </c>
      <c r="S91" s="271">
        <f ca="1">(MAX(0,F91-0.003)*0.9*((O91)*(1/12)))*IF(OR(C91&gt;ÉV!$I$2,AND(C91=ÉV!$I$2,D91&gt;ÉV!$J$2)),0,1)</f>
        <v>0</v>
      </c>
      <c r="T91" s="271">
        <f ca="1">(MAX(0,F91-0.003)*0.9*((Q90)*(1/12)))*IF(OR(C91&gt;ÉV!$I$2,AND(C91=ÉV!$I$2,D91&gt;ÉV!$J$2)),0,1)</f>
        <v>0</v>
      </c>
      <c r="U91" s="271">
        <f ca="1">IF($D91=1,R91,R91+U90)*IF(OR(C91&gt;ÉV!$I$2,AND(C91=ÉV!$I$2,D91&gt;ÉV!$J$2)),0,1)</f>
        <v>0</v>
      </c>
      <c r="V91" s="271">
        <f ca="1">IF($D91=1,S91,S91+V90)*IF(OR(C91&gt;ÉV!$I$2,AND(C91=ÉV!$I$2,D91&gt;ÉV!$J$2)),0,1)</f>
        <v>0</v>
      </c>
      <c r="W91" s="271">
        <f ca="1">IF($D91=1,T91,T91+W90)*IF(OR(C91&gt;ÉV!$I$2,AND(C91=ÉV!$I$2,D91&gt;ÉV!$J$2)),0,1)</f>
        <v>0</v>
      </c>
      <c r="X91" s="271">
        <f ca="1">IF(OR(D91=12,AND(C91=ÉV!$I$2,D91=ÉV!$J$2)),SUM(U91:W91)+X90,X90)*IF(OR(C91&gt;ÉV!$I$2,AND(C91=ÉV!$I$2,D91&gt;ÉV!$J$2)),0,1)</f>
        <v>0</v>
      </c>
      <c r="Y91" s="271">
        <f t="shared" ca="1" si="13"/>
        <v>0</v>
      </c>
      <c r="Z91" s="265">
        <f t="shared" si="14"/>
        <v>5</v>
      </c>
      <c r="AA91" s="272">
        <f t="shared" ca="1" si="15"/>
        <v>20039.778710198065</v>
      </c>
      <c r="AB91" s="265">
        <f t="shared" ca="1" si="21"/>
        <v>2024</v>
      </c>
      <c r="AC91" s="265">
        <f t="shared" ca="1" si="22"/>
        <v>8</v>
      </c>
      <c r="AD91" s="276">
        <f ca="1">IF(     OR(               AND(MAX(AF$6:AF91)&lt;2,  AC91=12),                 AF91=2),                   SUMIF(AB:AB,AB91,AA:AA),                       0)</f>
        <v>0</v>
      </c>
      <c r="AE91" s="277">
        <f t="shared" ca="1" si="23"/>
        <v>0</v>
      </c>
      <c r="AF91" s="277">
        <f t="shared" ca="1" si="16"/>
        <v>0</v>
      </c>
      <c r="AG91" s="402">
        <f ca="1">IF(  AND(AC91=AdóHó,   MAX(AF$1:AF90)&lt;2),   SUMIF(AB:AB,AB91-1,AE:AE),0  )
+ IF(AND(AC91&lt;AdóHó,                            AF91=2),   SUMIF(AB:AB,AB91-1,AE:AE),0  )
+ IF(                                                                  AF91=2,    SUMIF(AB:AB,AB91,AE:AE   ),0  )</f>
        <v>0</v>
      </c>
      <c r="AH91" s="272">
        <f ca="1">SUM(AG$2:AG91)</f>
        <v>299485.34010012174</v>
      </c>
    </row>
    <row r="92" spans="1:34">
      <c r="A92" s="265">
        <f t="shared" si="17"/>
        <v>8</v>
      </c>
      <c r="B92" s="265">
        <f t="shared" si="18"/>
        <v>6</v>
      </c>
      <c r="C92" s="265">
        <f t="shared" ca="1" si="19"/>
        <v>8</v>
      </c>
      <c r="D92" s="265">
        <f t="shared" ca="1" si="20"/>
        <v>9</v>
      </c>
      <c r="E92" s="266">
        <v>5.0000000000000001E-3</v>
      </c>
      <c r="F92" s="267">
        <f>ÉV!$B$12</f>
        <v>0</v>
      </c>
      <c r="G92" s="271">
        <f ca="1">VLOOKUP(A92,ÉV!$A$18:$B$65,2,0)</f>
        <v>240477.34452237678</v>
      </c>
      <c r="H92" s="271">
        <f ca="1">IF(OR(A92=1,AND(C92=ÉV!$I$2,D92&gt;ÉV!$J$2),C92&gt;ÉV!$I$2),0,INDEX(Pz!$B$2:$AM$48,A92-1,ÉV!$G$2-9)/100000*ÉV!$B$10)</f>
        <v>213143.31569264075</v>
      </c>
      <c r="I92" s="271">
        <f ca="1">INDEX(Pz!$B$2:$AM$48,HÓ!A92,ÉV!$G$2-9)/100000*ÉV!$B$10</f>
        <v>217389.46494392827</v>
      </c>
      <c r="J92" s="273">
        <f ca="1">IF(OR(A92=1,A92=2,AND(C92=ÉV!$I$2,D92&gt;ÉV!$J$2),C92&gt;ÉV!$I$2),0,VLOOKUP(A92-2,ÉV!$A$18:$C$65,3,0))</f>
        <v>968419.63807544659</v>
      </c>
      <c r="K92" s="273">
        <f ca="1">IF(OR(A92=1,AND(C92=ÉV!$I$2,D92&gt;ÉV!$J$2),C92&gt;ÉV!$I$2),0,VLOOKUP(A92-1,ÉV!$A$18:$C$65,3,0))</f>
        <v>1183683.678754952</v>
      </c>
      <c r="L92" s="273">
        <f ca="1">VLOOKUP(A92,ÉV!$A$18:$C$65,3,0)*IF(OR(AND(C92=ÉV!$I$2,D92&gt;ÉV!$J$2),C92&gt;ÉV!$I$2),0,1)</f>
        <v>1403795.1298145123</v>
      </c>
      <c r="M92" s="273">
        <f ca="1">(K92*(12-B92)/12+L92*B92/12)*IF(A92&gt;ÉV!$G$2,0,1)+IF(A92&gt;ÉV!$G$2,M91,0)*IF(OR(AND(C92=ÉV!$I$2,D92&gt;ÉV!$J$2),C92&gt;ÉV!$I$2),0,1)</f>
        <v>1293739.4042847322</v>
      </c>
      <c r="N92" s="274">
        <f ca="1">IF(AND(C92=1,D92&lt;12),0,1)*IF(D92=12,MAX(0,F92-E92-0.003)*0.9*((K92+I92)*(B92/12)+(J92+H92)*(1-B92/12))+MAX(0,F92-0.003)*0.9*N91+N91,IF(AND(C92=ÉV!$I$2,D92=ÉV!$J$2),(M92+N91)*MAX(0,F92-0.003)*0.9*(D92/12)+N91,N91))*IF(OR(C92&gt;ÉV!$I$2,AND(C92=ÉV!$I$2,D92&gt;ÉV!$J$2)),0,1)</f>
        <v>0</v>
      </c>
      <c r="O92" s="313">
        <f ca="1">IF(MAX(AF$2:AF91)=2,      0,IF(OR(AC92=7, AF92=2),    SUM(AE$2:AE92),    O91)   )</f>
        <v>299485.34010012174</v>
      </c>
      <c r="P92" s="271">
        <f ca="1">IF(D92=12,V92+P91+P91*(F92-0.003)*0.9,IF(AND(C92=ÉV!$I$2,D92=ÉV!$J$2),V92+P91+P91*(F92-0.003)*0.9*D92/12,P91))*IF(OR(C92&gt;ÉV!$I$2,AND(C92=ÉV!$I$2,D92&gt;ÉV!$J$2)),0,1)</f>
        <v>0</v>
      </c>
      <c r="Q92" s="275">
        <f ca="1">(N92+P92)*IF(OR(AND(C92=ÉV!$I$2,D92&gt;ÉV!$J$2),C92&gt;ÉV!$I$2),0,1)</f>
        <v>0</v>
      </c>
      <c r="R92" s="271">
        <f ca="1">(MAX(0,F92-E92-0.003)*0.9*((K92+I92)*(1/12)))*IF(OR(C92&gt;ÉV!$I$2,AND(C92=ÉV!$I$2,D92&gt;ÉV!$J$2)),0,1)</f>
        <v>0</v>
      </c>
      <c r="S92" s="271">
        <f ca="1">(MAX(0,F92-0.003)*0.9*((O92)*(1/12)))*IF(OR(C92&gt;ÉV!$I$2,AND(C92=ÉV!$I$2,D92&gt;ÉV!$J$2)),0,1)</f>
        <v>0</v>
      </c>
      <c r="T92" s="271">
        <f ca="1">(MAX(0,F92-0.003)*0.9*((Q91)*(1/12)))*IF(OR(C92&gt;ÉV!$I$2,AND(C92=ÉV!$I$2,D92&gt;ÉV!$J$2)),0,1)</f>
        <v>0</v>
      </c>
      <c r="U92" s="271">
        <f ca="1">IF($D92=1,R92,R92+U91)*IF(OR(C92&gt;ÉV!$I$2,AND(C92=ÉV!$I$2,D92&gt;ÉV!$J$2)),0,1)</f>
        <v>0</v>
      </c>
      <c r="V92" s="271">
        <f ca="1">IF($D92=1,S92,S92+V91)*IF(OR(C92&gt;ÉV!$I$2,AND(C92=ÉV!$I$2,D92&gt;ÉV!$J$2)),0,1)</f>
        <v>0</v>
      </c>
      <c r="W92" s="271">
        <f ca="1">IF($D92=1,T92,T92+W91)*IF(OR(C92&gt;ÉV!$I$2,AND(C92=ÉV!$I$2,D92&gt;ÉV!$J$2)),0,1)</f>
        <v>0</v>
      </c>
      <c r="X92" s="271">
        <f ca="1">IF(OR(D92=12,AND(C92=ÉV!$I$2,D92=ÉV!$J$2)),SUM(U92:W92)+X91,X91)*IF(OR(C92&gt;ÉV!$I$2,AND(C92=ÉV!$I$2,D92&gt;ÉV!$J$2)),0,1)</f>
        <v>0</v>
      </c>
      <c r="Y92" s="271">
        <f t="shared" ca="1" si="13"/>
        <v>0</v>
      </c>
      <c r="Z92" s="265">
        <f t="shared" si="14"/>
        <v>6</v>
      </c>
      <c r="AA92" s="272">
        <f t="shared" ca="1" si="15"/>
        <v>20039.778710198065</v>
      </c>
      <c r="AB92" s="265">
        <f t="shared" ca="1" si="21"/>
        <v>2024</v>
      </c>
      <c r="AC92" s="265">
        <f t="shared" ca="1" si="22"/>
        <v>9</v>
      </c>
      <c r="AD92" s="276">
        <f ca="1">IF(     OR(               AND(MAX(AF$6:AF92)&lt;2,  AC92=12),                 AF92=2),                   SUMIF(AB:AB,AB92,AA:AA),                       0)</f>
        <v>0</v>
      </c>
      <c r="AE92" s="277">
        <f t="shared" ca="1" si="23"/>
        <v>0</v>
      </c>
      <c r="AF92" s="277">
        <f t="shared" ca="1" si="16"/>
        <v>0</v>
      </c>
      <c r="AG92" s="402">
        <f ca="1">IF(  AND(AC92=AdóHó,   MAX(AF$1:AF91)&lt;2),   SUMIF(AB:AB,AB92-1,AE:AE),0  )
+ IF(AND(AC92&lt;AdóHó,                            AF92=2),   SUMIF(AB:AB,AB92-1,AE:AE),0  )
+ IF(                                                                  AF92=2,    SUMIF(AB:AB,AB92,AE:AE   ),0  )</f>
        <v>0</v>
      </c>
      <c r="AH92" s="272">
        <f ca="1">SUM(AG$2:AG92)</f>
        <v>299485.34010012174</v>
      </c>
    </row>
    <row r="93" spans="1:34">
      <c r="A93" s="265">
        <f t="shared" si="17"/>
        <v>8</v>
      </c>
      <c r="B93" s="265">
        <f t="shared" si="18"/>
        <v>7</v>
      </c>
      <c r="C93" s="265">
        <f t="shared" ca="1" si="19"/>
        <v>8</v>
      </c>
      <c r="D93" s="265">
        <f t="shared" ca="1" si="20"/>
        <v>10</v>
      </c>
      <c r="E93" s="266">
        <v>5.0000000000000001E-3</v>
      </c>
      <c r="F93" s="267">
        <f>ÉV!$B$12</f>
        <v>0</v>
      </c>
      <c r="G93" s="271">
        <f ca="1">VLOOKUP(A93,ÉV!$A$18:$B$65,2,0)</f>
        <v>240477.34452237678</v>
      </c>
      <c r="H93" s="271">
        <f ca="1">IF(OR(A93=1,AND(C93=ÉV!$I$2,D93&gt;ÉV!$J$2),C93&gt;ÉV!$I$2),0,INDEX(Pz!$B$2:$AM$48,A93-1,ÉV!$G$2-9)/100000*ÉV!$B$10)</f>
        <v>213143.31569264075</v>
      </c>
      <c r="I93" s="271">
        <f ca="1">INDEX(Pz!$B$2:$AM$48,HÓ!A93,ÉV!$G$2-9)/100000*ÉV!$B$10</f>
        <v>217389.46494392827</v>
      </c>
      <c r="J93" s="273">
        <f ca="1">IF(OR(A93=1,A93=2,AND(C93=ÉV!$I$2,D93&gt;ÉV!$J$2),C93&gt;ÉV!$I$2),0,VLOOKUP(A93-2,ÉV!$A$18:$C$65,3,0))</f>
        <v>968419.63807544659</v>
      </c>
      <c r="K93" s="273">
        <f ca="1">IF(OR(A93=1,AND(C93=ÉV!$I$2,D93&gt;ÉV!$J$2),C93&gt;ÉV!$I$2),0,VLOOKUP(A93-1,ÉV!$A$18:$C$65,3,0))</f>
        <v>1183683.678754952</v>
      </c>
      <c r="L93" s="273">
        <f ca="1">VLOOKUP(A93,ÉV!$A$18:$C$65,3,0)*IF(OR(AND(C93=ÉV!$I$2,D93&gt;ÉV!$J$2),C93&gt;ÉV!$I$2),0,1)</f>
        <v>1403795.1298145123</v>
      </c>
      <c r="M93" s="273">
        <f ca="1">(K93*(12-B93)/12+L93*B93/12)*IF(A93&gt;ÉV!$G$2,0,1)+IF(A93&gt;ÉV!$G$2,M92,0)*IF(OR(AND(C93=ÉV!$I$2,D93&gt;ÉV!$J$2),C93&gt;ÉV!$I$2),0,1)</f>
        <v>1312082.0252063621</v>
      </c>
      <c r="N93" s="274">
        <f ca="1">IF(AND(C93=1,D93&lt;12),0,1)*IF(D93=12,MAX(0,F93-E93-0.003)*0.9*((K93+I93)*(B93/12)+(J93+H93)*(1-B93/12))+MAX(0,F93-0.003)*0.9*N92+N92,IF(AND(C93=ÉV!$I$2,D93=ÉV!$J$2),(M93+N92)*MAX(0,F93-0.003)*0.9*(D93/12)+N92,N92))*IF(OR(C93&gt;ÉV!$I$2,AND(C93=ÉV!$I$2,D93&gt;ÉV!$J$2)),0,1)</f>
        <v>0</v>
      </c>
      <c r="O93" s="313">
        <f ca="1">IF(MAX(AF$2:AF92)=2,      0,IF(OR(AC93=7, AF93=2),    SUM(AE$2:AE93),    O92)   )</f>
        <v>299485.34010012174</v>
      </c>
      <c r="P93" s="271">
        <f ca="1">IF(D93=12,V93+P92+P92*(F93-0.003)*0.9,IF(AND(C93=ÉV!$I$2,D93=ÉV!$J$2),V93+P92+P92*(F93-0.003)*0.9*D93/12,P92))*IF(OR(C93&gt;ÉV!$I$2,AND(C93=ÉV!$I$2,D93&gt;ÉV!$J$2)),0,1)</f>
        <v>0</v>
      </c>
      <c r="Q93" s="275">
        <f ca="1">(N93+P93)*IF(OR(AND(C93=ÉV!$I$2,D93&gt;ÉV!$J$2),C93&gt;ÉV!$I$2),0,1)</f>
        <v>0</v>
      </c>
      <c r="R93" s="271">
        <f ca="1">(MAX(0,F93-E93-0.003)*0.9*((K93+I93)*(1/12)))*IF(OR(C93&gt;ÉV!$I$2,AND(C93=ÉV!$I$2,D93&gt;ÉV!$J$2)),0,1)</f>
        <v>0</v>
      </c>
      <c r="S93" s="271">
        <f ca="1">(MAX(0,F93-0.003)*0.9*((O93)*(1/12)))*IF(OR(C93&gt;ÉV!$I$2,AND(C93=ÉV!$I$2,D93&gt;ÉV!$J$2)),0,1)</f>
        <v>0</v>
      </c>
      <c r="T93" s="271">
        <f ca="1">(MAX(0,F93-0.003)*0.9*((Q92)*(1/12)))*IF(OR(C93&gt;ÉV!$I$2,AND(C93=ÉV!$I$2,D93&gt;ÉV!$J$2)),0,1)</f>
        <v>0</v>
      </c>
      <c r="U93" s="271">
        <f ca="1">IF($D93=1,R93,R93+U92)*IF(OR(C93&gt;ÉV!$I$2,AND(C93=ÉV!$I$2,D93&gt;ÉV!$J$2)),0,1)</f>
        <v>0</v>
      </c>
      <c r="V93" s="271">
        <f ca="1">IF($D93=1,S93,S93+V92)*IF(OR(C93&gt;ÉV!$I$2,AND(C93=ÉV!$I$2,D93&gt;ÉV!$J$2)),0,1)</f>
        <v>0</v>
      </c>
      <c r="W93" s="271">
        <f ca="1">IF($D93=1,T93,T93+W92)*IF(OR(C93&gt;ÉV!$I$2,AND(C93=ÉV!$I$2,D93&gt;ÉV!$J$2)),0,1)</f>
        <v>0</v>
      </c>
      <c r="X93" s="271">
        <f ca="1">IF(OR(D93=12,AND(C93=ÉV!$I$2,D93=ÉV!$J$2)),SUM(U93:W93)+X92,X92)*IF(OR(C93&gt;ÉV!$I$2,AND(C93=ÉV!$I$2,D93&gt;ÉV!$J$2)),0,1)</f>
        <v>0</v>
      </c>
      <c r="Y93" s="271">
        <f t="shared" ca="1" si="13"/>
        <v>0</v>
      </c>
      <c r="Z93" s="265">
        <f t="shared" si="14"/>
        <v>7</v>
      </c>
      <c r="AA93" s="272">
        <f t="shared" ca="1" si="15"/>
        <v>20039.778710198065</v>
      </c>
      <c r="AB93" s="265">
        <f t="shared" ca="1" si="21"/>
        <v>2024</v>
      </c>
      <c r="AC93" s="265">
        <f t="shared" ca="1" si="22"/>
        <v>10</v>
      </c>
      <c r="AD93" s="276">
        <f ca="1">IF(     OR(               AND(MAX(AF$6:AF93)&lt;2,  AC93=12),                 AF93=2),                   SUMIF(AB:AB,AB93,AA:AA),                       0)</f>
        <v>0</v>
      </c>
      <c r="AE93" s="277">
        <f t="shared" ca="1" si="23"/>
        <v>0</v>
      </c>
      <c r="AF93" s="277">
        <f t="shared" ca="1" si="16"/>
        <v>0</v>
      </c>
      <c r="AG93" s="402">
        <f ca="1">IF(  AND(AC93=AdóHó,   MAX(AF$1:AF92)&lt;2),   SUMIF(AB:AB,AB93-1,AE:AE),0  )
+ IF(AND(AC93&lt;AdóHó,                            AF93=2),   SUMIF(AB:AB,AB93-1,AE:AE),0  )
+ IF(                                                                  AF93=2,    SUMIF(AB:AB,AB93,AE:AE   ),0  )</f>
        <v>0</v>
      </c>
      <c r="AH93" s="272">
        <f ca="1">SUM(AG$2:AG93)</f>
        <v>299485.34010012174</v>
      </c>
    </row>
    <row r="94" spans="1:34">
      <c r="A94" s="265">
        <f t="shared" si="17"/>
        <v>8</v>
      </c>
      <c r="B94" s="265">
        <f t="shared" si="18"/>
        <v>8</v>
      </c>
      <c r="C94" s="265">
        <f t="shared" ca="1" si="19"/>
        <v>8</v>
      </c>
      <c r="D94" s="265">
        <f t="shared" ca="1" si="20"/>
        <v>11</v>
      </c>
      <c r="E94" s="266">
        <v>5.0000000000000001E-3</v>
      </c>
      <c r="F94" s="267">
        <f>ÉV!$B$12</f>
        <v>0</v>
      </c>
      <c r="G94" s="271">
        <f ca="1">VLOOKUP(A94,ÉV!$A$18:$B$65,2,0)</f>
        <v>240477.34452237678</v>
      </c>
      <c r="H94" s="271">
        <f ca="1">IF(OR(A94=1,AND(C94=ÉV!$I$2,D94&gt;ÉV!$J$2),C94&gt;ÉV!$I$2),0,INDEX(Pz!$B$2:$AM$48,A94-1,ÉV!$G$2-9)/100000*ÉV!$B$10)</f>
        <v>213143.31569264075</v>
      </c>
      <c r="I94" s="271">
        <f ca="1">INDEX(Pz!$B$2:$AM$48,HÓ!A94,ÉV!$G$2-9)/100000*ÉV!$B$10</f>
        <v>217389.46494392827</v>
      </c>
      <c r="J94" s="273">
        <f ca="1">IF(OR(A94=1,A94=2,AND(C94=ÉV!$I$2,D94&gt;ÉV!$J$2),C94&gt;ÉV!$I$2),0,VLOOKUP(A94-2,ÉV!$A$18:$C$65,3,0))</f>
        <v>968419.63807544659</v>
      </c>
      <c r="K94" s="273">
        <f ca="1">IF(OR(A94=1,AND(C94=ÉV!$I$2,D94&gt;ÉV!$J$2),C94&gt;ÉV!$I$2),0,VLOOKUP(A94-1,ÉV!$A$18:$C$65,3,0))</f>
        <v>1183683.678754952</v>
      </c>
      <c r="L94" s="273">
        <f ca="1">VLOOKUP(A94,ÉV!$A$18:$C$65,3,0)*IF(OR(AND(C94=ÉV!$I$2,D94&gt;ÉV!$J$2),C94&gt;ÉV!$I$2),0,1)</f>
        <v>1403795.1298145123</v>
      </c>
      <c r="M94" s="273">
        <f ca="1">(K94*(12-B94)/12+L94*B94/12)*IF(A94&gt;ÉV!$G$2,0,1)+IF(A94&gt;ÉV!$G$2,M93,0)*IF(OR(AND(C94=ÉV!$I$2,D94&gt;ÉV!$J$2),C94&gt;ÉV!$I$2),0,1)</f>
        <v>1330424.6461279923</v>
      </c>
      <c r="N94" s="274">
        <f ca="1">IF(AND(C94=1,D94&lt;12),0,1)*IF(D94=12,MAX(0,F94-E94-0.003)*0.9*((K94+I94)*(B94/12)+(J94+H94)*(1-B94/12))+MAX(0,F94-0.003)*0.9*N93+N93,IF(AND(C94=ÉV!$I$2,D94=ÉV!$J$2),(M94+N93)*MAX(0,F94-0.003)*0.9*(D94/12)+N93,N93))*IF(OR(C94&gt;ÉV!$I$2,AND(C94=ÉV!$I$2,D94&gt;ÉV!$J$2)),0,1)</f>
        <v>0</v>
      </c>
      <c r="O94" s="313">
        <f ca="1">IF(MAX(AF$2:AF93)=2,      0,IF(OR(AC94=7, AF94=2),    SUM(AE$2:AE94),    O93)   )</f>
        <v>299485.34010012174</v>
      </c>
      <c r="P94" s="271">
        <f ca="1">IF(D94=12,V94+P93+P93*(F94-0.003)*0.9,IF(AND(C94=ÉV!$I$2,D94=ÉV!$J$2),V94+P93+P93*(F94-0.003)*0.9*D94/12,P93))*IF(OR(C94&gt;ÉV!$I$2,AND(C94=ÉV!$I$2,D94&gt;ÉV!$J$2)),0,1)</f>
        <v>0</v>
      </c>
      <c r="Q94" s="275">
        <f ca="1">(N94+P94)*IF(OR(AND(C94=ÉV!$I$2,D94&gt;ÉV!$J$2),C94&gt;ÉV!$I$2),0,1)</f>
        <v>0</v>
      </c>
      <c r="R94" s="271">
        <f ca="1">(MAX(0,F94-E94-0.003)*0.9*((K94+I94)*(1/12)))*IF(OR(C94&gt;ÉV!$I$2,AND(C94=ÉV!$I$2,D94&gt;ÉV!$J$2)),0,1)</f>
        <v>0</v>
      </c>
      <c r="S94" s="271">
        <f ca="1">(MAX(0,F94-0.003)*0.9*((O94)*(1/12)))*IF(OR(C94&gt;ÉV!$I$2,AND(C94=ÉV!$I$2,D94&gt;ÉV!$J$2)),0,1)</f>
        <v>0</v>
      </c>
      <c r="T94" s="271">
        <f ca="1">(MAX(0,F94-0.003)*0.9*((Q93)*(1/12)))*IF(OR(C94&gt;ÉV!$I$2,AND(C94=ÉV!$I$2,D94&gt;ÉV!$J$2)),0,1)</f>
        <v>0</v>
      </c>
      <c r="U94" s="271">
        <f ca="1">IF($D94=1,R94,R94+U93)*IF(OR(C94&gt;ÉV!$I$2,AND(C94=ÉV!$I$2,D94&gt;ÉV!$J$2)),0,1)</f>
        <v>0</v>
      </c>
      <c r="V94" s="271">
        <f ca="1">IF($D94=1,S94,S94+V93)*IF(OR(C94&gt;ÉV!$I$2,AND(C94=ÉV!$I$2,D94&gt;ÉV!$J$2)),0,1)</f>
        <v>0</v>
      </c>
      <c r="W94" s="271">
        <f ca="1">IF($D94=1,T94,T94+W93)*IF(OR(C94&gt;ÉV!$I$2,AND(C94=ÉV!$I$2,D94&gt;ÉV!$J$2)),0,1)</f>
        <v>0</v>
      </c>
      <c r="X94" s="271">
        <f ca="1">IF(OR(D94=12,AND(C94=ÉV!$I$2,D94=ÉV!$J$2)),SUM(U94:W94)+X93,X93)*IF(OR(C94&gt;ÉV!$I$2,AND(C94=ÉV!$I$2,D94&gt;ÉV!$J$2)),0,1)</f>
        <v>0</v>
      </c>
      <c r="Y94" s="271">
        <f t="shared" ca="1" si="13"/>
        <v>0</v>
      </c>
      <c r="Z94" s="265">
        <f t="shared" si="14"/>
        <v>8</v>
      </c>
      <c r="AA94" s="272">
        <f t="shared" ca="1" si="15"/>
        <v>20039.778710198065</v>
      </c>
      <c r="AB94" s="265">
        <f t="shared" ca="1" si="21"/>
        <v>2024</v>
      </c>
      <c r="AC94" s="265">
        <f t="shared" ca="1" si="22"/>
        <v>11</v>
      </c>
      <c r="AD94" s="276">
        <f ca="1">IF(     OR(               AND(MAX(AF$6:AF94)&lt;2,  AC94=12),                 AF94=2),                   SUMIF(AB:AB,AB94,AA:AA),                       0)</f>
        <v>0</v>
      </c>
      <c r="AE94" s="277">
        <f t="shared" ca="1" si="23"/>
        <v>0</v>
      </c>
      <c r="AF94" s="277">
        <f t="shared" ca="1" si="16"/>
        <v>0</v>
      </c>
      <c r="AG94" s="402">
        <f ca="1">IF(  AND(AC94=AdóHó,   MAX(AF$1:AF93)&lt;2),   SUMIF(AB:AB,AB94-1,AE:AE),0  )
+ IF(AND(AC94&lt;AdóHó,                            AF94=2),   SUMIF(AB:AB,AB94-1,AE:AE),0  )
+ IF(                                                                  AF94=2,    SUMIF(AB:AB,AB94,AE:AE   ),0  )</f>
        <v>0</v>
      </c>
      <c r="AH94" s="272">
        <f ca="1">SUM(AG$2:AG94)</f>
        <v>299485.34010012174</v>
      </c>
    </row>
    <row r="95" spans="1:34">
      <c r="A95" s="265">
        <f t="shared" si="17"/>
        <v>8</v>
      </c>
      <c r="B95" s="265">
        <f t="shared" si="18"/>
        <v>9</v>
      </c>
      <c r="C95" s="265">
        <f t="shared" ca="1" si="19"/>
        <v>8</v>
      </c>
      <c r="D95" s="265">
        <f t="shared" ca="1" si="20"/>
        <v>12</v>
      </c>
      <c r="E95" s="266">
        <v>5.0000000000000001E-3</v>
      </c>
      <c r="F95" s="267">
        <f>ÉV!$B$12</f>
        <v>0</v>
      </c>
      <c r="G95" s="271">
        <f ca="1">VLOOKUP(A95,ÉV!$A$18:$B$65,2,0)</f>
        <v>240477.34452237678</v>
      </c>
      <c r="H95" s="271">
        <f ca="1">IF(OR(A95=1,AND(C95=ÉV!$I$2,D95&gt;ÉV!$J$2),C95&gt;ÉV!$I$2),0,INDEX(Pz!$B$2:$AM$48,A95-1,ÉV!$G$2-9)/100000*ÉV!$B$10)</f>
        <v>213143.31569264075</v>
      </c>
      <c r="I95" s="271">
        <f ca="1">INDEX(Pz!$B$2:$AM$48,HÓ!A95,ÉV!$G$2-9)/100000*ÉV!$B$10</f>
        <v>217389.46494392827</v>
      </c>
      <c r="J95" s="273">
        <f ca="1">IF(OR(A95=1,A95=2,AND(C95=ÉV!$I$2,D95&gt;ÉV!$J$2),C95&gt;ÉV!$I$2),0,VLOOKUP(A95-2,ÉV!$A$18:$C$65,3,0))</f>
        <v>968419.63807544659</v>
      </c>
      <c r="K95" s="273">
        <f ca="1">IF(OR(A95=1,AND(C95=ÉV!$I$2,D95&gt;ÉV!$J$2),C95&gt;ÉV!$I$2),0,VLOOKUP(A95-1,ÉV!$A$18:$C$65,3,0))</f>
        <v>1183683.678754952</v>
      </c>
      <c r="L95" s="273">
        <f ca="1">VLOOKUP(A95,ÉV!$A$18:$C$65,3,0)*IF(OR(AND(C95=ÉV!$I$2,D95&gt;ÉV!$J$2),C95&gt;ÉV!$I$2),0,1)</f>
        <v>1403795.1298145123</v>
      </c>
      <c r="M95" s="273">
        <f ca="1">(K95*(12-B95)/12+L95*B95/12)*IF(A95&gt;ÉV!$G$2,0,1)+IF(A95&gt;ÉV!$G$2,M94,0)*IF(OR(AND(C95=ÉV!$I$2,D95&gt;ÉV!$J$2),C95&gt;ÉV!$I$2),0,1)</f>
        <v>1348767.2670496223</v>
      </c>
      <c r="N95" s="274">
        <f ca="1">IF(AND(C95=1,D95&lt;12),0,1)*IF(D95=12,MAX(0,F95-E95-0.003)*0.9*((K95+I95)*(B95/12)+(J95+H95)*(1-B95/12))+MAX(0,F95-0.003)*0.9*N94+N94,IF(AND(C95=ÉV!$I$2,D95=ÉV!$J$2),(M95+N94)*MAX(0,F95-0.003)*0.9*(D95/12)+N94,N94))*IF(OR(C95&gt;ÉV!$I$2,AND(C95=ÉV!$I$2,D95&gt;ÉV!$J$2)),0,1)</f>
        <v>0</v>
      </c>
      <c r="O95" s="313">
        <f ca="1">IF(MAX(AF$2:AF94)=2,      0,IF(OR(AC95=7, AF95=2),    SUM(AE$2:AE95),    O94)   )</f>
        <v>299485.34010012174</v>
      </c>
      <c r="P95" s="271">
        <f ca="1">IF(D95=12,V95+P94+P94*(F95-0.003)*0.9,IF(AND(C95=ÉV!$I$2,D95=ÉV!$J$2),V95+P94+P94*(F95-0.003)*0.9*D95/12,P94))*IF(OR(C95&gt;ÉV!$I$2,AND(C95=ÉV!$I$2,D95&gt;ÉV!$J$2)),0,1)</f>
        <v>0</v>
      </c>
      <c r="Q95" s="275">
        <f ca="1">(N95+P95)*IF(OR(AND(C95=ÉV!$I$2,D95&gt;ÉV!$J$2),C95&gt;ÉV!$I$2),0,1)</f>
        <v>0</v>
      </c>
      <c r="R95" s="271">
        <f ca="1">(MAX(0,F95-E95-0.003)*0.9*((K95+I95)*(1/12)))*IF(OR(C95&gt;ÉV!$I$2,AND(C95=ÉV!$I$2,D95&gt;ÉV!$J$2)),0,1)</f>
        <v>0</v>
      </c>
      <c r="S95" s="271">
        <f ca="1">(MAX(0,F95-0.003)*0.9*((O95)*(1/12)))*IF(OR(C95&gt;ÉV!$I$2,AND(C95=ÉV!$I$2,D95&gt;ÉV!$J$2)),0,1)</f>
        <v>0</v>
      </c>
      <c r="T95" s="271">
        <f ca="1">(MAX(0,F95-0.003)*0.9*((Q94)*(1/12)))*IF(OR(C95&gt;ÉV!$I$2,AND(C95=ÉV!$I$2,D95&gt;ÉV!$J$2)),0,1)</f>
        <v>0</v>
      </c>
      <c r="U95" s="271">
        <f ca="1">IF($D95=1,R95,R95+U94)*IF(OR(C95&gt;ÉV!$I$2,AND(C95=ÉV!$I$2,D95&gt;ÉV!$J$2)),0,1)</f>
        <v>0</v>
      </c>
      <c r="V95" s="271">
        <f ca="1">IF($D95=1,S95,S95+V94)*IF(OR(C95&gt;ÉV!$I$2,AND(C95=ÉV!$I$2,D95&gt;ÉV!$J$2)),0,1)</f>
        <v>0</v>
      </c>
      <c r="W95" s="271">
        <f ca="1">IF($D95=1,T95,T95+W94)*IF(OR(C95&gt;ÉV!$I$2,AND(C95=ÉV!$I$2,D95&gt;ÉV!$J$2)),0,1)</f>
        <v>0</v>
      </c>
      <c r="X95" s="271">
        <f ca="1">IF(OR(D95=12,AND(C95=ÉV!$I$2,D95=ÉV!$J$2)),SUM(U95:W95)+X94,X94)*IF(OR(C95&gt;ÉV!$I$2,AND(C95=ÉV!$I$2,D95&gt;ÉV!$J$2)),0,1)</f>
        <v>0</v>
      </c>
      <c r="Y95" s="271">
        <f t="shared" ca="1" si="13"/>
        <v>0</v>
      </c>
      <c r="Z95" s="265">
        <f t="shared" si="14"/>
        <v>9</v>
      </c>
      <c r="AA95" s="272">
        <f t="shared" ca="1" si="15"/>
        <v>20039.778710198065</v>
      </c>
      <c r="AB95" s="265">
        <f t="shared" ca="1" si="21"/>
        <v>2024</v>
      </c>
      <c r="AC95" s="265">
        <f t="shared" ca="1" si="22"/>
        <v>12</v>
      </c>
      <c r="AD95" s="276">
        <f ca="1">IF(     OR(               AND(MAX(AF$6:AF95)&lt;2,  AC95=12),                 AF95=2),                   SUMIF(AB:AB,AB95,AA:AA),                       0)</f>
        <v>239298.53401001217</v>
      </c>
      <c r="AE95" s="277">
        <f t="shared" ca="1" si="23"/>
        <v>47859.706802002438</v>
      </c>
      <c r="AF95" s="277">
        <f t="shared" ca="1" si="16"/>
        <v>0</v>
      </c>
      <c r="AG95" s="402">
        <f ca="1">IF(  AND(AC95=AdóHó,   MAX(AF$1:AF94)&lt;2),   SUMIF(AB:AB,AB95-1,AE:AE),0  )
+ IF(AND(AC95&lt;AdóHó,                            AF95=2),   SUMIF(AB:AB,AB95-1,AE:AE),0  )
+ IF(                                                                  AF95=2,    SUMIF(AB:AB,AB95,AE:AE   ),0  )</f>
        <v>0</v>
      </c>
      <c r="AH95" s="272">
        <f ca="1">SUM(AG$2:AG95)</f>
        <v>299485.34010012174</v>
      </c>
    </row>
    <row r="96" spans="1:34">
      <c r="A96" s="265">
        <f t="shared" si="17"/>
        <v>8</v>
      </c>
      <c r="B96" s="265">
        <f t="shared" si="18"/>
        <v>10</v>
      </c>
      <c r="C96" s="265">
        <f t="shared" ca="1" si="19"/>
        <v>9</v>
      </c>
      <c r="D96" s="265">
        <f t="shared" ca="1" si="20"/>
        <v>1</v>
      </c>
      <c r="E96" s="266">
        <v>5.0000000000000001E-3</v>
      </c>
      <c r="F96" s="267">
        <f>ÉV!$B$12</f>
        <v>0</v>
      </c>
      <c r="G96" s="271">
        <f ca="1">VLOOKUP(A96,ÉV!$A$18:$B$65,2,0)</f>
        <v>240477.34452237678</v>
      </c>
      <c r="H96" s="271">
        <f ca="1">IF(OR(A96=1,AND(C96=ÉV!$I$2,D96&gt;ÉV!$J$2),C96&gt;ÉV!$I$2),0,INDEX(Pz!$B$2:$AM$48,A96-1,ÉV!$G$2-9)/100000*ÉV!$B$10)</f>
        <v>213143.31569264075</v>
      </c>
      <c r="I96" s="271">
        <f ca="1">INDEX(Pz!$B$2:$AM$48,HÓ!A96,ÉV!$G$2-9)/100000*ÉV!$B$10</f>
        <v>217389.46494392827</v>
      </c>
      <c r="J96" s="273">
        <f ca="1">IF(OR(A96=1,A96=2,AND(C96=ÉV!$I$2,D96&gt;ÉV!$J$2),C96&gt;ÉV!$I$2),0,VLOOKUP(A96-2,ÉV!$A$18:$C$65,3,0))</f>
        <v>968419.63807544659</v>
      </c>
      <c r="K96" s="273">
        <f ca="1">IF(OR(A96=1,AND(C96=ÉV!$I$2,D96&gt;ÉV!$J$2),C96&gt;ÉV!$I$2),0,VLOOKUP(A96-1,ÉV!$A$18:$C$65,3,0))</f>
        <v>1183683.678754952</v>
      </c>
      <c r="L96" s="273">
        <f ca="1">VLOOKUP(A96,ÉV!$A$18:$C$65,3,0)*IF(OR(AND(C96=ÉV!$I$2,D96&gt;ÉV!$J$2),C96&gt;ÉV!$I$2),0,1)</f>
        <v>1403795.1298145123</v>
      </c>
      <c r="M96" s="273">
        <f ca="1">(K96*(12-B96)/12+L96*B96/12)*IF(A96&gt;ÉV!$G$2,0,1)+IF(A96&gt;ÉV!$G$2,M95,0)*IF(OR(AND(C96=ÉV!$I$2,D96&gt;ÉV!$J$2),C96&gt;ÉV!$I$2),0,1)</f>
        <v>1367109.8879712522</v>
      </c>
      <c r="N96" s="274">
        <f ca="1">IF(AND(C96=1,D96&lt;12),0,1)*IF(D96=12,MAX(0,F96-E96-0.003)*0.9*((K96+I96)*(B96/12)+(J96+H96)*(1-B96/12))+MAX(0,F96-0.003)*0.9*N95+N95,IF(AND(C96=ÉV!$I$2,D96=ÉV!$J$2),(M96+N95)*MAX(0,F96-0.003)*0.9*(D96/12)+N95,N95))*IF(OR(C96&gt;ÉV!$I$2,AND(C96=ÉV!$I$2,D96&gt;ÉV!$J$2)),0,1)</f>
        <v>0</v>
      </c>
      <c r="O96" s="313">
        <f ca="1">IF(MAX(AF$2:AF95)=2,      0,IF(OR(AC96=7, AF96=2),    SUM(AE$2:AE96),    O95)   )</f>
        <v>299485.34010012174</v>
      </c>
      <c r="P96" s="271">
        <f ca="1">IF(D96=12,V96+P95+P95*(F96-0.003)*0.9,IF(AND(C96=ÉV!$I$2,D96=ÉV!$J$2),V96+P95+P95*(F96-0.003)*0.9*D96/12,P95))*IF(OR(C96&gt;ÉV!$I$2,AND(C96=ÉV!$I$2,D96&gt;ÉV!$J$2)),0,1)</f>
        <v>0</v>
      </c>
      <c r="Q96" s="275">
        <f ca="1">(N96+P96)*IF(OR(AND(C96=ÉV!$I$2,D96&gt;ÉV!$J$2),C96&gt;ÉV!$I$2),0,1)</f>
        <v>0</v>
      </c>
      <c r="R96" s="271">
        <f ca="1">(MAX(0,F96-E96-0.003)*0.9*((K96+I96)*(1/12)))*IF(OR(C96&gt;ÉV!$I$2,AND(C96=ÉV!$I$2,D96&gt;ÉV!$J$2)),0,1)</f>
        <v>0</v>
      </c>
      <c r="S96" s="271">
        <f ca="1">(MAX(0,F96-0.003)*0.9*((O96)*(1/12)))*IF(OR(C96&gt;ÉV!$I$2,AND(C96=ÉV!$I$2,D96&gt;ÉV!$J$2)),0,1)</f>
        <v>0</v>
      </c>
      <c r="T96" s="271">
        <f ca="1">(MAX(0,F96-0.003)*0.9*((Q95)*(1/12)))*IF(OR(C96&gt;ÉV!$I$2,AND(C96=ÉV!$I$2,D96&gt;ÉV!$J$2)),0,1)</f>
        <v>0</v>
      </c>
      <c r="U96" s="271">
        <f ca="1">IF($D96=1,R96,R96+U95)*IF(OR(C96&gt;ÉV!$I$2,AND(C96=ÉV!$I$2,D96&gt;ÉV!$J$2)),0,1)</f>
        <v>0</v>
      </c>
      <c r="V96" s="271">
        <f ca="1">IF($D96=1,S96,S96+V95)*IF(OR(C96&gt;ÉV!$I$2,AND(C96=ÉV!$I$2,D96&gt;ÉV!$J$2)),0,1)</f>
        <v>0</v>
      </c>
      <c r="W96" s="271">
        <f ca="1">IF($D96=1,T96,T96+W95)*IF(OR(C96&gt;ÉV!$I$2,AND(C96=ÉV!$I$2,D96&gt;ÉV!$J$2)),0,1)</f>
        <v>0</v>
      </c>
      <c r="X96" s="271">
        <f ca="1">IF(OR(D96=12,AND(C96=ÉV!$I$2,D96=ÉV!$J$2)),SUM(U96:W96)+X95,X95)*IF(OR(C96&gt;ÉV!$I$2,AND(C96=ÉV!$I$2,D96&gt;ÉV!$J$2)),0,1)</f>
        <v>0</v>
      </c>
      <c r="Y96" s="271">
        <f t="shared" ca="1" si="13"/>
        <v>0</v>
      </c>
      <c r="Z96" s="265">
        <f t="shared" si="14"/>
        <v>10</v>
      </c>
      <c r="AA96" s="272">
        <f t="shared" ca="1" si="15"/>
        <v>20039.778710198065</v>
      </c>
      <c r="AB96" s="265">
        <f t="shared" ca="1" si="21"/>
        <v>2025</v>
      </c>
      <c r="AC96" s="265">
        <f t="shared" ca="1" si="22"/>
        <v>1</v>
      </c>
      <c r="AD96" s="276">
        <f ca="1">IF(     OR(               AND(MAX(AF$6:AF96)&lt;2,  AC96=12),                 AF96=2),                   SUMIF(AB:AB,AB96,AA:AA),                       0)</f>
        <v>0</v>
      </c>
      <c r="AE96" s="277">
        <f t="shared" ca="1" si="23"/>
        <v>0</v>
      </c>
      <c r="AF96" s="277">
        <f t="shared" ca="1" si="16"/>
        <v>0</v>
      </c>
      <c r="AG96" s="402">
        <f ca="1">IF(  AND(AC96=AdóHó,   MAX(AF$1:AF95)&lt;2),   SUMIF(AB:AB,AB96-1,AE:AE),0  )
+ IF(AND(AC96&lt;AdóHó,                            AF96=2),   SUMIF(AB:AB,AB96-1,AE:AE),0  )
+ IF(                                                                  AF96=2,    SUMIF(AB:AB,AB96,AE:AE   ),0  )</f>
        <v>0</v>
      </c>
      <c r="AH96" s="272">
        <f ca="1">SUM(AG$2:AG96)</f>
        <v>299485.34010012174</v>
      </c>
    </row>
    <row r="97" spans="1:34">
      <c r="A97" s="265">
        <f t="shared" si="17"/>
        <v>8</v>
      </c>
      <c r="B97" s="265">
        <f t="shared" si="18"/>
        <v>11</v>
      </c>
      <c r="C97" s="265">
        <f t="shared" ca="1" si="19"/>
        <v>9</v>
      </c>
      <c r="D97" s="265">
        <f t="shared" ca="1" si="20"/>
        <v>2</v>
      </c>
      <c r="E97" s="266">
        <v>5.0000000000000001E-3</v>
      </c>
      <c r="F97" s="267">
        <f>ÉV!$B$12</f>
        <v>0</v>
      </c>
      <c r="G97" s="271">
        <f ca="1">VLOOKUP(A97,ÉV!$A$18:$B$65,2,0)</f>
        <v>240477.34452237678</v>
      </c>
      <c r="H97" s="271">
        <f ca="1">IF(OR(A97=1,AND(C97=ÉV!$I$2,D97&gt;ÉV!$J$2),C97&gt;ÉV!$I$2),0,INDEX(Pz!$B$2:$AM$48,A97-1,ÉV!$G$2-9)/100000*ÉV!$B$10)</f>
        <v>213143.31569264075</v>
      </c>
      <c r="I97" s="271">
        <f ca="1">INDEX(Pz!$B$2:$AM$48,HÓ!A97,ÉV!$G$2-9)/100000*ÉV!$B$10</f>
        <v>217389.46494392827</v>
      </c>
      <c r="J97" s="273">
        <f ca="1">IF(OR(A97=1,A97=2,AND(C97=ÉV!$I$2,D97&gt;ÉV!$J$2),C97&gt;ÉV!$I$2),0,VLOOKUP(A97-2,ÉV!$A$18:$C$65,3,0))</f>
        <v>968419.63807544659</v>
      </c>
      <c r="K97" s="273">
        <f ca="1">IF(OR(A97=1,AND(C97=ÉV!$I$2,D97&gt;ÉV!$J$2),C97&gt;ÉV!$I$2),0,VLOOKUP(A97-1,ÉV!$A$18:$C$65,3,0))</f>
        <v>1183683.678754952</v>
      </c>
      <c r="L97" s="273">
        <f ca="1">VLOOKUP(A97,ÉV!$A$18:$C$65,3,0)*IF(OR(AND(C97=ÉV!$I$2,D97&gt;ÉV!$J$2),C97&gt;ÉV!$I$2),0,1)</f>
        <v>1403795.1298145123</v>
      </c>
      <c r="M97" s="273">
        <f ca="1">(K97*(12-B97)/12+L97*B97/12)*IF(A97&gt;ÉV!$G$2,0,1)+IF(A97&gt;ÉV!$G$2,M96,0)*IF(OR(AND(C97=ÉV!$I$2,D97&gt;ÉV!$J$2),C97&gt;ÉV!$I$2),0,1)</f>
        <v>1385452.5088928824</v>
      </c>
      <c r="N97" s="274">
        <f ca="1">IF(AND(C97=1,D97&lt;12),0,1)*IF(D97=12,MAX(0,F97-E97-0.003)*0.9*((K97+I97)*(B97/12)+(J97+H97)*(1-B97/12))+MAX(0,F97-0.003)*0.9*N96+N96,IF(AND(C97=ÉV!$I$2,D97=ÉV!$J$2),(M97+N96)*MAX(0,F97-0.003)*0.9*(D97/12)+N96,N96))*IF(OR(C97&gt;ÉV!$I$2,AND(C97=ÉV!$I$2,D97&gt;ÉV!$J$2)),0,1)</f>
        <v>0</v>
      </c>
      <c r="O97" s="313">
        <f ca="1">IF(MAX(AF$2:AF96)=2,      0,IF(OR(AC97=7, AF97=2),    SUM(AE$2:AE97),    O96)   )</f>
        <v>299485.34010012174</v>
      </c>
      <c r="P97" s="271">
        <f ca="1">IF(D97=12,V97+P96+P96*(F97-0.003)*0.9,IF(AND(C97=ÉV!$I$2,D97=ÉV!$J$2),V97+P96+P96*(F97-0.003)*0.9*D97/12,P96))*IF(OR(C97&gt;ÉV!$I$2,AND(C97=ÉV!$I$2,D97&gt;ÉV!$J$2)),0,1)</f>
        <v>0</v>
      </c>
      <c r="Q97" s="275">
        <f ca="1">(N97+P97)*IF(OR(AND(C97=ÉV!$I$2,D97&gt;ÉV!$J$2),C97&gt;ÉV!$I$2),0,1)</f>
        <v>0</v>
      </c>
      <c r="R97" s="271">
        <f ca="1">(MAX(0,F97-E97-0.003)*0.9*((K97+I97)*(1/12)))*IF(OR(C97&gt;ÉV!$I$2,AND(C97=ÉV!$I$2,D97&gt;ÉV!$J$2)),0,1)</f>
        <v>0</v>
      </c>
      <c r="S97" s="271">
        <f ca="1">(MAX(0,F97-0.003)*0.9*((O97)*(1/12)))*IF(OR(C97&gt;ÉV!$I$2,AND(C97=ÉV!$I$2,D97&gt;ÉV!$J$2)),0,1)</f>
        <v>0</v>
      </c>
      <c r="T97" s="271">
        <f ca="1">(MAX(0,F97-0.003)*0.9*((Q96)*(1/12)))*IF(OR(C97&gt;ÉV!$I$2,AND(C97=ÉV!$I$2,D97&gt;ÉV!$J$2)),0,1)</f>
        <v>0</v>
      </c>
      <c r="U97" s="271">
        <f ca="1">IF($D97=1,R97,R97+U96)*IF(OR(C97&gt;ÉV!$I$2,AND(C97=ÉV!$I$2,D97&gt;ÉV!$J$2)),0,1)</f>
        <v>0</v>
      </c>
      <c r="V97" s="271">
        <f ca="1">IF($D97=1,S97,S97+V96)*IF(OR(C97&gt;ÉV!$I$2,AND(C97=ÉV!$I$2,D97&gt;ÉV!$J$2)),0,1)</f>
        <v>0</v>
      </c>
      <c r="W97" s="271">
        <f ca="1">IF($D97=1,T97,T97+W96)*IF(OR(C97&gt;ÉV!$I$2,AND(C97=ÉV!$I$2,D97&gt;ÉV!$J$2)),0,1)</f>
        <v>0</v>
      </c>
      <c r="X97" s="271">
        <f ca="1">IF(OR(D97=12,AND(C97=ÉV!$I$2,D97=ÉV!$J$2)),SUM(U97:W97)+X96,X96)*IF(OR(C97&gt;ÉV!$I$2,AND(C97=ÉV!$I$2,D97&gt;ÉV!$J$2)),0,1)</f>
        <v>0</v>
      </c>
      <c r="Y97" s="271">
        <f t="shared" ca="1" si="13"/>
        <v>0</v>
      </c>
      <c r="Z97" s="265">
        <f t="shared" si="14"/>
        <v>11</v>
      </c>
      <c r="AA97" s="272">
        <f t="shared" ca="1" si="15"/>
        <v>20039.778710198065</v>
      </c>
      <c r="AB97" s="265">
        <f t="shared" ca="1" si="21"/>
        <v>2025</v>
      </c>
      <c r="AC97" s="265">
        <f t="shared" ca="1" si="22"/>
        <v>2</v>
      </c>
      <c r="AD97" s="276">
        <f ca="1">IF(     OR(               AND(MAX(AF$6:AF97)&lt;2,  AC97=12),                 AF97=2),                   SUMIF(AB:AB,AB97,AA:AA),                       0)</f>
        <v>0</v>
      </c>
      <c r="AE97" s="277">
        <f t="shared" ca="1" si="23"/>
        <v>0</v>
      </c>
      <c r="AF97" s="277">
        <f t="shared" ca="1" si="16"/>
        <v>0</v>
      </c>
      <c r="AG97" s="402">
        <f ca="1">IF(  AND(AC97=AdóHó,   MAX(AF$1:AF96)&lt;2),   SUMIF(AB:AB,AB97-1,AE:AE),0  )
+ IF(AND(AC97&lt;AdóHó,                            AF97=2),   SUMIF(AB:AB,AB97-1,AE:AE),0  )
+ IF(                                                                  AF97=2,    SUMIF(AB:AB,AB97,AE:AE   ),0  )</f>
        <v>0</v>
      </c>
      <c r="AH97" s="272">
        <f ca="1">SUM(AG$2:AG97)</f>
        <v>299485.34010012174</v>
      </c>
    </row>
    <row r="98" spans="1:34">
      <c r="A98" s="265">
        <f t="shared" si="17"/>
        <v>8</v>
      </c>
      <c r="B98" s="265">
        <f t="shared" si="18"/>
        <v>12</v>
      </c>
      <c r="C98" s="265">
        <f t="shared" ca="1" si="19"/>
        <v>9</v>
      </c>
      <c r="D98" s="265">
        <f t="shared" ca="1" si="20"/>
        <v>3</v>
      </c>
      <c r="E98" s="266">
        <v>5.0000000000000001E-3</v>
      </c>
      <c r="F98" s="267">
        <f>ÉV!$B$12</f>
        <v>0</v>
      </c>
      <c r="G98" s="271">
        <f ca="1">VLOOKUP(A98,ÉV!$A$18:$B$65,2,0)</f>
        <v>240477.34452237678</v>
      </c>
      <c r="H98" s="271">
        <f ca="1">IF(OR(A98=1,AND(C98=ÉV!$I$2,D98&gt;ÉV!$J$2),C98&gt;ÉV!$I$2),0,INDEX(Pz!$B$2:$AM$48,A98-1,ÉV!$G$2-9)/100000*ÉV!$B$10)</f>
        <v>213143.31569264075</v>
      </c>
      <c r="I98" s="271">
        <f ca="1">INDEX(Pz!$B$2:$AM$48,HÓ!A98,ÉV!$G$2-9)/100000*ÉV!$B$10</f>
        <v>217389.46494392827</v>
      </c>
      <c r="J98" s="273">
        <f ca="1">IF(OR(A98=1,A98=2,AND(C98=ÉV!$I$2,D98&gt;ÉV!$J$2),C98&gt;ÉV!$I$2),0,VLOOKUP(A98-2,ÉV!$A$18:$C$65,3,0))</f>
        <v>968419.63807544659</v>
      </c>
      <c r="K98" s="273">
        <f ca="1">IF(OR(A98=1,AND(C98=ÉV!$I$2,D98&gt;ÉV!$J$2),C98&gt;ÉV!$I$2),0,VLOOKUP(A98-1,ÉV!$A$18:$C$65,3,0))</f>
        <v>1183683.678754952</v>
      </c>
      <c r="L98" s="273">
        <f ca="1">VLOOKUP(A98,ÉV!$A$18:$C$65,3,0)*IF(OR(AND(C98=ÉV!$I$2,D98&gt;ÉV!$J$2),C98&gt;ÉV!$I$2),0,1)</f>
        <v>1403795.1298145123</v>
      </c>
      <c r="M98" s="273">
        <f ca="1">(K98*(12-B98)/12+L98*B98/12)*IF(A98&gt;ÉV!$G$2,0,1)+IF(A98&gt;ÉV!$G$2,M97,0)*IF(OR(AND(C98=ÉV!$I$2,D98&gt;ÉV!$J$2),C98&gt;ÉV!$I$2),0,1)</f>
        <v>1403795.1298145123</v>
      </c>
      <c r="N98" s="274">
        <f ca="1">IF(AND(C98=1,D98&lt;12),0,1)*IF(D98=12,MAX(0,F98-E98-0.003)*0.9*((K98+I98)*(B98/12)+(J98+H98)*(1-B98/12))+MAX(0,F98-0.003)*0.9*N97+N97,IF(AND(C98=ÉV!$I$2,D98=ÉV!$J$2),(M98+N97)*MAX(0,F98-0.003)*0.9*(D98/12)+N97,N97))*IF(OR(C98&gt;ÉV!$I$2,AND(C98=ÉV!$I$2,D98&gt;ÉV!$J$2)),0,1)</f>
        <v>0</v>
      </c>
      <c r="O98" s="313">
        <f ca="1">IF(MAX(AF$2:AF97)=2,      0,IF(OR(AC98=7, AF98=2),    SUM(AE$2:AE98),    O97)   )</f>
        <v>299485.34010012174</v>
      </c>
      <c r="P98" s="271">
        <f ca="1">IF(D98=12,V98+P97+P97*(F98-0.003)*0.9,IF(AND(C98=ÉV!$I$2,D98=ÉV!$J$2),V98+P97+P97*(F98-0.003)*0.9*D98/12,P97))*IF(OR(C98&gt;ÉV!$I$2,AND(C98=ÉV!$I$2,D98&gt;ÉV!$J$2)),0,1)</f>
        <v>0</v>
      </c>
      <c r="Q98" s="275">
        <f ca="1">(N98+P98)*IF(OR(AND(C98=ÉV!$I$2,D98&gt;ÉV!$J$2),C98&gt;ÉV!$I$2),0,1)</f>
        <v>0</v>
      </c>
      <c r="R98" s="271">
        <f ca="1">(MAX(0,F98-E98-0.003)*0.9*((K98+I98)*(1/12)))*IF(OR(C98&gt;ÉV!$I$2,AND(C98=ÉV!$I$2,D98&gt;ÉV!$J$2)),0,1)</f>
        <v>0</v>
      </c>
      <c r="S98" s="271">
        <f ca="1">(MAX(0,F98-0.003)*0.9*((O98)*(1/12)))*IF(OR(C98&gt;ÉV!$I$2,AND(C98=ÉV!$I$2,D98&gt;ÉV!$J$2)),0,1)</f>
        <v>0</v>
      </c>
      <c r="T98" s="271">
        <f ca="1">(MAX(0,F98-0.003)*0.9*((Q97)*(1/12)))*IF(OR(C98&gt;ÉV!$I$2,AND(C98=ÉV!$I$2,D98&gt;ÉV!$J$2)),0,1)</f>
        <v>0</v>
      </c>
      <c r="U98" s="271">
        <f ca="1">IF($D98=1,R98,R98+U97)*IF(OR(C98&gt;ÉV!$I$2,AND(C98=ÉV!$I$2,D98&gt;ÉV!$J$2)),0,1)</f>
        <v>0</v>
      </c>
      <c r="V98" s="271">
        <f ca="1">IF($D98=1,S98,S98+V97)*IF(OR(C98&gt;ÉV!$I$2,AND(C98=ÉV!$I$2,D98&gt;ÉV!$J$2)),0,1)</f>
        <v>0</v>
      </c>
      <c r="W98" s="271">
        <f ca="1">IF($D98=1,T98,T98+W97)*IF(OR(C98&gt;ÉV!$I$2,AND(C98=ÉV!$I$2,D98&gt;ÉV!$J$2)),0,1)</f>
        <v>0</v>
      </c>
      <c r="X98" s="271">
        <f ca="1">IF(OR(D98=12,AND(C98=ÉV!$I$2,D98=ÉV!$J$2)),SUM(U98:W98)+X97,X97)*IF(OR(C98&gt;ÉV!$I$2,AND(C98=ÉV!$I$2,D98&gt;ÉV!$J$2)),0,1)</f>
        <v>0</v>
      </c>
      <c r="Y98" s="271">
        <f t="shared" ca="1" si="13"/>
        <v>0</v>
      </c>
      <c r="Z98" s="265">
        <f t="shared" si="14"/>
        <v>12</v>
      </c>
      <c r="AA98" s="272">
        <f t="shared" ca="1" si="15"/>
        <v>20039.778710198065</v>
      </c>
      <c r="AB98" s="265">
        <f t="shared" ca="1" si="21"/>
        <v>2025</v>
      </c>
      <c r="AC98" s="265">
        <f t="shared" ca="1" si="22"/>
        <v>3</v>
      </c>
      <c r="AD98" s="276">
        <f ca="1">IF(     OR(               AND(MAX(AF$6:AF98)&lt;2,  AC98=12),                 AF98=2),                   SUMIF(AB:AB,AB98,AA:AA),                       0)</f>
        <v>0</v>
      </c>
      <c r="AE98" s="277">
        <f t="shared" ca="1" si="23"/>
        <v>0</v>
      </c>
      <c r="AF98" s="277">
        <f t="shared" ca="1" si="16"/>
        <v>0</v>
      </c>
      <c r="AG98" s="402">
        <f ca="1">IF(  AND(AC98=AdóHó,   MAX(AF$1:AF97)&lt;2),   SUMIF(AB:AB,AB98-1,AE:AE),0  )
+ IF(AND(AC98&lt;AdóHó,                            AF98=2),   SUMIF(AB:AB,AB98-1,AE:AE),0  )
+ IF(                                                                  AF98=2,    SUMIF(AB:AB,AB98,AE:AE   ),0  )</f>
        <v>0</v>
      </c>
      <c r="AH98" s="272">
        <f ca="1">SUM(AG$2:AG98)</f>
        <v>299485.34010012174</v>
      </c>
    </row>
    <row r="99" spans="1:34">
      <c r="A99" s="265">
        <f t="shared" si="17"/>
        <v>9</v>
      </c>
      <c r="B99" s="265">
        <f t="shared" si="18"/>
        <v>1</v>
      </c>
      <c r="C99" s="265">
        <f t="shared" ca="1" si="19"/>
        <v>9</v>
      </c>
      <c r="D99" s="265">
        <f t="shared" ca="1" si="20"/>
        <v>4</v>
      </c>
      <c r="E99" s="266">
        <v>5.0000000000000001E-3</v>
      </c>
      <c r="F99" s="267">
        <f>ÉV!$B$12</f>
        <v>0</v>
      </c>
      <c r="G99" s="271">
        <f ca="1">VLOOKUP(A99,ÉV!$A$18:$B$65,2,0)</f>
        <v>245286.89141282431</v>
      </c>
      <c r="H99" s="271">
        <f ca="1">IF(OR(A99=1,AND(C99=ÉV!$I$2,D99&gt;ÉV!$J$2),C99&gt;ÉV!$I$2),0,INDEX(Pz!$B$2:$AM$48,A99-1,ÉV!$G$2-9)/100000*ÉV!$B$10)</f>
        <v>217389.46494392827</v>
      </c>
      <c r="I99" s="271">
        <f ca="1">INDEX(Pz!$B$2:$AM$48,HÓ!A99,ÉV!$G$2-9)/100000*ÉV!$B$10</f>
        <v>221720.53718024149</v>
      </c>
      <c r="J99" s="273">
        <f ca="1">IF(OR(A99=1,A99=2,AND(C99=ÉV!$I$2,D99&gt;ÉV!$J$2),C99&gt;ÉV!$I$2),0,VLOOKUP(A99-2,ÉV!$A$18:$C$65,3,0))</f>
        <v>1183683.678754952</v>
      </c>
      <c r="K99" s="273">
        <f ca="1">IF(OR(A99=1,AND(C99=ÉV!$I$2,D99&gt;ÉV!$J$2),C99&gt;ÉV!$I$2),0,VLOOKUP(A99-1,ÉV!$A$18:$C$65,3,0))</f>
        <v>1403795.1298145123</v>
      </c>
      <c r="L99" s="273">
        <f ca="1">VLOOKUP(A99,ÉV!$A$18:$C$65,3,0)*IF(OR(AND(C99=ÉV!$I$2,D99&gt;ÉV!$J$2),C99&gt;ÉV!$I$2),0,1)</f>
        <v>1628801.7736573364</v>
      </c>
      <c r="M99" s="273">
        <f ca="1">(K99*(12-B99)/12+L99*B99/12)*IF(A99&gt;ÉV!$G$2,0,1)+IF(A99&gt;ÉV!$G$2,M98,0)*IF(OR(AND(C99=ÉV!$I$2,D99&gt;ÉV!$J$2),C99&gt;ÉV!$I$2),0,1)</f>
        <v>1422545.6834680811</v>
      </c>
      <c r="N99" s="274">
        <f ca="1">IF(AND(C99=1,D99&lt;12),0,1)*IF(D99=12,MAX(0,F99-E99-0.003)*0.9*((K99+I99)*(B99/12)+(J99+H99)*(1-B99/12))+MAX(0,F99-0.003)*0.9*N98+N98,IF(AND(C99=ÉV!$I$2,D99=ÉV!$J$2),(M99+N98)*MAX(0,F99-0.003)*0.9*(D99/12)+N98,N98))*IF(OR(C99&gt;ÉV!$I$2,AND(C99=ÉV!$I$2,D99&gt;ÉV!$J$2)),0,1)</f>
        <v>0</v>
      </c>
      <c r="O99" s="313">
        <f ca="1">IF(MAX(AF$2:AF98)=2,      0,IF(OR(AC99=7, AF99=2),    SUM(AE$2:AE99),    O98)   )</f>
        <v>299485.34010012174</v>
      </c>
      <c r="P99" s="271">
        <f ca="1">IF(D99=12,V99+P98+P98*(F99-0.003)*0.9,IF(AND(C99=ÉV!$I$2,D99=ÉV!$J$2),V99+P98+P98*(F99-0.003)*0.9*D99/12,P98))*IF(OR(C99&gt;ÉV!$I$2,AND(C99=ÉV!$I$2,D99&gt;ÉV!$J$2)),0,1)</f>
        <v>0</v>
      </c>
      <c r="Q99" s="275">
        <f ca="1">(N99+P99)*IF(OR(AND(C99=ÉV!$I$2,D99&gt;ÉV!$J$2),C99&gt;ÉV!$I$2),0,1)</f>
        <v>0</v>
      </c>
      <c r="R99" s="271">
        <f ca="1">(MAX(0,F99-E99-0.003)*0.9*((K99+I99)*(1/12)))*IF(OR(C99&gt;ÉV!$I$2,AND(C99=ÉV!$I$2,D99&gt;ÉV!$J$2)),0,1)</f>
        <v>0</v>
      </c>
      <c r="S99" s="271">
        <f ca="1">(MAX(0,F99-0.003)*0.9*((O99)*(1/12)))*IF(OR(C99&gt;ÉV!$I$2,AND(C99=ÉV!$I$2,D99&gt;ÉV!$J$2)),0,1)</f>
        <v>0</v>
      </c>
      <c r="T99" s="271">
        <f ca="1">(MAX(0,F99-0.003)*0.9*((Q98)*(1/12)))*IF(OR(C99&gt;ÉV!$I$2,AND(C99=ÉV!$I$2,D99&gt;ÉV!$J$2)),0,1)</f>
        <v>0</v>
      </c>
      <c r="U99" s="271">
        <f ca="1">IF($D99=1,R99,R99+U98)*IF(OR(C99&gt;ÉV!$I$2,AND(C99=ÉV!$I$2,D99&gt;ÉV!$J$2)),0,1)</f>
        <v>0</v>
      </c>
      <c r="V99" s="271">
        <f ca="1">IF($D99=1,S99,S99+V98)*IF(OR(C99&gt;ÉV!$I$2,AND(C99=ÉV!$I$2,D99&gt;ÉV!$J$2)),0,1)</f>
        <v>0</v>
      </c>
      <c r="W99" s="271">
        <f ca="1">IF($D99=1,T99,T99+W98)*IF(OR(C99&gt;ÉV!$I$2,AND(C99=ÉV!$I$2,D99&gt;ÉV!$J$2)),0,1)</f>
        <v>0</v>
      </c>
      <c r="X99" s="271">
        <f ca="1">IF(OR(D99=12,AND(C99=ÉV!$I$2,D99=ÉV!$J$2)),SUM(U99:W99)+X98,X98)*IF(OR(C99&gt;ÉV!$I$2,AND(C99=ÉV!$I$2,D99&gt;ÉV!$J$2)),0,1)</f>
        <v>0</v>
      </c>
      <c r="Y99" s="271">
        <f t="shared" ca="1" si="13"/>
        <v>0</v>
      </c>
      <c r="Z99" s="265">
        <f t="shared" si="14"/>
        <v>1</v>
      </c>
      <c r="AA99" s="272">
        <f t="shared" ca="1" si="15"/>
        <v>20440.574284402024</v>
      </c>
      <c r="AB99" s="265">
        <f t="shared" ca="1" si="21"/>
        <v>2025</v>
      </c>
      <c r="AC99" s="265">
        <f t="shared" ca="1" si="22"/>
        <v>4</v>
      </c>
      <c r="AD99" s="276">
        <f ca="1">IF(     OR(               AND(MAX(AF$6:AF99)&lt;2,  AC99=12),                 AF99=2),                   SUMIF(AB:AB,AB99,AA:AA),                       0)</f>
        <v>0</v>
      </c>
      <c r="AE99" s="277">
        <f t="shared" ca="1" si="23"/>
        <v>0</v>
      </c>
      <c r="AF99" s="277">
        <f t="shared" ca="1" si="16"/>
        <v>0</v>
      </c>
      <c r="AG99" s="402">
        <f ca="1">IF(  AND(AC99=AdóHó,   MAX(AF$1:AF98)&lt;2),   SUMIF(AB:AB,AB99-1,AE:AE),0  )
+ IF(AND(AC99&lt;AdóHó,                            AF99=2),   SUMIF(AB:AB,AB99-1,AE:AE),0  )
+ IF(                                                                  AF99=2,    SUMIF(AB:AB,AB99,AE:AE   ),0  )</f>
        <v>0</v>
      </c>
      <c r="AH99" s="272">
        <f ca="1">SUM(AG$2:AG99)</f>
        <v>299485.34010012174</v>
      </c>
    </row>
    <row r="100" spans="1:34">
      <c r="A100" s="265">
        <f t="shared" si="17"/>
        <v>9</v>
      </c>
      <c r="B100" s="265">
        <f t="shared" si="18"/>
        <v>2</v>
      </c>
      <c r="C100" s="265">
        <f t="shared" ca="1" si="19"/>
        <v>9</v>
      </c>
      <c r="D100" s="265">
        <f t="shared" ca="1" si="20"/>
        <v>5</v>
      </c>
      <c r="E100" s="266">
        <v>5.0000000000000001E-3</v>
      </c>
      <c r="F100" s="267">
        <f>ÉV!$B$12</f>
        <v>0</v>
      </c>
      <c r="G100" s="271">
        <f ca="1">VLOOKUP(A100,ÉV!$A$18:$B$65,2,0)</f>
        <v>245286.89141282431</v>
      </c>
      <c r="H100" s="271">
        <f ca="1">IF(OR(A100=1,AND(C100=ÉV!$I$2,D100&gt;ÉV!$J$2),C100&gt;ÉV!$I$2),0,INDEX(Pz!$B$2:$AM$48,A100-1,ÉV!$G$2-9)/100000*ÉV!$B$10)</f>
        <v>217389.46494392827</v>
      </c>
      <c r="I100" s="271">
        <f ca="1">INDEX(Pz!$B$2:$AM$48,HÓ!A100,ÉV!$G$2-9)/100000*ÉV!$B$10</f>
        <v>221720.53718024149</v>
      </c>
      <c r="J100" s="273">
        <f ca="1">IF(OR(A100=1,A100=2,AND(C100=ÉV!$I$2,D100&gt;ÉV!$J$2),C100&gt;ÉV!$I$2),0,VLOOKUP(A100-2,ÉV!$A$18:$C$65,3,0))</f>
        <v>1183683.678754952</v>
      </c>
      <c r="K100" s="273">
        <f ca="1">IF(OR(A100=1,AND(C100=ÉV!$I$2,D100&gt;ÉV!$J$2),C100&gt;ÉV!$I$2),0,VLOOKUP(A100-1,ÉV!$A$18:$C$65,3,0))</f>
        <v>1403795.1298145123</v>
      </c>
      <c r="L100" s="273">
        <f ca="1">VLOOKUP(A100,ÉV!$A$18:$C$65,3,0)*IF(OR(AND(C100=ÉV!$I$2,D100&gt;ÉV!$J$2),C100&gt;ÉV!$I$2),0,1)</f>
        <v>1628801.7736573364</v>
      </c>
      <c r="M100" s="273">
        <f ca="1">(K100*(12-B100)/12+L100*B100/12)*IF(A100&gt;ÉV!$G$2,0,1)+IF(A100&gt;ÉV!$G$2,M99,0)*IF(OR(AND(C100=ÉV!$I$2,D100&gt;ÉV!$J$2),C100&gt;ÉV!$I$2),0,1)</f>
        <v>1441296.2371216496</v>
      </c>
      <c r="N100" s="274">
        <f ca="1">IF(AND(C100=1,D100&lt;12),0,1)*IF(D100=12,MAX(0,F100-E100-0.003)*0.9*((K100+I100)*(B100/12)+(J100+H100)*(1-B100/12))+MAX(0,F100-0.003)*0.9*N99+N99,IF(AND(C100=ÉV!$I$2,D100=ÉV!$J$2),(M100+N99)*MAX(0,F100-0.003)*0.9*(D100/12)+N99,N99))*IF(OR(C100&gt;ÉV!$I$2,AND(C100=ÉV!$I$2,D100&gt;ÉV!$J$2)),0,1)</f>
        <v>0</v>
      </c>
      <c r="O100" s="313">
        <f ca="1">IF(MAX(AF$2:AF99)=2,      0,IF(OR(AC100=7, AF100=2),    SUM(AE$2:AE100),    O99)   )</f>
        <v>299485.34010012174</v>
      </c>
      <c r="P100" s="271">
        <f ca="1">IF(D100=12,V100+P99+P99*(F100-0.003)*0.9,IF(AND(C100=ÉV!$I$2,D100=ÉV!$J$2),V100+P99+P99*(F100-0.003)*0.9*D100/12,P99))*IF(OR(C100&gt;ÉV!$I$2,AND(C100=ÉV!$I$2,D100&gt;ÉV!$J$2)),0,1)</f>
        <v>0</v>
      </c>
      <c r="Q100" s="275">
        <f ca="1">(N100+P100)*IF(OR(AND(C100=ÉV!$I$2,D100&gt;ÉV!$J$2),C100&gt;ÉV!$I$2),0,1)</f>
        <v>0</v>
      </c>
      <c r="R100" s="271">
        <f ca="1">(MAX(0,F100-E100-0.003)*0.9*((K100+I100)*(1/12)))*IF(OR(C100&gt;ÉV!$I$2,AND(C100=ÉV!$I$2,D100&gt;ÉV!$J$2)),0,1)</f>
        <v>0</v>
      </c>
      <c r="S100" s="271">
        <f ca="1">(MAX(0,F100-0.003)*0.9*((O100)*(1/12)))*IF(OR(C100&gt;ÉV!$I$2,AND(C100=ÉV!$I$2,D100&gt;ÉV!$J$2)),0,1)</f>
        <v>0</v>
      </c>
      <c r="T100" s="271">
        <f ca="1">(MAX(0,F100-0.003)*0.9*((Q99)*(1/12)))*IF(OR(C100&gt;ÉV!$I$2,AND(C100=ÉV!$I$2,D100&gt;ÉV!$J$2)),0,1)</f>
        <v>0</v>
      </c>
      <c r="U100" s="271">
        <f ca="1">IF($D100=1,R100,R100+U99)*IF(OR(C100&gt;ÉV!$I$2,AND(C100=ÉV!$I$2,D100&gt;ÉV!$J$2)),0,1)</f>
        <v>0</v>
      </c>
      <c r="V100" s="271">
        <f ca="1">IF($D100=1,S100,S100+V99)*IF(OR(C100&gt;ÉV!$I$2,AND(C100=ÉV!$I$2,D100&gt;ÉV!$J$2)),0,1)</f>
        <v>0</v>
      </c>
      <c r="W100" s="271">
        <f ca="1">IF($D100=1,T100,T100+W99)*IF(OR(C100&gt;ÉV!$I$2,AND(C100=ÉV!$I$2,D100&gt;ÉV!$J$2)),0,1)</f>
        <v>0</v>
      </c>
      <c r="X100" s="271">
        <f ca="1">IF(OR(D100=12,AND(C100=ÉV!$I$2,D100=ÉV!$J$2)),SUM(U100:W100)+X99,X99)*IF(OR(C100&gt;ÉV!$I$2,AND(C100=ÉV!$I$2,D100&gt;ÉV!$J$2)),0,1)</f>
        <v>0</v>
      </c>
      <c r="Y100" s="271">
        <f t="shared" ca="1" si="13"/>
        <v>0</v>
      </c>
      <c r="Z100" s="265">
        <f t="shared" si="14"/>
        <v>2</v>
      </c>
      <c r="AA100" s="272">
        <f t="shared" ca="1" si="15"/>
        <v>20440.574284402024</v>
      </c>
      <c r="AB100" s="265">
        <f t="shared" ca="1" si="21"/>
        <v>2025</v>
      </c>
      <c r="AC100" s="265">
        <f t="shared" ca="1" si="22"/>
        <v>5</v>
      </c>
      <c r="AD100" s="276">
        <f ca="1">IF(     OR(               AND(MAX(AF$6:AF100)&lt;2,  AC100=12),                 AF100=2),                   SUMIF(AB:AB,AB100,AA:AA),                       0)</f>
        <v>0</v>
      </c>
      <c r="AE100" s="277">
        <f t="shared" ca="1" si="23"/>
        <v>0</v>
      </c>
      <c r="AF100" s="277">
        <f t="shared" ca="1" si="16"/>
        <v>0</v>
      </c>
      <c r="AG100" s="402">
        <f ca="1">IF(  AND(AC100=AdóHó,   MAX(AF$1:AF99)&lt;2),   SUMIF(AB:AB,AB100-1,AE:AE),0  )
+ IF(AND(AC100&lt;AdóHó,                            AF100=2),   SUMIF(AB:AB,AB100-1,AE:AE),0  )
+ IF(                                                                  AF100=2,    SUMIF(AB:AB,AB100,AE:AE   ),0  )</f>
        <v>0</v>
      </c>
      <c r="AH100" s="272">
        <f ca="1">SUM(AG$2:AG100)</f>
        <v>299485.34010012174</v>
      </c>
    </row>
    <row r="101" spans="1:34">
      <c r="A101" s="265">
        <f t="shared" si="17"/>
        <v>9</v>
      </c>
      <c r="B101" s="265">
        <f t="shared" si="18"/>
        <v>3</v>
      </c>
      <c r="C101" s="265">
        <f t="shared" ca="1" si="19"/>
        <v>9</v>
      </c>
      <c r="D101" s="265">
        <f t="shared" ca="1" si="20"/>
        <v>6</v>
      </c>
      <c r="E101" s="266">
        <v>5.0000000000000001E-3</v>
      </c>
      <c r="F101" s="267">
        <f>ÉV!$B$12</f>
        <v>0</v>
      </c>
      <c r="G101" s="271">
        <f ca="1">VLOOKUP(A101,ÉV!$A$18:$B$65,2,0)</f>
        <v>245286.89141282431</v>
      </c>
      <c r="H101" s="271">
        <f ca="1">IF(OR(A101=1,AND(C101=ÉV!$I$2,D101&gt;ÉV!$J$2),C101&gt;ÉV!$I$2),0,INDEX(Pz!$B$2:$AM$48,A101-1,ÉV!$G$2-9)/100000*ÉV!$B$10)</f>
        <v>217389.46494392827</v>
      </c>
      <c r="I101" s="271">
        <f ca="1">INDEX(Pz!$B$2:$AM$48,HÓ!A101,ÉV!$G$2-9)/100000*ÉV!$B$10</f>
        <v>221720.53718024149</v>
      </c>
      <c r="J101" s="273">
        <f ca="1">IF(OR(A101=1,A101=2,AND(C101=ÉV!$I$2,D101&gt;ÉV!$J$2),C101&gt;ÉV!$I$2),0,VLOOKUP(A101-2,ÉV!$A$18:$C$65,3,0))</f>
        <v>1183683.678754952</v>
      </c>
      <c r="K101" s="273">
        <f ca="1">IF(OR(A101=1,AND(C101=ÉV!$I$2,D101&gt;ÉV!$J$2),C101&gt;ÉV!$I$2),0,VLOOKUP(A101-1,ÉV!$A$18:$C$65,3,0))</f>
        <v>1403795.1298145123</v>
      </c>
      <c r="L101" s="273">
        <f ca="1">VLOOKUP(A101,ÉV!$A$18:$C$65,3,0)*IF(OR(AND(C101=ÉV!$I$2,D101&gt;ÉV!$J$2),C101&gt;ÉV!$I$2),0,1)</f>
        <v>1628801.7736573364</v>
      </c>
      <c r="M101" s="273">
        <f ca="1">(K101*(12-B101)/12+L101*B101/12)*IF(A101&gt;ÉV!$G$2,0,1)+IF(A101&gt;ÉV!$G$2,M100,0)*IF(OR(AND(C101=ÉV!$I$2,D101&gt;ÉV!$J$2),C101&gt;ÉV!$I$2),0,1)</f>
        <v>1460046.7907752183</v>
      </c>
      <c r="N101" s="274">
        <f ca="1">IF(AND(C101=1,D101&lt;12),0,1)*IF(D101=12,MAX(0,F101-E101-0.003)*0.9*((K101+I101)*(B101/12)+(J101+H101)*(1-B101/12))+MAX(0,F101-0.003)*0.9*N100+N100,IF(AND(C101=ÉV!$I$2,D101=ÉV!$J$2),(M101+N100)*MAX(0,F101-0.003)*0.9*(D101/12)+N100,N100))*IF(OR(C101&gt;ÉV!$I$2,AND(C101=ÉV!$I$2,D101&gt;ÉV!$J$2)),0,1)</f>
        <v>0</v>
      </c>
      <c r="O101" s="313">
        <f ca="1">IF(MAX(AF$2:AF100)=2,      0,IF(OR(AC101=7, AF101=2),    SUM(AE$2:AE101),    O100)   )</f>
        <v>299485.34010012174</v>
      </c>
      <c r="P101" s="271">
        <f ca="1">IF(D101=12,V101+P100+P100*(F101-0.003)*0.9,IF(AND(C101=ÉV!$I$2,D101=ÉV!$J$2),V101+P100+P100*(F101-0.003)*0.9*D101/12,P100))*IF(OR(C101&gt;ÉV!$I$2,AND(C101=ÉV!$I$2,D101&gt;ÉV!$J$2)),0,1)</f>
        <v>0</v>
      </c>
      <c r="Q101" s="275">
        <f ca="1">(N101+P101)*IF(OR(AND(C101=ÉV!$I$2,D101&gt;ÉV!$J$2),C101&gt;ÉV!$I$2),0,1)</f>
        <v>0</v>
      </c>
      <c r="R101" s="271">
        <f ca="1">(MAX(0,F101-E101-0.003)*0.9*((K101+I101)*(1/12)))*IF(OR(C101&gt;ÉV!$I$2,AND(C101=ÉV!$I$2,D101&gt;ÉV!$J$2)),0,1)</f>
        <v>0</v>
      </c>
      <c r="S101" s="271">
        <f ca="1">(MAX(0,F101-0.003)*0.9*((O101)*(1/12)))*IF(OR(C101&gt;ÉV!$I$2,AND(C101=ÉV!$I$2,D101&gt;ÉV!$J$2)),0,1)</f>
        <v>0</v>
      </c>
      <c r="T101" s="271">
        <f ca="1">(MAX(0,F101-0.003)*0.9*((Q100)*(1/12)))*IF(OR(C101&gt;ÉV!$I$2,AND(C101=ÉV!$I$2,D101&gt;ÉV!$J$2)),0,1)</f>
        <v>0</v>
      </c>
      <c r="U101" s="271">
        <f ca="1">IF($D101=1,R101,R101+U100)*IF(OR(C101&gt;ÉV!$I$2,AND(C101=ÉV!$I$2,D101&gt;ÉV!$J$2)),0,1)</f>
        <v>0</v>
      </c>
      <c r="V101" s="271">
        <f ca="1">IF($D101=1,S101,S101+V100)*IF(OR(C101&gt;ÉV!$I$2,AND(C101=ÉV!$I$2,D101&gt;ÉV!$J$2)),0,1)</f>
        <v>0</v>
      </c>
      <c r="W101" s="271">
        <f ca="1">IF($D101=1,T101,T101+W100)*IF(OR(C101&gt;ÉV!$I$2,AND(C101=ÉV!$I$2,D101&gt;ÉV!$J$2)),0,1)</f>
        <v>0</v>
      </c>
      <c r="X101" s="271">
        <f ca="1">IF(OR(D101=12,AND(C101=ÉV!$I$2,D101=ÉV!$J$2)),SUM(U101:W101)+X100,X100)*IF(OR(C101&gt;ÉV!$I$2,AND(C101=ÉV!$I$2,D101&gt;ÉV!$J$2)),0,1)</f>
        <v>0</v>
      </c>
      <c r="Y101" s="271">
        <f t="shared" ca="1" si="13"/>
        <v>0</v>
      </c>
      <c r="Z101" s="265">
        <f t="shared" si="14"/>
        <v>3</v>
      </c>
      <c r="AA101" s="272">
        <f t="shared" ca="1" si="15"/>
        <v>20440.574284402024</v>
      </c>
      <c r="AB101" s="265">
        <f t="shared" ca="1" si="21"/>
        <v>2025</v>
      </c>
      <c r="AC101" s="265">
        <f t="shared" ca="1" si="22"/>
        <v>6</v>
      </c>
      <c r="AD101" s="276">
        <f ca="1">IF(     OR(               AND(MAX(AF$6:AF101)&lt;2,  AC101=12),                 AF101=2),                   SUMIF(AB:AB,AB101,AA:AA),                       0)</f>
        <v>0</v>
      </c>
      <c r="AE101" s="277">
        <f t="shared" ca="1" si="23"/>
        <v>0</v>
      </c>
      <c r="AF101" s="277">
        <f t="shared" ca="1" si="16"/>
        <v>0</v>
      </c>
      <c r="AG101" s="402">
        <f ca="1">IF(  AND(AC101=AdóHó,   MAX(AF$1:AF100)&lt;2),   SUMIF(AB:AB,AB101-1,AE:AE),0  )
+ IF(AND(AC101&lt;AdóHó,                            AF101=2),   SUMIF(AB:AB,AB101-1,AE:AE),0  )
+ IF(                                                                  AF101=2,    SUMIF(AB:AB,AB101,AE:AE   ),0  )</f>
        <v>0</v>
      </c>
      <c r="AH101" s="272">
        <f ca="1">SUM(AG$2:AG101)</f>
        <v>299485.34010012174</v>
      </c>
    </row>
    <row r="102" spans="1:34">
      <c r="A102" s="265">
        <f t="shared" si="17"/>
        <v>9</v>
      </c>
      <c r="B102" s="265">
        <f t="shared" si="18"/>
        <v>4</v>
      </c>
      <c r="C102" s="265">
        <f t="shared" ca="1" si="19"/>
        <v>9</v>
      </c>
      <c r="D102" s="265">
        <f t="shared" ca="1" si="20"/>
        <v>7</v>
      </c>
      <c r="E102" s="266">
        <v>5.0000000000000001E-3</v>
      </c>
      <c r="F102" s="267">
        <f>ÉV!$B$12</f>
        <v>0</v>
      </c>
      <c r="G102" s="271">
        <f ca="1">VLOOKUP(A102,ÉV!$A$18:$B$65,2,0)</f>
        <v>245286.89141282431</v>
      </c>
      <c r="H102" s="271">
        <f ca="1">IF(OR(A102=1,AND(C102=ÉV!$I$2,D102&gt;ÉV!$J$2),C102&gt;ÉV!$I$2),0,INDEX(Pz!$B$2:$AM$48,A102-1,ÉV!$G$2-9)/100000*ÉV!$B$10)</f>
        <v>217389.46494392827</v>
      </c>
      <c r="I102" s="271">
        <f ca="1">INDEX(Pz!$B$2:$AM$48,HÓ!A102,ÉV!$G$2-9)/100000*ÉV!$B$10</f>
        <v>221720.53718024149</v>
      </c>
      <c r="J102" s="273">
        <f ca="1">IF(OR(A102=1,A102=2,AND(C102=ÉV!$I$2,D102&gt;ÉV!$J$2),C102&gt;ÉV!$I$2),0,VLOOKUP(A102-2,ÉV!$A$18:$C$65,3,0))</f>
        <v>1183683.678754952</v>
      </c>
      <c r="K102" s="273">
        <f ca="1">IF(OR(A102=1,AND(C102=ÉV!$I$2,D102&gt;ÉV!$J$2),C102&gt;ÉV!$I$2),0,VLOOKUP(A102-1,ÉV!$A$18:$C$65,3,0))</f>
        <v>1403795.1298145123</v>
      </c>
      <c r="L102" s="273">
        <f ca="1">VLOOKUP(A102,ÉV!$A$18:$C$65,3,0)*IF(OR(AND(C102=ÉV!$I$2,D102&gt;ÉV!$J$2),C102&gt;ÉV!$I$2),0,1)</f>
        <v>1628801.7736573364</v>
      </c>
      <c r="M102" s="273">
        <f ca="1">(K102*(12-B102)/12+L102*B102/12)*IF(A102&gt;ÉV!$G$2,0,1)+IF(A102&gt;ÉV!$G$2,M101,0)*IF(OR(AND(C102=ÉV!$I$2,D102&gt;ÉV!$J$2),C102&gt;ÉV!$I$2),0,1)</f>
        <v>1478797.344428787</v>
      </c>
      <c r="N102" s="274">
        <f ca="1">IF(AND(C102=1,D102&lt;12),0,1)*IF(D102=12,MAX(0,F102-E102-0.003)*0.9*((K102+I102)*(B102/12)+(J102+H102)*(1-B102/12))+MAX(0,F102-0.003)*0.9*N101+N101,IF(AND(C102=ÉV!$I$2,D102=ÉV!$J$2),(M102+N101)*MAX(0,F102-0.003)*0.9*(D102/12)+N101,N101))*IF(OR(C102&gt;ÉV!$I$2,AND(C102=ÉV!$I$2,D102&gt;ÉV!$J$2)),0,1)</f>
        <v>0</v>
      </c>
      <c r="O102" s="313">
        <f ca="1">IF(MAX(AF$2:AF101)=2,      0,IF(OR(AC102=7, AF102=2),    SUM(AE$2:AE102),    O101)   )</f>
        <v>347345.04690212419</v>
      </c>
      <c r="P102" s="271">
        <f ca="1">IF(D102=12,V102+P101+P101*(F102-0.003)*0.9,IF(AND(C102=ÉV!$I$2,D102=ÉV!$J$2),V102+P101+P101*(F102-0.003)*0.9*D102/12,P101))*IF(OR(C102&gt;ÉV!$I$2,AND(C102=ÉV!$I$2,D102&gt;ÉV!$J$2)),0,1)</f>
        <v>0</v>
      </c>
      <c r="Q102" s="275">
        <f ca="1">(N102+P102)*IF(OR(AND(C102=ÉV!$I$2,D102&gt;ÉV!$J$2),C102&gt;ÉV!$I$2),0,1)</f>
        <v>0</v>
      </c>
      <c r="R102" s="271">
        <f ca="1">(MAX(0,F102-E102-0.003)*0.9*((K102+I102)*(1/12)))*IF(OR(C102&gt;ÉV!$I$2,AND(C102=ÉV!$I$2,D102&gt;ÉV!$J$2)),0,1)</f>
        <v>0</v>
      </c>
      <c r="S102" s="271">
        <f ca="1">(MAX(0,F102-0.003)*0.9*((O102)*(1/12)))*IF(OR(C102&gt;ÉV!$I$2,AND(C102=ÉV!$I$2,D102&gt;ÉV!$J$2)),0,1)</f>
        <v>0</v>
      </c>
      <c r="T102" s="271">
        <f ca="1">(MAX(0,F102-0.003)*0.9*((Q101)*(1/12)))*IF(OR(C102&gt;ÉV!$I$2,AND(C102=ÉV!$I$2,D102&gt;ÉV!$J$2)),0,1)</f>
        <v>0</v>
      </c>
      <c r="U102" s="271">
        <f ca="1">IF($D102=1,R102,R102+U101)*IF(OR(C102&gt;ÉV!$I$2,AND(C102=ÉV!$I$2,D102&gt;ÉV!$J$2)),0,1)</f>
        <v>0</v>
      </c>
      <c r="V102" s="271">
        <f ca="1">IF($D102=1,S102,S102+V101)*IF(OR(C102&gt;ÉV!$I$2,AND(C102=ÉV!$I$2,D102&gt;ÉV!$J$2)),0,1)</f>
        <v>0</v>
      </c>
      <c r="W102" s="271">
        <f ca="1">IF($D102=1,T102,T102+W101)*IF(OR(C102&gt;ÉV!$I$2,AND(C102=ÉV!$I$2,D102&gt;ÉV!$J$2)),0,1)</f>
        <v>0</v>
      </c>
      <c r="X102" s="271">
        <f ca="1">IF(OR(D102=12,AND(C102=ÉV!$I$2,D102=ÉV!$J$2)),SUM(U102:W102)+X101,X101)*IF(OR(C102&gt;ÉV!$I$2,AND(C102=ÉV!$I$2,D102&gt;ÉV!$J$2)),0,1)</f>
        <v>0</v>
      </c>
      <c r="Y102" s="271">
        <f t="shared" ca="1" si="13"/>
        <v>0</v>
      </c>
      <c r="Z102" s="265">
        <f t="shared" si="14"/>
        <v>4</v>
      </c>
      <c r="AA102" s="272">
        <f t="shared" ca="1" si="15"/>
        <v>20440.574284402024</v>
      </c>
      <c r="AB102" s="265">
        <f t="shared" ca="1" si="21"/>
        <v>2025</v>
      </c>
      <c r="AC102" s="265">
        <f t="shared" ca="1" si="22"/>
        <v>7</v>
      </c>
      <c r="AD102" s="276">
        <f ca="1">IF(     OR(               AND(MAX(AF$6:AF102)&lt;2,  AC102=12),                 AF102=2),                   SUMIF(AB:AB,AB102,AA:AA),                       0)</f>
        <v>0</v>
      </c>
      <c r="AE102" s="277">
        <f t="shared" ca="1" si="23"/>
        <v>0</v>
      </c>
      <c r="AF102" s="277">
        <f t="shared" ca="1" si="16"/>
        <v>0</v>
      </c>
      <c r="AG102" s="402">
        <f ca="1">IF(  AND(AC102=AdóHó,   MAX(AF$1:AF101)&lt;2),   SUMIF(AB:AB,AB102-1,AE:AE),0  )
+ IF(AND(AC102&lt;AdóHó,                            AF102=2),   SUMIF(AB:AB,AB102-1,AE:AE),0  )
+ IF(                                                                  AF102=2,    SUMIF(AB:AB,AB102,AE:AE   ),0  )</f>
        <v>47859.706802002438</v>
      </c>
      <c r="AH102" s="272">
        <f ca="1">SUM(AG$2:AG102)</f>
        <v>347345.04690212419</v>
      </c>
    </row>
    <row r="103" spans="1:34">
      <c r="A103" s="265">
        <f t="shared" si="17"/>
        <v>9</v>
      </c>
      <c r="B103" s="265">
        <f t="shared" si="18"/>
        <v>5</v>
      </c>
      <c r="C103" s="265">
        <f t="shared" ca="1" si="19"/>
        <v>9</v>
      </c>
      <c r="D103" s="265">
        <f t="shared" ca="1" si="20"/>
        <v>8</v>
      </c>
      <c r="E103" s="266">
        <v>5.0000000000000001E-3</v>
      </c>
      <c r="F103" s="267">
        <f>ÉV!$B$12</f>
        <v>0</v>
      </c>
      <c r="G103" s="271">
        <f ca="1">VLOOKUP(A103,ÉV!$A$18:$B$65,2,0)</f>
        <v>245286.89141282431</v>
      </c>
      <c r="H103" s="271">
        <f ca="1">IF(OR(A103=1,AND(C103=ÉV!$I$2,D103&gt;ÉV!$J$2),C103&gt;ÉV!$I$2),0,INDEX(Pz!$B$2:$AM$48,A103-1,ÉV!$G$2-9)/100000*ÉV!$B$10)</f>
        <v>217389.46494392827</v>
      </c>
      <c r="I103" s="271">
        <f ca="1">INDEX(Pz!$B$2:$AM$48,HÓ!A103,ÉV!$G$2-9)/100000*ÉV!$B$10</f>
        <v>221720.53718024149</v>
      </c>
      <c r="J103" s="273">
        <f ca="1">IF(OR(A103=1,A103=2,AND(C103=ÉV!$I$2,D103&gt;ÉV!$J$2),C103&gt;ÉV!$I$2),0,VLOOKUP(A103-2,ÉV!$A$18:$C$65,3,0))</f>
        <v>1183683.678754952</v>
      </c>
      <c r="K103" s="273">
        <f ca="1">IF(OR(A103=1,AND(C103=ÉV!$I$2,D103&gt;ÉV!$J$2),C103&gt;ÉV!$I$2),0,VLOOKUP(A103-1,ÉV!$A$18:$C$65,3,0))</f>
        <v>1403795.1298145123</v>
      </c>
      <c r="L103" s="273">
        <f ca="1">VLOOKUP(A103,ÉV!$A$18:$C$65,3,0)*IF(OR(AND(C103=ÉV!$I$2,D103&gt;ÉV!$J$2),C103&gt;ÉV!$I$2),0,1)</f>
        <v>1628801.7736573364</v>
      </c>
      <c r="M103" s="273">
        <f ca="1">(K103*(12-B103)/12+L103*B103/12)*IF(A103&gt;ÉV!$G$2,0,1)+IF(A103&gt;ÉV!$G$2,M102,0)*IF(OR(AND(C103=ÉV!$I$2,D103&gt;ÉV!$J$2),C103&gt;ÉV!$I$2),0,1)</f>
        <v>1497547.8980823555</v>
      </c>
      <c r="N103" s="274">
        <f ca="1">IF(AND(C103=1,D103&lt;12),0,1)*IF(D103=12,MAX(0,F103-E103-0.003)*0.9*((K103+I103)*(B103/12)+(J103+H103)*(1-B103/12))+MAX(0,F103-0.003)*0.9*N102+N102,IF(AND(C103=ÉV!$I$2,D103=ÉV!$J$2),(M103+N102)*MAX(0,F103-0.003)*0.9*(D103/12)+N102,N102))*IF(OR(C103&gt;ÉV!$I$2,AND(C103=ÉV!$I$2,D103&gt;ÉV!$J$2)),0,1)</f>
        <v>0</v>
      </c>
      <c r="O103" s="313">
        <f ca="1">IF(MAX(AF$2:AF102)=2,      0,IF(OR(AC103=7, AF103=2),    SUM(AE$2:AE103),    O102)   )</f>
        <v>347345.04690212419</v>
      </c>
      <c r="P103" s="271">
        <f ca="1">IF(D103=12,V103+P102+P102*(F103-0.003)*0.9,IF(AND(C103=ÉV!$I$2,D103=ÉV!$J$2),V103+P102+P102*(F103-0.003)*0.9*D103/12,P102))*IF(OR(C103&gt;ÉV!$I$2,AND(C103=ÉV!$I$2,D103&gt;ÉV!$J$2)),0,1)</f>
        <v>0</v>
      </c>
      <c r="Q103" s="275">
        <f ca="1">(N103+P103)*IF(OR(AND(C103=ÉV!$I$2,D103&gt;ÉV!$J$2),C103&gt;ÉV!$I$2),0,1)</f>
        <v>0</v>
      </c>
      <c r="R103" s="271">
        <f ca="1">(MAX(0,F103-E103-0.003)*0.9*((K103+I103)*(1/12)))*IF(OR(C103&gt;ÉV!$I$2,AND(C103=ÉV!$I$2,D103&gt;ÉV!$J$2)),0,1)</f>
        <v>0</v>
      </c>
      <c r="S103" s="271">
        <f ca="1">(MAX(0,F103-0.003)*0.9*((O103)*(1/12)))*IF(OR(C103&gt;ÉV!$I$2,AND(C103=ÉV!$I$2,D103&gt;ÉV!$J$2)),0,1)</f>
        <v>0</v>
      </c>
      <c r="T103" s="271">
        <f ca="1">(MAX(0,F103-0.003)*0.9*((Q102)*(1/12)))*IF(OR(C103&gt;ÉV!$I$2,AND(C103=ÉV!$I$2,D103&gt;ÉV!$J$2)),0,1)</f>
        <v>0</v>
      </c>
      <c r="U103" s="271">
        <f ca="1">IF($D103=1,R103,R103+U102)*IF(OR(C103&gt;ÉV!$I$2,AND(C103=ÉV!$I$2,D103&gt;ÉV!$J$2)),0,1)</f>
        <v>0</v>
      </c>
      <c r="V103" s="271">
        <f ca="1">IF($D103=1,S103,S103+V102)*IF(OR(C103&gt;ÉV!$I$2,AND(C103=ÉV!$I$2,D103&gt;ÉV!$J$2)),0,1)</f>
        <v>0</v>
      </c>
      <c r="W103" s="271">
        <f ca="1">IF($D103=1,T103,T103+W102)*IF(OR(C103&gt;ÉV!$I$2,AND(C103=ÉV!$I$2,D103&gt;ÉV!$J$2)),0,1)</f>
        <v>0</v>
      </c>
      <c r="X103" s="271">
        <f ca="1">IF(OR(D103=12,AND(C103=ÉV!$I$2,D103=ÉV!$J$2)),SUM(U103:W103)+X102,X102)*IF(OR(C103&gt;ÉV!$I$2,AND(C103=ÉV!$I$2,D103&gt;ÉV!$J$2)),0,1)</f>
        <v>0</v>
      </c>
      <c r="Y103" s="271">
        <f t="shared" ca="1" si="13"/>
        <v>0</v>
      </c>
      <c r="Z103" s="265">
        <f t="shared" si="14"/>
        <v>5</v>
      </c>
      <c r="AA103" s="272">
        <f t="shared" ca="1" si="15"/>
        <v>20440.574284402024</v>
      </c>
      <c r="AB103" s="265">
        <f t="shared" ca="1" si="21"/>
        <v>2025</v>
      </c>
      <c r="AC103" s="265">
        <f t="shared" ca="1" si="22"/>
        <v>8</v>
      </c>
      <c r="AD103" s="276">
        <f ca="1">IF(     OR(               AND(MAX(AF$6:AF103)&lt;2,  AC103=12),                 AF103=2),                   SUMIF(AB:AB,AB103,AA:AA),                       0)</f>
        <v>0</v>
      </c>
      <c r="AE103" s="277">
        <f t="shared" ca="1" si="23"/>
        <v>0</v>
      </c>
      <c r="AF103" s="277">
        <f t="shared" ca="1" si="16"/>
        <v>0</v>
      </c>
      <c r="AG103" s="402">
        <f ca="1">IF(  AND(AC103=AdóHó,   MAX(AF$1:AF102)&lt;2),   SUMIF(AB:AB,AB103-1,AE:AE),0  )
+ IF(AND(AC103&lt;AdóHó,                            AF103=2),   SUMIF(AB:AB,AB103-1,AE:AE),0  )
+ IF(                                                                  AF103=2,    SUMIF(AB:AB,AB103,AE:AE   ),0  )</f>
        <v>0</v>
      </c>
      <c r="AH103" s="272">
        <f ca="1">SUM(AG$2:AG103)</f>
        <v>347345.04690212419</v>
      </c>
    </row>
    <row r="104" spans="1:34">
      <c r="A104" s="265">
        <f t="shared" si="17"/>
        <v>9</v>
      </c>
      <c r="B104" s="265">
        <f t="shared" si="18"/>
        <v>6</v>
      </c>
      <c r="C104" s="265">
        <f t="shared" ca="1" si="19"/>
        <v>9</v>
      </c>
      <c r="D104" s="265">
        <f t="shared" ca="1" si="20"/>
        <v>9</v>
      </c>
      <c r="E104" s="266">
        <v>5.0000000000000001E-3</v>
      </c>
      <c r="F104" s="267">
        <f>ÉV!$B$12</f>
        <v>0</v>
      </c>
      <c r="G104" s="271">
        <f ca="1">VLOOKUP(A104,ÉV!$A$18:$B$65,2,0)</f>
        <v>245286.89141282431</v>
      </c>
      <c r="H104" s="271">
        <f ca="1">IF(OR(A104=1,AND(C104=ÉV!$I$2,D104&gt;ÉV!$J$2),C104&gt;ÉV!$I$2),0,INDEX(Pz!$B$2:$AM$48,A104-1,ÉV!$G$2-9)/100000*ÉV!$B$10)</f>
        <v>217389.46494392827</v>
      </c>
      <c r="I104" s="271">
        <f ca="1">INDEX(Pz!$B$2:$AM$48,HÓ!A104,ÉV!$G$2-9)/100000*ÉV!$B$10</f>
        <v>221720.53718024149</v>
      </c>
      <c r="J104" s="273">
        <f ca="1">IF(OR(A104=1,A104=2,AND(C104=ÉV!$I$2,D104&gt;ÉV!$J$2),C104&gt;ÉV!$I$2),0,VLOOKUP(A104-2,ÉV!$A$18:$C$65,3,0))</f>
        <v>1183683.678754952</v>
      </c>
      <c r="K104" s="273">
        <f ca="1">IF(OR(A104=1,AND(C104=ÉV!$I$2,D104&gt;ÉV!$J$2),C104&gt;ÉV!$I$2),0,VLOOKUP(A104-1,ÉV!$A$18:$C$65,3,0))</f>
        <v>1403795.1298145123</v>
      </c>
      <c r="L104" s="273">
        <f ca="1">VLOOKUP(A104,ÉV!$A$18:$C$65,3,0)*IF(OR(AND(C104=ÉV!$I$2,D104&gt;ÉV!$J$2),C104&gt;ÉV!$I$2),0,1)</f>
        <v>1628801.7736573364</v>
      </c>
      <c r="M104" s="273">
        <f ca="1">(K104*(12-B104)/12+L104*B104/12)*IF(A104&gt;ÉV!$G$2,0,1)+IF(A104&gt;ÉV!$G$2,M103,0)*IF(OR(AND(C104=ÉV!$I$2,D104&gt;ÉV!$J$2),C104&gt;ÉV!$I$2),0,1)</f>
        <v>1516298.4517359242</v>
      </c>
      <c r="N104" s="274">
        <f ca="1">IF(AND(C104=1,D104&lt;12),0,1)*IF(D104=12,MAX(0,F104-E104-0.003)*0.9*((K104+I104)*(B104/12)+(J104+H104)*(1-B104/12))+MAX(0,F104-0.003)*0.9*N103+N103,IF(AND(C104=ÉV!$I$2,D104=ÉV!$J$2),(M104+N103)*MAX(0,F104-0.003)*0.9*(D104/12)+N103,N103))*IF(OR(C104&gt;ÉV!$I$2,AND(C104=ÉV!$I$2,D104&gt;ÉV!$J$2)),0,1)</f>
        <v>0</v>
      </c>
      <c r="O104" s="313">
        <f ca="1">IF(MAX(AF$2:AF103)=2,      0,IF(OR(AC104=7, AF104=2),    SUM(AE$2:AE104),    O103)   )</f>
        <v>347345.04690212419</v>
      </c>
      <c r="P104" s="271">
        <f ca="1">IF(D104=12,V104+P103+P103*(F104-0.003)*0.9,IF(AND(C104=ÉV!$I$2,D104=ÉV!$J$2),V104+P103+P103*(F104-0.003)*0.9*D104/12,P103))*IF(OR(C104&gt;ÉV!$I$2,AND(C104=ÉV!$I$2,D104&gt;ÉV!$J$2)),0,1)</f>
        <v>0</v>
      </c>
      <c r="Q104" s="275">
        <f ca="1">(N104+P104)*IF(OR(AND(C104=ÉV!$I$2,D104&gt;ÉV!$J$2),C104&gt;ÉV!$I$2),0,1)</f>
        <v>0</v>
      </c>
      <c r="R104" s="271">
        <f ca="1">(MAX(0,F104-E104-0.003)*0.9*((K104+I104)*(1/12)))*IF(OR(C104&gt;ÉV!$I$2,AND(C104=ÉV!$I$2,D104&gt;ÉV!$J$2)),0,1)</f>
        <v>0</v>
      </c>
      <c r="S104" s="271">
        <f ca="1">(MAX(0,F104-0.003)*0.9*((O104)*(1/12)))*IF(OR(C104&gt;ÉV!$I$2,AND(C104=ÉV!$I$2,D104&gt;ÉV!$J$2)),0,1)</f>
        <v>0</v>
      </c>
      <c r="T104" s="271">
        <f ca="1">(MAX(0,F104-0.003)*0.9*((Q103)*(1/12)))*IF(OR(C104&gt;ÉV!$I$2,AND(C104=ÉV!$I$2,D104&gt;ÉV!$J$2)),0,1)</f>
        <v>0</v>
      </c>
      <c r="U104" s="271">
        <f ca="1">IF($D104=1,R104,R104+U103)*IF(OR(C104&gt;ÉV!$I$2,AND(C104=ÉV!$I$2,D104&gt;ÉV!$J$2)),0,1)</f>
        <v>0</v>
      </c>
      <c r="V104" s="271">
        <f ca="1">IF($D104=1,S104,S104+V103)*IF(OR(C104&gt;ÉV!$I$2,AND(C104=ÉV!$I$2,D104&gt;ÉV!$J$2)),0,1)</f>
        <v>0</v>
      </c>
      <c r="W104" s="271">
        <f ca="1">IF($D104=1,T104,T104+W103)*IF(OR(C104&gt;ÉV!$I$2,AND(C104=ÉV!$I$2,D104&gt;ÉV!$J$2)),0,1)</f>
        <v>0</v>
      </c>
      <c r="X104" s="271">
        <f ca="1">IF(OR(D104=12,AND(C104=ÉV!$I$2,D104=ÉV!$J$2)),SUM(U104:W104)+X103,X103)*IF(OR(C104&gt;ÉV!$I$2,AND(C104=ÉV!$I$2,D104&gt;ÉV!$J$2)),0,1)</f>
        <v>0</v>
      </c>
      <c r="Y104" s="271">
        <f t="shared" ca="1" si="13"/>
        <v>0</v>
      </c>
      <c r="Z104" s="265">
        <f t="shared" si="14"/>
        <v>6</v>
      </c>
      <c r="AA104" s="272">
        <f t="shared" ca="1" si="15"/>
        <v>20440.574284402024</v>
      </c>
      <c r="AB104" s="265">
        <f t="shared" ca="1" si="21"/>
        <v>2025</v>
      </c>
      <c r="AC104" s="265">
        <f t="shared" ca="1" si="22"/>
        <v>9</v>
      </c>
      <c r="AD104" s="276">
        <f ca="1">IF(     OR(               AND(MAX(AF$6:AF104)&lt;2,  AC104=12),                 AF104=2),                   SUMIF(AB:AB,AB104,AA:AA),                       0)</f>
        <v>0</v>
      </c>
      <c r="AE104" s="277">
        <f t="shared" ca="1" si="23"/>
        <v>0</v>
      </c>
      <c r="AF104" s="277">
        <f t="shared" ca="1" si="16"/>
        <v>0</v>
      </c>
      <c r="AG104" s="402">
        <f ca="1">IF(  AND(AC104=AdóHó,   MAX(AF$1:AF103)&lt;2),   SUMIF(AB:AB,AB104-1,AE:AE),0  )
+ IF(AND(AC104&lt;AdóHó,                            AF104=2),   SUMIF(AB:AB,AB104-1,AE:AE),0  )
+ IF(                                                                  AF104=2,    SUMIF(AB:AB,AB104,AE:AE   ),0  )</f>
        <v>0</v>
      </c>
      <c r="AH104" s="272">
        <f ca="1">SUM(AG$2:AG104)</f>
        <v>347345.04690212419</v>
      </c>
    </row>
    <row r="105" spans="1:34">
      <c r="A105" s="265">
        <f t="shared" si="17"/>
        <v>9</v>
      </c>
      <c r="B105" s="265">
        <f t="shared" si="18"/>
        <v>7</v>
      </c>
      <c r="C105" s="265">
        <f t="shared" ca="1" si="19"/>
        <v>9</v>
      </c>
      <c r="D105" s="265">
        <f t="shared" ca="1" si="20"/>
        <v>10</v>
      </c>
      <c r="E105" s="266">
        <v>5.0000000000000001E-3</v>
      </c>
      <c r="F105" s="267">
        <f>ÉV!$B$12</f>
        <v>0</v>
      </c>
      <c r="G105" s="271">
        <f ca="1">VLOOKUP(A105,ÉV!$A$18:$B$65,2,0)</f>
        <v>245286.89141282431</v>
      </c>
      <c r="H105" s="271">
        <f ca="1">IF(OR(A105=1,AND(C105=ÉV!$I$2,D105&gt;ÉV!$J$2),C105&gt;ÉV!$I$2),0,INDEX(Pz!$B$2:$AM$48,A105-1,ÉV!$G$2-9)/100000*ÉV!$B$10)</f>
        <v>217389.46494392827</v>
      </c>
      <c r="I105" s="271">
        <f ca="1">INDEX(Pz!$B$2:$AM$48,HÓ!A105,ÉV!$G$2-9)/100000*ÉV!$B$10</f>
        <v>221720.53718024149</v>
      </c>
      <c r="J105" s="273">
        <f ca="1">IF(OR(A105=1,A105=2,AND(C105=ÉV!$I$2,D105&gt;ÉV!$J$2),C105&gt;ÉV!$I$2),0,VLOOKUP(A105-2,ÉV!$A$18:$C$65,3,0))</f>
        <v>1183683.678754952</v>
      </c>
      <c r="K105" s="273">
        <f ca="1">IF(OR(A105=1,AND(C105=ÉV!$I$2,D105&gt;ÉV!$J$2),C105&gt;ÉV!$I$2),0,VLOOKUP(A105-1,ÉV!$A$18:$C$65,3,0))</f>
        <v>1403795.1298145123</v>
      </c>
      <c r="L105" s="273">
        <f ca="1">VLOOKUP(A105,ÉV!$A$18:$C$65,3,0)*IF(OR(AND(C105=ÉV!$I$2,D105&gt;ÉV!$J$2),C105&gt;ÉV!$I$2),0,1)</f>
        <v>1628801.7736573364</v>
      </c>
      <c r="M105" s="273">
        <f ca="1">(K105*(12-B105)/12+L105*B105/12)*IF(A105&gt;ÉV!$G$2,0,1)+IF(A105&gt;ÉV!$G$2,M104,0)*IF(OR(AND(C105=ÉV!$I$2,D105&gt;ÉV!$J$2),C105&gt;ÉV!$I$2),0,1)</f>
        <v>1535049.005389493</v>
      </c>
      <c r="N105" s="274">
        <f ca="1">IF(AND(C105=1,D105&lt;12),0,1)*IF(D105=12,MAX(0,F105-E105-0.003)*0.9*((K105+I105)*(B105/12)+(J105+H105)*(1-B105/12))+MAX(0,F105-0.003)*0.9*N104+N104,IF(AND(C105=ÉV!$I$2,D105=ÉV!$J$2),(M105+N104)*MAX(0,F105-0.003)*0.9*(D105/12)+N104,N104))*IF(OR(C105&gt;ÉV!$I$2,AND(C105=ÉV!$I$2,D105&gt;ÉV!$J$2)),0,1)</f>
        <v>0</v>
      </c>
      <c r="O105" s="313">
        <f ca="1">IF(MAX(AF$2:AF104)=2,      0,IF(OR(AC105=7, AF105=2),    SUM(AE$2:AE105),    O104)   )</f>
        <v>347345.04690212419</v>
      </c>
      <c r="P105" s="271">
        <f ca="1">IF(D105=12,V105+P104+P104*(F105-0.003)*0.9,IF(AND(C105=ÉV!$I$2,D105=ÉV!$J$2),V105+P104+P104*(F105-0.003)*0.9*D105/12,P104))*IF(OR(C105&gt;ÉV!$I$2,AND(C105=ÉV!$I$2,D105&gt;ÉV!$J$2)),0,1)</f>
        <v>0</v>
      </c>
      <c r="Q105" s="275">
        <f ca="1">(N105+P105)*IF(OR(AND(C105=ÉV!$I$2,D105&gt;ÉV!$J$2),C105&gt;ÉV!$I$2),0,1)</f>
        <v>0</v>
      </c>
      <c r="R105" s="271">
        <f ca="1">(MAX(0,F105-E105-0.003)*0.9*((K105+I105)*(1/12)))*IF(OR(C105&gt;ÉV!$I$2,AND(C105=ÉV!$I$2,D105&gt;ÉV!$J$2)),0,1)</f>
        <v>0</v>
      </c>
      <c r="S105" s="271">
        <f ca="1">(MAX(0,F105-0.003)*0.9*((O105)*(1/12)))*IF(OR(C105&gt;ÉV!$I$2,AND(C105=ÉV!$I$2,D105&gt;ÉV!$J$2)),0,1)</f>
        <v>0</v>
      </c>
      <c r="T105" s="271">
        <f ca="1">(MAX(0,F105-0.003)*0.9*((Q104)*(1/12)))*IF(OR(C105&gt;ÉV!$I$2,AND(C105=ÉV!$I$2,D105&gt;ÉV!$J$2)),0,1)</f>
        <v>0</v>
      </c>
      <c r="U105" s="271">
        <f ca="1">IF($D105=1,R105,R105+U104)*IF(OR(C105&gt;ÉV!$I$2,AND(C105=ÉV!$I$2,D105&gt;ÉV!$J$2)),0,1)</f>
        <v>0</v>
      </c>
      <c r="V105" s="271">
        <f ca="1">IF($D105=1,S105,S105+V104)*IF(OR(C105&gt;ÉV!$I$2,AND(C105=ÉV!$I$2,D105&gt;ÉV!$J$2)),0,1)</f>
        <v>0</v>
      </c>
      <c r="W105" s="271">
        <f ca="1">IF($D105=1,T105,T105+W104)*IF(OR(C105&gt;ÉV!$I$2,AND(C105=ÉV!$I$2,D105&gt;ÉV!$J$2)),0,1)</f>
        <v>0</v>
      </c>
      <c r="X105" s="271">
        <f ca="1">IF(OR(D105=12,AND(C105=ÉV!$I$2,D105=ÉV!$J$2)),SUM(U105:W105)+X104,X104)*IF(OR(C105&gt;ÉV!$I$2,AND(C105=ÉV!$I$2,D105&gt;ÉV!$J$2)),0,1)</f>
        <v>0</v>
      </c>
      <c r="Y105" s="271">
        <f t="shared" ca="1" si="13"/>
        <v>0</v>
      </c>
      <c r="Z105" s="265">
        <f t="shared" si="14"/>
        <v>7</v>
      </c>
      <c r="AA105" s="272">
        <f t="shared" ca="1" si="15"/>
        <v>20440.574284402024</v>
      </c>
      <c r="AB105" s="265">
        <f t="shared" ca="1" si="21"/>
        <v>2025</v>
      </c>
      <c r="AC105" s="265">
        <f t="shared" ca="1" si="22"/>
        <v>10</v>
      </c>
      <c r="AD105" s="276">
        <f ca="1">IF(     OR(               AND(MAX(AF$6:AF105)&lt;2,  AC105=12),                 AF105=2),                   SUMIF(AB:AB,AB105,AA:AA),                       0)</f>
        <v>0</v>
      </c>
      <c r="AE105" s="277">
        <f t="shared" ca="1" si="23"/>
        <v>0</v>
      </c>
      <c r="AF105" s="277">
        <f t="shared" ca="1" si="16"/>
        <v>0</v>
      </c>
      <c r="AG105" s="402">
        <f ca="1">IF(  AND(AC105=AdóHó,   MAX(AF$1:AF104)&lt;2),   SUMIF(AB:AB,AB105-1,AE:AE),0  )
+ IF(AND(AC105&lt;AdóHó,                            AF105=2),   SUMIF(AB:AB,AB105-1,AE:AE),0  )
+ IF(                                                                  AF105=2,    SUMIF(AB:AB,AB105,AE:AE   ),0  )</f>
        <v>0</v>
      </c>
      <c r="AH105" s="272">
        <f ca="1">SUM(AG$2:AG105)</f>
        <v>347345.04690212419</v>
      </c>
    </row>
    <row r="106" spans="1:34">
      <c r="A106" s="265">
        <f t="shared" si="17"/>
        <v>9</v>
      </c>
      <c r="B106" s="265">
        <f t="shared" si="18"/>
        <v>8</v>
      </c>
      <c r="C106" s="265">
        <f t="shared" ca="1" si="19"/>
        <v>9</v>
      </c>
      <c r="D106" s="265">
        <f t="shared" ca="1" si="20"/>
        <v>11</v>
      </c>
      <c r="E106" s="266">
        <v>5.0000000000000001E-3</v>
      </c>
      <c r="F106" s="267">
        <f>ÉV!$B$12</f>
        <v>0</v>
      </c>
      <c r="G106" s="271">
        <f ca="1">VLOOKUP(A106,ÉV!$A$18:$B$65,2,0)</f>
        <v>245286.89141282431</v>
      </c>
      <c r="H106" s="271">
        <f ca="1">IF(OR(A106=1,AND(C106=ÉV!$I$2,D106&gt;ÉV!$J$2),C106&gt;ÉV!$I$2),0,INDEX(Pz!$B$2:$AM$48,A106-1,ÉV!$G$2-9)/100000*ÉV!$B$10)</f>
        <v>217389.46494392827</v>
      </c>
      <c r="I106" s="271">
        <f ca="1">INDEX(Pz!$B$2:$AM$48,HÓ!A106,ÉV!$G$2-9)/100000*ÉV!$B$10</f>
        <v>221720.53718024149</v>
      </c>
      <c r="J106" s="273">
        <f ca="1">IF(OR(A106=1,A106=2,AND(C106=ÉV!$I$2,D106&gt;ÉV!$J$2),C106&gt;ÉV!$I$2),0,VLOOKUP(A106-2,ÉV!$A$18:$C$65,3,0))</f>
        <v>1183683.678754952</v>
      </c>
      <c r="K106" s="273">
        <f ca="1">IF(OR(A106=1,AND(C106=ÉV!$I$2,D106&gt;ÉV!$J$2),C106&gt;ÉV!$I$2),0,VLOOKUP(A106-1,ÉV!$A$18:$C$65,3,0))</f>
        <v>1403795.1298145123</v>
      </c>
      <c r="L106" s="273">
        <f ca="1">VLOOKUP(A106,ÉV!$A$18:$C$65,3,0)*IF(OR(AND(C106=ÉV!$I$2,D106&gt;ÉV!$J$2),C106&gt;ÉV!$I$2),0,1)</f>
        <v>1628801.7736573364</v>
      </c>
      <c r="M106" s="273">
        <f ca="1">(K106*(12-B106)/12+L106*B106/12)*IF(A106&gt;ÉV!$G$2,0,1)+IF(A106&gt;ÉV!$G$2,M105,0)*IF(OR(AND(C106=ÉV!$I$2,D106&gt;ÉV!$J$2),C106&gt;ÉV!$I$2),0,1)</f>
        <v>1553799.5590430617</v>
      </c>
      <c r="N106" s="274">
        <f ca="1">IF(AND(C106=1,D106&lt;12),0,1)*IF(D106=12,MAX(0,F106-E106-0.003)*0.9*((K106+I106)*(B106/12)+(J106+H106)*(1-B106/12))+MAX(0,F106-0.003)*0.9*N105+N105,IF(AND(C106=ÉV!$I$2,D106=ÉV!$J$2),(M106+N105)*MAX(0,F106-0.003)*0.9*(D106/12)+N105,N105))*IF(OR(C106&gt;ÉV!$I$2,AND(C106=ÉV!$I$2,D106&gt;ÉV!$J$2)),0,1)</f>
        <v>0</v>
      </c>
      <c r="O106" s="313">
        <f ca="1">IF(MAX(AF$2:AF105)=2,      0,IF(OR(AC106=7, AF106=2),    SUM(AE$2:AE106),    O105)   )</f>
        <v>347345.04690212419</v>
      </c>
      <c r="P106" s="271">
        <f ca="1">IF(D106=12,V106+P105+P105*(F106-0.003)*0.9,IF(AND(C106=ÉV!$I$2,D106=ÉV!$J$2),V106+P105+P105*(F106-0.003)*0.9*D106/12,P105))*IF(OR(C106&gt;ÉV!$I$2,AND(C106=ÉV!$I$2,D106&gt;ÉV!$J$2)),0,1)</f>
        <v>0</v>
      </c>
      <c r="Q106" s="275">
        <f ca="1">(N106+P106)*IF(OR(AND(C106=ÉV!$I$2,D106&gt;ÉV!$J$2),C106&gt;ÉV!$I$2),0,1)</f>
        <v>0</v>
      </c>
      <c r="R106" s="271">
        <f ca="1">(MAX(0,F106-E106-0.003)*0.9*((K106+I106)*(1/12)))*IF(OR(C106&gt;ÉV!$I$2,AND(C106=ÉV!$I$2,D106&gt;ÉV!$J$2)),0,1)</f>
        <v>0</v>
      </c>
      <c r="S106" s="271">
        <f ca="1">(MAX(0,F106-0.003)*0.9*((O106)*(1/12)))*IF(OR(C106&gt;ÉV!$I$2,AND(C106=ÉV!$I$2,D106&gt;ÉV!$J$2)),0,1)</f>
        <v>0</v>
      </c>
      <c r="T106" s="271">
        <f ca="1">(MAX(0,F106-0.003)*0.9*((Q105)*(1/12)))*IF(OR(C106&gt;ÉV!$I$2,AND(C106=ÉV!$I$2,D106&gt;ÉV!$J$2)),0,1)</f>
        <v>0</v>
      </c>
      <c r="U106" s="271">
        <f ca="1">IF($D106=1,R106,R106+U105)*IF(OR(C106&gt;ÉV!$I$2,AND(C106=ÉV!$I$2,D106&gt;ÉV!$J$2)),0,1)</f>
        <v>0</v>
      </c>
      <c r="V106" s="271">
        <f ca="1">IF($D106=1,S106,S106+V105)*IF(OR(C106&gt;ÉV!$I$2,AND(C106=ÉV!$I$2,D106&gt;ÉV!$J$2)),0,1)</f>
        <v>0</v>
      </c>
      <c r="W106" s="271">
        <f ca="1">IF($D106=1,T106,T106+W105)*IF(OR(C106&gt;ÉV!$I$2,AND(C106=ÉV!$I$2,D106&gt;ÉV!$J$2)),0,1)</f>
        <v>0</v>
      </c>
      <c r="X106" s="271">
        <f ca="1">IF(OR(D106=12,AND(C106=ÉV!$I$2,D106=ÉV!$J$2)),SUM(U106:W106)+X105,X105)*IF(OR(C106&gt;ÉV!$I$2,AND(C106=ÉV!$I$2,D106&gt;ÉV!$J$2)),0,1)</f>
        <v>0</v>
      </c>
      <c r="Y106" s="271">
        <f t="shared" ca="1" si="13"/>
        <v>0</v>
      </c>
      <c r="Z106" s="265">
        <f t="shared" si="14"/>
        <v>8</v>
      </c>
      <c r="AA106" s="272">
        <f t="shared" ca="1" si="15"/>
        <v>20440.574284402024</v>
      </c>
      <c r="AB106" s="265">
        <f t="shared" ca="1" si="21"/>
        <v>2025</v>
      </c>
      <c r="AC106" s="265">
        <f t="shared" ca="1" si="22"/>
        <v>11</v>
      </c>
      <c r="AD106" s="276">
        <f ca="1">IF(     OR(               AND(MAX(AF$6:AF106)&lt;2,  AC106=12),                 AF106=2),                   SUMIF(AB:AB,AB106,AA:AA),                       0)</f>
        <v>0</v>
      </c>
      <c r="AE106" s="277">
        <f t="shared" ca="1" si="23"/>
        <v>0</v>
      </c>
      <c r="AF106" s="277">
        <f t="shared" ca="1" si="16"/>
        <v>0</v>
      </c>
      <c r="AG106" s="402">
        <f ca="1">IF(  AND(AC106=AdóHó,   MAX(AF$1:AF105)&lt;2),   SUMIF(AB:AB,AB106-1,AE:AE),0  )
+ IF(AND(AC106&lt;AdóHó,                            AF106=2),   SUMIF(AB:AB,AB106-1,AE:AE),0  )
+ IF(                                                                  AF106=2,    SUMIF(AB:AB,AB106,AE:AE   ),0  )</f>
        <v>0</v>
      </c>
      <c r="AH106" s="272">
        <f ca="1">SUM(AG$2:AG106)</f>
        <v>347345.04690212419</v>
      </c>
    </row>
    <row r="107" spans="1:34">
      <c r="A107" s="265">
        <f t="shared" si="17"/>
        <v>9</v>
      </c>
      <c r="B107" s="265">
        <f t="shared" si="18"/>
        <v>9</v>
      </c>
      <c r="C107" s="265">
        <f t="shared" ca="1" si="19"/>
        <v>9</v>
      </c>
      <c r="D107" s="265">
        <f t="shared" ca="1" si="20"/>
        <v>12</v>
      </c>
      <c r="E107" s="266">
        <v>5.0000000000000001E-3</v>
      </c>
      <c r="F107" s="267">
        <f>ÉV!$B$12</f>
        <v>0</v>
      </c>
      <c r="G107" s="271">
        <f ca="1">VLOOKUP(A107,ÉV!$A$18:$B$65,2,0)</f>
        <v>245286.89141282431</v>
      </c>
      <c r="H107" s="271">
        <f ca="1">IF(OR(A107=1,AND(C107=ÉV!$I$2,D107&gt;ÉV!$J$2),C107&gt;ÉV!$I$2),0,INDEX(Pz!$B$2:$AM$48,A107-1,ÉV!$G$2-9)/100000*ÉV!$B$10)</f>
        <v>217389.46494392827</v>
      </c>
      <c r="I107" s="271">
        <f ca="1">INDEX(Pz!$B$2:$AM$48,HÓ!A107,ÉV!$G$2-9)/100000*ÉV!$B$10</f>
        <v>221720.53718024149</v>
      </c>
      <c r="J107" s="273">
        <f ca="1">IF(OR(A107=1,A107=2,AND(C107=ÉV!$I$2,D107&gt;ÉV!$J$2),C107&gt;ÉV!$I$2),0,VLOOKUP(A107-2,ÉV!$A$18:$C$65,3,0))</f>
        <v>1183683.678754952</v>
      </c>
      <c r="K107" s="273">
        <f ca="1">IF(OR(A107=1,AND(C107=ÉV!$I$2,D107&gt;ÉV!$J$2),C107&gt;ÉV!$I$2),0,VLOOKUP(A107-1,ÉV!$A$18:$C$65,3,0))</f>
        <v>1403795.1298145123</v>
      </c>
      <c r="L107" s="273">
        <f ca="1">VLOOKUP(A107,ÉV!$A$18:$C$65,3,0)*IF(OR(AND(C107=ÉV!$I$2,D107&gt;ÉV!$J$2),C107&gt;ÉV!$I$2),0,1)</f>
        <v>1628801.7736573364</v>
      </c>
      <c r="M107" s="273">
        <f ca="1">(K107*(12-B107)/12+L107*B107/12)*IF(A107&gt;ÉV!$G$2,0,1)+IF(A107&gt;ÉV!$G$2,M106,0)*IF(OR(AND(C107=ÉV!$I$2,D107&gt;ÉV!$J$2),C107&gt;ÉV!$I$2),0,1)</f>
        <v>1572550.1126966304</v>
      </c>
      <c r="N107" s="274">
        <f ca="1">IF(AND(C107=1,D107&lt;12),0,1)*IF(D107=12,MAX(0,F107-E107-0.003)*0.9*((K107+I107)*(B107/12)+(J107+H107)*(1-B107/12))+MAX(0,F107-0.003)*0.9*N106+N106,IF(AND(C107=ÉV!$I$2,D107=ÉV!$J$2),(M107+N106)*MAX(0,F107-0.003)*0.9*(D107/12)+N106,N106))*IF(OR(C107&gt;ÉV!$I$2,AND(C107=ÉV!$I$2,D107&gt;ÉV!$J$2)),0,1)</f>
        <v>0</v>
      </c>
      <c r="O107" s="313">
        <f ca="1">IF(MAX(AF$2:AF106)=2,      0,IF(OR(AC107=7, AF107=2),    SUM(AE$2:AE107),    O106)   )</f>
        <v>347345.04690212419</v>
      </c>
      <c r="P107" s="271">
        <f ca="1">IF(D107=12,V107+P106+P106*(F107-0.003)*0.9,IF(AND(C107=ÉV!$I$2,D107=ÉV!$J$2),V107+P106+P106*(F107-0.003)*0.9*D107/12,P106))*IF(OR(C107&gt;ÉV!$I$2,AND(C107=ÉV!$I$2,D107&gt;ÉV!$J$2)),0,1)</f>
        <v>0</v>
      </c>
      <c r="Q107" s="275">
        <f ca="1">(N107+P107)*IF(OR(AND(C107=ÉV!$I$2,D107&gt;ÉV!$J$2),C107&gt;ÉV!$I$2),0,1)</f>
        <v>0</v>
      </c>
      <c r="R107" s="271">
        <f ca="1">(MAX(0,F107-E107-0.003)*0.9*((K107+I107)*(1/12)))*IF(OR(C107&gt;ÉV!$I$2,AND(C107=ÉV!$I$2,D107&gt;ÉV!$J$2)),0,1)</f>
        <v>0</v>
      </c>
      <c r="S107" s="271">
        <f ca="1">(MAX(0,F107-0.003)*0.9*((O107)*(1/12)))*IF(OR(C107&gt;ÉV!$I$2,AND(C107=ÉV!$I$2,D107&gt;ÉV!$J$2)),0,1)</f>
        <v>0</v>
      </c>
      <c r="T107" s="271">
        <f ca="1">(MAX(0,F107-0.003)*0.9*((Q106)*(1/12)))*IF(OR(C107&gt;ÉV!$I$2,AND(C107=ÉV!$I$2,D107&gt;ÉV!$J$2)),0,1)</f>
        <v>0</v>
      </c>
      <c r="U107" s="271">
        <f ca="1">IF($D107=1,R107,R107+U106)*IF(OR(C107&gt;ÉV!$I$2,AND(C107=ÉV!$I$2,D107&gt;ÉV!$J$2)),0,1)</f>
        <v>0</v>
      </c>
      <c r="V107" s="271">
        <f ca="1">IF($D107=1,S107,S107+V106)*IF(OR(C107&gt;ÉV!$I$2,AND(C107=ÉV!$I$2,D107&gt;ÉV!$J$2)),0,1)</f>
        <v>0</v>
      </c>
      <c r="W107" s="271">
        <f ca="1">IF($D107=1,T107,T107+W106)*IF(OR(C107&gt;ÉV!$I$2,AND(C107=ÉV!$I$2,D107&gt;ÉV!$J$2)),0,1)</f>
        <v>0</v>
      </c>
      <c r="X107" s="271">
        <f ca="1">IF(OR(D107=12,AND(C107=ÉV!$I$2,D107=ÉV!$J$2)),SUM(U107:W107)+X106,X106)*IF(OR(C107&gt;ÉV!$I$2,AND(C107=ÉV!$I$2,D107&gt;ÉV!$J$2)),0,1)</f>
        <v>0</v>
      </c>
      <c r="Y107" s="271">
        <f t="shared" ca="1" si="13"/>
        <v>0</v>
      </c>
      <c r="Z107" s="265">
        <f t="shared" si="14"/>
        <v>9</v>
      </c>
      <c r="AA107" s="272">
        <f t="shared" ca="1" si="15"/>
        <v>20440.574284402024</v>
      </c>
      <c r="AB107" s="265">
        <f t="shared" ca="1" si="21"/>
        <v>2025</v>
      </c>
      <c r="AC107" s="265">
        <f t="shared" ca="1" si="22"/>
        <v>12</v>
      </c>
      <c r="AD107" s="276">
        <f ca="1">IF(     OR(               AND(MAX(AF$6:AF107)&lt;2,  AC107=12),                 AF107=2),                   SUMIF(AB:AB,AB107,AA:AA),                       0)</f>
        <v>244084.50469021237</v>
      </c>
      <c r="AE107" s="277">
        <f t="shared" ca="1" si="23"/>
        <v>48816.900938042476</v>
      </c>
      <c r="AF107" s="277">
        <f t="shared" ca="1" si="16"/>
        <v>0</v>
      </c>
      <c r="AG107" s="402">
        <f ca="1">IF(  AND(AC107=AdóHó,   MAX(AF$1:AF106)&lt;2),   SUMIF(AB:AB,AB107-1,AE:AE),0  )
+ IF(AND(AC107&lt;AdóHó,                            AF107=2),   SUMIF(AB:AB,AB107-1,AE:AE),0  )
+ IF(                                                                  AF107=2,    SUMIF(AB:AB,AB107,AE:AE   ),0  )</f>
        <v>0</v>
      </c>
      <c r="AH107" s="272">
        <f ca="1">SUM(AG$2:AG107)</f>
        <v>347345.04690212419</v>
      </c>
    </row>
    <row r="108" spans="1:34">
      <c r="A108" s="265">
        <f t="shared" si="17"/>
        <v>9</v>
      </c>
      <c r="B108" s="265">
        <f t="shared" si="18"/>
        <v>10</v>
      </c>
      <c r="C108" s="265">
        <f t="shared" ca="1" si="19"/>
        <v>10</v>
      </c>
      <c r="D108" s="265">
        <f t="shared" ca="1" si="20"/>
        <v>1</v>
      </c>
      <c r="E108" s="266">
        <v>5.0000000000000001E-3</v>
      </c>
      <c r="F108" s="267">
        <f>ÉV!$B$12</f>
        <v>0</v>
      </c>
      <c r="G108" s="271">
        <f ca="1">VLOOKUP(A108,ÉV!$A$18:$B$65,2,0)</f>
        <v>245286.89141282431</v>
      </c>
      <c r="H108" s="271">
        <f ca="1">IF(OR(A108=1,AND(C108=ÉV!$I$2,D108&gt;ÉV!$J$2),C108&gt;ÉV!$I$2),0,INDEX(Pz!$B$2:$AM$48,A108-1,ÉV!$G$2-9)/100000*ÉV!$B$10)</f>
        <v>217389.46494392827</v>
      </c>
      <c r="I108" s="271">
        <f ca="1">INDEX(Pz!$B$2:$AM$48,HÓ!A108,ÉV!$G$2-9)/100000*ÉV!$B$10</f>
        <v>221720.53718024149</v>
      </c>
      <c r="J108" s="273">
        <f ca="1">IF(OR(A108=1,A108=2,AND(C108=ÉV!$I$2,D108&gt;ÉV!$J$2),C108&gt;ÉV!$I$2),0,VLOOKUP(A108-2,ÉV!$A$18:$C$65,3,0))</f>
        <v>1183683.678754952</v>
      </c>
      <c r="K108" s="273">
        <f ca="1">IF(OR(A108=1,AND(C108=ÉV!$I$2,D108&gt;ÉV!$J$2),C108&gt;ÉV!$I$2),0,VLOOKUP(A108-1,ÉV!$A$18:$C$65,3,0))</f>
        <v>1403795.1298145123</v>
      </c>
      <c r="L108" s="273">
        <f ca="1">VLOOKUP(A108,ÉV!$A$18:$C$65,3,0)*IF(OR(AND(C108=ÉV!$I$2,D108&gt;ÉV!$J$2),C108&gt;ÉV!$I$2),0,1)</f>
        <v>1628801.7736573364</v>
      </c>
      <c r="M108" s="273">
        <f ca="1">(K108*(12-B108)/12+L108*B108/12)*IF(A108&gt;ÉV!$G$2,0,1)+IF(A108&gt;ÉV!$G$2,M107,0)*IF(OR(AND(C108=ÉV!$I$2,D108&gt;ÉV!$J$2),C108&gt;ÉV!$I$2),0,1)</f>
        <v>1591300.6663501991</v>
      </c>
      <c r="N108" s="274">
        <f ca="1">IF(AND(C108=1,D108&lt;12),0,1)*IF(D108=12,MAX(0,F108-E108-0.003)*0.9*((K108+I108)*(B108/12)+(J108+H108)*(1-B108/12))+MAX(0,F108-0.003)*0.9*N107+N107,IF(AND(C108=ÉV!$I$2,D108=ÉV!$J$2),(M108+N107)*MAX(0,F108-0.003)*0.9*(D108/12)+N107,N107))*IF(OR(C108&gt;ÉV!$I$2,AND(C108=ÉV!$I$2,D108&gt;ÉV!$J$2)),0,1)</f>
        <v>0</v>
      </c>
      <c r="O108" s="313">
        <f ca="1">IF(MAX(AF$2:AF107)=2,      0,IF(OR(AC108=7, AF108=2),    SUM(AE$2:AE108),    O107)   )</f>
        <v>347345.04690212419</v>
      </c>
      <c r="P108" s="271">
        <f ca="1">IF(D108=12,V108+P107+P107*(F108-0.003)*0.9,IF(AND(C108=ÉV!$I$2,D108=ÉV!$J$2),V108+P107+P107*(F108-0.003)*0.9*D108/12,P107))*IF(OR(C108&gt;ÉV!$I$2,AND(C108=ÉV!$I$2,D108&gt;ÉV!$J$2)),0,1)</f>
        <v>0</v>
      </c>
      <c r="Q108" s="275">
        <f ca="1">(N108+P108)*IF(OR(AND(C108=ÉV!$I$2,D108&gt;ÉV!$J$2),C108&gt;ÉV!$I$2),0,1)</f>
        <v>0</v>
      </c>
      <c r="R108" s="271">
        <f ca="1">(MAX(0,F108-E108-0.003)*0.9*((K108+I108)*(1/12)))*IF(OR(C108&gt;ÉV!$I$2,AND(C108=ÉV!$I$2,D108&gt;ÉV!$J$2)),0,1)</f>
        <v>0</v>
      </c>
      <c r="S108" s="271">
        <f ca="1">(MAX(0,F108-0.003)*0.9*((O108)*(1/12)))*IF(OR(C108&gt;ÉV!$I$2,AND(C108=ÉV!$I$2,D108&gt;ÉV!$J$2)),0,1)</f>
        <v>0</v>
      </c>
      <c r="T108" s="271">
        <f ca="1">(MAX(0,F108-0.003)*0.9*((Q107)*(1/12)))*IF(OR(C108&gt;ÉV!$I$2,AND(C108=ÉV!$I$2,D108&gt;ÉV!$J$2)),0,1)</f>
        <v>0</v>
      </c>
      <c r="U108" s="271">
        <f ca="1">IF($D108=1,R108,R108+U107)*IF(OR(C108&gt;ÉV!$I$2,AND(C108=ÉV!$I$2,D108&gt;ÉV!$J$2)),0,1)</f>
        <v>0</v>
      </c>
      <c r="V108" s="271">
        <f ca="1">IF($D108=1,S108,S108+V107)*IF(OR(C108&gt;ÉV!$I$2,AND(C108=ÉV!$I$2,D108&gt;ÉV!$J$2)),0,1)</f>
        <v>0</v>
      </c>
      <c r="W108" s="271">
        <f ca="1">IF($D108=1,T108,T108+W107)*IF(OR(C108&gt;ÉV!$I$2,AND(C108=ÉV!$I$2,D108&gt;ÉV!$J$2)),0,1)</f>
        <v>0</v>
      </c>
      <c r="X108" s="271">
        <f ca="1">IF(OR(D108=12,AND(C108=ÉV!$I$2,D108=ÉV!$J$2)),SUM(U108:W108)+X107,X107)*IF(OR(C108&gt;ÉV!$I$2,AND(C108=ÉV!$I$2,D108&gt;ÉV!$J$2)),0,1)</f>
        <v>0</v>
      </c>
      <c r="Y108" s="271">
        <f t="shared" ca="1" si="13"/>
        <v>0</v>
      </c>
      <c r="Z108" s="265">
        <f t="shared" si="14"/>
        <v>10</v>
      </c>
      <c r="AA108" s="272">
        <f t="shared" ca="1" si="15"/>
        <v>20440.574284402024</v>
      </c>
      <c r="AB108" s="265">
        <f t="shared" ca="1" si="21"/>
        <v>2026</v>
      </c>
      <c r="AC108" s="265">
        <f t="shared" ca="1" si="22"/>
        <v>1</v>
      </c>
      <c r="AD108" s="276">
        <f ca="1">IF(     OR(               AND(MAX(AF$6:AF108)&lt;2,  AC108=12),                 AF108=2),                   SUMIF(AB:AB,AB108,AA:AA),                       0)</f>
        <v>0</v>
      </c>
      <c r="AE108" s="277">
        <f t="shared" ca="1" si="23"/>
        <v>0</v>
      </c>
      <c r="AF108" s="277">
        <f t="shared" ca="1" si="16"/>
        <v>0</v>
      </c>
      <c r="AG108" s="402">
        <f ca="1">IF(  AND(AC108=AdóHó,   MAX(AF$1:AF107)&lt;2),   SUMIF(AB:AB,AB108-1,AE:AE),0  )
+ IF(AND(AC108&lt;AdóHó,                            AF108=2),   SUMIF(AB:AB,AB108-1,AE:AE),0  )
+ IF(                                                                  AF108=2,    SUMIF(AB:AB,AB108,AE:AE   ),0  )</f>
        <v>0</v>
      </c>
      <c r="AH108" s="272">
        <f ca="1">SUM(AG$2:AG108)</f>
        <v>347345.04690212419</v>
      </c>
    </row>
    <row r="109" spans="1:34">
      <c r="A109" s="265">
        <f t="shared" si="17"/>
        <v>9</v>
      </c>
      <c r="B109" s="265">
        <f t="shared" si="18"/>
        <v>11</v>
      </c>
      <c r="C109" s="265">
        <f t="shared" ca="1" si="19"/>
        <v>10</v>
      </c>
      <c r="D109" s="265">
        <f t="shared" ca="1" si="20"/>
        <v>2</v>
      </c>
      <c r="E109" s="266">
        <v>5.0000000000000001E-3</v>
      </c>
      <c r="F109" s="267">
        <f>ÉV!$B$12</f>
        <v>0</v>
      </c>
      <c r="G109" s="271">
        <f ca="1">VLOOKUP(A109,ÉV!$A$18:$B$65,2,0)</f>
        <v>245286.89141282431</v>
      </c>
      <c r="H109" s="271">
        <f ca="1">IF(OR(A109=1,AND(C109=ÉV!$I$2,D109&gt;ÉV!$J$2),C109&gt;ÉV!$I$2),0,INDEX(Pz!$B$2:$AM$48,A109-1,ÉV!$G$2-9)/100000*ÉV!$B$10)</f>
        <v>217389.46494392827</v>
      </c>
      <c r="I109" s="271">
        <f ca="1">INDEX(Pz!$B$2:$AM$48,HÓ!A109,ÉV!$G$2-9)/100000*ÉV!$B$10</f>
        <v>221720.53718024149</v>
      </c>
      <c r="J109" s="273">
        <f ca="1">IF(OR(A109=1,A109=2,AND(C109=ÉV!$I$2,D109&gt;ÉV!$J$2),C109&gt;ÉV!$I$2),0,VLOOKUP(A109-2,ÉV!$A$18:$C$65,3,0))</f>
        <v>1183683.678754952</v>
      </c>
      <c r="K109" s="273">
        <f ca="1">IF(OR(A109=1,AND(C109=ÉV!$I$2,D109&gt;ÉV!$J$2),C109&gt;ÉV!$I$2),0,VLOOKUP(A109-1,ÉV!$A$18:$C$65,3,0))</f>
        <v>1403795.1298145123</v>
      </c>
      <c r="L109" s="273">
        <f ca="1">VLOOKUP(A109,ÉV!$A$18:$C$65,3,0)*IF(OR(AND(C109=ÉV!$I$2,D109&gt;ÉV!$J$2),C109&gt;ÉV!$I$2),0,1)</f>
        <v>1628801.7736573364</v>
      </c>
      <c r="M109" s="273">
        <f ca="1">(K109*(12-B109)/12+L109*B109/12)*IF(A109&gt;ÉV!$G$2,0,1)+IF(A109&gt;ÉV!$G$2,M108,0)*IF(OR(AND(C109=ÉV!$I$2,D109&gt;ÉV!$J$2),C109&gt;ÉV!$I$2),0,1)</f>
        <v>1610051.2200037676</v>
      </c>
      <c r="N109" s="274">
        <f ca="1">IF(AND(C109=1,D109&lt;12),0,1)*IF(D109=12,MAX(0,F109-E109-0.003)*0.9*((K109+I109)*(B109/12)+(J109+H109)*(1-B109/12))+MAX(0,F109-0.003)*0.9*N108+N108,IF(AND(C109=ÉV!$I$2,D109=ÉV!$J$2),(M109+N108)*MAX(0,F109-0.003)*0.9*(D109/12)+N108,N108))*IF(OR(C109&gt;ÉV!$I$2,AND(C109=ÉV!$I$2,D109&gt;ÉV!$J$2)),0,1)</f>
        <v>0</v>
      </c>
      <c r="O109" s="313">
        <f ca="1">IF(MAX(AF$2:AF108)=2,      0,IF(OR(AC109=7, AF109=2),    SUM(AE$2:AE109),    O108)   )</f>
        <v>347345.04690212419</v>
      </c>
      <c r="P109" s="271">
        <f ca="1">IF(D109=12,V109+P108+P108*(F109-0.003)*0.9,IF(AND(C109=ÉV!$I$2,D109=ÉV!$J$2),V109+P108+P108*(F109-0.003)*0.9*D109/12,P108))*IF(OR(C109&gt;ÉV!$I$2,AND(C109=ÉV!$I$2,D109&gt;ÉV!$J$2)),0,1)</f>
        <v>0</v>
      </c>
      <c r="Q109" s="275">
        <f ca="1">(N109+P109)*IF(OR(AND(C109=ÉV!$I$2,D109&gt;ÉV!$J$2),C109&gt;ÉV!$I$2),0,1)</f>
        <v>0</v>
      </c>
      <c r="R109" s="271">
        <f ca="1">(MAX(0,F109-E109-0.003)*0.9*((K109+I109)*(1/12)))*IF(OR(C109&gt;ÉV!$I$2,AND(C109=ÉV!$I$2,D109&gt;ÉV!$J$2)),0,1)</f>
        <v>0</v>
      </c>
      <c r="S109" s="271">
        <f ca="1">(MAX(0,F109-0.003)*0.9*((O109)*(1/12)))*IF(OR(C109&gt;ÉV!$I$2,AND(C109=ÉV!$I$2,D109&gt;ÉV!$J$2)),0,1)</f>
        <v>0</v>
      </c>
      <c r="T109" s="271">
        <f ca="1">(MAX(0,F109-0.003)*0.9*((Q108)*(1/12)))*IF(OR(C109&gt;ÉV!$I$2,AND(C109=ÉV!$I$2,D109&gt;ÉV!$J$2)),0,1)</f>
        <v>0</v>
      </c>
      <c r="U109" s="271">
        <f ca="1">IF($D109=1,R109,R109+U108)*IF(OR(C109&gt;ÉV!$I$2,AND(C109=ÉV!$I$2,D109&gt;ÉV!$J$2)),0,1)</f>
        <v>0</v>
      </c>
      <c r="V109" s="271">
        <f ca="1">IF($D109=1,S109,S109+V108)*IF(OR(C109&gt;ÉV!$I$2,AND(C109=ÉV!$I$2,D109&gt;ÉV!$J$2)),0,1)</f>
        <v>0</v>
      </c>
      <c r="W109" s="271">
        <f ca="1">IF($D109=1,T109,T109+W108)*IF(OR(C109&gt;ÉV!$I$2,AND(C109=ÉV!$I$2,D109&gt;ÉV!$J$2)),0,1)</f>
        <v>0</v>
      </c>
      <c r="X109" s="271">
        <f ca="1">IF(OR(D109=12,AND(C109=ÉV!$I$2,D109=ÉV!$J$2)),SUM(U109:W109)+X108,X108)*IF(OR(C109&gt;ÉV!$I$2,AND(C109=ÉV!$I$2,D109&gt;ÉV!$J$2)),0,1)</f>
        <v>0</v>
      </c>
      <c r="Y109" s="271">
        <f t="shared" ca="1" si="13"/>
        <v>0</v>
      </c>
      <c r="Z109" s="265">
        <f t="shared" si="14"/>
        <v>11</v>
      </c>
      <c r="AA109" s="272">
        <f t="shared" ca="1" si="15"/>
        <v>20440.574284402024</v>
      </c>
      <c r="AB109" s="265">
        <f t="shared" ca="1" si="21"/>
        <v>2026</v>
      </c>
      <c r="AC109" s="265">
        <f t="shared" ca="1" si="22"/>
        <v>2</v>
      </c>
      <c r="AD109" s="276">
        <f ca="1">IF(     OR(               AND(MAX(AF$6:AF109)&lt;2,  AC109=12),                 AF109=2),                   SUMIF(AB:AB,AB109,AA:AA),                       0)</f>
        <v>0</v>
      </c>
      <c r="AE109" s="277">
        <f t="shared" ca="1" si="23"/>
        <v>0</v>
      </c>
      <c r="AF109" s="277">
        <f t="shared" ca="1" si="16"/>
        <v>0</v>
      </c>
      <c r="AG109" s="402">
        <f ca="1">IF(  AND(AC109=AdóHó,   MAX(AF$1:AF108)&lt;2),   SUMIF(AB:AB,AB109-1,AE:AE),0  )
+ IF(AND(AC109&lt;AdóHó,                            AF109=2),   SUMIF(AB:AB,AB109-1,AE:AE),0  )
+ IF(                                                                  AF109=2,    SUMIF(AB:AB,AB109,AE:AE   ),0  )</f>
        <v>0</v>
      </c>
      <c r="AH109" s="272">
        <f ca="1">SUM(AG$2:AG109)</f>
        <v>347345.04690212419</v>
      </c>
    </row>
    <row r="110" spans="1:34">
      <c r="A110" s="265">
        <f t="shared" si="17"/>
        <v>9</v>
      </c>
      <c r="B110" s="265">
        <f t="shared" si="18"/>
        <v>12</v>
      </c>
      <c r="C110" s="265">
        <f t="shared" ca="1" si="19"/>
        <v>10</v>
      </c>
      <c r="D110" s="265">
        <f t="shared" ca="1" si="20"/>
        <v>3</v>
      </c>
      <c r="E110" s="266">
        <v>5.0000000000000001E-3</v>
      </c>
      <c r="F110" s="267">
        <f>ÉV!$B$12</f>
        <v>0</v>
      </c>
      <c r="G110" s="271">
        <f ca="1">VLOOKUP(A110,ÉV!$A$18:$B$65,2,0)</f>
        <v>245286.89141282431</v>
      </c>
      <c r="H110" s="271">
        <f ca="1">IF(OR(A110=1,AND(C110=ÉV!$I$2,D110&gt;ÉV!$J$2),C110&gt;ÉV!$I$2),0,INDEX(Pz!$B$2:$AM$48,A110-1,ÉV!$G$2-9)/100000*ÉV!$B$10)</f>
        <v>217389.46494392827</v>
      </c>
      <c r="I110" s="271">
        <f ca="1">INDEX(Pz!$B$2:$AM$48,HÓ!A110,ÉV!$G$2-9)/100000*ÉV!$B$10</f>
        <v>221720.53718024149</v>
      </c>
      <c r="J110" s="273">
        <f ca="1">IF(OR(A110=1,A110=2,AND(C110=ÉV!$I$2,D110&gt;ÉV!$J$2),C110&gt;ÉV!$I$2),0,VLOOKUP(A110-2,ÉV!$A$18:$C$65,3,0))</f>
        <v>1183683.678754952</v>
      </c>
      <c r="K110" s="273">
        <f ca="1">IF(OR(A110=1,AND(C110=ÉV!$I$2,D110&gt;ÉV!$J$2),C110&gt;ÉV!$I$2),0,VLOOKUP(A110-1,ÉV!$A$18:$C$65,3,0))</f>
        <v>1403795.1298145123</v>
      </c>
      <c r="L110" s="273">
        <f ca="1">VLOOKUP(A110,ÉV!$A$18:$C$65,3,0)*IF(OR(AND(C110=ÉV!$I$2,D110&gt;ÉV!$J$2),C110&gt;ÉV!$I$2),0,1)</f>
        <v>1628801.7736573364</v>
      </c>
      <c r="M110" s="273">
        <f ca="1">(K110*(12-B110)/12+L110*B110/12)*IF(A110&gt;ÉV!$G$2,0,1)+IF(A110&gt;ÉV!$G$2,M109,0)*IF(OR(AND(C110=ÉV!$I$2,D110&gt;ÉV!$J$2),C110&gt;ÉV!$I$2),0,1)</f>
        <v>1628801.7736573361</v>
      </c>
      <c r="N110" s="274">
        <f ca="1">IF(AND(C110=1,D110&lt;12),0,1)*IF(D110=12,MAX(0,F110-E110-0.003)*0.9*((K110+I110)*(B110/12)+(J110+H110)*(1-B110/12))+MAX(0,F110-0.003)*0.9*N109+N109,IF(AND(C110=ÉV!$I$2,D110=ÉV!$J$2),(M110+N109)*MAX(0,F110-0.003)*0.9*(D110/12)+N109,N109))*IF(OR(C110&gt;ÉV!$I$2,AND(C110=ÉV!$I$2,D110&gt;ÉV!$J$2)),0,1)</f>
        <v>0</v>
      </c>
      <c r="O110" s="313">
        <f ca="1">IF(MAX(AF$2:AF109)=2,      0,IF(OR(AC110=7, AF110=2),    SUM(AE$2:AE110),    O109)   )</f>
        <v>347345.04690212419</v>
      </c>
      <c r="P110" s="271">
        <f ca="1">IF(D110=12,V110+P109+P109*(F110-0.003)*0.9,IF(AND(C110=ÉV!$I$2,D110=ÉV!$J$2),V110+P109+P109*(F110-0.003)*0.9*D110/12,P109))*IF(OR(C110&gt;ÉV!$I$2,AND(C110=ÉV!$I$2,D110&gt;ÉV!$J$2)),0,1)</f>
        <v>0</v>
      </c>
      <c r="Q110" s="275">
        <f ca="1">(N110+P110)*IF(OR(AND(C110=ÉV!$I$2,D110&gt;ÉV!$J$2),C110&gt;ÉV!$I$2),0,1)</f>
        <v>0</v>
      </c>
      <c r="R110" s="271">
        <f ca="1">(MAX(0,F110-E110-0.003)*0.9*((K110+I110)*(1/12)))*IF(OR(C110&gt;ÉV!$I$2,AND(C110=ÉV!$I$2,D110&gt;ÉV!$J$2)),0,1)</f>
        <v>0</v>
      </c>
      <c r="S110" s="271">
        <f ca="1">(MAX(0,F110-0.003)*0.9*((O110)*(1/12)))*IF(OR(C110&gt;ÉV!$I$2,AND(C110=ÉV!$I$2,D110&gt;ÉV!$J$2)),0,1)</f>
        <v>0</v>
      </c>
      <c r="T110" s="271">
        <f ca="1">(MAX(0,F110-0.003)*0.9*((Q109)*(1/12)))*IF(OR(C110&gt;ÉV!$I$2,AND(C110=ÉV!$I$2,D110&gt;ÉV!$J$2)),0,1)</f>
        <v>0</v>
      </c>
      <c r="U110" s="271">
        <f ca="1">IF($D110=1,R110,R110+U109)*IF(OR(C110&gt;ÉV!$I$2,AND(C110=ÉV!$I$2,D110&gt;ÉV!$J$2)),0,1)</f>
        <v>0</v>
      </c>
      <c r="V110" s="271">
        <f ca="1">IF($D110=1,S110,S110+V109)*IF(OR(C110&gt;ÉV!$I$2,AND(C110=ÉV!$I$2,D110&gt;ÉV!$J$2)),0,1)</f>
        <v>0</v>
      </c>
      <c r="W110" s="271">
        <f ca="1">IF($D110=1,T110,T110+W109)*IF(OR(C110&gt;ÉV!$I$2,AND(C110=ÉV!$I$2,D110&gt;ÉV!$J$2)),0,1)</f>
        <v>0</v>
      </c>
      <c r="X110" s="271">
        <f ca="1">IF(OR(D110=12,AND(C110=ÉV!$I$2,D110=ÉV!$J$2)),SUM(U110:W110)+X109,X109)*IF(OR(C110&gt;ÉV!$I$2,AND(C110=ÉV!$I$2,D110&gt;ÉV!$J$2)),0,1)</f>
        <v>0</v>
      </c>
      <c r="Y110" s="271">
        <f t="shared" ca="1" si="13"/>
        <v>0</v>
      </c>
      <c r="Z110" s="265">
        <f t="shared" si="14"/>
        <v>12</v>
      </c>
      <c r="AA110" s="272">
        <f t="shared" ca="1" si="15"/>
        <v>20440.574284402024</v>
      </c>
      <c r="AB110" s="265">
        <f t="shared" ca="1" si="21"/>
        <v>2026</v>
      </c>
      <c r="AC110" s="265">
        <f t="shared" ca="1" si="22"/>
        <v>3</v>
      </c>
      <c r="AD110" s="276">
        <f ca="1">IF(     OR(               AND(MAX(AF$6:AF110)&lt;2,  AC110=12),                 AF110=2),                   SUMIF(AB:AB,AB110,AA:AA),                       0)</f>
        <v>0</v>
      </c>
      <c r="AE110" s="277">
        <f t="shared" ca="1" si="23"/>
        <v>0</v>
      </c>
      <c r="AF110" s="277">
        <f t="shared" ca="1" si="16"/>
        <v>0</v>
      </c>
      <c r="AG110" s="402">
        <f ca="1">IF(  AND(AC110=AdóHó,   MAX(AF$1:AF109)&lt;2),   SUMIF(AB:AB,AB110-1,AE:AE),0  )
+ IF(AND(AC110&lt;AdóHó,                            AF110=2),   SUMIF(AB:AB,AB110-1,AE:AE),0  )
+ IF(                                                                  AF110=2,    SUMIF(AB:AB,AB110,AE:AE   ),0  )</f>
        <v>0</v>
      </c>
      <c r="AH110" s="272">
        <f ca="1">SUM(AG$2:AG110)</f>
        <v>347345.04690212419</v>
      </c>
    </row>
    <row r="111" spans="1:34">
      <c r="A111" s="265">
        <f t="shared" si="17"/>
        <v>10</v>
      </c>
      <c r="B111" s="265">
        <f t="shared" si="18"/>
        <v>1</v>
      </c>
      <c r="C111" s="265">
        <f t="shared" ca="1" si="19"/>
        <v>10</v>
      </c>
      <c r="D111" s="265">
        <f t="shared" ca="1" si="20"/>
        <v>4</v>
      </c>
      <c r="E111" s="266">
        <v>5.0000000000000001E-3</v>
      </c>
      <c r="F111" s="267">
        <f>ÉV!$B$12</f>
        <v>0</v>
      </c>
      <c r="G111" s="271">
        <f ca="1">VLOOKUP(A111,ÉV!$A$18:$B$65,2,0)</f>
        <v>250192.62924108081</v>
      </c>
      <c r="H111" s="271">
        <f ca="1">IF(OR(A111=1,AND(C111=ÉV!$I$2,D111&gt;ÉV!$J$2),C111&gt;ÉV!$I$2),0,INDEX(Pz!$B$2:$AM$48,A111-1,ÉV!$G$2-9)/100000*ÉV!$B$10)</f>
        <v>221720.53718024149</v>
      </c>
      <c r="I111" s="271">
        <f ca="1">INDEX(Pz!$B$2:$AM$48,HÓ!A111,ÉV!$G$2-9)/100000*ÉV!$B$10</f>
        <v>226138.23086128102</v>
      </c>
      <c r="J111" s="273">
        <f ca="1">IF(OR(A111=1,A111=2,AND(C111=ÉV!$I$2,D111&gt;ÉV!$J$2),C111&gt;ÉV!$I$2),0,VLOOKUP(A111-2,ÉV!$A$18:$C$65,3,0))</f>
        <v>1403795.1298145123</v>
      </c>
      <c r="K111" s="273">
        <f ca="1">IF(OR(A111=1,AND(C111=ÉV!$I$2,D111&gt;ÉV!$J$2),C111&gt;ÉV!$I$2),0,VLOOKUP(A111-1,ÉV!$A$18:$C$65,3,0))</f>
        <v>1628801.7736573364</v>
      </c>
      <c r="L111" s="273">
        <f ca="1">VLOOKUP(A111,ÉV!$A$18:$C$65,3,0)*IF(OR(AND(C111=ÉV!$I$2,D111&gt;ÉV!$J$2),C111&gt;ÉV!$I$2),0,1)</f>
        <v>1858755.8670957277</v>
      </c>
      <c r="M111" s="273">
        <f ca="1">(K111*(12-B111)/12+L111*B111/12)*IF(A111&gt;ÉV!$G$2,0,1)+IF(A111&gt;ÉV!$G$2,M110,0)*IF(OR(AND(C111=ÉV!$I$2,D111&gt;ÉV!$J$2),C111&gt;ÉV!$I$2),0,1)</f>
        <v>1647964.6147772023</v>
      </c>
      <c r="N111" s="274">
        <f ca="1">IF(AND(C111=1,D111&lt;12),0,1)*IF(D111=12,MAX(0,F111-E111-0.003)*0.9*((K111+I111)*(B111/12)+(J111+H111)*(1-B111/12))+MAX(0,F111-0.003)*0.9*N110+N110,IF(AND(C111=ÉV!$I$2,D111=ÉV!$J$2),(M111+N110)*MAX(0,F111-0.003)*0.9*(D111/12)+N110,N110))*IF(OR(C111&gt;ÉV!$I$2,AND(C111=ÉV!$I$2,D111&gt;ÉV!$J$2)),0,1)</f>
        <v>0</v>
      </c>
      <c r="O111" s="313">
        <f ca="1">IF(MAX(AF$2:AF110)=2,      0,IF(OR(AC111=7, AF111=2),    SUM(AE$2:AE111),    O110)   )</f>
        <v>347345.04690212419</v>
      </c>
      <c r="P111" s="271">
        <f ca="1">IF(D111=12,V111+P110+P110*(F111-0.003)*0.9,IF(AND(C111=ÉV!$I$2,D111=ÉV!$J$2),V111+P110+P110*(F111-0.003)*0.9*D111/12,P110))*IF(OR(C111&gt;ÉV!$I$2,AND(C111=ÉV!$I$2,D111&gt;ÉV!$J$2)),0,1)</f>
        <v>0</v>
      </c>
      <c r="Q111" s="275">
        <f ca="1">(N111+P111)*IF(OR(AND(C111=ÉV!$I$2,D111&gt;ÉV!$J$2),C111&gt;ÉV!$I$2),0,1)</f>
        <v>0</v>
      </c>
      <c r="R111" s="271">
        <f ca="1">(MAX(0,F111-E111-0.003)*0.9*((K111+I111)*(1/12)))*IF(OR(C111&gt;ÉV!$I$2,AND(C111=ÉV!$I$2,D111&gt;ÉV!$J$2)),0,1)</f>
        <v>0</v>
      </c>
      <c r="S111" s="271">
        <f ca="1">(MAX(0,F111-0.003)*0.9*((O111)*(1/12)))*IF(OR(C111&gt;ÉV!$I$2,AND(C111=ÉV!$I$2,D111&gt;ÉV!$J$2)),0,1)</f>
        <v>0</v>
      </c>
      <c r="T111" s="271">
        <f ca="1">(MAX(0,F111-0.003)*0.9*((Q110)*(1/12)))*IF(OR(C111&gt;ÉV!$I$2,AND(C111=ÉV!$I$2,D111&gt;ÉV!$J$2)),0,1)</f>
        <v>0</v>
      </c>
      <c r="U111" s="271">
        <f ca="1">IF($D111=1,R111,R111+U110)*IF(OR(C111&gt;ÉV!$I$2,AND(C111=ÉV!$I$2,D111&gt;ÉV!$J$2)),0,1)</f>
        <v>0</v>
      </c>
      <c r="V111" s="271">
        <f ca="1">IF($D111=1,S111,S111+V110)*IF(OR(C111&gt;ÉV!$I$2,AND(C111=ÉV!$I$2,D111&gt;ÉV!$J$2)),0,1)</f>
        <v>0</v>
      </c>
      <c r="W111" s="271">
        <f ca="1">IF($D111=1,T111,T111+W110)*IF(OR(C111&gt;ÉV!$I$2,AND(C111=ÉV!$I$2,D111&gt;ÉV!$J$2)),0,1)</f>
        <v>0</v>
      </c>
      <c r="X111" s="271">
        <f ca="1">IF(OR(D111=12,AND(C111=ÉV!$I$2,D111=ÉV!$J$2)),SUM(U111:W111)+X110,X110)*IF(OR(C111&gt;ÉV!$I$2,AND(C111=ÉV!$I$2,D111&gt;ÉV!$J$2)),0,1)</f>
        <v>0</v>
      </c>
      <c r="Y111" s="271">
        <f t="shared" ca="1" si="13"/>
        <v>0</v>
      </c>
      <c r="Z111" s="265">
        <f t="shared" si="14"/>
        <v>1</v>
      </c>
      <c r="AA111" s="272">
        <f t="shared" ca="1" si="15"/>
        <v>20849.385770090066</v>
      </c>
      <c r="AB111" s="265">
        <f t="shared" ca="1" si="21"/>
        <v>2026</v>
      </c>
      <c r="AC111" s="265">
        <f t="shared" ca="1" si="22"/>
        <v>4</v>
      </c>
      <c r="AD111" s="276">
        <f ca="1">IF(     OR(               AND(MAX(AF$6:AF111)&lt;2,  AC111=12),                 AF111=2),                   SUMIF(AB:AB,AB111,AA:AA),                       0)</f>
        <v>0</v>
      </c>
      <c r="AE111" s="277">
        <f t="shared" ca="1" si="23"/>
        <v>0</v>
      </c>
      <c r="AF111" s="277">
        <f t="shared" ca="1" si="16"/>
        <v>0</v>
      </c>
      <c r="AG111" s="402">
        <f ca="1">IF(  AND(AC111=AdóHó,   MAX(AF$1:AF110)&lt;2),   SUMIF(AB:AB,AB111-1,AE:AE),0  )
+ IF(AND(AC111&lt;AdóHó,                            AF111=2),   SUMIF(AB:AB,AB111-1,AE:AE),0  )
+ IF(                                                                  AF111=2,    SUMIF(AB:AB,AB111,AE:AE   ),0  )</f>
        <v>0</v>
      </c>
      <c r="AH111" s="272">
        <f ca="1">SUM(AG$2:AG111)</f>
        <v>347345.04690212419</v>
      </c>
    </row>
    <row r="112" spans="1:34">
      <c r="A112" s="265">
        <f t="shared" si="17"/>
        <v>10</v>
      </c>
      <c r="B112" s="265">
        <f t="shared" si="18"/>
        <v>2</v>
      </c>
      <c r="C112" s="265">
        <f t="shared" ca="1" si="19"/>
        <v>10</v>
      </c>
      <c r="D112" s="265">
        <f t="shared" ca="1" si="20"/>
        <v>5</v>
      </c>
      <c r="E112" s="266">
        <v>5.0000000000000001E-3</v>
      </c>
      <c r="F112" s="267">
        <f>ÉV!$B$12</f>
        <v>0</v>
      </c>
      <c r="G112" s="271">
        <f ca="1">VLOOKUP(A112,ÉV!$A$18:$B$65,2,0)</f>
        <v>250192.62924108081</v>
      </c>
      <c r="H112" s="271">
        <f ca="1">IF(OR(A112=1,AND(C112=ÉV!$I$2,D112&gt;ÉV!$J$2),C112&gt;ÉV!$I$2),0,INDEX(Pz!$B$2:$AM$48,A112-1,ÉV!$G$2-9)/100000*ÉV!$B$10)</f>
        <v>221720.53718024149</v>
      </c>
      <c r="I112" s="271">
        <f ca="1">INDEX(Pz!$B$2:$AM$48,HÓ!A112,ÉV!$G$2-9)/100000*ÉV!$B$10</f>
        <v>226138.23086128102</v>
      </c>
      <c r="J112" s="273">
        <f ca="1">IF(OR(A112=1,A112=2,AND(C112=ÉV!$I$2,D112&gt;ÉV!$J$2),C112&gt;ÉV!$I$2),0,VLOOKUP(A112-2,ÉV!$A$18:$C$65,3,0))</f>
        <v>1403795.1298145123</v>
      </c>
      <c r="K112" s="273">
        <f ca="1">IF(OR(A112=1,AND(C112=ÉV!$I$2,D112&gt;ÉV!$J$2),C112&gt;ÉV!$I$2),0,VLOOKUP(A112-1,ÉV!$A$18:$C$65,3,0))</f>
        <v>1628801.7736573364</v>
      </c>
      <c r="L112" s="273">
        <f ca="1">VLOOKUP(A112,ÉV!$A$18:$C$65,3,0)*IF(OR(AND(C112=ÉV!$I$2,D112&gt;ÉV!$J$2),C112&gt;ÉV!$I$2),0,1)</f>
        <v>1858755.8670957277</v>
      </c>
      <c r="M112" s="273">
        <f ca="1">(K112*(12-B112)/12+L112*B112/12)*IF(A112&gt;ÉV!$G$2,0,1)+IF(A112&gt;ÉV!$G$2,M111,0)*IF(OR(AND(C112=ÉV!$I$2,D112&gt;ÉV!$J$2),C112&gt;ÉV!$I$2),0,1)</f>
        <v>1667127.4558970684</v>
      </c>
      <c r="N112" s="274">
        <f ca="1">IF(AND(C112=1,D112&lt;12),0,1)*IF(D112=12,MAX(0,F112-E112-0.003)*0.9*((K112+I112)*(B112/12)+(J112+H112)*(1-B112/12))+MAX(0,F112-0.003)*0.9*N111+N111,IF(AND(C112=ÉV!$I$2,D112=ÉV!$J$2),(M112+N111)*MAX(0,F112-0.003)*0.9*(D112/12)+N111,N111))*IF(OR(C112&gt;ÉV!$I$2,AND(C112=ÉV!$I$2,D112&gt;ÉV!$J$2)),0,1)</f>
        <v>0</v>
      </c>
      <c r="O112" s="313">
        <f ca="1">IF(MAX(AF$2:AF111)=2,      0,IF(OR(AC112=7, AF112=2),    SUM(AE$2:AE112),    O111)   )</f>
        <v>347345.04690212419</v>
      </c>
      <c r="P112" s="271">
        <f ca="1">IF(D112=12,V112+P111+P111*(F112-0.003)*0.9,IF(AND(C112=ÉV!$I$2,D112=ÉV!$J$2),V112+P111+P111*(F112-0.003)*0.9*D112/12,P111))*IF(OR(C112&gt;ÉV!$I$2,AND(C112=ÉV!$I$2,D112&gt;ÉV!$J$2)),0,1)</f>
        <v>0</v>
      </c>
      <c r="Q112" s="275">
        <f ca="1">(N112+P112)*IF(OR(AND(C112=ÉV!$I$2,D112&gt;ÉV!$J$2),C112&gt;ÉV!$I$2),0,1)</f>
        <v>0</v>
      </c>
      <c r="R112" s="271">
        <f ca="1">(MAX(0,F112-E112-0.003)*0.9*((K112+I112)*(1/12)))*IF(OR(C112&gt;ÉV!$I$2,AND(C112=ÉV!$I$2,D112&gt;ÉV!$J$2)),0,1)</f>
        <v>0</v>
      </c>
      <c r="S112" s="271">
        <f ca="1">(MAX(0,F112-0.003)*0.9*((O112)*(1/12)))*IF(OR(C112&gt;ÉV!$I$2,AND(C112=ÉV!$I$2,D112&gt;ÉV!$J$2)),0,1)</f>
        <v>0</v>
      </c>
      <c r="T112" s="271">
        <f ca="1">(MAX(0,F112-0.003)*0.9*((Q111)*(1/12)))*IF(OR(C112&gt;ÉV!$I$2,AND(C112=ÉV!$I$2,D112&gt;ÉV!$J$2)),0,1)</f>
        <v>0</v>
      </c>
      <c r="U112" s="271">
        <f ca="1">IF($D112=1,R112,R112+U111)*IF(OR(C112&gt;ÉV!$I$2,AND(C112=ÉV!$I$2,D112&gt;ÉV!$J$2)),0,1)</f>
        <v>0</v>
      </c>
      <c r="V112" s="271">
        <f ca="1">IF($D112=1,S112,S112+V111)*IF(OR(C112&gt;ÉV!$I$2,AND(C112=ÉV!$I$2,D112&gt;ÉV!$J$2)),0,1)</f>
        <v>0</v>
      </c>
      <c r="W112" s="271">
        <f ca="1">IF($D112=1,T112,T112+W111)*IF(OR(C112&gt;ÉV!$I$2,AND(C112=ÉV!$I$2,D112&gt;ÉV!$J$2)),0,1)</f>
        <v>0</v>
      </c>
      <c r="X112" s="271">
        <f ca="1">IF(OR(D112=12,AND(C112=ÉV!$I$2,D112=ÉV!$J$2)),SUM(U112:W112)+X111,X111)*IF(OR(C112&gt;ÉV!$I$2,AND(C112=ÉV!$I$2,D112&gt;ÉV!$J$2)),0,1)</f>
        <v>0</v>
      </c>
      <c r="Y112" s="271">
        <f t="shared" ca="1" si="13"/>
        <v>0</v>
      </c>
      <c r="Z112" s="265">
        <f t="shared" si="14"/>
        <v>2</v>
      </c>
      <c r="AA112" s="272">
        <f t="shared" ca="1" si="15"/>
        <v>20849.385770090066</v>
      </c>
      <c r="AB112" s="265">
        <f t="shared" ca="1" si="21"/>
        <v>2026</v>
      </c>
      <c r="AC112" s="265">
        <f t="shared" ca="1" si="22"/>
        <v>5</v>
      </c>
      <c r="AD112" s="276">
        <f ca="1">IF(     OR(               AND(MAX(AF$6:AF112)&lt;2,  AC112=12),                 AF112=2),                   SUMIF(AB:AB,AB112,AA:AA),                       0)</f>
        <v>0</v>
      </c>
      <c r="AE112" s="277">
        <f t="shared" ca="1" si="23"/>
        <v>0</v>
      </c>
      <c r="AF112" s="277">
        <f t="shared" ca="1" si="16"/>
        <v>0</v>
      </c>
      <c r="AG112" s="402">
        <f ca="1">IF(  AND(AC112=AdóHó,   MAX(AF$1:AF111)&lt;2),   SUMIF(AB:AB,AB112-1,AE:AE),0  )
+ IF(AND(AC112&lt;AdóHó,                            AF112=2),   SUMIF(AB:AB,AB112-1,AE:AE),0  )
+ IF(                                                                  AF112=2,    SUMIF(AB:AB,AB112,AE:AE   ),0  )</f>
        <v>0</v>
      </c>
      <c r="AH112" s="272">
        <f ca="1">SUM(AG$2:AG112)</f>
        <v>347345.04690212419</v>
      </c>
    </row>
    <row r="113" spans="1:34">
      <c r="A113" s="265">
        <f t="shared" si="17"/>
        <v>10</v>
      </c>
      <c r="B113" s="265">
        <f t="shared" si="18"/>
        <v>3</v>
      </c>
      <c r="C113" s="265">
        <f t="shared" ca="1" si="19"/>
        <v>10</v>
      </c>
      <c r="D113" s="265">
        <f t="shared" ca="1" si="20"/>
        <v>6</v>
      </c>
      <c r="E113" s="266">
        <v>5.0000000000000001E-3</v>
      </c>
      <c r="F113" s="267">
        <f>ÉV!$B$12</f>
        <v>0</v>
      </c>
      <c r="G113" s="271">
        <f ca="1">VLOOKUP(A113,ÉV!$A$18:$B$65,2,0)</f>
        <v>250192.62924108081</v>
      </c>
      <c r="H113" s="271">
        <f ca="1">IF(OR(A113=1,AND(C113=ÉV!$I$2,D113&gt;ÉV!$J$2),C113&gt;ÉV!$I$2),0,INDEX(Pz!$B$2:$AM$48,A113-1,ÉV!$G$2-9)/100000*ÉV!$B$10)</f>
        <v>221720.53718024149</v>
      </c>
      <c r="I113" s="271">
        <f ca="1">INDEX(Pz!$B$2:$AM$48,HÓ!A113,ÉV!$G$2-9)/100000*ÉV!$B$10</f>
        <v>226138.23086128102</v>
      </c>
      <c r="J113" s="273">
        <f ca="1">IF(OR(A113=1,A113=2,AND(C113=ÉV!$I$2,D113&gt;ÉV!$J$2),C113&gt;ÉV!$I$2),0,VLOOKUP(A113-2,ÉV!$A$18:$C$65,3,0))</f>
        <v>1403795.1298145123</v>
      </c>
      <c r="K113" s="273">
        <f ca="1">IF(OR(A113=1,AND(C113=ÉV!$I$2,D113&gt;ÉV!$J$2),C113&gt;ÉV!$I$2),0,VLOOKUP(A113-1,ÉV!$A$18:$C$65,3,0))</f>
        <v>1628801.7736573364</v>
      </c>
      <c r="L113" s="273">
        <f ca="1">VLOOKUP(A113,ÉV!$A$18:$C$65,3,0)*IF(OR(AND(C113=ÉV!$I$2,D113&gt;ÉV!$J$2),C113&gt;ÉV!$I$2),0,1)</f>
        <v>1858755.8670957277</v>
      </c>
      <c r="M113" s="273">
        <f ca="1">(K113*(12-B113)/12+L113*B113/12)*IF(A113&gt;ÉV!$G$2,0,1)+IF(A113&gt;ÉV!$G$2,M112,0)*IF(OR(AND(C113=ÉV!$I$2,D113&gt;ÉV!$J$2),C113&gt;ÉV!$I$2),0,1)</f>
        <v>1686290.2970169343</v>
      </c>
      <c r="N113" s="274">
        <f ca="1">IF(AND(C113=1,D113&lt;12),0,1)*IF(D113=12,MAX(0,F113-E113-0.003)*0.9*((K113+I113)*(B113/12)+(J113+H113)*(1-B113/12))+MAX(0,F113-0.003)*0.9*N112+N112,IF(AND(C113=ÉV!$I$2,D113=ÉV!$J$2),(M113+N112)*MAX(0,F113-0.003)*0.9*(D113/12)+N112,N112))*IF(OR(C113&gt;ÉV!$I$2,AND(C113=ÉV!$I$2,D113&gt;ÉV!$J$2)),0,1)</f>
        <v>0</v>
      </c>
      <c r="O113" s="313">
        <f ca="1">IF(MAX(AF$2:AF112)=2,      0,IF(OR(AC113=7, AF113=2),    SUM(AE$2:AE113),    O112)   )</f>
        <v>347345.04690212419</v>
      </c>
      <c r="P113" s="271">
        <f ca="1">IF(D113=12,V113+P112+P112*(F113-0.003)*0.9,IF(AND(C113=ÉV!$I$2,D113=ÉV!$J$2),V113+P112+P112*(F113-0.003)*0.9*D113/12,P112))*IF(OR(C113&gt;ÉV!$I$2,AND(C113=ÉV!$I$2,D113&gt;ÉV!$J$2)),0,1)</f>
        <v>0</v>
      </c>
      <c r="Q113" s="275">
        <f ca="1">(N113+P113)*IF(OR(AND(C113=ÉV!$I$2,D113&gt;ÉV!$J$2),C113&gt;ÉV!$I$2),0,1)</f>
        <v>0</v>
      </c>
      <c r="R113" s="271">
        <f ca="1">(MAX(0,F113-E113-0.003)*0.9*((K113+I113)*(1/12)))*IF(OR(C113&gt;ÉV!$I$2,AND(C113=ÉV!$I$2,D113&gt;ÉV!$J$2)),0,1)</f>
        <v>0</v>
      </c>
      <c r="S113" s="271">
        <f ca="1">(MAX(0,F113-0.003)*0.9*((O113)*(1/12)))*IF(OR(C113&gt;ÉV!$I$2,AND(C113=ÉV!$I$2,D113&gt;ÉV!$J$2)),0,1)</f>
        <v>0</v>
      </c>
      <c r="T113" s="271">
        <f ca="1">(MAX(0,F113-0.003)*0.9*((Q112)*(1/12)))*IF(OR(C113&gt;ÉV!$I$2,AND(C113=ÉV!$I$2,D113&gt;ÉV!$J$2)),0,1)</f>
        <v>0</v>
      </c>
      <c r="U113" s="271">
        <f ca="1">IF($D113=1,R113,R113+U112)*IF(OR(C113&gt;ÉV!$I$2,AND(C113=ÉV!$I$2,D113&gt;ÉV!$J$2)),0,1)</f>
        <v>0</v>
      </c>
      <c r="V113" s="271">
        <f ca="1">IF($D113=1,S113,S113+V112)*IF(OR(C113&gt;ÉV!$I$2,AND(C113=ÉV!$I$2,D113&gt;ÉV!$J$2)),0,1)</f>
        <v>0</v>
      </c>
      <c r="W113" s="271">
        <f ca="1">IF($D113=1,T113,T113+W112)*IF(OR(C113&gt;ÉV!$I$2,AND(C113=ÉV!$I$2,D113&gt;ÉV!$J$2)),0,1)</f>
        <v>0</v>
      </c>
      <c r="X113" s="271">
        <f ca="1">IF(OR(D113=12,AND(C113=ÉV!$I$2,D113=ÉV!$J$2)),SUM(U113:W113)+X112,X112)*IF(OR(C113&gt;ÉV!$I$2,AND(C113=ÉV!$I$2,D113&gt;ÉV!$J$2)),0,1)</f>
        <v>0</v>
      </c>
      <c r="Y113" s="271">
        <f t="shared" ca="1" si="13"/>
        <v>0</v>
      </c>
      <c r="Z113" s="265">
        <f t="shared" si="14"/>
        <v>3</v>
      </c>
      <c r="AA113" s="272">
        <f t="shared" ca="1" si="15"/>
        <v>20849.385770090066</v>
      </c>
      <c r="AB113" s="265">
        <f t="shared" ca="1" si="21"/>
        <v>2026</v>
      </c>
      <c r="AC113" s="265">
        <f t="shared" ca="1" si="22"/>
        <v>6</v>
      </c>
      <c r="AD113" s="276">
        <f ca="1">IF(     OR(               AND(MAX(AF$6:AF113)&lt;2,  AC113=12),                 AF113=2),                   SUMIF(AB:AB,AB113,AA:AA),                       0)</f>
        <v>0</v>
      </c>
      <c r="AE113" s="277">
        <f t="shared" ca="1" si="23"/>
        <v>0</v>
      </c>
      <c r="AF113" s="277">
        <f t="shared" ca="1" si="16"/>
        <v>0</v>
      </c>
      <c r="AG113" s="402">
        <f ca="1">IF(  AND(AC113=AdóHó,   MAX(AF$1:AF112)&lt;2),   SUMIF(AB:AB,AB113-1,AE:AE),0  )
+ IF(AND(AC113&lt;AdóHó,                            AF113=2),   SUMIF(AB:AB,AB113-1,AE:AE),0  )
+ IF(                                                                  AF113=2,    SUMIF(AB:AB,AB113,AE:AE   ),0  )</f>
        <v>0</v>
      </c>
      <c r="AH113" s="272">
        <f ca="1">SUM(AG$2:AG113)</f>
        <v>347345.04690212419</v>
      </c>
    </row>
    <row r="114" spans="1:34">
      <c r="A114" s="265">
        <f t="shared" si="17"/>
        <v>10</v>
      </c>
      <c r="B114" s="265">
        <f t="shared" si="18"/>
        <v>4</v>
      </c>
      <c r="C114" s="265">
        <f t="shared" ca="1" si="19"/>
        <v>10</v>
      </c>
      <c r="D114" s="265">
        <f t="shared" ca="1" si="20"/>
        <v>7</v>
      </c>
      <c r="E114" s="266">
        <v>5.0000000000000001E-3</v>
      </c>
      <c r="F114" s="267">
        <f>ÉV!$B$12</f>
        <v>0</v>
      </c>
      <c r="G114" s="271">
        <f ca="1">VLOOKUP(A114,ÉV!$A$18:$B$65,2,0)</f>
        <v>250192.62924108081</v>
      </c>
      <c r="H114" s="271">
        <f ca="1">IF(OR(A114=1,AND(C114=ÉV!$I$2,D114&gt;ÉV!$J$2),C114&gt;ÉV!$I$2),0,INDEX(Pz!$B$2:$AM$48,A114-1,ÉV!$G$2-9)/100000*ÉV!$B$10)</f>
        <v>221720.53718024149</v>
      </c>
      <c r="I114" s="271">
        <f ca="1">INDEX(Pz!$B$2:$AM$48,HÓ!A114,ÉV!$G$2-9)/100000*ÉV!$B$10</f>
        <v>226138.23086128102</v>
      </c>
      <c r="J114" s="273">
        <f ca="1">IF(OR(A114=1,A114=2,AND(C114=ÉV!$I$2,D114&gt;ÉV!$J$2),C114&gt;ÉV!$I$2),0,VLOOKUP(A114-2,ÉV!$A$18:$C$65,3,0))</f>
        <v>1403795.1298145123</v>
      </c>
      <c r="K114" s="273">
        <f ca="1">IF(OR(A114=1,AND(C114=ÉV!$I$2,D114&gt;ÉV!$J$2),C114&gt;ÉV!$I$2),0,VLOOKUP(A114-1,ÉV!$A$18:$C$65,3,0))</f>
        <v>1628801.7736573364</v>
      </c>
      <c r="L114" s="273">
        <f ca="1">VLOOKUP(A114,ÉV!$A$18:$C$65,3,0)*IF(OR(AND(C114=ÉV!$I$2,D114&gt;ÉV!$J$2),C114&gt;ÉV!$I$2),0,1)</f>
        <v>1858755.8670957277</v>
      </c>
      <c r="M114" s="273">
        <f ca="1">(K114*(12-B114)/12+L114*B114/12)*IF(A114&gt;ÉV!$G$2,0,1)+IF(A114&gt;ÉV!$G$2,M113,0)*IF(OR(AND(C114=ÉV!$I$2,D114&gt;ÉV!$J$2),C114&gt;ÉV!$I$2),0,1)</f>
        <v>1705453.1381367999</v>
      </c>
      <c r="N114" s="274">
        <f ca="1">IF(AND(C114=1,D114&lt;12),0,1)*IF(D114=12,MAX(0,F114-E114-0.003)*0.9*((K114+I114)*(B114/12)+(J114+H114)*(1-B114/12))+MAX(0,F114-0.003)*0.9*N113+N113,IF(AND(C114=ÉV!$I$2,D114=ÉV!$J$2),(M114+N113)*MAX(0,F114-0.003)*0.9*(D114/12)+N113,N113))*IF(OR(C114&gt;ÉV!$I$2,AND(C114=ÉV!$I$2,D114&gt;ÉV!$J$2)),0,1)</f>
        <v>0</v>
      </c>
      <c r="O114" s="313">
        <f ca="1">IF(MAX(AF$2:AF113)=2,      0,IF(OR(AC114=7, AF114=2),    SUM(AE$2:AE114),    O113)   )</f>
        <v>396161.94784016669</v>
      </c>
      <c r="P114" s="271">
        <f ca="1">IF(D114=12,V114+P113+P113*(F114-0.003)*0.9,IF(AND(C114=ÉV!$I$2,D114=ÉV!$J$2),V114+P113+P113*(F114-0.003)*0.9*D114/12,P113))*IF(OR(C114&gt;ÉV!$I$2,AND(C114=ÉV!$I$2,D114&gt;ÉV!$J$2)),0,1)</f>
        <v>0</v>
      </c>
      <c r="Q114" s="275">
        <f ca="1">(N114+P114)*IF(OR(AND(C114=ÉV!$I$2,D114&gt;ÉV!$J$2),C114&gt;ÉV!$I$2),0,1)</f>
        <v>0</v>
      </c>
      <c r="R114" s="271">
        <f ca="1">(MAX(0,F114-E114-0.003)*0.9*((K114+I114)*(1/12)))*IF(OR(C114&gt;ÉV!$I$2,AND(C114=ÉV!$I$2,D114&gt;ÉV!$J$2)),0,1)</f>
        <v>0</v>
      </c>
      <c r="S114" s="271">
        <f ca="1">(MAX(0,F114-0.003)*0.9*((O114)*(1/12)))*IF(OR(C114&gt;ÉV!$I$2,AND(C114=ÉV!$I$2,D114&gt;ÉV!$J$2)),0,1)</f>
        <v>0</v>
      </c>
      <c r="T114" s="271">
        <f ca="1">(MAX(0,F114-0.003)*0.9*((Q113)*(1/12)))*IF(OR(C114&gt;ÉV!$I$2,AND(C114=ÉV!$I$2,D114&gt;ÉV!$J$2)),0,1)</f>
        <v>0</v>
      </c>
      <c r="U114" s="271">
        <f ca="1">IF($D114=1,R114,R114+U113)*IF(OR(C114&gt;ÉV!$I$2,AND(C114=ÉV!$I$2,D114&gt;ÉV!$J$2)),0,1)</f>
        <v>0</v>
      </c>
      <c r="V114" s="271">
        <f ca="1">IF($D114=1,S114,S114+V113)*IF(OR(C114&gt;ÉV!$I$2,AND(C114=ÉV!$I$2,D114&gt;ÉV!$J$2)),0,1)</f>
        <v>0</v>
      </c>
      <c r="W114" s="271">
        <f ca="1">IF($D114=1,T114,T114+W113)*IF(OR(C114&gt;ÉV!$I$2,AND(C114=ÉV!$I$2,D114&gt;ÉV!$J$2)),0,1)</f>
        <v>0</v>
      </c>
      <c r="X114" s="271">
        <f ca="1">IF(OR(D114=12,AND(C114=ÉV!$I$2,D114=ÉV!$J$2)),SUM(U114:W114)+X113,X113)*IF(OR(C114&gt;ÉV!$I$2,AND(C114=ÉV!$I$2,D114&gt;ÉV!$J$2)),0,1)</f>
        <v>0</v>
      </c>
      <c r="Y114" s="271">
        <f t="shared" ca="1" si="13"/>
        <v>0</v>
      </c>
      <c r="Z114" s="265">
        <f t="shared" si="14"/>
        <v>4</v>
      </c>
      <c r="AA114" s="272">
        <f t="shared" ca="1" si="15"/>
        <v>20849.385770090066</v>
      </c>
      <c r="AB114" s="265">
        <f t="shared" ca="1" si="21"/>
        <v>2026</v>
      </c>
      <c r="AC114" s="265">
        <f t="shared" ca="1" si="22"/>
        <v>7</v>
      </c>
      <c r="AD114" s="276">
        <f ca="1">IF(     OR(               AND(MAX(AF$6:AF114)&lt;2,  AC114=12),                 AF114=2),                   SUMIF(AB:AB,AB114,AA:AA),                       0)</f>
        <v>0</v>
      </c>
      <c r="AE114" s="277">
        <f t="shared" ca="1" si="23"/>
        <v>0</v>
      </c>
      <c r="AF114" s="277">
        <f t="shared" ca="1" si="16"/>
        <v>0</v>
      </c>
      <c r="AG114" s="402">
        <f ca="1">IF(  AND(AC114=AdóHó,   MAX(AF$1:AF113)&lt;2),   SUMIF(AB:AB,AB114-1,AE:AE),0  )
+ IF(AND(AC114&lt;AdóHó,                            AF114=2),   SUMIF(AB:AB,AB114-1,AE:AE),0  )
+ IF(                                                                  AF114=2,    SUMIF(AB:AB,AB114,AE:AE   ),0  )</f>
        <v>48816.900938042476</v>
      </c>
      <c r="AH114" s="272">
        <f ca="1">SUM(AG$2:AG114)</f>
        <v>396161.94784016669</v>
      </c>
    </row>
    <row r="115" spans="1:34">
      <c r="A115" s="265">
        <f t="shared" si="17"/>
        <v>10</v>
      </c>
      <c r="B115" s="265">
        <f t="shared" si="18"/>
        <v>5</v>
      </c>
      <c r="C115" s="265">
        <f t="shared" ca="1" si="19"/>
        <v>10</v>
      </c>
      <c r="D115" s="265">
        <f t="shared" ca="1" si="20"/>
        <v>8</v>
      </c>
      <c r="E115" s="266">
        <v>5.0000000000000001E-3</v>
      </c>
      <c r="F115" s="267">
        <f>ÉV!$B$12</f>
        <v>0</v>
      </c>
      <c r="G115" s="271">
        <f ca="1">VLOOKUP(A115,ÉV!$A$18:$B$65,2,0)</f>
        <v>250192.62924108081</v>
      </c>
      <c r="H115" s="271">
        <f ca="1">IF(OR(A115=1,AND(C115=ÉV!$I$2,D115&gt;ÉV!$J$2),C115&gt;ÉV!$I$2),0,INDEX(Pz!$B$2:$AM$48,A115-1,ÉV!$G$2-9)/100000*ÉV!$B$10)</f>
        <v>221720.53718024149</v>
      </c>
      <c r="I115" s="271">
        <f ca="1">INDEX(Pz!$B$2:$AM$48,HÓ!A115,ÉV!$G$2-9)/100000*ÉV!$B$10</f>
        <v>226138.23086128102</v>
      </c>
      <c r="J115" s="273">
        <f ca="1">IF(OR(A115=1,A115=2,AND(C115=ÉV!$I$2,D115&gt;ÉV!$J$2),C115&gt;ÉV!$I$2),0,VLOOKUP(A115-2,ÉV!$A$18:$C$65,3,0))</f>
        <v>1403795.1298145123</v>
      </c>
      <c r="K115" s="273">
        <f ca="1">IF(OR(A115=1,AND(C115=ÉV!$I$2,D115&gt;ÉV!$J$2),C115&gt;ÉV!$I$2),0,VLOOKUP(A115-1,ÉV!$A$18:$C$65,3,0))</f>
        <v>1628801.7736573364</v>
      </c>
      <c r="L115" s="273">
        <f ca="1">VLOOKUP(A115,ÉV!$A$18:$C$65,3,0)*IF(OR(AND(C115=ÉV!$I$2,D115&gt;ÉV!$J$2),C115&gt;ÉV!$I$2),0,1)</f>
        <v>1858755.8670957277</v>
      </c>
      <c r="M115" s="273">
        <f ca="1">(K115*(12-B115)/12+L115*B115/12)*IF(A115&gt;ÉV!$G$2,0,1)+IF(A115&gt;ÉV!$G$2,M114,0)*IF(OR(AND(C115=ÉV!$I$2,D115&gt;ÉV!$J$2),C115&gt;ÉV!$I$2),0,1)</f>
        <v>1724615.9792566663</v>
      </c>
      <c r="N115" s="274">
        <f ca="1">IF(AND(C115=1,D115&lt;12),0,1)*IF(D115=12,MAX(0,F115-E115-0.003)*0.9*((K115+I115)*(B115/12)+(J115+H115)*(1-B115/12))+MAX(0,F115-0.003)*0.9*N114+N114,IF(AND(C115=ÉV!$I$2,D115=ÉV!$J$2),(M115+N114)*MAX(0,F115-0.003)*0.9*(D115/12)+N114,N114))*IF(OR(C115&gt;ÉV!$I$2,AND(C115=ÉV!$I$2,D115&gt;ÉV!$J$2)),0,1)</f>
        <v>0</v>
      </c>
      <c r="O115" s="313">
        <f ca="1">IF(MAX(AF$2:AF114)=2,      0,IF(OR(AC115=7, AF115=2),    SUM(AE$2:AE115),    O114)   )</f>
        <v>396161.94784016669</v>
      </c>
      <c r="P115" s="271">
        <f ca="1">IF(D115=12,V115+P114+P114*(F115-0.003)*0.9,IF(AND(C115=ÉV!$I$2,D115=ÉV!$J$2),V115+P114+P114*(F115-0.003)*0.9*D115/12,P114))*IF(OR(C115&gt;ÉV!$I$2,AND(C115=ÉV!$I$2,D115&gt;ÉV!$J$2)),0,1)</f>
        <v>0</v>
      </c>
      <c r="Q115" s="275">
        <f ca="1">(N115+P115)*IF(OR(AND(C115=ÉV!$I$2,D115&gt;ÉV!$J$2),C115&gt;ÉV!$I$2),0,1)</f>
        <v>0</v>
      </c>
      <c r="R115" s="271">
        <f ca="1">(MAX(0,F115-E115-0.003)*0.9*((K115+I115)*(1/12)))*IF(OR(C115&gt;ÉV!$I$2,AND(C115=ÉV!$I$2,D115&gt;ÉV!$J$2)),0,1)</f>
        <v>0</v>
      </c>
      <c r="S115" s="271">
        <f ca="1">(MAX(0,F115-0.003)*0.9*((O115)*(1/12)))*IF(OR(C115&gt;ÉV!$I$2,AND(C115=ÉV!$I$2,D115&gt;ÉV!$J$2)),0,1)</f>
        <v>0</v>
      </c>
      <c r="T115" s="271">
        <f ca="1">(MAX(0,F115-0.003)*0.9*((Q114)*(1/12)))*IF(OR(C115&gt;ÉV!$I$2,AND(C115=ÉV!$I$2,D115&gt;ÉV!$J$2)),0,1)</f>
        <v>0</v>
      </c>
      <c r="U115" s="271">
        <f ca="1">IF($D115=1,R115,R115+U114)*IF(OR(C115&gt;ÉV!$I$2,AND(C115=ÉV!$I$2,D115&gt;ÉV!$J$2)),0,1)</f>
        <v>0</v>
      </c>
      <c r="V115" s="271">
        <f ca="1">IF($D115=1,S115,S115+V114)*IF(OR(C115&gt;ÉV!$I$2,AND(C115=ÉV!$I$2,D115&gt;ÉV!$J$2)),0,1)</f>
        <v>0</v>
      </c>
      <c r="W115" s="271">
        <f ca="1">IF($D115=1,T115,T115+W114)*IF(OR(C115&gt;ÉV!$I$2,AND(C115=ÉV!$I$2,D115&gt;ÉV!$J$2)),0,1)</f>
        <v>0</v>
      </c>
      <c r="X115" s="271">
        <f ca="1">IF(OR(D115=12,AND(C115=ÉV!$I$2,D115=ÉV!$J$2)),SUM(U115:W115)+X114,X114)*IF(OR(C115&gt;ÉV!$I$2,AND(C115=ÉV!$I$2,D115&gt;ÉV!$J$2)),0,1)</f>
        <v>0</v>
      </c>
      <c r="Y115" s="271">
        <f t="shared" ca="1" si="13"/>
        <v>0</v>
      </c>
      <c r="Z115" s="265">
        <f t="shared" si="14"/>
        <v>5</v>
      </c>
      <c r="AA115" s="272">
        <f t="shared" ca="1" si="15"/>
        <v>20849.385770090066</v>
      </c>
      <c r="AB115" s="265">
        <f t="shared" ca="1" si="21"/>
        <v>2026</v>
      </c>
      <c r="AC115" s="265">
        <f t="shared" ca="1" si="22"/>
        <v>8</v>
      </c>
      <c r="AD115" s="276">
        <f ca="1">IF(     OR(               AND(MAX(AF$6:AF115)&lt;2,  AC115=12),                 AF115=2),                   SUMIF(AB:AB,AB115,AA:AA),                       0)</f>
        <v>0</v>
      </c>
      <c r="AE115" s="277">
        <f t="shared" ca="1" si="23"/>
        <v>0</v>
      </c>
      <c r="AF115" s="277">
        <f t="shared" ca="1" si="16"/>
        <v>0</v>
      </c>
      <c r="AG115" s="402">
        <f ca="1">IF(  AND(AC115=AdóHó,   MAX(AF$1:AF114)&lt;2),   SUMIF(AB:AB,AB115-1,AE:AE),0  )
+ IF(AND(AC115&lt;AdóHó,                            AF115=2),   SUMIF(AB:AB,AB115-1,AE:AE),0  )
+ IF(                                                                  AF115=2,    SUMIF(AB:AB,AB115,AE:AE   ),0  )</f>
        <v>0</v>
      </c>
      <c r="AH115" s="272">
        <f ca="1">SUM(AG$2:AG115)</f>
        <v>396161.94784016669</v>
      </c>
    </row>
    <row r="116" spans="1:34">
      <c r="A116" s="265">
        <f t="shared" si="17"/>
        <v>10</v>
      </c>
      <c r="B116" s="265">
        <f t="shared" si="18"/>
        <v>6</v>
      </c>
      <c r="C116" s="265">
        <f t="shared" ca="1" si="19"/>
        <v>10</v>
      </c>
      <c r="D116" s="265">
        <f t="shared" ca="1" si="20"/>
        <v>9</v>
      </c>
      <c r="E116" s="266">
        <v>5.0000000000000001E-3</v>
      </c>
      <c r="F116" s="267">
        <f>ÉV!$B$12</f>
        <v>0</v>
      </c>
      <c r="G116" s="271">
        <f ca="1">VLOOKUP(A116,ÉV!$A$18:$B$65,2,0)</f>
        <v>250192.62924108081</v>
      </c>
      <c r="H116" s="271">
        <f ca="1">IF(OR(A116=1,AND(C116=ÉV!$I$2,D116&gt;ÉV!$J$2),C116&gt;ÉV!$I$2),0,INDEX(Pz!$B$2:$AM$48,A116-1,ÉV!$G$2-9)/100000*ÉV!$B$10)</f>
        <v>221720.53718024149</v>
      </c>
      <c r="I116" s="271">
        <f ca="1">INDEX(Pz!$B$2:$AM$48,HÓ!A116,ÉV!$G$2-9)/100000*ÉV!$B$10</f>
        <v>226138.23086128102</v>
      </c>
      <c r="J116" s="273">
        <f ca="1">IF(OR(A116=1,A116=2,AND(C116=ÉV!$I$2,D116&gt;ÉV!$J$2),C116&gt;ÉV!$I$2),0,VLOOKUP(A116-2,ÉV!$A$18:$C$65,3,0))</f>
        <v>1403795.1298145123</v>
      </c>
      <c r="K116" s="273">
        <f ca="1">IF(OR(A116=1,AND(C116=ÉV!$I$2,D116&gt;ÉV!$J$2),C116&gt;ÉV!$I$2),0,VLOOKUP(A116-1,ÉV!$A$18:$C$65,3,0))</f>
        <v>1628801.7736573364</v>
      </c>
      <c r="L116" s="273">
        <f ca="1">VLOOKUP(A116,ÉV!$A$18:$C$65,3,0)*IF(OR(AND(C116=ÉV!$I$2,D116&gt;ÉV!$J$2),C116&gt;ÉV!$I$2),0,1)</f>
        <v>1858755.8670957277</v>
      </c>
      <c r="M116" s="273">
        <f ca="1">(K116*(12-B116)/12+L116*B116/12)*IF(A116&gt;ÉV!$G$2,0,1)+IF(A116&gt;ÉV!$G$2,M115,0)*IF(OR(AND(C116=ÉV!$I$2,D116&gt;ÉV!$J$2),C116&gt;ÉV!$I$2),0,1)</f>
        <v>1743778.8203765319</v>
      </c>
      <c r="N116" s="274">
        <f ca="1">IF(AND(C116=1,D116&lt;12),0,1)*IF(D116=12,MAX(0,F116-E116-0.003)*0.9*((K116+I116)*(B116/12)+(J116+H116)*(1-B116/12))+MAX(0,F116-0.003)*0.9*N115+N115,IF(AND(C116=ÉV!$I$2,D116=ÉV!$J$2),(M116+N115)*MAX(0,F116-0.003)*0.9*(D116/12)+N115,N115))*IF(OR(C116&gt;ÉV!$I$2,AND(C116=ÉV!$I$2,D116&gt;ÉV!$J$2)),0,1)</f>
        <v>0</v>
      </c>
      <c r="O116" s="313">
        <f ca="1">IF(MAX(AF$2:AF115)=2,      0,IF(OR(AC116=7, AF116=2),    SUM(AE$2:AE116),    O115)   )</f>
        <v>396161.94784016669</v>
      </c>
      <c r="P116" s="271">
        <f ca="1">IF(D116=12,V116+P115+P115*(F116-0.003)*0.9,IF(AND(C116=ÉV!$I$2,D116=ÉV!$J$2),V116+P115+P115*(F116-0.003)*0.9*D116/12,P115))*IF(OR(C116&gt;ÉV!$I$2,AND(C116=ÉV!$I$2,D116&gt;ÉV!$J$2)),0,1)</f>
        <v>0</v>
      </c>
      <c r="Q116" s="275">
        <f ca="1">(N116+P116)*IF(OR(AND(C116=ÉV!$I$2,D116&gt;ÉV!$J$2),C116&gt;ÉV!$I$2),0,1)</f>
        <v>0</v>
      </c>
      <c r="R116" s="271">
        <f ca="1">(MAX(0,F116-E116-0.003)*0.9*((K116+I116)*(1/12)))*IF(OR(C116&gt;ÉV!$I$2,AND(C116=ÉV!$I$2,D116&gt;ÉV!$J$2)),0,1)</f>
        <v>0</v>
      </c>
      <c r="S116" s="271">
        <f ca="1">(MAX(0,F116-0.003)*0.9*((O116)*(1/12)))*IF(OR(C116&gt;ÉV!$I$2,AND(C116=ÉV!$I$2,D116&gt;ÉV!$J$2)),0,1)</f>
        <v>0</v>
      </c>
      <c r="T116" s="271">
        <f ca="1">(MAX(0,F116-0.003)*0.9*((Q115)*(1/12)))*IF(OR(C116&gt;ÉV!$I$2,AND(C116=ÉV!$I$2,D116&gt;ÉV!$J$2)),0,1)</f>
        <v>0</v>
      </c>
      <c r="U116" s="271">
        <f ca="1">IF($D116=1,R116,R116+U115)*IF(OR(C116&gt;ÉV!$I$2,AND(C116=ÉV!$I$2,D116&gt;ÉV!$J$2)),0,1)</f>
        <v>0</v>
      </c>
      <c r="V116" s="271">
        <f ca="1">IF($D116=1,S116,S116+V115)*IF(OR(C116&gt;ÉV!$I$2,AND(C116=ÉV!$I$2,D116&gt;ÉV!$J$2)),0,1)</f>
        <v>0</v>
      </c>
      <c r="W116" s="271">
        <f ca="1">IF($D116=1,T116,T116+W115)*IF(OR(C116&gt;ÉV!$I$2,AND(C116=ÉV!$I$2,D116&gt;ÉV!$J$2)),0,1)</f>
        <v>0</v>
      </c>
      <c r="X116" s="271">
        <f ca="1">IF(OR(D116=12,AND(C116=ÉV!$I$2,D116=ÉV!$J$2)),SUM(U116:W116)+X115,X115)*IF(OR(C116&gt;ÉV!$I$2,AND(C116=ÉV!$I$2,D116&gt;ÉV!$J$2)),0,1)</f>
        <v>0</v>
      </c>
      <c r="Y116" s="271">
        <f t="shared" ca="1" si="13"/>
        <v>0</v>
      </c>
      <c r="Z116" s="265">
        <f t="shared" si="14"/>
        <v>6</v>
      </c>
      <c r="AA116" s="272">
        <f t="shared" ca="1" si="15"/>
        <v>20849.385770090066</v>
      </c>
      <c r="AB116" s="265">
        <f t="shared" ca="1" si="21"/>
        <v>2026</v>
      </c>
      <c r="AC116" s="265">
        <f t="shared" ca="1" si="22"/>
        <v>9</v>
      </c>
      <c r="AD116" s="276">
        <f ca="1">IF(     OR(               AND(MAX(AF$6:AF116)&lt;2,  AC116=12),                 AF116=2),                   SUMIF(AB:AB,AB116,AA:AA),                       0)</f>
        <v>0</v>
      </c>
      <c r="AE116" s="277">
        <f t="shared" ca="1" si="23"/>
        <v>0</v>
      </c>
      <c r="AF116" s="277">
        <f t="shared" ca="1" si="16"/>
        <v>0</v>
      </c>
      <c r="AG116" s="402">
        <f ca="1">IF(  AND(AC116=AdóHó,   MAX(AF$1:AF115)&lt;2),   SUMIF(AB:AB,AB116-1,AE:AE),0  )
+ IF(AND(AC116&lt;AdóHó,                            AF116=2),   SUMIF(AB:AB,AB116-1,AE:AE),0  )
+ IF(                                                                  AF116=2,    SUMIF(AB:AB,AB116,AE:AE   ),0  )</f>
        <v>0</v>
      </c>
      <c r="AH116" s="272">
        <f ca="1">SUM(AG$2:AG116)</f>
        <v>396161.94784016669</v>
      </c>
    </row>
    <row r="117" spans="1:34">
      <c r="A117" s="265">
        <f t="shared" si="17"/>
        <v>10</v>
      </c>
      <c r="B117" s="265">
        <f t="shared" si="18"/>
        <v>7</v>
      </c>
      <c r="C117" s="265">
        <f t="shared" ca="1" si="19"/>
        <v>10</v>
      </c>
      <c r="D117" s="265">
        <f t="shared" ca="1" si="20"/>
        <v>10</v>
      </c>
      <c r="E117" s="266">
        <v>5.0000000000000001E-3</v>
      </c>
      <c r="F117" s="267">
        <f>ÉV!$B$12</f>
        <v>0</v>
      </c>
      <c r="G117" s="271">
        <f ca="1">VLOOKUP(A117,ÉV!$A$18:$B$65,2,0)</f>
        <v>250192.62924108081</v>
      </c>
      <c r="H117" s="271">
        <f ca="1">IF(OR(A117=1,AND(C117=ÉV!$I$2,D117&gt;ÉV!$J$2),C117&gt;ÉV!$I$2),0,INDEX(Pz!$B$2:$AM$48,A117-1,ÉV!$G$2-9)/100000*ÉV!$B$10)</f>
        <v>221720.53718024149</v>
      </c>
      <c r="I117" s="271">
        <f ca="1">INDEX(Pz!$B$2:$AM$48,HÓ!A117,ÉV!$G$2-9)/100000*ÉV!$B$10</f>
        <v>226138.23086128102</v>
      </c>
      <c r="J117" s="273">
        <f ca="1">IF(OR(A117=1,A117=2,AND(C117=ÉV!$I$2,D117&gt;ÉV!$J$2),C117&gt;ÉV!$I$2),0,VLOOKUP(A117-2,ÉV!$A$18:$C$65,3,0))</f>
        <v>1403795.1298145123</v>
      </c>
      <c r="K117" s="273">
        <f ca="1">IF(OR(A117=1,AND(C117=ÉV!$I$2,D117&gt;ÉV!$J$2),C117&gt;ÉV!$I$2),0,VLOOKUP(A117-1,ÉV!$A$18:$C$65,3,0))</f>
        <v>1628801.7736573364</v>
      </c>
      <c r="L117" s="273">
        <f ca="1">VLOOKUP(A117,ÉV!$A$18:$C$65,3,0)*IF(OR(AND(C117=ÉV!$I$2,D117&gt;ÉV!$J$2),C117&gt;ÉV!$I$2),0,1)</f>
        <v>1858755.8670957277</v>
      </c>
      <c r="M117" s="273">
        <f ca="1">(K117*(12-B117)/12+L117*B117/12)*IF(A117&gt;ÉV!$G$2,0,1)+IF(A117&gt;ÉV!$G$2,M116,0)*IF(OR(AND(C117=ÉV!$I$2,D117&gt;ÉV!$J$2),C117&gt;ÉV!$I$2),0,1)</f>
        <v>1762941.661496398</v>
      </c>
      <c r="N117" s="274">
        <f ca="1">IF(AND(C117=1,D117&lt;12),0,1)*IF(D117=12,MAX(0,F117-E117-0.003)*0.9*((K117+I117)*(B117/12)+(J117+H117)*(1-B117/12))+MAX(0,F117-0.003)*0.9*N116+N116,IF(AND(C117=ÉV!$I$2,D117=ÉV!$J$2),(M117+N116)*MAX(0,F117-0.003)*0.9*(D117/12)+N116,N116))*IF(OR(C117&gt;ÉV!$I$2,AND(C117=ÉV!$I$2,D117&gt;ÉV!$J$2)),0,1)</f>
        <v>0</v>
      </c>
      <c r="O117" s="313">
        <f ca="1">IF(MAX(AF$2:AF116)=2,      0,IF(OR(AC117=7, AF117=2),    SUM(AE$2:AE117),    O116)   )</f>
        <v>396161.94784016669</v>
      </c>
      <c r="P117" s="271">
        <f ca="1">IF(D117=12,V117+P116+P116*(F117-0.003)*0.9,IF(AND(C117=ÉV!$I$2,D117=ÉV!$J$2),V117+P116+P116*(F117-0.003)*0.9*D117/12,P116))*IF(OR(C117&gt;ÉV!$I$2,AND(C117=ÉV!$I$2,D117&gt;ÉV!$J$2)),0,1)</f>
        <v>0</v>
      </c>
      <c r="Q117" s="275">
        <f ca="1">(N117+P117)*IF(OR(AND(C117=ÉV!$I$2,D117&gt;ÉV!$J$2),C117&gt;ÉV!$I$2),0,1)</f>
        <v>0</v>
      </c>
      <c r="R117" s="271">
        <f ca="1">(MAX(0,F117-E117-0.003)*0.9*((K117+I117)*(1/12)))*IF(OR(C117&gt;ÉV!$I$2,AND(C117=ÉV!$I$2,D117&gt;ÉV!$J$2)),0,1)</f>
        <v>0</v>
      </c>
      <c r="S117" s="271">
        <f ca="1">(MAX(0,F117-0.003)*0.9*((O117)*(1/12)))*IF(OR(C117&gt;ÉV!$I$2,AND(C117=ÉV!$I$2,D117&gt;ÉV!$J$2)),0,1)</f>
        <v>0</v>
      </c>
      <c r="T117" s="271">
        <f ca="1">(MAX(0,F117-0.003)*0.9*((Q116)*(1/12)))*IF(OR(C117&gt;ÉV!$I$2,AND(C117=ÉV!$I$2,D117&gt;ÉV!$J$2)),0,1)</f>
        <v>0</v>
      </c>
      <c r="U117" s="271">
        <f ca="1">IF($D117=1,R117,R117+U116)*IF(OR(C117&gt;ÉV!$I$2,AND(C117=ÉV!$I$2,D117&gt;ÉV!$J$2)),0,1)</f>
        <v>0</v>
      </c>
      <c r="V117" s="271">
        <f ca="1">IF($D117=1,S117,S117+V116)*IF(OR(C117&gt;ÉV!$I$2,AND(C117=ÉV!$I$2,D117&gt;ÉV!$J$2)),0,1)</f>
        <v>0</v>
      </c>
      <c r="W117" s="271">
        <f ca="1">IF($D117=1,T117,T117+W116)*IF(OR(C117&gt;ÉV!$I$2,AND(C117=ÉV!$I$2,D117&gt;ÉV!$J$2)),0,1)</f>
        <v>0</v>
      </c>
      <c r="X117" s="271">
        <f ca="1">IF(OR(D117=12,AND(C117=ÉV!$I$2,D117=ÉV!$J$2)),SUM(U117:W117)+X116,X116)*IF(OR(C117&gt;ÉV!$I$2,AND(C117=ÉV!$I$2,D117&gt;ÉV!$J$2)),0,1)</f>
        <v>0</v>
      </c>
      <c r="Y117" s="271">
        <f t="shared" ca="1" si="13"/>
        <v>0</v>
      </c>
      <c r="Z117" s="265">
        <f t="shared" si="14"/>
        <v>7</v>
      </c>
      <c r="AA117" s="272">
        <f t="shared" ca="1" si="15"/>
        <v>20849.385770090066</v>
      </c>
      <c r="AB117" s="265">
        <f t="shared" ca="1" si="21"/>
        <v>2026</v>
      </c>
      <c r="AC117" s="265">
        <f t="shared" ca="1" si="22"/>
        <v>10</v>
      </c>
      <c r="AD117" s="276">
        <f ca="1">IF(     OR(               AND(MAX(AF$6:AF117)&lt;2,  AC117=12),                 AF117=2),                   SUMIF(AB:AB,AB117,AA:AA),                       0)</f>
        <v>0</v>
      </c>
      <c r="AE117" s="277">
        <f t="shared" ca="1" si="23"/>
        <v>0</v>
      </c>
      <c r="AF117" s="277">
        <f t="shared" ca="1" si="16"/>
        <v>0</v>
      </c>
      <c r="AG117" s="402">
        <f ca="1">IF(  AND(AC117=AdóHó,   MAX(AF$1:AF116)&lt;2),   SUMIF(AB:AB,AB117-1,AE:AE),0  )
+ IF(AND(AC117&lt;AdóHó,                            AF117=2),   SUMIF(AB:AB,AB117-1,AE:AE),0  )
+ IF(                                                                  AF117=2,    SUMIF(AB:AB,AB117,AE:AE   ),0  )</f>
        <v>0</v>
      </c>
      <c r="AH117" s="272">
        <f ca="1">SUM(AG$2:AG117)</f>
        <v>396161.94784016669</v>
      </c>
    </row>
    <row r="118" spans="1:34">
      <c r="A118" s="265">
        <f t="shared" si="17"/>
        <v>10</v>
      </c>
      <c r="B118" s="265">
        <f t="shared" si="18"/>
        <v>8</v>
      </c>
      <c r="C118" s="265">
        <f t="shared" ca="1" si="19"/>
        <v>10</v>
      </c>
      <c r="D118" s="265">
        <f t="shared" ca="1" si="20"/>
        <v>11</v>
      </c>
      <c r="E118" s="266">
        <v>5.0000000000000001E-3</v>
      </c>
      <c r="F118" s="267">
        <f>ÉV!$B$12</f>
        <v>0</v>
      </c>
      <c r="G118" s="271">
        <f ca="1">VLOOKUP(A118,ÉV!$A$18:$B$65,2,0)</f>
        <v>250192.62924108081</v>
      </c>
      <c r="H118" s="271">
        <f ca="1">IF(OR(A118=1,AND(C118=ÉV!$I$2,D118&gt;ÉV!$J$2),C118&gt;ÉV!$I$2),0,INDEX(Pz!$B$2:$AM$48,A118-1,ÉV!$G$2-9)/100000*ÉV!$B$10)</f>
        <v>221720.53718024149</v>
      </c>
      <c r="I118" s="271">
        <f ca="1">INDEX(Pz!$B$2:$AM$48,HÓ!A118,ÉV!$G$2-9)/100000*ÉV!$B$10</f>
        <v>226138.23086128102</v>
      </c>
      <c r="J118" s="273">
        <f ca="1">IF(OR(A118=1,A118=2,AND(C118=ÉV!$I$2,D118&gt;ÉV!$J$2),C118&gt;ÉV!$I$2),0,VLOOKUP(A118-2,ÉV!$A$18:$C$65,3,0))</f>
        <v>1403795.1298145123</v>
      </c>
      <c r="K118" s="273">
        <f ca="1">IF(OR(A118=1,AND(C118=ÉV!$I$2,D118&gt;ÉV!$J$2),C118&gt;ÉV!$I$2),0,VLOOKUP(A118-1,ÉV!$A$18:$C$65,3,0))</f>
        <v>1628801.7736573364</v>
      </c>
      <c r="L118" s="273">
        <f ca="1">VLOOKUP(A118,ÉV!$A$18:$C$65,3,0)*IF(OR(AND(C118=ÉV!$I$2,D118&gt;ÉV!$J$2),C118&gt;ÉV!$I$2),0,1)</f>
        <v>1858755.8670957277</v>
      </c>
      <c r="M118" s="273">
        <f ca="1">(K118*(12-B118)/12+L118*B118/12)*IF(A118&gt;ÉV!$G$2,0,1)+IF(A118&gt;ÉV!$G$2,M117,0)*IF(OR(AND(C118=ÉV!$I$2,D118&gt;ÉV!$J$2),C118&gt;ÉV!$I$2),0,1)</f>
        <v>1782104.5026162639</v>
      </c>
      <c r="N118" s="274">
        <f ca="1">IF(AND(C118=1,D118&lt;12),0,1)*IF(D118=12,MAX(0,F118-E118-0.003)*0.9*((K118+I118)*(B118/12)+(J118+H118)*(1-B118/12))+MAX(0,F118-0.003)*0.9*N117+N117,IF(AND(C118=ÉV!$I$2,D118=ÉV!$J$2),(M118+N117)*MAX(0,F118-0.003)*0.9*(D118/12)+N117,N117))*IF(OR(C118&gt;ÉV!$I$2,AND(C118=ÉV!$I$2,D118&gt;ÉV!$J$2)),0,1)</f>
        <v>0</v>
      </c>
      <c r="O118" s="313">
        <f ca="1">IF(MAX(AF$2:AF117)=2,      0,IF(OR(AC118=7, AF118=2),    SUM(AE$2:AE118),    O117)   )</f>
        <v>396161.94784016669</v>
      </c>
      <c r="P118" s="271">
        <f ca="1">IF(D118=12,V118+P117+P117*(F118-0.003)*0.9,IF(AND(C118=ÉV!$I$2,D118=ÉV!$J$2),V118+P117+P117*(F118-0.003)*0.9*D118/12,P117))*IF(OR(C118&gt;ÉV!$I$2,AND(C118=ÉV!$I$2,D118&gt;ÉV!$J$2)),0,1)</f>
        <v>0</v>
      </c>
      <c r="Q118" s="275">
        <f ca="1">(N118+P118)*IF(OR(AND(C118=ÉV!$I$2,D118&gt;ÉV!$J$2),C118&gt;ÉV!$I$2),0,1)</f>
        <v>0</v>
      </c>
      <c r="R118" s="271">
        <f ca="1">(MAX(0,F118-E118-0.003)*0.9*((K118+I118)*(1/12)))*IF(OR(C118&gt;ÉV!$I$2,AND(C118=ÉV!$I$2,D118&gt;ÉV!$J$2)),0,1)</f>
        <v>0</v>
      </c>
      <c r="S118" s="271">
        <f ca="1">(MAX(0,F118-0.003)*0.9*((O118)*(1/12)))*IF(OR(C118&gt;ÉV!$I$2,AND(C118=ÉV!$I$2,D118&gt;ÉV!$J$2)),0,1)</f>
        <v>0</v>
      </c>
      <c r="T118" s="271">
        <f ca="1">(MAX(0,F118-0.003)*0.9*((Q117)*(1/12)))*IF(OR(C118&gt;ÉV!$I$2,AND(C118=ÉV!$I$2,D118&gt;ÉV!$J$2)),0,1)</f>
        <v>0</v>
      </c>
      <c r="U118" s="271">
        <f ca="1">IF($D118=1,R118,R118+U117)*IF(OR(C118&gt;ÉV!$I$2,AND(C118=ÉV!$I$2,D118&gt;ÉV!$J$2)),0,1)</f>
        <v>0</v>
      </c>
      <c r="V118" s="271">
        <f ca="1">IF($D118=1,S118,S118+V117)*IF(OR(C118&gt;ÉV!$I$2,AND(C118=ÉV!$I$2,D118&gt;ÉV!$J$2)),0,1)</f>
        <v>0</v>
      </c>
      <c r="W118" s="271">
        <f ca="1">IF($D118=1,T118,T118+W117)*IF(OR(C118&gt;ÉV!$I$2,AND(C118=ÉV!$I$2,D118&gt;ÉV!$J$2)),0,1)</f>
        <v>0</v>
      </c>
      <c r="X118" s="271">
        <f ca="1">IF(OR(D118=12,AND(C118=ÉV!$I$2,D118=ÉV!$J$2)),SUM(U118:W118)+X117,X117)*IF(OR(C118&gt;ÉV!$I$2,AND(C118=ÉV!$I$2,D118&gt;ÉV!$J$2)),0,1)</f>
        <v>0</v>
      </c>
      <c r="Y118" s="271">
        <f t="shared" ca="1" si="13"/>
        <v>0</v>
      </c>
      <c r="Z118" s="265">
        <f t="shared" si="14"/>
        <v>8</v>
      </c>
      <c r="AA118" s="272">
        <f t="shared" ca="1" si="15"/>
        <v>20849.385770090066</v>
      </c>
      <c r="AB118" s="265">
        <f t="shared" ca="1" si="21"/>
        <v>2026</v>
      </c>
      <c r="AC118" s="265">
        <f t="shared" ca="1" si="22"/>
        <v>11</v>
      </c>
      <c r="AD118" s="276">
        <f ca="1">IF(     OR(               AND(MAX(AF$6:AF118)&lt;2,  AC118=12),                 AF118=2),                   SUMIF(AB:AB,AB118,AA:AA),                       0)</f>
        <v>0</v>
      </c>
      <c r="AE118" s="277">
        <f t="shared" ca="1" si="23"/>
        <v>0</v>
      </c>
      <c r="AF118" s="277">
        <f t="shared" ca="1" si="16"/>
        <v>0</v>
      </c>
      <c r="AG118" s="402">
        <f ca="1">IF(  AND(AC118=AdóHó,   MAX(AF$1:AF117)&lt;2),   SUMIF(AB:AB,AB118-1,AE:AE),0  )
+ IF(AND(AC118&lt;AdóHó,                            AF118=2),   SUMIF(AB:AB,AB118-1,AE:AE),0  )
+ IF(                                                                  AF118=2,    SUMIF(AB:AB,AB118,AE:AE   ),0  )</f>
        <v>0</v>
      </c>
      <c r="AH118" s="272">
        <f ca="1">SUM(AG$2:AG118)</f>
        <v>396161.94784016669</v>
      </c>
    </row>
    <row r="119" spans="1:34">
      <c r="A119" s="265">
        <f t="shared" si="17"/>
        <v>10</v>
      </c>
      <c r="B119" s="265">
        <f t="shared" si="18"/>
        <v>9</v>
      </c>
      <c r="C119" s="265">
        <f t="shared" ca="1" si="19"/>
        <v>10</v>
      </c>
      <c r="D119" s="265">
        <f t="shared" ca="1" si="20"/>
        <v>12</v>
      </c>
      <c r="E119" s="266">
        <v>5.0000000000000001E-3</v>
      </c>
      <c r="F119" s="267">
        <f>ÉV!$B$12</f>
        <v>0</v>
      </c>
      <c r="G119" s="271">
        <f ca="1">VLOOKUP(A119,ÉV!$A$18:$B$65,2,0)</f>
        <v>250192.62924108081</v>
      </c>
      <c r="H119" s="271">
        <f ca="1">IF(OR(A119=1,AND(C119=ÉV!$I$2,D119&gt;ÉV!$J$2),C119&gt;ÉV!$I$2),0,INDEX(Pz!$B$2:$AM$48,A119-1,ÉV!$G$2-9)/100000*ÉV!$B$10)</f>
        <v>221720.53718024149</v>
      </c>
      <c r="I119" s="271">
        <f ca="1">INDEX(Pz!$B$2:$AM$48,HÓ!A119,ÉV!$G$2-9)/100000*ÉV!$B$10</f>
        <v>226138.23086128102</v>
      </c>
      <c r="J119" s="273">
        <f ca="1">IF(OR(A119=1,A119=2,AND(C119=ÉV!$I$2,D119&gt;ÉV!$J$2),C119&gt;ÉV!$I$2),0,VLOOKUP(A119-2,ÉV!$A$18:$C$65,3,0))</f>
        <v>1403795.1298145123</v>
      </c>
      <c r="K119" s="273">
        <f ca="1">IF(OR(A119=1,AND(C119=ÉV!$I$2,D119&gt;ÉV!$J$2),C119&gt;ÉV!$I$2),0,VLOOKUP(A119-1,ÉV!$A$18:$C$65,3,0))</f>
        <v>1628801.7736573364</v>
      </c>
      <c r="L119" s="273">
        <f ca="1">VLOOKUP(A119,ÉV!$A$18:$C$65,3,0)*IF(OR(AND(C119=ÉV!$I$2,D119&gt;ÉV!$J$2),C119&gt;ÉV!$I$2),0,1)</f>
        <v>1858755.8670957277</v>
      </c>
      <c r="M119" s="273">
        <f ca="1">(K119*(12-B119)/12+L119*B119/12)*IF(A119&gt;ÉV!$G$2,0,1)+IF(A119&gt;ÉV!$G$2,M118,0)*IF(OR(AND(C119=ÉV!$I$2,D119&gt;ÉV!$J$2),C119&gt;ÉV!$I$2),0,1)</f>
        <v>1801267.3437361298</v>
      </c>
      <c r="N119" s="274">
        <f ca="1">IF(AND(C119=1,D119&lt;12),0,1)*IF(D119=12,MAX(0,F119-E119-0.003)*0.9*((K119+I119)*(B119/12)+(J119+H119)*(1-B119/12))+MAX(0,F119-0.003)*0.9*N118+N118,IF(AND(C119=ÉV!$I$2,D119=ÉV!$J$2),(M119+N118)*MAX(0,F119-0.003)*0.9*(D119/12)+N118,N118))*IF(OR(C119&gt;ÉV!$I$2,AND(C119=ÉV!$I$2,D119&gt;ÉV!$J$2)),0,1)</f>
        <v>0</v>
      </c>
      <c r="O119" s="313">
        <f ca="1">IF(MAX(AF$2:AF118)=2,      0,IF(OR(AC119=7, AF119=2),    SUM(AE$2:AE119),    O118)   )</f>
        <v>396161.94784016669</v>
      </c>
      <c r="P119" s="271">
        <f ca="1">IF(D119=12,V119+P118+P118*(F119-0.003)*0.9,IF(AND(C119=ÉV!$I$2,D119=ÉV!$J$2),V119+P118+P118*(F119-0.003)*0.9*D119/12,P118))*IF(OR(C119&gt;ÉV!$I$2,AND(C119=ÉV!$I$2,D119&gt;ÉV!$J$2)),0,1)</f>
        <v>0</v>
      </c>
      <c r="Q119" s="275">
        <f ca="1">(N119+P119)*IF(OR(AND(C119=ÉV!$I$2,D119&gt;ÉV!$J$2),C119&gt;ÉV!$I$2),0,1)</f>
        <v>0</v>
      </c>
      <c r="R119" s="271">
        <f ca="1">(MAX(0,F119-E119-0.003)*0.9*((K119+I119)*(1/12)))*IF(OR(C119&gt;ÉV!$I$2,AND(C119=ÉV!$I$2,D119&gt;ÉV!$J$2)),0,1)</f>
        <v>0</v>
      </c>
      <c r="S119" s="271">
        <f ca="1">(MAX(0,F119-0.003)*0.9*((O119)*(1/12)))*IF(OR(C119&gt;ÉV!$I$2,AND(C119=ÉV!$I$2,D119&gt;ÉV!$J$2)),0,1)</f>
        <v>0</v>
      </c>
      <c r="T119" s="271">
        <f ca="1">(MAX(0,F119-0.003)*0.9*((Q118)*(1/12)))*IF(OR(C119&gt;ÉV!$I$2,AND(C119=ÉV!$I$2,D119&gt;ÉV!$J$2)),0,1)</f>
        <v>0</v>
      </c>
      <c r="U119" s="271">
        <f ca="1">IF($D119=1,R119,R119+U118)*IF(OR(C119&gt;ÉV!$I$2,AND(C119=ÉV!$I$2,D119&gt;ÉV!$J$2)),0,1)</f>
        <v>0</v>
      </c>
      <c r="V119" s="271">
        <f ca="1">IF($D119=1,S119,S119+V118)*IF(OR(C119&gt;ÉV!$I$2,AND(C119=ÉV!$I$2,D119&gt;ÉV!$J$2)),0,1)</f>
        <v>0</v>
      </c>
      <c r="W119" s="271">
        <f ca="1">IF($D119=1,T119,T119+W118)*IF(OR(C119&gt;ÉV!$I$2,AND(C119=ÉV!$I$2,D119&gt;ÉV!$J$2)),0,1)</f>
        <v>0</v>
      </c>
      <c r="X119" s="271">
        <f ca="1">IF(OR(D119=12,AND(C119=ÉV!$I$2,D119=ÉV!$J$2)),SUM(U119:W119)+X118,X118)*IF(OR(C119&gt;ÉV!$I$2,AND(C119=ÉV!$I$2,D119&gt;ÉV!$J$2)),0,1)</f>
        <v>0</v>
      </c>
      <c r="Y119" s="271">
        <f t="shared" ca="1" si="13"/>
        <v>0</v>
      </c>
      <c r="Z119" s="265">
        <f t="shared" si="14"/>
        <v>9</v>
      </c>
      <c r="AA119" s="272">
        <f t="shared" ca="1" si="15"/>
        <v>20849.385770090066</v>
      </c>
      <c r="AB119" s="265">
        <f t="shared" ca="1" si="21"/>
        <v>2026</v>
      </c>
      <c r="AC119" s="265">
        <f t="shared" ca="1" si="22"/>
        <v>12</v>
      </c>
      <c r="AD119" s="276">
        <f ca="1">IF(     OR(               AND(MAX(AF$6:AF119)&lt;2,  AC119=12),                 AF119=2),                   SUMIF(AB:AB,AB119,AA:AA),                       0)</f>
        <v>248966.1947840167</v>
      </c>
      <c r="AE119" s="277">
        <f t="shared" ca="1" si="23"/>
        <v>49793.23895680334</v>
      </c>
      <c r="AF119" s="277">
        <f t="shared" ca="1" si="16"/>
        <v>0</v>
      </c>
      <c r="AG119" s="402">
        <f ca="1">IF(  AND(AC119=AdóHó,   MAX(AF$1:AF118)&lt;2),   SUMIF(AB:AB,AB119-1,AE:AE),0  )
+ IF(AND(AC119&lt;AdóHó,                            AF119=2),   SUMIF(AB:AB,AB119-1,AE:AE),0  )
+ IF(                                                                  AF119=2,    SUMIF(AB:AB,AB119,AE:AE   ),0  )</f>
        <v>0</v>
      </c>
      <c r="AH119" s="272">
        <f ca="1">SUM(AG$2:AG119)</f>
        <v>396161.94784016669</v>
      </c>
    </row>
    <row r="120" spans="1:34">
      <c r="A120" s="265">
        <f t="shared" si="17"/>
        <v>10</v>
      </c>
      <c r="B120" s="265">
        <f t="shared" si="18"/>
        <v>10</v>
      </c>
      <c r="C120" s="265">
        <f t="shared" ca="1" si="19"/>
        <v>11</v>
      </c>
      <c r="D120" s="265">
        <f t="shared" ca="1" si="20"/>
        <v>1</v>
      </c>
      <c r="E120" s="266">
        <v>5.0000000000000001E-3</v>
      </c>
      <c r="F120" s="267">
        <f>ÉV!$B$12</f>
        <v>0</v>
      </c>
      <c r="G120" s="271">
        <f ca="1">VLOOKUP(A120,ÉV!$A$18:$B$65,2,0)</f>
        <v>250192.62924108081</v>
      </c>
      <c r="H120" s="271">
        <f ca="1">IF(OR(A120=1,AND(C120=ÉV!$I$2,D120&gt;ÉV!$J$2),C120&gt;ÉV!$I$2),0,INDEX(Pz!$B$2:$AM$48,A120-1,ÉV!$G$2-9)/100000*ÉV!$B$10)</f>
        <v>221720.53718024149</v>
      </c>
      <c r="I120" s="271">
        <f ca="1">INDEX(Pz!$B$2:$AM$48,HÓ!A120,ÉV!$G$2-9)/100000*ÉV!$B$10</f>
        <v>226138.23086128102</v>
      </c>
      <c r="J120" s="273">
        <f ca="1">IF(OR(A120=1,A120=2,AND(C120=ÉV!$I$2,D120&gt;ÉV!$J$2),C120&gt;ÉV!$I$2),0,VLOOKUP(A120-2,ÉV!$A$18:$C$65,3,0))</f>
        <v>1403795.1298145123</v>
      </c>
      <c r="K120" s="273">
        <f ca="1">IF(OR(A120=1,AND(C120=ÉV!$I$2,D120&gt;ÉV!$J$2),C120&gt;ÉV!$I$2),0,VLOOKUP(A120-1,ÉV!$A$18:$C$65,3,0))</f>
        <v>1628801.7736573364</v>
      </c>
      <c r="L120" s="273">
        <f ca="1">VLOOKUP(A120,ÉV!$A$18:$C$65,3,0)*IF(OR(AND(C120=ÉV!$I$2,D120&gt;ÉV!$J$2),C120&gt;ÉV!$I$2),0,1)</f>
        <v>1858755.8670957277</v>
      </c>
      <c r="M120" s="273">
        <f ca="1">(K120*(12-B120)/12+L120*B120/12)*IF(A120&gt;ÉV!$G$2,0,1)+IF(A120&gt;ÉV!$G$2,M119,0)*IF(OR(AND(C120=ÉV!$I$2,D120&gt;ÉV!$J$2),C120&gt;ÉV!$I$2),0,1)</f>
        <v>1820430.1848559959</v>
      </c>
      <c r="N120" s="274">
        <f ca="1">IF(AND(C120=1,D120&lt;12),0,1)*IF(D120=12,MAX(0,F120-E120-0.003)*0.9*((K120+I120)*(B120/12)+(J120+H120)*(1-B120/12))+MAX(0,F120-0.003)*0.9*N119+N119,IF(AND(C120=ÉV!$I$2,D120=ÉV!$J$2),(M120+N119)*MAX(0,F120-0.003)*0.9*(D120/12)+N119,N119))*IF(OR(C120&gt;ÉV!$I$2,AND(C120=ÉV!$I$2,D120&gt;ÉV!$J$2)),0,1)</f>
        <v>0</v>
      </c>
      <c r="O120" s="313">
        <f ca="1">IF(MAX(AF$2:AF119)=2,      0,IF(OR(AC120=7, AF120=2),    SUM(AE$2:AE120),    O119)   )</f>
        <v>396161.94784016669</v>
      </c>
      <c r="P120" s="271">
        <f ca="1">IF(D120=12,V120+P119+P119*(F120-0.003)*0.9,IF(AND(C120=ÉV!$I$2,D120=ÉV!$J$2),V120+P119+P119*(F120-0.003)*0.9*D120/12,P119))*IF(OR(C120&gt;ÉV!$I$2,AND(C120=ÉV!$I$2,D120&gt;ÉV!$J$2)),0,1)</f>
        <v>0</v>
      </c>
      <c r="Q120" s="275">
        <f ca="1">(N120+P120)*IF(OR(AND(C120=ÉV!$I$2,D120&gt;ÉV!$J$2),C120&gt;ÉV!$I$2),0,1)</f>
        <v>0</v>
      </c>
      <c r="R120" s="271">
        <f ca="1">(MAX(0,F120-E120-0.003)*0.9*((K120+I120)*(1/12)))*IF(OR(C120&gt;ÉV!$I$2,AND(C120=ÉV!$I$2,D120&gt;ÉV!$J$2)),0,1)</f>
        <v>0</v>
      </c>
      <c r="S120" s="271">
        <f ca="1">(MAX(0,F120-0.003)*0.9*((O120)*(1/12)))*IF(OR(C120&gt;ÉV!$I$2,AND(C120=ÉV!$I$2,D120&gt;ÉV!$J$2)),0,1)</f>
        <v>0</v>
      </c>
      <c r="T120" s="271">
        <f ca="1">(MAX(0,F120-0.003)*0.9*((Q119)*(1/12)))*IF(OR(C120&gt;ÉV!$I$2,AND(C120=ÉV!$I$2,D120&gt;ÉV!$J$2)),0,1)</f>
        <v>0</v>
      </c>
      <c r="U120" s="271">
        <f ca="1">IF($D120=1,R120,R120+U119)*IF(OR(C120&gt;ÉV!$I$2,AND(C120=ÉV!$I$2,D120&gt;ÉV!$J$2)),0,1)</f>
        <v>0</v>
      </c>
      <c r="V120" s="271">
        <f ca="1">IF($D120=1,S120,S120+V119)*IF(OR(C120&gt;ÉV!$I$2,AND(C120=ÉV!$I$2,D120&gt;ÉV!$J$2)),0,1)</f>
        <v>0</v>
      </c>
      <c r="W120" s="271">
        <f ca="1">IF($D120=1,T120,T120+W119)*IF(OR(C120&gt;ÉV!$I$2,AND(C120=ÉV!$I$2,D120&gt;ÉV!$J$2)),0,1)</f>
        <v>0</v>
      </c>
      <c r="X120" s="271">
        <f ca="1">IF(OR(D120=12,AND(C120=ÉV!$I$2,D120=ÉV!$J$2)),SUM(U120:W120)+X119,X119)*IF(OR(C120&gt;ÉV!$I$2,AND(C120=ÉV!$I$2,D120&gt;ÉV!$J$2)),0,1)</f>
        <v>0</v>
      </c>
      <c r="Y120" s="271">
        <f t="shared" ca="1" si="13"/>
        <v>0</v>
      </c>
      <c r="Z120" s="265">
        <f t="shared" si="14"/>
        <v>10</v>
      </c>
      <c r="AA120" s="272">
        <f t="shared" ca="1" si="15"/>
        <v>20849.385770090066</v>
      </c>
      <c r="AB120" s="265">
        <f t="shared" ca="1" si="21"/>
        <v>2027</v>
      </c>
      <c r="AC120" s="265">
        <f t="shared" ca="1" si="22"/>
        <v>1</v>
      </c>
      <c r="AD120" s="276">
        <f ca="1">IF(     OR(               AND(MAX(AF$6:AF120)&lt;2,  AC120=12),                 AF120=2),                   SUMIF(AB:AB,AB120,AA:AA),                       0)</f>
        <v>0</v>
      </c>
      <c r="AE120" s="277">
        <f t="shared" ca="1" si="23"/>
        <v>0</v>
      </c>
      <c r="AF120" s="277">
        <f t="shared" ca="1" si="16"/>
        <v>0</v>
      </c>
      <c r="AG120" s="402">
        <f ca="1">IF(  AND(AC120=AdóHó,   MAX(AF$1:AF119)&lt;2),   SUMIF(AB:AB,AB120-1,AE:AE),0  )
+ IF(AND(AC120&lt;AdóHó,                            AF120=2),   SUMIF(AB:AB,AB120-1,AE:AE),0  )
+ IF(                                                                  AF120=2,    SUMIF(AB:AB,AB120,AE:AE   ),0  )</f>
        <v>0</v>
      </c>
      <c r="AH120" s="272">
        <f ca="1">SUM(AG$2:AG120)</f>
        <v>396161.94784016669</v>
      </c>
    </row>
    <row r="121" spans="1:34">
      <c r="A121" s="265">
        <f t="shared" si="17"/>
        <v>10</v>
      </c>
      <c r="B121" s="265">
        <f t="shared" si="18"/>
        <v>11</v>
      </c>
      <c r="C121" s="265">
        <f t="shared" ca="1" si="19"/>
        <v>11</v>
      </c>
      <c r="D121" s="265">
        <f t="shared" ca="1" si="20"/>
        <v>2</v>
      </c>
      <c r="E121" s="266">
        <v>5.0000000000000001E-3</v>
      </c>
      <c r="F121" s="267">
        <f>ÉV!$B$12</f>
        <v>0</v>
      </c>
      <c r="G121" s="271">
        <f ca="1">VLOOKUP(A121,ÉV!$A$18:$B$65,2,0)</f>
        <v>250192.62924108081</v>
      </c>
      <c r="H121" s="271">
        <f ca="1">IF(OR(A121=1,AND(C121=ÉV!$I$2,D121&gt;ÉV!$J$2),C121&gt;ÉV!$I$2),0,INDEX(Pz!$B$2:$AM$48,A121-1,ÉV!$G$2-9)/100000*ÉV!$B$10)</f>
        <v>221720.53718024149</v>
      </c>
      <c r="I121" s="271">
        <f ca="1">INDEX(Pz!$B$2:$AM$48,HÓ!A121,ÉV!$G$2-9)/100000*ÉV!$B$10</f>
        <v>226138.23086128102</v>
      </c>
      <c r="J121" s="273">
        <f ca="1">IF(OR(A121=1,A121=2,AND(C121=ÉV!$I$2,D121&gt;ÉV!$J$2),C121&gt;ÉV!$I$2),0,VLOOKUP(A121-2,ÉV!$A$18:$C$65,3,0))</f>
        <v>1403795.1298145123</v>
      </c>
      <c r="K121" s="273">
        <f ca="1">IF(OR(A121=1,AND(C121=ÉV!$I$2,D121&gt;ÉV!$J$2),C121&gt;ÉV!$I$2),0,VLOOKUP(A121-1,ÉV!$A$18:$C$65,3,0))</f>
        <v>1628801.7736573364</v>
      </c>
      <c r="L121" s="273">
        <f ca="1">VLOOKUP(A121,ÉV!$A$18:$C$65,3,0)*IF(OR(AND(C121=ÉV!$I$2,D121&gt;ÉV!$J$2),C121&gt;ÉV!$I$2),0,1)</f>
        <v>1858755.8670957277</v>
      </c>
      <c r="M121" s="273">
        <f ca="1">(K121*(12-B121)/12+L121*B121/12)*IF(A121&gt;ÉV!$G$2,0,1)+IF(A121&gt;ÉV!$G$2,M120,0)*IF(OR(AND(C121=ÉV!$I$2,D121&gt;ÉV!$J$2),C121&gt;ÉV!$I$2),0,1)</f>
        <v>1839593.0259758618</v>
      </c>
      <c r="N121" s="274">
        <f ca="1">IF(AND(C121=1,D121&lt;12),0,1)*IF(D121=12,MAX(0,F121-E121-0.003)*0.9*((K121+I121)*(B121/12)+(J121+H121)*(1-B121/12))+MAX(0,F121-0.003)*0.9*N120+N120,IF(AND(C121=ÉV!$I$2,D121=ÉV!$J$2),(M121+N120)*MAX(0,F121-0.003)*0.9*(D121/12)+N120,N120))*IF(OR(C121&gt;ÉV!$I$2,AND(C121=ÉV!$I$2,D121&gt;ÉV!$J$2)),0,1)</f>
        <v>0</v>
      </c>
      <c r="O121" s="313">
        <f ca="1">IF(MAX(AF$2:AF120)=2,      0,IF(OR(AC121=7, AF121=2),    SUM(AE$2:AE121),    O120)   )</f>
        <v>396161.94784016669</v>
      </c>
      <c r="P121" s="271">
        <f ca="1">IF(D121=12,V121+P120+P120*(F121-0.003)*0.9,IF(AND(C121=ÉV!$I$2,D121=ÉV!$J$2),V121+P120+P120*(F121-0.003)*0.9*D121/12,P120))*IF(OR(C121&gt;ÉV!$I$2,AND(C121=ÉV!$I$2,D121&gt;ÉV!$J$2)),0,1)</f>
        <v>0</v>
      </c>
      <c r="Q121" s="275">
        <f ca="1">(N121+P121)*IF(OR(AND(C121=ÉV!$I$2,D121&gt;ÉV!$J$2),C121&gt;ÉV!$I$2),0,1)</f>
        <v>0</v>
      </c>
      <c r="R121" s="271">
        <f ca="1">(MAX(0,F121-E121-0.003)*0.9*((K121+I121)*(1/12)))*IF(OR(C121&gt;ÉV!$I$2,AND(C121=ÉV!$I$2,D121&gt;ÉV!$J$2)),0,1)</f>
        <v>0</v>
      </c>
      <c r="S121" s="271">
        <f ca="1">(MAX(0,F121-0.003)*0.9*((O121)*(1/12)))*IF(OR(C121&gt;ÉV!$I$2,AND(C121=ÉV!$I$2,D121&gt;ÉV!$J$2)),0,1)</f>
        <v>0</v>
      </c>
      <c r="T121" s="271">
        <f ca="1">(MAX(0,F121-0.003)*0.9*((Q120)*(1/12)))*IF(OR(C121&gt;ÉV!$I$2,AND(C121=ÉV!$I$2,D121&gt;ÉV!$J$2)),0,1)</f>
        <v>0</v>
      </c>
      <c r="U121" s="271">
        <f ca="1">IF($D121=1,R121,R121+U120)*IF(OR(C121&gt;ÉV!$I$2,AND(C121=ÉV!$I$2,D121&gt;ÉV!$J$2)),0,1)</f>
        <v>0</v>
      </c>
      <c r="V121" s="271">
        <f ca="1">IF($D121=1,S121,S121+V120)*IF(OR(C121&gt;ÉV!$I$2,AND(C121=ÉV!$I$2,D121&gt;ÉV!$J$2)),0,1)</f>
        <v>0</v>
      </c>
      <c r="W121" s="271">
        <f ca="1">IF($D121=1,T121,T121+W120)*IF(OR(C121&gt;ÉV!$I$2,AND(C121=ÉV!$I$2,D121&gt;ÉV!$J$2)),0,1)</f>
        <v>0</v>
      </c>
      <c r="X121" s="271">
        <f ca="1">IF(OR(D121=12,AND(C121=ÉV!$I$2,D121=ÉV!$J$2)),SUM(U121:W121)+X120,X120)*IF(OR(C121&gt;ÉV!$I$2,AND(C121=ÉV!$I$2,D121&gt;ÉV!$J$2)),0,1)</f>
        <v>0</v>
      </c>
      <c r="Y121" s="271">
        <f t="shared" ca="1" si="13"/>
        <v>0</v>
      </c>
      <c r="Z121" s="265">
        <f t="shared" si="14"/>
        <v>11</v>
      </c>
      <c r="AA121" s="272">
        <f t="shared" ca="1" si="15"/>
        <v>20849.385770090066</v>
      </c>
      <c r="AB121" s="265">
        <f t="shared" ca="1" si="21"/>
        <v>2027</v>
      </c>
      <c r="AC121" s="265">
        <f t="shared" ca="1" si="22"/>
        <v>2</v>
      </c>
      <c r="AD121" s="276">
        <f ca="1">IF(     OR(               AND(MAX(AF$6:AF121)&lt;2,  AC121=12),                 AF121=2),                   SUMIF(AB:AB,AB121,AA:AA),                       0)</f>
        <v>0</v>
      </c>
      <c r="AE121" s="277">
        <f t="shared" ca="1" si="23"/>
        <v>0</v>
      </c>
      <c r="AF121" s="277">
        <f t="shared" ca="1" si="16"/>
        <v>0</v>
      </c>
      <c r="AG121" s="402">
        <f ca="1">IF(  AND(AC121=AdóHó,   MAX(AF$1:AF120)&lt;2),   SUMIF(AB:AB,AB121-1,AE:AE),0  )
+ IF(AND(AC121&lt;AdóHó,                            AF121=2),   SUMIF(AB:AB,AB121-1,AE:AE),0  )
+ IF(                                                                  AF121=2,    SUMIF(AB:AB,AB121,AE:AE   ),0  )</f>
        <v>0</v>
      </c>
      <c r="AH121" s="272">
        <f ca="1">SUM(AG$2:AG121)</f>
        <v>396161.94784016669</v>
      </c>
    </row>
    <row r="122" spans="1:34" ht="30.75" customHeight="1">
      <c r="A122" s="284">
        <f t="shared" si="17"/>
        <v>10</v>
      </c>
      <c r="B122" s="265">
        <f t="shared" si="18"/>
        <v>12</v>
      </c>
      <c r="C122" s="265">
        <f t="shared" ca="1" si="19"/>
        <v>11</v>
      </c>
      <c r="D122" s="265">
        <f t="shared" ca="1" si="20"/>
        <v>3</v>
      </c>
      <c r="E122" s="266">
        <v>5.0000000000000001E-3</v>
      </c>
      <c r="F122" s="267">
        <f>ÉV!$B$12</f>
        <v>0</v>
      </c>
      <c r="G122" s="271">
        <f ca="1">VLOOKUP(A122,ÉV!$A$18:$B$65,2,0)</f>
        <v>250192.62924108081</v>
      </c>
      <c r="H122" s="271">
        <f ca="1">IF(OR(A122=1,AND(C122=ÉV!$I$2,D122&gt;ÉV!$J$2),C122&gt;ÉV!$I$2),0,INDEX(Pz!$B$2:$AM$48,A122-1,ÉV!$G$2-9)/100000*ÉV!$B$10)</f>
        <v>221720.53718024149</v>
      </c>
      <c r="I122" s="271">
        <f ca="1">INDEX(Pz!$B$2:$AM$48,HÓ!A122,ÉV!$G$2-9)/100000*ÉV!$B$10</f>
        <v>226138.23086128102</v>
      </c>
      <c r="J122" s="273">
        <f ca="1">IF(OR(A122=1,A122=2,AND(C122=ÉV!$I$2,D122&gt;ÉV!$J$2),C122&gt;ÉV!$I$2),0,VLOOKUP(A122-2,ÉV!$A$18:$C$65,3,0))</f>
        <v>1403795.1298145123</v>
      </c>
      <c r="K122" s="273">
        <f ca="1">IF(OR(A122=1,AND(C122=ÉV!$I$2,D122&gt;ÉV!$J$2),C122&gt;ÉV!$I$2),0,VLOOKUP(A122-1,ÉV!$A$18:$C$65,3,0))</f>
        <v>1628801.7736573364</v>
      </c>
      <c r="L122" s="273">
        <f ca="1">VLOOKUP(A122,ÉV!$A$18:$C$65,3,0)*IF(OR(AND(C122=ÉV!$I$2,D122&gt;ÉV!$J$2),C122&gt;ÉV!$I$2),0,1)</f>
        <v>1858755.8670957277</v>
      </c>
      <c r="M122" s="273">
        <f ca="1">(K122*(12-B122)/12+L122*B122/12)*IF(A122&gt;ÉV!$G$2,0,1)+IF(A122&gt;ÉV!$G$2,M121,0)*IF(OR(AND(C122=ÉV!$I$2,D122&gt;ÉV!$J$2),C122&gt;ÉV!$I$2),0,1)</f>
        <v>1858755.8670957277</v>
      </c>
      <c r="N122" s="274">
        <f ca="1">IF(AND(C122=1,D122&lt;12),0,1)*IF(D122=12,MAX(0,F122-E122-0.003)*0.9*((K122+I122)*(B122/12)+(J122+H122)*(1-B122/12))+MAX(0,F122-0.003)*0.9*N121+N121,IF(AND(C122=ÉV!$I$2,D122=ÉV!$J$2),(M122+N121)*MAX(0,F122-0.003)*0.9*(D122/12)+N121,N121))*IF(OR(C122&gt;ÉV!$I$2,AND(C122=ÉV!$I$2,D122&gt;ÉV!$J$2)),0,1)</f>
        <v>0</v>
      </c>
      <c r="O122" s="313">
        <f ca="1">IF(MAX(AF$2:AF121)=2,      0,IF(OR(AC122=7, AF122=2),    SUM(AE$2:AE122),    O121)   )</f>
        <v>396161.94784016669</v>
      </c>
      <c r="P122" s="271">
        <f ca="1">IF(D122=12,V122+P121+P121*(F122-0.003)*0.9,IF(AND(C122=ÉV!$I$2,D122=ÉV!$J$2),V122+P121+P121*(F122-0.003)*0.9*D122/12,P121))*IF(OR(C122&gt;ÉV!$I$2,AND(C122=ÉV!$I$2,D122&gt;ÉV!$J$2)),0,1)</f>
        <v>0</v>
      </c>
      <c r="Q122" s="275">
        <f ca="1">(N122+P122)*IF(OR(AND(C122=ÉV!$I$2,D122&gt;ÉV!$J$2),C122&gt;ÉV!$I$2),0,1)</f>
        <v>0</v>
      </c>
      <c r="R122" s="271">
        <f ca="1">(MAX(0,F122-E122-0.003)*0.9*((K122+I122)*(1/12)))*IF(OR(C122&gt;ÉV!$I$2,AND(C122=ÉV!$I$2,D122&gt;ÉV!$J$2)),0,1)</f>
        <v>0</v>
      </c>
      <c r="S122" s="271">
        <f ca="1">(MAX(0,F122-0.003)*0.9*((O122)*(1/12)))*IF(OR(C122&gt;ÉV!$I$2,AND(C122=ÉV!$I$2,D122&gt;ÉV!$J$2)),0,1)</f>
        <v>0</v>
      </c>
      <c r="T122" s="271">
        <f ca="1">(MAX(0,F122-0.003)*0.9*((Q121)*(1/12)))*IF(OR(C122&gt;ÉV!$I$2,AND(C122=ÉV!$I$2,D122&gt;ÉV!$J$2)),0,1)</f>
        <v>0</v>
      </c>
      <c r="U122" s="271">
        <f ca="1">IF($D122=1,R122,R122+U121)*IF(OR(C122&gt;ÉV!$I$2,AND(C122=ÉV!$I$2,D122&gt;ÉV!$J$2)),0,1)</f>
        <v>0</v>
      </c>
      <c r="V122" s="271">
        <f ca="1">IF($D122=1,S122,S122+V121)*IF(OR(C122&gt;ÉV!$I$2,AND(C122=ÉV!$I$2,D122&gt;ÉV!$J$2)),0,1)</f>
        <v>0</v>
      </c>
      <c r="W122" s="271">
        <f ca="1">IF($D122=1,T122,T122+W121)*IF(OR(C122&gt;ÉV!$I$2,AND(C122=ÉV!$I$2,D122&gt;ÉV!$J$2)),0,1)</f>
        <v>0</v>
      </c>
      <c r="X122" s="271">
        <f ca="1">IF(OR(D122=12,AND(C122=ÉV!$I$2,D122=ÉV!$J$2)),SUM(U122:W122)+X121,X121)*IF(OR(C122&gt;ÉV!$I$2,AND(C122=ÉV!$I$2,D122&gt;ÉV!$J$2)),0,1)</f>
        <v>0</v>
      </c>
      <c r="Y122" s="271">
        <f t="shared" ca="1" si="13"/>
        <v>0</v>
      </c>
      <c r="Z122" s="265">
        <f t="shared" si="14"/>
        <v>12</v>
      </c>
      <c r="AA122" s="272">
        <f t="shared" ca="1" si="15"/>
        <v>20849.385770090066</v>
      </c>
      <c r="AB122" s="395">
        <f t="shared" ca="1" si="21"/>
        <v>2027</v>
      </c>
      <c r="AC122" s="395">
        <f t="shared" ca="1" si="22"/>
        <v>3</v>
      </c>
      <c r="AD122" s="396">
        <f ca="1">IF(     OR(               AND(MAX(AF$6:AF122)&lt;2,  AC122=12),                 AF122=2),                   SUMIF(AB:AB,AB122,AA:AA),                       0)</f>
        <v>0</v>
      </c>
      <c r="AE122" s="396">
        <f t="shared" ca="1" si="23"/>
        <v>0</v>
      </c>
      <c r="AF122" s="396">
        <f t="shared" ca="1" si="16"/>
        <v>0</v>
      </c>
      <c r="AG122" s="402">
        <f ca="1">IF(  AND(AC122=AdóHó,   MAX(AF$1:AF121)&lt;2),   SUMIF(AB:AB,AB122-1,AE:AE),0  )
+ IF(AND(AC122&lt;AdóHó,                            AF122=2),   SUMIF(AB:AB,AB122-1,AE:AE),0  )
+ IF(                                                                  AF122=2,    SUMIF(AB:AB,AB122,AE:AE   ),0  )</f>
        <v>0</v>
      </c>
      <c r="AH122" s="397">
        <f ca="1">SUM(AG$2:AG122)</f>
        <v>396161.94784016669</v>
      </c>
    </row>
    <row r="123" spans="1:34">
      <c r="A123" s="265">
        <f t="shared" si="17"/>
        <v>11</v>
      </c>
      <c r="B123" s="265">
        <f t="shared" si="18"/>
        <v>1</v>
      </c>
      <c r="C123" s="265">
        <f t="shared" ca="1" si="19"/>
        <v>11</v>
      </c>
      <c r="D123" s="265">
        <f t="shared" ca="1" si="20"/>
        <v>4</v>
      </c>
      <c r="E123" s="266">
        <v>5.0000000000000001E-3</v>
      </c>
      <c r="F123" s="267">
        <f>ÉV!$B$12</f>
        <v>0</v>
      </c>
      <c r="G123" s="271">
        <f ca="1">VLOOKUP(A123,ÉV!$A$18:$B$65,2,0)</f>
        <v>255196.48182590242</v>
      </c>
      <c r="H123" s="271">
        <f ca="1">IF(OR(A123=1,AND(C123=ÉV!$I$2,D123&gt;ÉV!$J$2),C123&gt;ÉV!$I$2),0,INDEX(Pz!$B$2:$AM$48,A123-1,ÉV!$G$2-9)/100000*ÉV!$B$10)</f>
        <v>226138.23086128102</v>
      </c>
      <c r="I123" s="271">
        <f ca="1">INDEX(Pz!$B$2:$AM$48,HÓ!A123,ÉV!$G$2-9)/100000*ÉV!$B$10</f>
        <v>230644.27841594134</v>
      </c>
      <c r="J123" s="273">
        <f ca="1">IF(OR(A123=1,A123=2,AND(C123=ÉV!$I$2,D123&gt;ÉV!$J$2),C123&gt;ÉV!$I$2),0,VLOOKUP(A123-2,ÉV!$A$18:$C$65,3,0))</f>
        <v>1628801.7736573364</v>
      </c>
      <c r="K123" s="273">
        <f ca="1">IF(OR(A123=1,AND(C123=ÉV!$I$2,D123&gt;ÉV!$J$2),C123&gt;ÉV!$I$2),0,VLOOKUP(A123-1,ÉV!$A$18:$C$65,3,0))</f>
        <v>1858755.8670957277</v>
      </c>
      <c r="L123" s="273">
        <f ca="1">VLOOKUP(A123,ÉV!$A$18:$C$65,3,0)*IF(OR(AND(C123=ÉV!$I$2,D123&gt;ÉV!$J$2),C123&gt;ÉV!$I$2),0,1)</f>
        <v>2093708.4497330307</v>
      </c>
      <c r="M123" s="273">
        <f ca="1">(K123*(12-B123)/12+L123*B123/12)*IF(A123&gt;ÉV!$G$2,0,1)+IF(A123&gt;ÉV!$G$2,M122,0)*IF(OR(AND(C123=ÉV!$I$2,D123&gt;ÉV!$J$2),C123&gt;ÉV!$I$2),0,1)</f>
        <v>1878335.2489821697</v>
      </c>
      <c r="N123" s="274">
        <f ca="1">IF(AND(C123=1,D123&lt;12),0,1)*IF(D123=12,MAX(0,F123-E123-0.003)*0.9*((K123+I123)*(B123/12)+(J123+H123)*(1-B123/12))+MAX(0,F123-0.003)*0.9*N122+N122,IF(AND(C123=ÉV!$I$2,D123=ÉV!$J$2),(M123+N122)*MAX(0,F123-0.003)*0.9*(D123/12)+N122,N122))*IF(OR(C123&gt;ÉV!$I$2,AND(C123=ÉV!$I$2,D123&gt;ÉV!$J$2)),0,1)</f>
        <v>0</v>
      </c>
      <c r="O123" s="313">
        <f ca="1">IF(MAX(AF$2:AF122)=2,      0,IF(OR(AC123=7, AF123=2),    SUM(AE$2:AE123),    O122)   )</f>
        <v>396161.94784016669</v>
      </c>
      <c r="P123" s="271">
        <f ca="1">IF(D123=12,V123+P122+P122*(F123-0.003)*0.9,IF(AND(C123=ÉV!$I$2,D123=ÉV!$J$2),V123+P122+P122*(F123-0.003)*0.9*D123/12,P122))*IF(OR(C123&gt;ÉV!$I$2,AND(C123=ÉV!$I$2,D123&gt;ÉV!$J$2)),0,1)</f>
        <v>0</v>
      </c>
      <c r="Q123" s="275">
        <f ca="1">(N123+P123)*IF(OR(AND(C123=ÉV!$I$2,D123&gt;ÉV!$J$2),C123&gt;ÉV!$I$2),0,1)</f>
        <v>0</v>
      </c>
      <c r="R123" s="271">
        <f ca="1">(MAX(0,F123-E123-0.003)*0.9*((K123+I123)*(1/12)))*IF(OR(C123&gt;ÉV!$I$2,AND(C123=ÉV!$I$2,D123&gt;ÉV!$J$2)),0,1)</f>
        <v>0</v>
      </c>
      <c r="S123" s="271">
        <f ca="1">(MAX(0,F123-0.003)*0.9*((O123)*(1/12)))*IF(OR(C123&gt;ÉV!$I$2,AND(C123=ÉV!$I$2,D123&gt;ÉV!$J$2)),0,1)</f>
        <v>0</v>
      </c>
      <c r="T123" s="271">
        <f ca="1">(MAX(0,F123-0.003)*0.9*((Q122)*(1/12)))*IF(OR(C123&gt;ÉV!$I$2,AND(C123=ÉV!$I$2,D123&gt;ÉV!$J$2)),0,1)</f>
        <v>0</v>
      </c>
      <c r="U123" s="271">
        <f ca="1">IF($D123=1,R123,R123+U122)*IF(OR(C123&gt;ÉV!$I$2,AND(C123=ÉV!$I$2,D123&gt;ÉV!$J$2)),0,1)</f>
        <v>0</v>
      </c>
      <c r="V123" s="271">
        <f ca="1">IF($D123=1,S123,S123+V122)*IF(OR(C123&gt;ÉV!$I$2,AND(C123=ÉV!$I$2,D123&gt;ÉV!$J$2)),0,1)</f>
        <v>0</v>
      </c>
      <c r="W123" s="271">
        <f ca="1">IF($D123=1,T123,T123+W122)*IF(OR(C123&gt;ÉV!$I$2,AND(C123=ÉV!$I$2,D123&gt;ÉV!$J$2)),0,1)</f>
        <v>0</v>
      </c>
      <c r="X123" s="271">
        <f ca="1">IF(OR(D123=12,AND(C123=ÉV!$I$2,D123=ÉV!$J$2)),SUM(U123:W123)+X122,X122)*IF(OR(C123&gt;ÉV!$I$2,AND(C123=ÉV!$I$2,D123&gt;ÉV!$J$2)),0,1)</f>
        <v>0</v>
      </c>
      <c r="Y123" s="271">
        <f t="shared" ca="1" si="13"/>
        <v>0</v>
      </c>
      <c r="Z123" s="265">
        <f t="shared" si="14"/>
        <v>1</v>
      </c>
      <c r="AA123" s="272">
        <f t="shared" ca="1" si="15"/>
        <v>21266.373485491869</v>
      </c>
      <c r="AB123" s="265">
        <f t="shared" ca="1" si="21"/>
        <v>2027</v>
      </c>
      <c r="AC123" s="265">
        <f t="shared" ca="1" si="22"/>
        <v>4</v>
      </c>
      <c r="AD123" s="276">
        <f ca="1">IF(     OR(               AND(MAX(AF$6:AF123)&lt;2,  AC123=12),                 AF123=2),                   SUMIF(AB:AB,AB123,AA:AA),                       0)</f>
        <v>0</v>
      </c>
      <c r="AE123" s="277">
        <f t="shared" ca="1" si="23"/>
        <v>0</v>
      </c>
      <c r="AF123" s="277">
        <f t="shared" ca="1" si="16"/>
        <v>0</v>
      </c>
      <c r="AG123" s="402">
        <f ca="1">IF(  AND(AC123=AdóHó,   MAX(AF$1:AF122)&lt;2),   SUMIF(AB:AB,AB123-1,AE:AE),0  )
+ IF(AND(AC123&lt;AdóHó,                            AF123=2),   SUMIF(AB:AB,AB123-1,AE:AE),0  )
+ IF(                                                                  AF123=2,    SUMIF(AB:AB,AB123,AE:AE   ),0  )</f>
        <v>0</v>
      </c>
      <c r="AH123" s="272">
        <f ca="1">SUM(AG$2:AG123)</f>
        <v>396161.94784016669</v>
      </c>
    </row>
    <row r="124" spans="1:34">
      <c r="A124" s="265">
        <f t="shared" si="17"/>
        <v>11</v>
      </c>
      <c r="B124" s="265">
        <f t="shared" si="18"/>
        <v>2</v>
      </c>
      <c r="C124" s="265">
        <f t="shared" ca="1" si="19"/>
        <v>11</v>
      </c>
      <c r="D124" s="265">
        <f t="shared" ca="1" si="20"/>
        <v>5</v>
      </c>
      <c r="E124" s="266">
        <v>5.0000000000000001E-3</v>
      </c>
      <c r="F124" s="267">
        <f>ÉV!$B$12</f>
        <v>0</v>
      </c>
      <c r="G124" s="271">
        <f ca="1">VLOOKUP(A124,ÉV!$A$18:$B$65,2,0)</f>
        <v>255196.48182590242</v>
      </c>
      <c r="H124" s="271">
        <f ca="1">IF(OR(A124=1,AND(C124=ÉV!$I$2,D124&gt;ÉV!$J$2),C124&gt;ÉV!$I$2),0,INDEX(Pz!$B$2:$AM$48,A124-1,ÉV!$G$2-9)/100000*ÉV!$B$10)</f>
        <v>226138.23086128102</v>
      </c>
      <c r="I124" s="271">
        <f ca="1">INDEX(Pz!$B$2:$AM$48,HÓ!A124,ÉV!$G$2-9)/100000*ÉV!$B$10</f>
        <v>230644.27841594134</v>
      </c>
      <c r="J124" s="273">
        <f ca="1">IF(OR(A124=1,A124=2,AND(C124=ÉV!$I$2,D124&gt;ÉV!$J$2),C124&gt;ÉV!$I$2),0,VLOOKUP(A124-2,ÉV!$A$18:$C$65,3,0))</f>
        <v>1628801.7736573364</v>
      </c>
      <c r="K124" s="273">
        <f ca="1">IF(OR(A124=1,AND(C124=ÉV!$I$2,D124&gt;ÉV!$J$2),C124&gt;ÉV!$I$2),0,VLOOKUP(A124-1,ÉV!$A$18:$C$65,3,0))</f>
        <v>1858755.8670957277</v>
      </c>
      <c r="L124" s="273">
        <f ca="1">VLOOKUP(A124,ÉV!$A$18:$C$65,3,0)*IF(OR(AND(C124=ÉV!$I$2,D124&gt;ÉV!$J$2),C124&gt;ÉV!$I$2),0,1)</f>
        <v>2093708.4497330307</v>
      </c>
      <c r="M124" s="273">
        <f ca="1">(K124*(12-B124)/12+L124*B124/12)*IF(A124&gt;ÉV!$G$2,0,1)+IF(A124&gt;ÉV!$G$2,M123,0)*IF(OR(AND(C124=ÉV!$I$2,D124&gt;ÉV!$J$2),C124&gt;ÉV!$I$2),0,1)</f>
        <v>1897914.6308686119</v>
      </c>
      <c r="N124" s="274">
        <f ca="1">IF(AND(C124=1,D124&lt;12),0,1)*IF(D124=12,MAX(0,F124-E124-0.003)*0.9*((K124+I124)*(B124/12)+(J124+H124)*(1-B124/12))+MAX(0,F124-0.003)*0.9*N123+N123,IF(AND(C124=ÉV!$I$2,D124=ÉV!$J$2),(M124+N123)*MAX(0,F124-0.003)*0.9*(D124/12)+N123,N123))*IF(OR(C124&gt;ÉV!$I$2,AND(C124=ÉV!$I$2,D124&gt;ÉV!$J$2)),0,1)</f>
        <v>0</v>
      </c>
      <c r="O124" s="313">
        <f ca="1">IF(MAX(AF$2:AF123)=2,      0,IF(OR(AC124=7, AF124=2),    SUM(AE$2:AE124),    O123)   )</f>
        <v>396161.94784016669</v>
      </c>
      <c r="P124" s="271">
        <f ca="1">IF(D124=12,V124+P123+P123*(F124-0.003)*0.9,IF(AND(C124=ÉV!$I$2,D124=ÉV!$J$2),V124+P123+P123*(F124-0.003)*0.9*D124/12,P123))*IF(OR(C124&gt;ÉV!$I$2,AND(C124=ÉV!$I$2,D124&gt;ÉV!$J$2)),0,1)</f>
        <v>0</v>
      </c>
      <c r="Q124" s="275">
        <f ca="1">(N124+P124)*IF(OR(AND(C124=ÉV!$I$2,D124&gt;ÉV!$J$2),C124&gt;ÉV!$I$2),0,1)</f>
        <v>0</v>
      </c>
      <c r="R124" s="271">
        <f ca="1">(MAX(0,F124-E124-0.003)*0.9*((K124+I124)*(1/12)))*IF(OR(C124&gt;ÉV!$I$2,AND(C124=ÉV!$I$2,D124&gt;ÉV!$J$2)),0,1)</f>
        <v>0</v>
      </c>
      <c r="S124" s="271">
        <f ca="1">(MAX(0,F124-0.003)*0.9*((O124)*(1/12)))*IF(OR(C124&gt;ÉV!$I$2,AND(C124=ÉV!$I$2,D124&gt;ÉV!$J$2)),0,1)</f>
        <v>0</v>
      </c>
      <c r="T124" s="271">
        <f ca="1">(MAX(0,F124-0.003)*0.9*((Q123)*(1/12)))*IF(OR(C124&gt;ÉV!$I$2,AND(C124=ÉV!$I$2,D124&gt;ÉV!$J$2)),0,1)</f>
        <v>0</v>
      </c>
      <c r="U124" s="271">
        <f ca="1">IF($D124=1,R124,R124+U123)*IF(OR(C124&gt;ÉV!$I$2,AND(C124=ÉV!$I$2,D124&gt;ÉV!$J$2)),0,1)</f>
        <v>0</v>
      </c>
      <c r="V124" s="271">
        <f ca="1">IF($D124=1,S124,S124+V123)*IF(OR(C124&gt;ÉV!$I$2,AND(C124=ÉV!$I$2,D124&gt;ÉV!$J$2)),0,1)</f>
        <v>0</v>
      </c>
      <c r="W124" s="271">
        <f ca="1">IF($D124=1,T124,T124+W123)*IF(OR(C124&gt;ÉV!$I$2,AND(C124=ÉV!$I$2,D124&gt;ÉV!$J$2)),0,1)</f>
        <v>0</v>
      </c>
      <c r="X124" s="271">
        <f ca="1">IF(OR(D124=12,AND(C124=ÉV!$I$2,D124=ÉV!$J$2)),SUM(U124:W124)+X123,X123)*IF(OR(C124&gt;ÉV!$I$2,AND(C124=ÉV!$I$2,D124&gt;ÉV!$J$2)),0,1)</f>
        <v>0</v>
      </c>
      <c r="Y124" s="271">
        <f t="shared" ca="1" si="13"/>
        <v>0</v>
      </c>
      <c r="Z124" s="265">
        <f t="shared" si="14"/>
        <v>2</v>
      </c>
      <c r="AA124" s="272">
        <f t="shared" ca="1" si="15"/>
        <v>21266.373485491869</v>
      </c>
      <c r="AB124" s="265">
        <f t="shared" ca="1" si="21"/>
        <v>2027</v>
      </c>
      <c r="AC124" s="265">
        <f t="shared" ca="1" si="22"/>
        <v>5</v>
      </c>
      <c r="AD124" s="276">
        <f ca="1">IF(     OR(               AND(MAX(AF$6:AF124)&lt;2,  AC124=12),                 AF124=2),                   SUMIF(AB:AB,AB124,AA:AA),                       0)</f>
        <v>0</v>
      </c>
      <c r="AE124" s="277">
        <f t="shared" ca="1" si="23"/>
        <v>0</v>
      </c>
      <c r="AF124" s="277">
        <f t="shared" ca="1" si="16"/>
        <v>0</v>
      </c>
      <c r="AG124" s="402">
        <f ca="1">IF(  AND(AC124=AdóHó,   MAX(AF$1:AF123)&lt;2),   SUMIF(AB:AB,AB124-1,AE:AE),0  )
+ IF(AND(AC124&lt;AdóHó,                            AF124=2),   SUMIF(AB:AB,AB124-1,AE:AE),0  )
+ IF(                                                                  AF124=2,    SUMIF(AB:AB,AB124,AE:AE   ),0  )</f>
        <v>0</v>
      </c>
      <c r="AH124" s="272">
        <f ca="1">SUM(AG$2:AG124)</f>
        <v>396161.94784016669</v>
      </c>
    </row>
    <row r="125" spans="1:34">
      <c r="A125" s="265">
        <f t="shared" si="17"/>
        <v>11</v>
      </c>
      <c r="B125" s="265">
        <f t="shared" si="18"/>
        <v>3</v>
      </c>
      <c r="C125" s="265">
        <f t="shared" ca="1" si="19"/>
        <v>11</v>
      </c>
      <c r="D125" s="265">
        <f t="shared" ca="1" si="20"/>
        <v>6</v>
      </c>
      <c r="E125" s="266">
        <v>5.0000000000000001E-3</v>
      </c>
      <c r="F125" s="267">
        <f>ÉV!$B$12</f>
        <v>0</v>
      </c>
      <c r="G125" s="271">
        <f ca="1">VLOOKUP(A125,ÉV!$A$18:$B$65,2,0)</f>
        <v>255196.48182590242</v>
      </c>
      <c r="H125" s="271">
        <f ca="1">IF(OR(A125=1,AND(C125=ÉV!$I$2,D125&gt;ÉV!$J$2),C125&gt;ÉV!$I$2),0,INDEX(Pz!$B$2:$AM$48,A125-1,ÉV!$G$2-9)/100000*ÉV!$B$10)</f>
        <v>226138.23086128102</v>
      </c>
      <c r="I125" s="271">
        <f ca="1">INDEX(Pz!$B$2:$AM$48,HÓ!A125,ÉV!$G$2-9)/100000*ÉV!$B$10</f>
        <v>230644.27841594134</v>
      </c>
      <c r="J125" s="273">
        <f ca="1">IF(OR(A125=1,A125=2,AND(C125=ÉV!$I$2,D125&gt;ÉV!$J$2),C125&gt;ÉV!$I$2),0,VLOOKUP(A125-2,ÉV!$A$18:$C$65,3,0))</f>
        <v>1628801.7736573364</v>
      </c>
      <c r="K125" s="273">
        <f ca="1">IF(OR(A125=1,AND(C125=ÉV!$I$2,D125&gt;ÉV!$J$2),C125&gt;ÉV!$I$2),0,VLOOKUP(A125-1,ÉV!$A$18:$C$65,3,0))</f>
        <v>1858755.8670957277</v>
      </c>
      <c r="L125" s="273">
        <f ca="1">VLOOKUP(A125,ÉV!$A$18:$C$65,3,0)*IF(OR(AND(C125=ÉV!$I$2,D125&gt;ÉV!$J$2),C125&gt;ÉV!$I$2),0,1)</f>
        <v>2093708.4497330307</v>
      </c>
      <c r="M125" s="273">
        <f ca="1">(K125*(12-B125)/12+L125*B125/12)*IF(A125&gt;ÉV!$G$2,0,1)+IF(A125&gt;ÉV!$G$2,M124,0)*IF(OR(AND(C125=ÉV!$I$2,D125&gt;ÉV!$J$2),C125&gt;ÉV!$I$2),0,1)</f>
        <v>1917494.0127550536</v>
      </c>
      <c r="N125" s="274">
        <f ca="1">IF(AND(C125=1,D125&lt;12),0,1)*IF(D125=12,MAX(0,F125-E125-0.003)*0.9*((K125+I125)*(B125/12)+(J125+H125)*(1-B125/12))+MAX(0,F125-0.003)*0.9*N124+N124,IF(AND(C125=ÉV!$I$2,D125=ÉV!$J$2),(M125+N124)*MAX(0,F125-0.003)*0.9*(D125/12)+N124,N124))*IF(OR(C125&gt;ÉV!$I$2,AND(C125=ÉV!$I$2,D125&gt;ÉV!$J$2)),0,1)</f>
        <v>0</v>
      </c>
      <c r="O125" s="313">
        <f ca="1">IF(MAX(AF$2:AF124)=2,      0,IF(OR(AC125=7, AF125=2),    SUM(AE$2:AE125),    O124)   )</f>
        <v>396161.94784016669</v>
      </c>
      <c r="P125" s="271">
        <f ca="1">IF(D125=12,V125+P124+P124*(F125-0.003)*0.9,IF(AND(C125=ÉV!$I$2,D125=ÉV!$J$2),V125+P124+P124*(F125-0.003)*0.9*D125/12,P124))*IF(OR(C125&gt;ÉV!$I$2,AND(C125=ÉV!$I$2,D125&gt;ÉV!$J$2)),0,1)</f>
        <v>0</v>
      </c>
      <c r="Q125" s="275">
        <f ca="1">(N125+P125)*IF(OR(AND(C125=ÉV!$I$2,D125&gt;ÉV!$J$2),C125&gt;ÉV!$I$2),0,1)</f>
        <v>0</v>
      </c>
      <c r="R125" s="271">
        <f ca="1">(MAX(0,F125-E125-0.003)*0.9*((K125+I125)*(1/12)))*IF(OR(C125&gt;ÉV!$I$2,AND(C125=ÉV!$I$2,D125&gt;ÉV!$J$2)),0,1)</f>
        <v>0</v>
      </c>
      <c r="S125" s="271">
        <f ca="1">(MAX(0,F125-0.003)*0.9*((O125)*(1/12)))*IF(OR(C125&gt;ÉV!$I$2,AND(C125=ÉV!$I$2,D125&gt;ÉV!$J$2)),0,1)</f>
        <v>0</v>
      </c>
      <c r="T125" s="271">
        <f ca="1">(MAX(0,F125-0.003)*0.9*((Q124)*(1/12)))*IF(OR(C125&gt;ÉV!$I$2,AND(C125=ÉV!$I$2,D125&gt;ÉV!$J$2)),0,1)</f>
        <v>0</v>
      </c>
      <c r="U125" s="271">
        <f ca="1">IF($D125=1,R125,R125+U124)*IF(OR(C125&gt;ÉV!$I$2,AND(C125=ÉV!$I$2,D125&gt;ÉV!$J$2)),0,1)</f>
        <v>0</v>
      </c>
      <c r="V125" s="271">
        <f ca="1">IF($D125=1,S125,S125+V124)*IF(OR(C125&gt;ÉV!$I$2,AND(C125=ÉV!$I$2,D125&gt;ÉV!$J$2)),0,1)</f>
        <v>0</v>
      </c>
      <c r="W125" s="271">
        <f ca="1">IF($D125=1,T125,T125+W124)*IF(OR(C125&gt;ÉV!$I$2,AND(C125=ÉV!$I$2,D125&gt;ÉV!$J$2)),0,1)</f>
        <v>0</v>
      </c>
      <c r="X125" s="271">
        <f ca="1">IF(OR(D125=12,AND(C125=ÉV!$I$2,D125=ÉV!$J$2)),SUM(U125:W125)+X124,X124)*IF(OR(C125&gt;ÉV!$I$2,AND(C125=ÉV!$I$2,D125&gt;ÉV!$J$2)),0,1)</f>
        <v>0</v>
      </c>
      <c r="Y125" s="271">
        <f t="shared" ca="1" si="13"/>
        <v>0</v>
      </c>
      <c r="Z125" s="265">
        <f t="shared" si="14"/>
        <v>3</v>
      </c>
      <c r="AA125" s="272">
        <f t="shared" ca="1" si="15"/>
        <v>21266.373485491869</v>
      </c>
      <c r="AB125" s="265">
        <f t="shared" ca="1" si="21"/>
        <v>2027</v>
      </c>
      <c r="AC125" s="265">
        <f t="shared" ca="1" si="22"/>
        <v>6</v>
      </c>
      <c r="AD125" s="276">
        <f ca="1">IF(     OR(               AND(MAX(AF$6:AF125)&lt;2,  AC125=12),                 AF125=2),                   SUMIF(AB:AB,AB125,AA:AA),                       0)</f>
        <v>0</v>
      </c>
      <c r="AE125" s="277">
        <f t="shared" ca="1" si="23"/>
        <v>0</v>
      </c>
      <c r="AF125" s="277">
        <f t="shared" ca="1" si="16"/>
        <v>0</v>
      </c>
      <c r="AG125" s="402">
        <f ca="1">IF(  AND(AC125=AdóHó,   MAX(AF$1:AF124)&lt;2),   SUMIF(AB:AB,AB125-1,AE:AE),0  )
+ IF(AND(AC125&lt;AdóHó,                            AF125=2),   SUMIF(AB:AB,AB125-1,AE:AE),0  )
+ IF(                                                                  AF125=2,    SUMIF(AB:AB,AB125,AE:AE   ),0  )</f>
        <v>0</v>
      </c>
      <c r="AH125" s="272">
        <f ca="1">SUM(AG$2:AG125)</f>
        <v>396161.94784016669</v>
      </c>
    </row>
    <row r="126" spans="1:34">
      <c r="A126" s="265">
        <f t="shared" si="17"/>
        <v>11</v>
      </c>
      <c r="B126" s="265">
        <f t="shared" si="18"/>
        <v>4</v>
      </c>
      <c r="C126" s="265">
        <f t="shared" ca="1" si="19"/>
        <v>11</v>
      </c>
      <c r="D126" s="265">
        <f t="shared" ca="1" si="20"/>
        <v>7</v>
      </c>
      <c r="E126" s="266">
        <v>5.0000000000000001E-3</v>
      </c>
      <c r="F126" s="267">
        <f>ÉV!$B$12</f>
        <v>0</v>
      </c>
      <c r="G126" s="271">
        <f ca="1">VLOOKUP(A126,ÉV!$A$18:$B$65,2,0)</f>
        <v>255196.48182590242</v>
      </c>
      <c r="H126" s="271">
        <f ca="1">IF(OR(A126=1,AND(C126=ÉV!$I$2,D126&gt;ÉV!$J$2),C126&gt;ÉV!$I$2),0,INDEX(Pz!$B$2:$AM$48,A126-1,ÉV!$G$2-9)/100000*ÉV!$B$10)</f>
        <v>226138.23086128102</v>
      </c>
      <c r="I126" s="271">
        <f ca="1">INDEX(Pz!$B$2:$AM$48,HÓ!A126,ÉV!$G$2-9)/100000*ÉV!$B$10</f>
        <v>230644.27841594134</v>
      </c>
      <c r="J126" s="273">
        <f ca="1">IF(OR(A126=1,A126=2,AND(C126=ÉV!$I$2,D126&gt;ÉV!$J$2),C126&gt;ÉV!$I$2),0,VLOOKUP(A126-2,ÉV!$A$18:$C$65,3,0))</f>
        <v>1628801.7736573364</v>
      </c>
      <c r="K126" s="273">
        <f ca="1">IF(OR(A126=1,AND(C126=ÉV!$I$2,D126&gt;ÉV!$J$2),C126&gt;ÉV!$I$2),0,VLOOKUP(A126-1,ÉV!$A$18:$C$65,3,0))</f>
        <v>1858755.8670957277</v>
      </c>
      <c r="L126" s="273">
        <f ca="1">VLOOKUP(A126,ÉV!$A$18:$C$65,3,0)*IF(OR(AND(C126=ÉV!$I$2,D126&gt;ÉV!$J$2),C126&gt;ÉV!$I$2),0,1)</f>
        <v>2093708.4497330307</v>
      </c>
      <c r="M126" s="273">
        <f ca="1">(K126*(12-B126)/12+L126*B126/12)*IF(A126&gt;ÉV!$G$2,0,1)+IF(A126&gt;ÉV!$G$2,M125,0)*IF(OR(AND(C126=ÉV!$I$2,D126&gt;ÉV!$J$2),C126&gt;ÉV!$I$2),0,1)</f>
        <v>1937073.3946414953</v>
      </c>
      <c r="N126" s="274">
        <f ca="1">IF(AND(C126=1,D126&lt;12),0,1)*IF(D126=12,MAX(0,F126-E126-0.003)*0.9*((K126+I126)*(B126/12)+(J126+H126)*(1-B126/12))+MAX(0,F126-0.003)*0.9*N125+N125,IF(AND(C126=ÉV!$I$2,D126=ÉV!$J$2),(M126+N125)*MAX(0,F126-0.003)*0.9*(D126/12)+N125,N125))*IF(OR(C126&gt;ÉV!$I$2,AND(C126=ÉV!$I$2,D126&gt;ÉV!$J$2)),0,1)</f>
        <v>0</v>
      </c>
      <c r="O126" s="313">
        <f ca="1">IF(MAX(AF$2:AF125)=2,      0,IF(OR(AC126=7, AF126=2),    SUM(AE$2:AE126),    O125)   )</f>
        <v>445955.18679697003</v>
      </c>
      <c r="P126" s="271">
        <f ca="1">IF(D126=12,V126+P125+P125*(F126-0.003)*0.9,IF(AND(C126=ÉV!$I$2,D126=ÉV!$J$2),V126+P125+P125*(F126-0.003)*0.9*D126/12,P125))*IF(OR(C126&gt;ÉV!$I$2,AND(C126=ÉV!$I$2,D126&gt;ÉV!$J$2)),0,1)</f>
        <v>0</v>
      </c>
      <c r="Q126" s="275">
        <f ca="1">(N126+P126)*IF(OR(AND(C126=ÉV!$I$2,D126&gt;ÉV!$J$2),C126&gt;ÉV!$I$2),0,1)</f>
        <v>0</v>
      </c>
      <c r="R126" s="271">
        <f ca="1">(MAX(0,F126-E126-0.003)*0.9*((K126+I126)*(1/12)))*IF(OR(C126&gt;ÉV!$I$2,AND(C126=ÉV!$I$2,D126&gt;ÉV!$J$2)),0,1)</f>
        <v>0</v>
      </c>
      <c r="S126" s="271">
        <f ca="1">(MAX(0,F126-0.003)*0.9*((O126)*(1/12)))*IF(OR(C126&gt;ÉV!$I$2,AND(C126=ÉV!$I$2,D126&gt;ÉV!$J$2)),0,1)</f>
        <v>0</v>
      </c>
      <c r="T126" s="271">
        <f ca="1">(MAX(0,F126-0.003)*0.9*((Q125)*(1/12)))*IF(OR(C126&gt;ÉV!$I$2,AND(C126=ÉV!$I$2,D126&gt;ÉV!$J$2)),0,1)</f>
        <v>0</v>
      </c>
      <c r="U126" s="271">
        <f ca="1">IF($D126=1,R126,R126+U125)*IF(OR(C126&gt;ÉV!$I$2,AND(C126=ÉV!$I$2,D126&gt;ÉV!$J$2)),0,1)</f>
        <v>0</v>
      </c>
      <c r="V126" s="271">
        <f ca="1">IF($D126=1,S126,S126+V125)*IF(OR(C126&gt;ÉV!$I$2,AND(C126=ÉV!$I$2,D126&gt;ÉV!$J$2)),0,1)</f>
        <v>0</v>
      </c>
      <c r="W126" s="271">
        <f ca="1">IF($D126=1,T126,T126+W125)*IF(OR(C126&gt;ÉV!$I$2,AND(C126=ÉV!$I$2,D126&gt;ÉV!$J$2)),0,1)</f>
        <v>0</v>
      </c>
      <c r="X126" s="271">
        <f ca="1">IF(OR(D126=12,AND(C126=ÉV!$I$2,D126=ÉV!$J$2)),SUM(U126:W126)+X125,X125)*IF(OR(C126&gt;ÉV!$I$2,AND(C126=ÉV!$I$2,D126&gt;ÉV!$J$2)),0,1)</f>
        <v>0</v>
      </c>
      <c r="Y126" s="271">
        <f t="shared" ca="1" si="13"/>
        <v>0</v>
      </c>
      <c r="Z126" s="265">
        <f t="shared" si="14"/>
        <v>4</v>
      </c>
      <c r="AA126" s="272">
        <f t="shared" ca="1" si="15"/>
        <v>21266.373485491869</v>
      </c>
      <c r="AB126" s="265">
        <f t="shared" ca="1" si="21"/>
        <v>2027</v>
      </c>
      <c r="AC126" s="265">
        <f t="shared" ca="1" si="22"/>
        <v>7</v>
      </c>
      <c r="AD126" s="276">
        <f ca="1">IF(     OR(               AND(MAX(AF$6:AF126)&lt;2,  AC126=12),                 AF126=2),                   SUMIF(AB:AB,AB126,AA:AA),                       0)</f>
        <v>0</v>
      </c>
      <c r="AE126" s="277">
        <f t="shared" ca="1" si="23"/>
        <v>0</v>
      </c>
      <c r="AF126" s="277">
        <f t="shared" ca="1" si="16"/>
        <v>0</v>
      </c>
      <c r="AG126" s="402">
        <f ca="1">IF(  AND(AC126=AdóHó,   MAX(AF$1:AF125)&lt;2),   SUMIF(AB:AB,AB126-1,AE:AE),0  )
+ IF(AND(AC126&lt;AdóHó,                            AF126=2),   SUMIF(AB:AB,AB126-1,AE:AE),0  )
+ IF(                                                                  AF126=2,    SUMIF(AB:AB,AB126,AE:AE   ),0  )</f>
        <v>49793.23895680334</v>
      </c>
      <c r="AH126" s="272">
        <f ca="1">SUM(AG$2:AG126)</f>
        <v>445955.18679697003</v>
      </c>
    </row>
    <row r="127" spans="1:34">
      <c r="A127" s="265">
        <f t="shared" si="17"/>
        <v>11</v>
      </c>
      <c r="B127" s="265">
        <f t="shared" si="18"/>
        <v>5</v>
      </c>
      <c r="C127" s="265">
        <f t="shared" ca="1" si="19"/>
        <v>11</v>
      </c>
      <c r="D127" s="265">
        <f t="shared" ca="1" si="20"/>
        <v>8</v>
      </c>
      <c r="E127" s="266">
        <v>5.0000000000000001E-3</v>
      </c>
      <c r="F127" s="267">
        <f>ÉV!$B$12</f>
        <v>0</v>
      </c>
      <c r="G127" s="271">
        <f ca="1">VLOOKUP(A127,ÉV!$A$18:$B$65,2,0)</f>
        <v>255196.48182590242</v>
      </c>
      <c r="H127" s="271">
        <f ca="1">IF(OR(A127=1,AND(C127=ÉV!$I$2,D127&gt;ÉV!$J$2),C127&gt;ÉV!$I$2),0,INDEX(Pz!$B$2:$AM$48,A127-1,ÉV!$G$2-9)/100000*ÉV!$B$10)</f>
        <v>226138.23086128102</v>
      </c>
      <c r="I127" s="271">
        <f ca="1">INDEX(Pz!$B$2:$AM$48,HÓ!A127,ÉV!$G$2-9)/100000*ÉV!$B$10</f>
        <v>230644.27841594134</v>
      </c>
      <c r="J127" s="273">
        <f ca="1">IF(OR(A127=1,A127=2,AND(C127=ÉV!$I$2,D127&gt;ÉV!$J$2),C127&gt;ÉV!$I$2),0,VLOOKUP(A127-2,ÉV!$A$18:$C$65,3,0))</f>
        <v>1628801.7736573364</v>
      </c>
      <c r="K127" s="273">
        <f ca="1">IF(OR(A127=1,AND(C127=ÉV!$I$2,D127&gt;ÉV!$J$2),C127&gt;ÉV!$I$2),0,VLOOKUP(A127-1,ÉV!$A$18:$C$65,3,0))</f>
        <v>1858755.8670957277</v>
      </c>
      <c r="L127" s="273">
        <f ca="1">VLOOKUP(A127,ÉV!$A$18:$C$65,3,0)*IF(OR(AND(C127=ÉV!$I$2,D127&gt;ÉV!$J$2),C127&gt;ÉV!$I$2),0,1)</f>
        <v>2093708.4497330307</v>
      </c>
      <c r="M127" s="273">
        <f ca="1">(K127*(12-B127)/12+L127*B127/12)*IF(A127&gt;ÉV!$G$2,0,1)+IF(A127&gt;ÉV!$G$2,M126,0)*IF(OR(AND(C127=ÉV!$I$2,D127&gt;ÉV!$J$2),C127&gt;ÉV!$I$2),0,1)</f>
        <v>1956652.7765279375</v>
      </c>
      <c r="N127" s="274">
        <f ca="1">IF(AND(C127=1,D127&lt;12),0,1)*IF(D127=12,MAX(0,F127-E127-0.003)*0.9*((K127+I127)*(B127/12)+(J127+H127)*(1-B127/12))+MAX(0,F127-0.003)*0.9*N126+N126,IF(AND(C127=ÉV!$I$2,D127=ÉV!$J$2),(M127+N126)*MAX(0,F127-0.003)*0.9*(D127/12)+N126,N126))*IF(OR(C127&gt;ÉV!$I$2,AND(C127=ÉV!$I$2,D127&gt;ÉV!$J$2)),0,1)</f>
        <v>0</v>
      </c>
      <c r="O127" s="313">
        <f ca="1">IF(MAX(AF$2:AF126)=2,      0,IF(OR(AC127=7, AF127=2),    SUM(AE$2:AE127),    O126)   )</f>
        <v>445955.18679697003</v>
      </c>
      <c r="P127" s="271">
        <f ca="1">IF(D127=12,V127+P126+P126*(F127-0.003)*0.9,IF(AND(C127=ÉV!$I$2,D127=ÉV!$J$2),V127+P126+P126*(F127-0.003)*0.9*D127/12,P126))*IF(OR(C127&gt;ÉV!$I$2,AND(C127=ÉV!$I$2,D127&gt;ÉV!$J$2)),0,1)</f>
        <v>0</v>
      </c>
      <c r="Q127" s="275">
        <f ca="1">(N127+P127)*IF(OR(AND(C127=ÉV!$I$2,D127&gt;ÉV!$J$2),C127&gt;ÉV!$I$2),0,1)</f>
        <v>0</v>
      </c>
      <c r="R127" s="271">
        <f ca="1">(MAX(0,F127-E127-0.003)*0.9*((K127+I127)*(1/12)))*IF(OR(C127&gt;ÉV!$I$2,AND(C127=ÉV!$I$2,D127&gt;ÉV!$J$2)),0,1)</f>
        <v>0</v>
      </c>
      <c r="S127" s="271">
        <f ca="1">(MAX(0,F127-0.003)*0.9*((O127)*(1/12)))*IF(OR(C127&gt;ÉV!$I$2,AND(C127=ÉV!$I$2,D127&gt;ÉV!$J$2)),0,1)</f>
        <v>0</v>
      </c>
      <c r="T127" s="271">
        <f ca="1">(MAX(0,F127-0.003)*0.9*((Q126)*(1/12)))*IF(OR(C127&gt;ÉV!$I$2,AND(C127=ÉV!$I$2,D127&gt;ÉV!$J$2)),0,1)</f>
        <v>0</v>
      </c>
      <c r="U127" s="271">
        <f ca="1">IF($D127=1,R127,R127+U126)*IF(OR(C127&gt;ÉV!$I$2,AND(C127=ÉV!$I$2,D127&gt;ÉV!$J$2)),0,1)</f>
        <v>0</v>
      </c>
      <c r="V127" s="271">
        <f ca="1">IF($D127=1,S127,S127+V126)*IF(OR(C127&gt;ÉV!$I$2,AND(C127=ÉV!$I$2,D127&gt;ÉV!$J$2)),0,1)</f>
        <v>0</v>
      </c>
      <c r="W127" s="271">
        <f ca="1">IF($D127=1,T127,T127+W126)*IF(OR(C127&gt;ÉV!$I$2,AND(C127=ÉV!$I$2,D127&gt;ÉV!$J$2)),0,1)</f>
        <v>0</v>
      </c>
      <c r="X127" s="271">
        <f ca="1">IF(OR(D127=12,AND(C127=ÉV!$I$2,D127=ÉV!$J$2)),SUM(U127:W127)+X126,X126)*IF(OR(C127&gt;ÉV!$I$2,AND(C127=ÉV!$I$2,D127&gt;ÉV!$J$2)),0,1)</f>
        <v>0</v>
      </c>
      <c r="Y127" s="271">
        <f t="shared" ca="1" si="13"/>
        <v>0</v>
      </c>
      <c r="Z127" s="265">
        <f t="shared" si="14"/>
        <v>5</v>
      </c>
      <c r="AA127" s="272">
        <f t="shared" ca="1" si="15"/>
        <v>21266.373485491869</v>
      </c>
      <c r="AB127" s="265">
        <f t="shared" ca="1" si="21"/>
        <v>2027</v>
      </c>
      <c r="AC127" s="265">
        <f t="shared" ca="1" si="22"/>
        <v>8</v>
      </c>
      <c r="AD127" s="276">
        <f ca="1">IF(     OR(               AND(MAX(AF$6:AF127)&lt;2,  AC127=12),                 AF127=2),                   SUMIF(AB:AB,AB127,AA:AA),                       0)</f>
        <v>0</v>
      </c>
      <c r="AE127" s="277">
        <f t="shared" ca="1" si="23"/>
        <v>0</v>
      </c>
      <c r="AF127" s="277">
        <f t="shared" ca="1" si="16"/>
        <v>0</v>
      </c>
      <c r="AG127" s="402">
        <f ca="1">IF(  AND(AC127=AdóHó,   MAX(AF$1:AF126)&lt;2),   SUMIF(AB:AB,AB127-1,AE:AE),0  )
+ IF(AND(AC127&lt;AdóHó,                            AF127=2),   SUMIF(AB:AB,AB127-1,AE:AE),0  )
+ IF(                                                                  AF127=2,    SUMIF(AB:AB,AB127,AE:AE   ),0  )</f>
        <v>0</v>
      </c>
      <c r="AH127" s="272">
        <f ca="1">SUM(AG$2:AG127)</f>
        <v>445955.18679697003</v>
      </c>
    </row>
    <row r="128" spans="1:34">
      <c r="A128" s="265">
        <f t="shared" si="17"/>
        <v>11</v>
      </c>
      <c r="B128" s="265">
        <f t="shared" si="18"/>
        <v>6</v>
      </c>
      <c r="C128" s="265">
        <f t="shared" ca="1" si="19"/>
        <v>11</v>
      </c>
      <c r="D128" s="265">
        <f t="shared" ca="1" si="20"/>
        <v>9</v>
      </c>
      <c r="E128" s="266">
        <v>5.0000000000000001E-3</v>
      </c>
      <c r="F128" s="267">
        <f>ÉV!$B$12</f>
        <v>0</v>
      </c>
      <c r="G128" s="271">
        <f ca="1">VLOOKUP(A128,ÉV!$A$18:$B$65,2,0)</f>
        <v>255196.48182590242</v>
      </c>
      <c r="H128" s="271">
        <f ca="1">IF(OR(A128=1,AND(C128=ÉV!$I$2,D128&gt;ÉV!$J$2),C128&gt;ÉV!$I$2),0,INDEX(Pz!$B$2:$AM$48,A128-1,ÉV!$G$2-9)/100000*ÉV!$B$10)</f>
        <v>226138.23086128102</v>
      </c>
      <c r="I128" s="271">
        <f ca="1">INDEX(Pz!$B$2:$AM$48,HÓ!A128,ÉV!$G$2-9)/100000*ÉV!$B$10</f>
        <v>230644.27841594134</v>
      </c>
      <c r="J128" s="273">
        <f ca="1">IF(OR(A128=1,A128=2,AND(C128=ÉV!$I$2,D128&gt;ÉV!$J$2),C128&gt;ÉV!$I$2),0,VLOOKUP(A128-2,ÉV!$A$18:$C$65,3,0))</f>
        <v>1628801.7736573364</v>
      </c>
      <c r="K128" s="273">
        <f ca="1">IF(OR(A128=1,AND(C128=ÉV!$I$2,D128&gt;ÉV!$J$2),C128&gt;ÉV!$I$2),0,VLOOKUP(A128-1,ÉV!$A$18:$C$65,3,0))</f>
        <v>1858755.8670957277</v>
      </c>
      <c r="L128" s="273">
        <f ca="1">VLOOKUP(A128,ÉV!$A$18:$C$65,3,0)*IF(OR(AND(C128=ÉV!$I$2,D128&gt;ÉV!$J$2),C128&gt;ÉV!$I$2),0,1)</f>
        <v>2093708.4497330307</v>
      </c>
      <c r="M128" s="273">
        <f ca="1">(K128*(12-B128)/12+L128*B128/12)*IF(A128&gt;ÉV!$G$2,0,1)+IF(A128&gt;ÉV!$G$2,M127,0)*IF(OR(AND(C128=ÉV!$I$2,D128&gt;ÉV!$J$2),C128&gt;ÉV!$I$2),0,1)</f>
        <v>1976232.1584143792</v>
      </c>
      <c r="N128" s="274">
        <f ca="1">IF(AND(C128=1,D128&lt;12),0,1)*IF(D128=12,MAX(0,F128-E128-0.003)*0.9*((K128+I128)*(B128/12)+(J128+H128)*(1-B128/12))+MAX(0,F128-0.003)*0.9*N127+N127,IF(AND(C128=ÉV!$I$2,D128=ÉV!$J$2),(M128+N127)*MAX(0,F128-0.003)*0.9*(D128/12)+N127,N127))*IF(OR(C128&gt;ÉV!$I$2,AND(C128=ÉV!$I$2,D128&gt;ÉV!$J$2)),0,1)</f>
        <v>0</v>
      </c>
      <c r="O128" s="313">
        <f ca="1">IF(MAX(AF$2:AF127)=2,      0,IF(OR(AC128=7, AF128=2),    SUM(AE$2:AE128),    O127)   )</f>
        <v>445955.18679697003</v>
      </c>
      <c r="P128" s="271">
        <f ca="1">IF(D128=12,V128+P127+P127*(F128-0.003)*0.9,IF(AND(C128=ÉV!$I$2,D128=ÉV!$J$2),V128+P127+P127*(F128-0.003)*0.9*D128/12,P127))*IF(OR(C128&gt;ÉV!$I$2,AND(C128=ÉV!$I$2,D128&gt;ÉV!$J$2)),0,1)</f>
        <v>0</v>
      </c>
      <c r="Q128" s="275">
        <f ca="1">(N128+P128)*IF(OR(AND(C128=ÉV!$I$2,D128&gt;ÉV!$J$2),C128&gt;ÉV!$I$2),0,1)</f>
        <v>0</v>
      </c>
      <c r="R128" s="271">
        <f ca="1">(MAX(0,F128-E128-0.003)*0.9*((K128+I128)*(1/12)))*IF(OR(C128&gt;ÉV!$I$2,AND(C128=ÉV!$I$2,D128&gt;ÉV!$J$2)),0,1)</f>
        <v>0</v>
      </c>
      <c r="S128" s="271">
        <f ca="1">(MAX(0,F128-0.003)*0.9*((O128)*(1/12)))*IF(OR(C128&gt;ÉV!$I$2,AND(C128=ÉV!$I$2,D128&gt;ÉV!$J$2)),0,1)</f>
        <v>0</v>
      </c>
      <c r="T128" s="271">
        <f ca="1">(MAX(0,F128-0.003)*0.9*((Q127)*(1/12)))*IF(OR(C128&gt;ÉV!$I$2,AND(C128=ÉV!$I$2,D128&gt;ÉV!$J$2)),0,1)</f>
        <v>0</v>
      </c>
      <c r="U128" s="271">
        <f ca="1">IF($D128=1,R128,R128+U127)*IF(OR(C128&gt;ÉV!$I$2,AND(C128=ÉV!$I$2,D128&gt;ÉV!$J$2)),0,1)</f>
        <v>0</v>
      </c>
      <c r="V128" s="271">
        <f ca="1">IF($D128=1,S128,S128+V127)*IF(OR(C128&gt;ÉV!$I$2,AND(C128=ÉV!$I$2,D128&gt;ÉV!$J$2)),0,1)</f>
        <v>0</v>
      </c>
      <c r="W128" s="271">
        <f ca="1">IF($D128=1,T128,T128+W127)*IF(OR(C128&gt;ÉV!$I$2,AND(C128=ÉV!$I$2,D128&gt;ÉV!$J$2)),0,1)</f>
        <v>0</v>
      </c>
      <c r="X128" s="271">
        <f ca="1">IF(OR(D128=12,AND(C128=ÉV!$I$2,D128=ÉV!$J$2)),SUM(U128:W128)+X127,X127)*IF(OR(C128&gt;ÉV!$I$2,AND(C128=ÉV!$I$2,D128&gt;ÉV!$J$2)),0,1)</f>
        <v>0</v>
      </c>
      <c r="Y128" s="271">
        <f t="shared" ca="1" si="13"/>
        <v>0</v>
      </c>
      <c r="Z128" s="265">
        <f t="shared" si="14"/>
        <v>6</v>
      </c>
      <c r="AA128" s="272">
        <f t="shared" ca="1" si="15"/>
        <v>21266.373485491869</v>
      </c>
      <c r="AB128" s="265">
        <f t="shared" ca="1" si="21"/>
        <v>2027</v>
      </c>
      <c r="AC128" s="265">
        <f t="shared" ca="1" si="22"/>
        <v>9</v>
      </c>
      <c r="AD128" s="276">
        <f ca="1">IF(     OR(               AND(MAX(AF$6:AF128)&lt;2,  AC128=12),                 AF128=2),                   SUMIF(AB:AB,AB128,AA:AA),                       0)</f>
        <v>0</v>
      </c>
      <c r="AE128" s="277">
        <f t="shared" ca="1" si="23"/>
        <v>0</v>
      </c>
      <c r="AF128" s="277">
        <f t="shared" ca="1" si="16"/>
        <v>0</v>
      </c>
      <c r="AG128" s="402">
        <f ca="1">IF(  AND(AC128=AdóHó,   MAX(AF$1:AF127)&lt;2),   SUMIF(AB:AB,AB128-1,AE:AE),0  )
+ IF(AND(AC128&lt;AdóHó,                            AF128=2),   SUMIF(AB:AB,AB128-1,AE:AE),0  )
+ IF(                                                                  AF128=2,    SUMIF(AB:AB,AB128,AE:AE   ),0  )</f>
        <v>0</v>
      </c>
      <c r="AH128" s="272">
        <f ca="1">SUM(AG$2:AG128)</f>
        <v>445955.18679697003</v>
      </c>
    </row>
    <row r="129" spans="1:34">
      <c r="A129" s="265">
        <f t="shared" si="17"/>
        <v>11</v>
      </c>
      <c r="B129" s="265">
        <f t="shared" si="18"/>
        <v>7</v>
      </c>
      <c r="C129" s="265">
        <f t="shared" ca="1" si="19"/>
        <v>11</v>
      </c>
      <c r="D129" s="265">
        <f t="shared" ca="1" si="20"/>
        <v>10</v>
      </c>
      <c r="E129" s="266">
        <v>5.0000000000000001E-3</v>
      </c>
      <c r="F129" s="267">
        <f>ÉV!$B$12</f>
        <v>0</v>
      </c>
      <c r="G129" s="271">
        <f ca="1">VLOOKUP(A129,ÉV!$A$18:$B$65,2,0)</f>
        <v>255196.48182590242</v>
      </c>
      <c r="H129" s="271">
        <f ca="1">IF(OR(A129=1,AND(C129=ÉV!$I$2,D129&gt;ÉV!$J$2),C129&gt;ÉV!$I$2),0,INDEX(Pz!$B$2:$AM$48,A129-1,ÉV!$G$2-9)/100000*ÉV!$B$10)</f>
        <v>226138.23086128102</v>
      </c>
      <c r="I129" s="271">
        <f ca="1">INDEX(Pz!$B$2:$AM$48,HÓ!A129,ÉV!$G$2-9)/100000*ÉV!$B$10</f>
        <v>230644.27841594134</v>
      </c>
      <c r="J129" s="273">
        <f ca="1">IF(OR(A129=1,A129=2,AND(C129=ÉV!$I$2,D129&gt;ÉV!$J$2),C129&gt;ÉV!$I$2),0,VLOOKUP(A129-2,ÉV!$A$18:$C$65,3,0))</f>
        <v>1628801.7736573364</v>
      </c>
      <c r="K129" s="273">
        <f ca="1">IF(OR(A129=1,AND(C129=ÉV!$I$2,D129&gt;ÉV!$J$2),C129&gt;ÉV!$I$2),0,VLOOKUP(A129-1,ÉV!$A$18:$C$65,3,0))</f>
        <v>1858755.8670957277</v>
      </c>
      <c r="L129" s="273">
        <f ca="1">VLOOKUP(A129,ÉV!$A$18:$C$65,3,0)*IF(OR(AND(C129=ÉV!$I$2,D129&gt;ÉV!$J$2),C129&gt;ÉV!$I$2),0,1)</f>
        <v>2093708.4497330307</v>
      </c>
      <c r="M129" s="273">
        <f ca="1">(K129*(12-B129)/12+L129*B129/12)*IF(A129&gt;ÉV!$G$2,0,1)+IF(A129&gt;ÉV!$G$2,M128,0)*IF(OR(AND(C129=ÉV!$I$2,D129&gt;ÉV!$J$2),C129&gt;ÉV!$I$2),0,1)</f>
        <v>1995811.5403008214</v>
      </c>
      <c r="N129" s="274">
        <f ca="1">IF(AND(C129=1,D129&lt;12),0,1)*IF(D129=12,MAX(0,F129-E129-0.003)*0.9*((K129+I129)*(B129/12)+(J129+H129)*(1-B129/12))+MAX(0,F129-0.003)*0.9*N128+N128,IF(AND(C129=ÉV!$I$2,D129=ÉV!$J$2),(M129+N128)*MAX(0,F129-0.003)*0.9*(D129/12)+N128,N128))*IF(OR(C129&gt;ÉV!$I$2,AND(C129=ÉV!$I$2,D129&gt;ÉV!$J$2)),0,1)</f>
        <v>0</v>
      </c>
      <c r="O129" s="313">
        <f ca="1">IF(MAX(AF$2:AF128)=2,      0,IF(OR(AC129=7, AF129=2),    SUM(AE$2:AE129),    O128)   )</f>
        <v>445955.18679697003</v>
      </c>
      <c r="P129" s="271">
        <f ca="1">IF(D129=12,V129+P128+P128*(F129-0.003)*0.9,IF(AND(C129=ÉV!$I$2,D129=ÉV!$J$2),V129+P128+P128*(F129-0.003)*0.9*D129/12,P128))*IF(OR(C129&gt;ÉV!$I$2,AND(C129=ÉV!$I$2,D129&gt;ÉV!$J$2)),0,1)</f>
        <v>0</v>
      </c>
      <c r="Q129" s="275">
        <f ca="1">(N129+P129)*IF(OR(AND(C129=ÉV!$I$2,D129&gt;ÉV!$J$2),C129&gt;ÉV!$I$2),0,1)</f>
        <v>0</v>
      </c>
      <c r="R129" s="271">
        <f ca="1">(MAX(0,F129-E129-0.003)*0.9*((K129+I129)*(1/12)))*IF(OR(C129&gt;ÉV!$I$2,AND(C129=ÉV!$I$2,D129&gt;ÉV!$J$2)),0,1)</f>
        <v>0</v>
      </c>
      <c r="S129" s="271">
        <f ca="1">(MAX(0,F129-0.003)*0.9*((O129)*(1/12)))*IF(OR(C129&gt;ÉV!$I$2,AND(C129=ÉV!$I$2,D129&gt;ÉV!$J$2)),0,1)</f>
        <v>0</v>
      </c>
      <c r="T129" s="271">
        <f ca="1">(MAX(0,F129-0.003)*0.9*((Q128)*(1/12)))*IF(OR(C129&gt;ÉV!$I$2,AND(C129=ÉV!$I$2,D129&gt;ÉV!$J$2)),0,1)</f>
        <v>0</v>
      </c>
      <c r="U129" s="271">
        <f ca="1">IF($D129=1,R129,R129+U128)*IF(OR(C129&gt;ÉV!$I$2,AND(C129=ÉV!$I$2,D129&gt;ÉV!$J$2)),0,1)</f>
        <v>0</v>
      </c>
      <c r="V129" s="271">
        <f ca="1">IF($D129=1,S129,S129+V128)*IF(OR(C129&gt;ÉV!$I$2,AND(C129=ÉV!$I$2,D129&gt;ÉV!$J$2)),0,1)</f>
        <v>0</v>
      </c>
      <c r="W129" s="271">
        <f ca="1">IF($D129=1,T129,T129+W128)*IF(OR(C129&gt;ÉV!$I$2,AND(C129=ÉV!$I$2,D129&gt;ÉV!$J$2)),0,1)</f>
        <v>0</v>
      </c>
      <c r="X129" s="271">
        <f ca="1">IF(OR(D129=12,AND(C129=ÉV!$I$2,D129=ÉV!$J$2)),SUM(U129:W129)+X128,X128)*IF(OR(C129&gt;ÉV!$I$2,AND(C129=ÉV!$I$2,D129&gt;ÉV!$J$2)),0,1)</f>
        <v>0</v>
      </c>
      <c r="Y129" s="271">
        <f t="shared" ca="1" si="13"/>
        <v>0</v>
      </c>
      <c r="Z129" s="265">
        <f t="shared" si="14"/>
        <v>7</v>
      </c>
      <c r="AA129" s="272">
        <f t="shared" ca="1" si="15"/>
        <v>21266.373485491869</v>
      </c>
      <c r="AB129" s="265">
        <f t="shared" ca="1" si="21"/>
        <v>2027</v>
      </c>
      <c r="AC129" s="265">
        <f t="shared" ca="1" si="22"/>
        <v>10</v>
      </c>
      <c r="AD129" s="276">
        <f ca="1">IF(     OR(               AND(MAX(AF$6:AF129)&lt;2,  AC129=12),                 AF129=2),                   SUMIF(AB:AB,AB129,AA:AA),                       0)</f>
        <v>0</v>
      </c>
      <c r="AE129" s="277">
        <f t="shared" ca="1" si="23"/>
        <v>0</v>
      </c>
      <c r="AF129" s="277">
        <f t="shared" ca="1" si="16"/>
        <v>0</v>
      </c>
      <c r="AG129" s="402">
        <f ca="1">IF(  AND(AC129=AdóHó,   MAX(AF$1:AF128)&lt;2),   SUMIF(AB:AB,AB129-1,AE:AE),0  )
+ IF(AND(AC129&lt;AdóHó,                            AF129=2),   SUMIF(AB:AB,AB129-1,AE:AE),0  )
+ IF(                                                                  AF129=2,    SUMIF(AB:AB,AB129,AE:AE   ),0  )</f>
        <v>0</v>
      </c>
      <c r="AH129" s="272">
        <f ca="1">SUM(AG$2:AG129)</f>
        <v>445955.18679697003</v>
      </c>
    </row>
    <row r="130" spans="1:34">
      <c r="A130" s="265">
        <f t="shared" si="17"/>
        <v>11</v>
      </c>
      <c r="B130" s="265">
        <f t="shared" si="18"/>
        <v>8</v>
      </c>
      <c r="C130" s="265">
        <f t="shared" ca="1" si="19"/>
        <v>11</v>
      </c>
      <c r="D130" s="265">
        <f t="shared" ca="1" si="20"/>
        <v>11</v>
      </c>
      <c r="E130" s="266">
        <v>5.0000000000000001E-3</v>
      </c>
      <c r="F130" s="267">
        <f>ÉV!$B$12</f>
        <v>0</v>
      </c>
      <c r="G130" s="271">
        <f ca="1">VLOOKUP(A130,ÉV!$A$18:$B$65,2,0)</f>
        <v>255196.48182590242</v>
      </c>
      <c r="H130" s="271">
        <f ca="1">IF(OR(A130=1,AND(C130=ÉV!$I$2,D130&gt;ÉV!$J$2),C130&gt;ÉV!$I$2),0,INDEX(Pz!$B$2:$AM$48,A130-1,ÉV!$G$2-9)/100000*ÉV!$B$10)</f>
        <v>226138.23086128102</v>
      </c>
      <c r="I130" s="271">
        <f ca="1">INDEX(Pz!$B$2:$AM$48,HÓ!A130,ÉV!$G$2-9)/100000*ÉV!$B$10</f>
        <v>230644.27841594134</v>
      </c>
      <c r="J130" s="273">
        <f ca="1">IF(OR(A130=1,A130=2,AND(C130=ÉV!$I$2,D130&gt;ÉV!$J$2),C130&gt;ÉV!$I$2),0,VLOOKUP(A130-2,ÉV!$A$18:$C$65,3,0))</f>
        <v>1628801.7736573364</v>
      </c>
      <c r="K130" s="273">
        <f ca="1">IF(OR(A130=1,AND(C130=ÉV!$I$2,D130&gt;ÉV!$J$2),C130&gt;ÉV!$I$2),0,VLOOKUP(A130-1,ÉV!$A$18:$C$65,3,0))</f>
        <v>1858755.8670957277</v>
      </c>
      <c r="L130" s="273">
        <f ca="1">VLOOKUP(A130,ÉV!$A$18:$C$65,3,0)*IF(OR(AND(C130=ÉV!$I$2,D130&gt;ÉV!$J$2),C130&gt;ÉV!$I$2),0,1)</f>
        <v>2093708.4497330307</v>
      </c>
      <c r="M130" s="273">
        <f ca="1">(K130*(12-B130)/12+L130*B130/12)*IF(A130&gt;ÉV!$G$2,0,1)+IF(A130&gt;ÉV!$G$2,M129,0)*IF(OR(AND(C130=ÉV!$I$2,D130&gt;ÉV!$J$2),C130&gt;ÉV!$I$2),0,1)</f>
        <v>2015390.9221872631</v>
      </c>
      <c r="N130" s="274">
        <f ca="1">IF(AND(C130=1,D130&lt;12),0,1)*IF(D130=12,MAX(0,F130-E130-0.003)*0.9*((K130+I130)*(B130/12)+(J130+H130)*(1-B130/12))+MAX(0,F130-0.003)*0.9*N129+N129,IF(AND(C130=ÉV!$I$2,D130=ÉV!$J$2),(M130+N129)*MAX(0,F130-0.003)*0.9*(D130/12)+N129,N129))*IF(OR(C130&gt;ÉV!$I$2,AND(C130=ÉV!$I$2,D130&gt;ÉV!$J$2)),0,1)</f>
        <v>0</v>
      </c>
      <c r="O130" s="313">
        <f ca="1">IF(MAX(AF$2:AF129)=2,      0,IF(OR(AC130=7, AF130=2),    SUM(AE$2:AE130),    O129)   )</f>
        <v>445955.18679697003</v>
      </c>
      <c r="P130" s="271">
        <f ca="1">IF(D130=12,V130+P129+P129*(F130-0.003)*0.9,IF(AND(C130=ÉV!$I$2,D130=ÉV!$J$2),V130+P129+P129*(F130-0.003)*0.9*D130/12,P129))*IF(OR(C130&gt;ÉV!$I$2,AND(C130=ÉV!$I$2,D130&gt;ÉV!$J$2)),0,1)</f>
        <v>0</v>
      </c>
      <c r="Q130" s="275">
        <f ca="1">(N130+P130)*IF(OR(AND(C130=ÉV!$I$2,D130&gt;ÉV!$J$2),C130&gt;ÉV!$I$2),0,1)</f>
        <v>0</v>
      </c>
      <c r="R130" s="271">
        <f ca="1">(MAX(0,F130-E130-0.003)*0.9*((K130+I130)*(1/12)))*IF(OR(C130&gt;ÉV!$I$2,AND(C130=ÉV!$I$2,D130&gt;ÉV!$J$2)),0,1)</f>
        <v>0</v>
      </c>
      <c r="S130" s="271">
        <f ca="1">(MAX(0,F130-0.003)*0.9*((O130)*(1/12)))*IF(OR(C130&gt;ÉV!$I$2,AND(C130=ÉV!$I$2,D130&gt;ÉV!$J$2)),0,1)</f>
        <v>0</v>
      </c>
      <c r="T130" s="271">
        <f ca="1">(MAX(0,F130-0.003)*0.9*((Q129)*(1/12)))*IF(OR(C130&gt;ÉV!$I$2,AND(C130=ÉV!$I$2,D130&gt;ÉV!$J$2)),0,1)</f>
        <v>0</v>
      </c>
      <c r="U130" s="271">
        <f ca="1">IF($D130=1,R130,R130+U129)*IF(OR(C130&gt;ÉV!$I$2,AND(C130=ÉV!$I$2,D130&gt;ÉV!$J$2)),0,1)</f>
        <v>0</v>
      </c>
      <c r="V130" s="271">
        <f ca="1">IF($D130=1,S130,S130+V129)*IF(OR(C130&gt;ÉV!$I$2,AND(C130=ÉV!$I$2,D130&gt;ÉV!$J$2)),0,1)</f>
        <v>0</v>
      </c>
      <c r="W130" s="271">
        <f ca="1">IF($D130=1,T130,T130+W129)*IF(OR(C130&gt;ÉV!$I$2,AND(C130=ÉV!$I$2,D130&gt;ÉV!$J$2)),0,1)</f>
        <v>0</v>
      </c>
      <c r="X130" s="271">
        <f ca="1">IF(OR(D130=12,AND(C130=ÉV!$I$2,D130=ÉV!$J$2)),SUM(U130:W130)+X129,X129)*IF(OR(C130&gt;ÉV!$I$2,AND(C130=ÉV!$I$2,D130&gt;ÉV!$J$2)),0,1)</f>
        <v>0</v>
      </c>
      <c r="Y130" s="271">
        <f t="shared" ca="1" si="13"/>
        <v>0</v>
      </c>
      <c r="Z130" s="265">
        <f t="shared" si="14"/>
        <v>8</v>
      </c>
      <c r="AA130" s="272">
        <f t="shared" ca="1" si="15"/>
        <v>21266.373485491869</v>
      </c>
      <c r="AB130" s="265">
        <f t="shared" ca="1" si="21"/>
        <v>2027</v>
      </c>
      <c r="AC130" s="265">
        <f t="shared" ca="1" si="22"/>
        <v>11</v>
      </c>
      <c r="AD130" s="276">
        <f ca="1">IF(     OR(               AND(MAX(AF$6:AF130)&lt;2,  AC130=12),                 AF130=2),                   SUMIF(AB:AB,AB130,AA:AA),                       0)</f>
        <v>0</v>
      </c>
      <c r="AE130" s="277">
        <f t="shared" ca="1" si="23"/>
        <v>0</v>
      </c>
      <c r="AF130" s="277">
        <f t="shared" ca="1" si="16"/>
        <v>0</v>
      </c>
      <c r="AG130" s="402">
        <f ca="1">IF(  AND(AC130=AdóHó,   MAX(AF$1:AF129)&lt;2),   SUMIF(AB:AB,AB130-1,AE:AE),0  )
+ IF(AND(AC130&lt;AdóHó,                            AF130=2),   SUMIF(AB:AB,AB130-1,AE:AE),0  )
+ IF(                                                                  AF130=2,    SUMIF(AB:AB,AB130,AE:AE   ),0  )</f>
        <v>0</v>
      </c>
      <c r="AH130" s="272">
        <f ca="1">SUM(AG$2:AG130)</f>
        <v>445955.18679697003</v>
      </c>
    </row>
    <row r="131" spans="1:34">
      <c r="A131" s="265">
        <f t="shared" si="17"/>
        <v>11</v>
      </c>
      <c r="B131" s="265">
        <f t="shared" si="18"/>
        <v>9</v>
      </c>
      <c r="C131" s="265">
        <f t="shared" ca="1" si="19"/>
        <v>11</v>
      </c>
      <c r="D131" s="265">
        <f t="shared" ca="1" si="20"/>
        <v>12</v>
      </c>
      <c r="E131" s="266">
        <v>5.0000000000000001E-3</v>
      </c>
      <c r="F131" s="267">
        <f>ÉV!$B$12</f>
        <v>0</v>
      </c>
      <c r="G131" s="271">
        <f ca="1">VLOOKUP(A131,ÉV!$A$18:$B$65,2,0)</f>
        <v>255196.48182590242</v>
      </c>
      <c r="H131" s="271">
        <f ca="1">IF(OR(A131=1,AND(C131=ÉV!$I$2,D131&gt;ÉV!$J$2),C131&gt;ÉV!$I$2),0,INDEX(Pz!$B$2:$AM$48,A131-1,ÉV!$G$2-9)/100000*ÉV!$B$10)</f>
        <v>226138.23086128102</v>
      </c>
      <c r="I131" s="271">
        <f ca="1">INDEX(Pz!$B$2:$AM$48,HÓ!A131,ÉV!$G$2-9)/100000*ÉV!$B$10</f>
        <v>230644.27841594134</v>
      </c>
      <c r="J131" s="273">
        <f ca="1">IF(OR(A131=1,A131=2,AND(C131=ÉV!$I$2,D131&gt;ÉV!$J$2),C131&gt;ÉV!$I$2),0,VLOOKUP(A131-2,ÉV!$A$18:$C$65,3,0))</f>
        <v>1628801.7736573364</v>
      </c>
      <c r="K131" s="273">
        <f ca="1">IF(OR(A131=1,AND(C131=ÉV!$I$2,D131&gt;ÉV!$J$2),C131&gt;ÉV!$I$2),0,VLOOKUP(A131-1,ÉV!$A$18:$C$65,3,0))</f>
        <v>1858755.8670957277</v>
      </c>
      <c r="L131" s="273">
        <f ca="1">VLOOKUP(A131,ÉV!$A$18:$C$65,3,0)*IF(OR(AND(C131=ÉV!$I$2,D131&gt;ÉV!$J$2),C131&gt;ÉV!$I$2),0,1)</f>
        <v>2093708.4497330307</v>
      </c>
      <c r="M131" s="273">
        <f ca="1">(K131*(12-B131)/12+L131*B131/12)*IF(A131&gt;ÉV!$G$2,0,1)+IF(A131&gt;ÉV!$G$2,M130,0)*IF(OR(AND(C131=ÉV!$I$2,D131&gt;ÉV!$J$2),C131&gt;ÉV!$I$2),0,1)</f>
        <v>2034970.3040737051</v>
      </c>
      <c r="N131" s="274">
        <f ca="1">IF(AND(C131=1,D131&lt;12),0,1)*IF(D131=12,MAX(0,F131-E131-0.003)*0.9*((K131+I131)*(B131/12)+(J131+H131)*(1-B131/12))+MAX(0,F131-0.003)*0.9*N130+N130,IF(AND(C131=ÉV!$I$2,D131=ÉV!$J$2),(M131+N130)*MAX(0,F131-0.003)*0.9*(D131/12)+N130,N130))*IF(OR(C131&gt;ÉV!$I$2,AND(C131=ÉV!$I$2,D131&gt;ÉV!$J$2)),0,1)</f>
        <v>0</v>
      </c>
      <c r="O131" s="313">
        <f ca="1">IF(MAX(AF$2:AF130)=2,      0,IF(OR(AC131=7, AF131=2),    SUM(AE$2:AE131),    O130)   )</f>
        <v>445955.18679697003</v>
      </c>
      <c r="P131" s="271">
        <f ca="1">IF(D131=12,V131+P130+P130*(F131-0.003)*0.9,IF(AND(C131=ÉV!$I$2,D131=ÉV!$J$2),V131+P130+P130*(F131-0.003)*0.9*D131/12,P130))*IF(OR(C131&gt;ÉV!$I$2,AND(C131=ÉV!$I$2,D131&gt;ÉV!$J$2)),0,1)</f>
        <v>0</v>
      </c>
      <c r="Q131" s="275">
        <f ca="1">(N131+P131)*IF(OR(AND(C131=ÉV!$I$2,D131&gt;ÉV!$J$2),C131&gt;ÉV!$I$2),0,1)</f>
        <v>0</v>
      </c>
      <c r="R131" s="271">
        <f ca="1">(MAX(0,F131-E131-0.003)*0.9*((K131+I131)*(1/12)))*IF(OR(C131&gt;ÉV!$I$2,AND(C131=ÉV!$I$2,D131&gt;ÉV!$J$2)),0,1)</f>
        <v>0</v>
      </c>
      <c r="S131" s="271">
        <f ca="1">(MAX(0,F131-0.003)*0.9*((O131)*(1/12)))*IF(OR(C131&gt;ÉV!$I$2,AND(C131=ÉV!$I$2,D131&gt;ÉV!$J$2)),0,1)</f>
        <v>0</v>
      </c>
      <c r="T131" s="271">
        <f ca="1">(MAX(0,F131-0.003)*0.9*((Q130)*(1/12)))*IF(OR(C131&gt;ÉV!$I$2,AND(C131=ÉV!$I$2,D131&gt;ÉV!$J$2)),0,1)</f>
        <v>0</v>
      </c>
      <c r="U131" s="271">
        <f ca="1">IF($D131=1,R131,R131+U130)*IF(OR(C131&gt;ÉV!$I$2,AND(C131=ÉV!$I$2,D131&gt;ÉV!$J$2)),0,1)</f>
        <v>0</v>
      </c>
      <c r="V131" s="271">
        <f ca="1">IF($D131=1,S131,S131+V130)*IF(OR(C131&gt;ÉV!$I$2,AND(C131=ÉV!$I$2,D131&gt;ÉV!$J$2)),0,1)</f>
        <v>0</v>
      </c>
      <c r="W131" s="271">
        <f ca="1">IF($D131=1,T131,T131+W130)*IF(OR(C131&gt;ÉV!$I$2,AND(C131=ÉV!$I$2,D131&gt;ÉV!$J$2)),0,1)</f>
        <v>0</v>
      </c>
      <c r="X131" s="271">
        <f ca="1">IF(OR(D131=12,AND(C131=ÉV!$I$2,D131=ÉV!$J$2)),SUM(U131:W131)+X130,X130)*IF(OR(C131&gt;ÉV!$I$2,AND(C131=ÉV!$I$2,D131&gt;ÉV!$J$2)),0,1)</f>
        <v>0</v>
      </c>
      <c r="Y131" s="271">
        <f t="shared" ref="Y131:Y194" ca="1" si="24">X131-Q131</f>
        <v>0</v>
      </c>
      <c r="Z131" s="265">
        <f t="shared" ref="Z131:Z194" si="25">B131</f>
        <v>9</v>
      </c>
      <c r="AA131" s="272">
        <f t="shared" ref="AA131:AA194" ca="1" si="26">IF(OR(FizGyakNr=12, MOD(B131,12/FizGyakNr)=1),  1,0)    *      G131/FizGyakNr</f>
        <v>21266.373485491869</v>
      </c>
      <c r="AB131" s="265">
        <f t="shared" ca="1" si="21"/>
        <v>2027</v>
      </c>
      <c r="AC131" s="265">
        <f t="shared" ca="1" si="22"/>
        <v>12</v>
      </c>
      <c r="AD131" s="276">
        <f ca="1">IF(     OR(               AND(MAX(AF$6:AF131)&lt;2,  AC131=12),                 AF131=2),                   SUMIF(AB:AB,AB131,AA:AA),                       0)</f>
        <v>253945.51867969704</v>
      </c>
      <c r="AE131" s="277">
        <f t="shared" ca="1" si="23"/>
        <v>50789.10373593941</v>
      </c>
      <c r="AF131" s="277">
        <f t="shared" ref="AF131:AF194" ca="1" si="27" xml:space="preserve"> IF(DATE(AB131,AC131,1)=DATE(YEAR(LejáratNyug),MONTH(LejáratNyug),1),     2,   IF(AND(A131=TartamDíjfiz,B131=12),     1,   0)  )</f>
        <v>0</v>
      </c>
      <c r="AG131" s="402">
        <f ca="1">IF(  AND(AC131=AdóHó,   MAX(AF$1:AF130)&lt;2),   SUMIF(AB:AB,AB131-1,AE:AE),0  )
+ IF(AND(AC131&lt;AdóHó,                            AF131=2),   SUMIF(AB:AB,AB131-1,AE:AE),0  )
+ IF(                                                                  AF131=2,    SUMIF(AB:AB,AB131,AE:AE   ),0  )</f>
        <v>0</v>
      </c>
      <c r="AH131" s="272">
        <f ca="1">SUM(AG$2:AG131)</f>
        <v>445955.18679697003</v>
      </c>
    </row>
    <row r="132" spans="1:34">
      <c r="A132" s="265">
        <f t="shared" si="17"/>
        <v>11</v>
      </c>
      <c r="B132" s="265">
        <f t="shared" si="18"/>
        <v>10</v>
      </c>
      <c r="C132" s="265">
        <f t="shared" ca="1" si="19"/>
        <v>12</v>
      </c>
      <c r="D132" s="265">
        <f t="shared" ca="1" si="20"/>
        <v>1</v>
      </c>
      <c r="E132" s="266">
        <v>5.0000000000000001E-3</v>
      </c>
      <c r="F132" s="267">
        <f>ÉV!$B$12</f>
        <v>0</v>
      </c>
      <c r="G132" s="271">
        <f ca="1">VLOOKUP(A132,ÉV!$A$18:$B$65,2,0)</f>
        <v>255196.48182590242</v>
      </c>
      <c r="H132" s="271">
        <f ca="1">IF(OR(A132=1,AND(C132=ÉV!$I$2,D132&gt;ÉV!$J$2),C132&gt;ÉV!$I$2),0,INDEX(Pz!$B$2:$AM$48,A132-1,ÉV!$G$2-9)/100000*ÉV!$B$10)</f>
        <v>226138.23086128102</v>
      </c>
      <c r="I132" s="271">
        <f ca="1">INDEX(Pz!$B$2:$AM$48,HÓ!A132,ÉV!$G$2-9)/100000*ÉV!$B$10</f>
        <v>230644.27841594134</v>
      </c>
      <c r="J132" s="273">
        <f ca="1">IF(OR(A132=1,A132=2,AND(C132=ÉV!$I$2,D132&gt;ÉV!$J$2),C132&gt;ÉV!$I$2),0,VLOOKUP(A132-2,ÉV!$A$18:$C$65,3,0))</f>
        <v>1628801.7736573364</v>
      </c>
      <c r="K132" s="273">
        <f ca="1">IF(OR(A132=1,AND(C132=ÉV!$I$2,D132&gt;ÉV!$J$2),C132&gt;ÉV!$I$2),0,VLOOKUP(A132-1,ÉV!$A$18:$C$65,3,0))</f>
        <v>1858755.8670957277</v>
      </c>
      <c r="L132" s="273">
        <f ca="1">VLOOKUP(A132,ÉV!$A$18:$C$65,3,0)*IF(OR(AND(C132=ÉV!$I$2,D132&gt;ÉV!$J$2),C132&gt;ÉV!$I$2),0,1)</f>
        <v>2093708.4497330307</v>
      </c>
      <c r="M132" s="273">
        <f ca="1">(K132*(12-B132)/12+L132*B132/12)*IF(A132&gt;ÉV!$G$2,0,1)+IF(A132&gt;ÉV!$G$2,M131,0)*IF(OR(AND(C132=ÉV!$I$2,D132&gt;ÉV!$J$2),C132&gt;ÉV!$I$2),0,1)</f>
        <v>2054549.6859601471</v>
      </c>
      <c r="N132" s="274">
        <f ca="1">IF(AND(C132=1,D132&lt;12),0,1)*IF(D132=12,MAX(0,F132-E132-0.003)*0.9*((K132+I132)*(B132/12)+(J132+H132)*(1-B132/12))+MAX(0,F132-0.003)*0.9*N131+N131,IF(AND(C132=ÉV!$I$2,D132=ÉV!$J$2),(M132+N131)*MAX(0,F132-0.003)*0.9*(D132/12)+N131,N131))*IF(OR(C132&gt;ÉV!$I$2,AND(C132=ÉV!$I$2,D132&gt;ÉV!$J$2)),0,1)</f>
        <v>0</v>
      </c>
      <c r="O132" s="313">
        <f ca="1">IF(MAX(AF$2:AF131)=2,      0,IF(OR(AC132=7, AF132=2),    SUM(AE$2:AE132),    O131)   )</f>
        <v>445955.18679697003</v>
      </c>
      <c r="P132" s="271">
        <f ca="1">IF(D132=12,V132+P131+P131*(F132-0.003)*0.9,IF(AND(C132=ÉV!$I$2,D132=ÉV!$J$2),V132+P131+P131*(F132-0.003)*0.9*D132/12,P131))*IF(OR(C132&gt;ÉV!$I$2,AND(C132=ÉV!$I$2,D132&gt;ÉV!$J$2)),0,1)</f>
        <v>0</v>
      </c>
      <c r="Q132" s="275">
        <f ca="1">(N132+P132)*IF(OR(AND(C132=ÉV!$I$2,D132&gt;ÉV!$J$2),C132&gt;ÉV!$I$2),0,1)</f>
        <v>0</v>
      </c>
      <c r="R132" s="271">
        <f ca="1">(MAX(0,F132-E132-0.003)*0.9*((K132+I132)*(1/12)))*IF(OR(C132&gt;ÉV!$I$2,AND(C132=ÉV!$I$2,D132&gt;ÉV!$J$2)),0,1)</f>
        <v>0</v>
      </c>
      <c r="S132" s="271">
        <f ca="1">(MAX(0,F132-0.003)*0.9*((O132)*(1/12)))*IF(OR(C132&gt;ÉV!$I$2,AND(C132=ÉV!$I$2,D132&gt;ÉV!$J$2)),0,1)</f>
        <v>0</v>
      </c>
      <c r="T132" s="271">
        <f ca="1">(MAX(0,F132-0.003)*0.9*((Q131)*(1/12)))*IF(OR(C132&gt;ÉV!$I$2,AND(C132=ÉV!$I$2,D132&gt;ÉV!$J$2)),0,1)</f>
        <v>0</v>
      </c>
      <c r="U132" s="271">
        <f ca="1">IF($D132=1,R132,R132+U131)*IF(OR(C132&gt;ÉV!$I$2,AND(C132=ÉV!$I$2,D132&gt;ÉV!$J$2)),0,1)</f>
        <v>0</v>
      </c>
      <c r="V132" s="271">
        <f ca="1">IF($D132=1,S132,S132+V131)*IF(OR(C132&gt;ÉV!$I$2,AND(C132=ÉV!$I$2,D132&gt;ÉV!$J$2)),0,1)</f>
        <v>0</v>
      </c>
      <c r="W132" s="271">
        <f ca="1">IF($D132=1,T132,T132+W131)*IF(OR(C132&gt;ÉV!$I$2,AND(C132=ÉV!$I$2,D132&gt;ÉV!$J$2)),0,1)</f>
        <v>0</v>
      </c>
      <c r="X132" s="271">
        <f ca="1">IF(OR(D132=12,AND(C132=ÉV!$I$2,D132=ÉV!$J$2)),SUM(U132:W132)+X131,X131)*IF(OR(C132&gt;ÉV!$I$2,AND(C132=ÉV!$I$2,D132&gt;ÉV!$J$2)),0,1)</f>
        <v>0</v>
      </c>
      <c r="Y132" s="271">
        <f t="shared" ca="1" si="24"/>
        <v>0</v>
      </c>
      <c r="Z132" s="265">
        <f t="shared" si="25"/>
        <v>10</v>
      </c>
      <c r="AA132" s="272">
        <f t="shared" ca="1" si="26"/>
        <v>21266.373485491869</v>
      </c>
      <c r="AB132" s="265">
        <f t="shared" ca="1" si="21"/>
        <v>2028</v>
      </c>
      <c r="AC132" s="265">
        <f t="shared" ca="1" si="22"/>
        <v>1</v>
      </c>
      <c r="AD132" s="276">
        <f ca="1">IF(     OR(               AND(MAX(AF$6:AF132)&lt;2,  AC132=12),                 AF132=2),                   SUMIF(AB:AB,AB132,AA:AA),                       0)</f>
        <v>0</v>
      </c>
      <c r="AE132" s="277">
        <f t="shared" ca="1" si="23"/>
        <v>0</v>
      </c>
      <c r="AF132" s="277">
        <f t="shared" ca="1" si="27"/>
        <v>0</v>
      </c>
      <c r="AG132" s="402">
        <f ca="1">IF(  AND(AC132=AdóHó,   MAX(AF$1:AF131)&lt;2),   SUMIF(AB:AB,AB132-1,AE:AE),0  )
+ IF(AND(AC132&lt;AdóHó,                            AF132=2),   SUMIF(AB:AB,AB132-1,AE:AE),0  )
+ IF(                                                                  AF132=2,    SUMIF(AB:AB,AB132,AE:AE   ),0  )</f>
        <v>0</v>
      </c>
      <c r="AH132" s="272">
        <f ca="1">SUM(AG$2:AG132)</f>
        <v>445955.18679697003</v>
      </c>
    </row>
    <row r="133" spans="1:34">
      <c r="A133" s="265">
        <f t="shared" ref="A133:A196" si="28">IF(B132=12,A132+1,A132)</f>
        <v>11</v>
      </c>
      <c r="B133" s="265">
        <f t="shared" ref="B133:B196" si="29">IF(B132=12,1,B132+1)</f>
        <v>11</v>
      </c>
      <c r="C133" s="265">
        <f t="shared" ref="C133:C196" ca="1" si="30">IF(D132=12,C132+1,C132)</f>
        <v>12</v>
      </c>
      <c r="D133" s="265">
        <f t="shared" ref="D133:D196" ca="1" si="31">IF(D132=12,1,D132+1)</f>
        <v>2</v>
      </c>
      <c r="E133" s="266">
        <v>5.0000000000000001E-3</v>
      </c>
      <c r="F133" s="267">
        <f>ÉV!$B$12</f>
        <v>0</v>
      </c>
      <c r="G133" s="271">
        <f ca="1">VLOOKUP(A133,ÉV!$A$18:$B$65,2,0)</f>
        <v>255196.48182590242</v>
      </c>
      <c r="H133" s="271">
        <f ca="1">IF(OR(A133=1,AND(C133=ÉV!$I$2,D133&gt;ÉV!$J$2),C133&gt;ÉV!$I$2),0,INDEX(Pz!$B$2:$AM$48,A133-1,ÉV!$G$2-9)/100000*ÉV!$B$10)</f>
        <v>226138.23086128102</v>
      </c>
      <c r="I133" s="271">
        <f ca="1">INDEX(Pz!$B$2:$AM$48,HÓ!A133,ÉV!$G$2-9)/100000*ÉV!$B$10</f>
        <v>230644.27841594134</v>
      </c>
      <c r="J133" s="273">
        <f ca="1">IF(OR(A133=1,A133=2,AND(C133=ÉV!$I$2,D133&gt;ÉV!$J$2),C133&gt;ÉV!$I$2),0,VLOOKUP(A133-2,ÉV!$A$18:$C$65,3,0))</f>
        <v>1628801.7736573364</v>
      </c>
      <c r="K133" s="273">
        <f ca="1">IF(OR(A133=1,AND(C133=ÉV!$I$2,D133&gt;ÉV!$J$2),C133&gt;ÉV!$I$2),0,VLOOKUP(A133-1,ÉV!$A$18:$C$65,3,0))</f>
        <v>1858755.8670957277</v>
      </c>
      <c r="L133" s="273">
        <f ca="1">VLOOKUP(A133,ÉV!$A$18:$C$65,3,0)*IF(OR(AND(C133=ÉV!$I$2,D133&gt;ÉV!$J$2),C133&gt;ÉV!$I$2),0,1)</f>
        <v>2093708.4497330307</v>
      </c>
      <c r="M133" s="273">
        <f ca="1">(K133*(12-B133)/12+L133*B133/12)*IF(A133&gt;ÉV!$G$2,0,1)+IF(A133&gt;ÉV!$G$2,M132,0)*IF(OR(AND(C133=ÉV!$I$2,D133&gt;ÉV!$J$2),C133&gt;ÉV!$I$2),0,1)</f>
        <v>2074129.0678465888</v>
      </c>
      <c r="N133" s="274">
        <f ca="1">IF(AND(C133=1,D133&lt;12),0,1)*IF(D133=12,MAX(0,F133-E133-0.003)*0.9*((K133+I133)*(B133/12)+(J133+H133)*(1-B133/12))+MAX(0,F133-0.003)*0.9*N132+N132,IF(AND(C133=ÉV!$I$2,D133=ÉV!$J$2),(M133+N132)*MAX(0,F133-0.003)*0.9*(D133/12)+N132,N132))*IF(OR(C133&gt;ÉV!$I$2,AND(C133=ÉV!$I$2,D133&gt;ÉV!$J$2)),0,1)</f>
        <v>0</v>
      </c>
      <c r="O133" s="313">
        <f ca="1">IF(MAX(AF$2:AF132)=2,      0,IF(OR(AC133=7, AF133=2),    SUM(AE$2:AE133),    O132)   )</f>
        <v>445955.18679697003</v>
      </c>
      <c r="P133" s="271">
        <f ca="1">IF(D133=12,V133+P132+P132*(F133-0.003)*0.9,IF(AND(C133=ÉV!$I$2,D133=ÉV!$J$2),V133+P132+P132*(F133-0.003)*0.9*D133/12,P132))*IF(OR(C133&gt;ÉV!$I$2,AND(C133=ÉV!$I$2,D133&gt;ÉV!$J$2)),0,1)</f>
        <v>0</v>
      </c>
      <c r="Q133" s="275">
        <f ca="1">(N133+P133)*IF(OR(AND(C133=ÉV!$I$2,D133&gt;ÉV!$J$2),C133&gt;ÉV!$I$2),0,1)</f>
        <v>0</v>
      </c>
      <c r="R133" s="271">
        <f ca="1">(MAX(0,F133-E133-0.003)*0.9*((K133+I133)*(1/12)))*IF(OR(C133&gt;ÉV!$I$2,AND(C133=ÉV!$I$2,D133&gt;ÉV!$J$2)),0,1)</f>
        <v>0</v>
      </c>
      <c r="S133" s="271">
        <f ca="1">(MAX(0,F133-0.003)*0.9*((O133)*(1/12)))*IF(OR(C133&gt;ÉV!$I$2,AND(C133=ÉV!$I$2,D133&gt;ÉV!$J$2)),0,1)</f>
        <v>0</v>
      </c>
      <c r="T133" s="271">
        <f ca="1">(MAX(0,F133-0.003)*0.9*((Q132)*(1/12)))*IF(OR(C133&gt;ÉV!$I$2,AND(C133=ÉV!$I$2,D133&gt;ÉV!$J$2)),0,1)</f>
        <v>0</v>
      </c>
      <c r="U133" s="271">
        <f ca="1">IF($D133=1,R133,R133+U132)*IF(OR(C133&gt;ÉV!$I$2,AND(C133=ÉV!$I$2,D133&gt;ÉV!$J$2)),0,1)</f>
        <v>0</v>
      </c>
      <c r="V133" s="271">
        <f ca="1">IF($D133=1,S133,S133+V132)*IF(OR(C133&gt;ÉV!$I$2,AND(C133=ÉV!$I$2,D133&gt;ÉV!$J$2)),0,1)</f>
        <v>0</v>
      </c>
      <c r="W133" s="271">
        <f ca="1">IF($D133=1,T133,T133+W132)*IF(OR(C133&gt;ÉV!$I$2,AND(C133=ÉV!$I$2,D133&gt;ÉV!$J$2)),0,1)</f>
        <v>0</v>
      </c>
      <c r="X133" s="271">
        <f ca="1">IF(OR(D133=12,AND(C133=ÉV!$I$2,D133=ÉV!$J$2)),SUM(U133:W133)+X132,X132)*IF(OR(C133&gt;ÉV!$I$2,AND(C133=ÉV!$I$2,D133&gt;ÉV!$J$2)),0,1)</f>
        <v>0</v>
      </c>
      <c r="Y133" s="271">
        <f t="shared" ca="1" si="24"/>
        <v>0</v>
      </c>
      <c r="Z133" s="265">
        <f t="shared" si="25"/>
        <v>11</v>
      </c>
      <c r="AA133" s="272">
        <f t="shared" ca="1" si="26"/>
        <v>21266.373485491869</v>
      </c>
      <c r="AB133" s="265">
        <f t="shared" ref="AB133:AB196" ca="1" si="32">IF(AC132=12,AB132+1,AB132)</f>
        <v>2028</v>
      </c>
      <c r="AC133" s="265">
        <f t="shared" ref="AC133:AC196" ca="1" si="33">IF(AC132=12,1,AC132+1)</f>
        <v>2</v>
      </c>
      <c r="AD133" s="276">
        <f ca="1">IF(     OR(               AND(MAX(AF$6:AF133)&lt;2,  AC133=12),                 AF133=2),                   SUMIF(AB:AB,AB133,AA:AA),                       0)</f>
        <v>0</v>
      </c>
      <c r="AE133" s="277">
        <f t="shared" ca="1" si="23"/>
        <v>0</v>
      </c>
      <c r="AF133" s="277">
        <f t="shared" ca="1" si="27"/>
        <v>0</v>
      </c>
      <c r="AG133" s="402">
        <f ca="1">IF(  AND(AC133=AdóHó,   MAX(AF$1:AF132)&lt;2),   SUMIF(AB:AB,AB133-1,AE:AE),0  )
+ IF(AND(AC133&lt;AdóHó,                            AF133=2),   SUMIF(AB:AB,AB133-1,AE:AE),0  )
+ IF(                                                                  AF133=2,    SUMIF(AB:AB,AB133,AE:AE   ),0  )</f>
        <v>0</v>
      </c>
      <c r="AH133" s="272">
        <f ca="1">SUM(AG$2:AG133)</f>
        <v>445955.18679697003</v>
      </c>
    </row>
    <row r="134" spans="1:34">
      <c r="A134" s="265">
        <f t="shared" si="28"/>
        <v>11</v>
      </c>
      <c r="B134" s="265">
        <f t="shared" si="29"/>
        <v>12</v>
      </c>
      <c r="C134" s="265">
        <f t="shared" ca="1" si="30"/>
        <v>12</v>
      </c>
      <c r="D134" s="265">
        <f t="shared" ca="1" si="31"/>
        <v>3</v>
      </c>
      <c r="E134" s="266">
        <v>5.0000000000000001E-3</v>
      </c>
      <c r="F134" s="267">
        <f>ÉV!$B$12</f>
        <v>0</v>
      </c>
      <c r="G134" s="271">
        <f ca="1">VLOOKUP(A134,ÉV!$A$18:$B$65,2,0)</f>
        <v>255196.48182590242</v>
      </c>
      <c r="H134" s="271">
        <f ca="1">IF(OR(A134=1,AND(C134=ÉV!$I$2,D134&gt;ÉV!$J$2),C134&gt;ÉV!$I$2),0,INDEX(Pz!$B$2:$AM$48,A134-1,ÉV!$G$2-9)/100000*ÉV!$B$10)</f>
        <v>226138.23086128102</v>
      </c>
      <c r="I134" s="271">
        <f ca="1">INDEX(Pz!$B$2:$AM$48,HÓ!A134,ÉV!$G$2-9)/100000*ÉV!$B$10</f>
        <v>230644.27841594134</v>
      </c>
      <c r="J134" s="273">
        <f ca="1">IF(OR(A134=1,A134=2,AND(C134=ÉV!$I$2,D134&gt;ÉV!$J$2),C134&gt;ÉV!$I$2),0,VLOOKUP(A134-2,ÉV!$A$18:$C$65,3,0))</f>
        <v>1628801.7736573364</v>
      </c>
      <c r="K134" s="273">
        <f ca="1">IF(OR(A134=1,AND(C134=ÉV!$I$2,D134&gt;ÉV!$J$2),C134&gt;ÉV!$I$2),0,VLOOKUP(A134-1,ÉV!$A$18:$C$65,3,0))</f>
        <v>1858755.8670957277</v>
      </c>
      <c r="L134" s="273">
        <f ca="1">VLOOKUP(A134,ÉV!$A$18:$C$65,3,0)*IF(OR(AND(C134=ÉV!$I$2,D134&gt;ÉV!$J$2),C134&gt;ÉV!$I$2),0,1)</f>
        <v>2093708.4497330307</v>
      </c>
      <c r="M134" s="273">
        <f ca="1">(K134*(12-B134)/12+L134*B134/12)*IF(A134&gt;ÉV!$G$2,0,1)+IF(A134&gt;ÉV!$G$2,M133,0)*IF(OR(AND(C134=ÉV!$I$2,D134&gt;ÉV!$J$2),C134&gt;ÉV!$I$2),0,1)</f>
        <v>2093708.4497330307</v>
      </c>
      <c r="N134" s="274">
        <f ca="1">IF(AND(C134=1,D134&lt;12),0,1)*IF(D134=12,MAX(0,F134-E134-0.003)*0.9*((K134+I134)*(B134/12)+(J134+H134)*(1-B134/12))+MAX(0,F134-0.003)*0.9*N133+N133,IF(AND(C134=ÉV!$I$2,D134=ÉV!$J$2),(M134+N133)*MAX(0,F134-0.003)*0.9*(D134/12)+N133,N133))*IF(OR(C134&gt;ÉV!$I$2,AND(C134=ÉV!$I$2,D134&gt;ÉV!$J$2)),0,1)</f>
        <v>0</v>
      </c>
      <c r="O134" s="313">
        <f ca="1">IF(MAX(AF$2:AF133)=2,      0,IF(OR(AC134=7, AF134=2),    SUM(AE$2:AE134),    O133)   )</f>
        <v>445955.18679697003</v>
      </c>
      <c r="P134" s="271">
        <f ca="1">IF(D134=12,V134+P133+P133*(F134-0.003)*0.9,IF(AND(C134=ÉV!$I$2,D134=ÉV!$J$2),V134+P133+P133*(F134-0.003)*0.9*D134/12,P133))*IF(OR(C134&gt;ÉV!$I$2,AND(C134=ÉV!$I$2,D134&gt;ÉV!$J$2)),0,1)</f>
        <v>0</v>
      </c>
      <c r="Q134" s="275">
        <f ca="1">(N134+P134)*IF(OR(AND(C134=ÉV!$I$2,D134&gt;ÉV!$J$2),C134&gt;ÉV!$I$2),0,1)</f>
        <v>0</v>
      </c>
      <c r="R134" s="271">
        <f ca="1">(MAX(0,F134-E134-0.003)*0.9*((K134+I134)*(1/12)))*IF(OR(C134&gt;ÉV!$I$2,AND(C134=ÉV!$I$2,D134&gt;ÉV!$J$2)),0,1)</f>
        <v>0</v>
      </c>
      <c r="S134" s="271">
        <f ca="1">(MAX(0,F134-0.003)*0.9*((O134)*(1/12)))*IF(OR(C134&gt;ÉV!$I$2,AND(C134=ÉV!$I$2,D134&gt;ÉV!$J$2)),0,1)</f>
        <v>0</v>
      </c>
      <c r="T134" s="271">
        <f ca="1">(MAX(0,F134-0.003)*0.9*((Q133)*(1/12)))*IF(OR(C134&gt;ÉV!$I$2,AND(C134=ÉV!$I$2,D134&gt;ÉV!$J$2)),0,1)</f>
        <v>0</v>
      </c>
      <c r="U134" s="271">
        <f ca="1">IF($D134=1,R134,R134+U133)*IF(OR(C134&gt;ÉV!$I$2,AND(C134=ÉV!$I$2,D134&gt;ÉV!$J$2)),0,1)</f>
        <v>0</v>
      </c>
      <c r="V134" s="271">
        <f ca="1">IF($D134=1,S134,S134+V133)*IF(OR(C134&gt;ÉV!$I$2,AND(C134=ÉV!$I$2,D134&gt;ÉV!$J$2)),0,1)</f>
        <v>0</v>
      </c>
      <c r="W134" s="271">
        <f ca="1">IF($D134=1,T134,T134+W133)*IF(OR(C134&gt;ÉV!$I$2,AND(C134=ÉV!$I$2,D134&gt;ÉV!$J$2)),0,1)</f>
        <v>0</v>
      </c>
      <c r="X134" s="271">
        <f ca="1">IF(OR(D134=12,AND(C134=ÉV!$I$2,D134=ÉV!$J$2)),SUM(U134:W134)+X133,X133)*IF(OR(C134&gt;ÉV!$I$2,AND(C134=ÉV!$I$2,D134&gt;ÉV!$J$2)),0,1)</f>
        <v>0</v>
      </c>
      <c r="Y134" s="271">
        <f t="shared" ca="1" si="24"/>
        <v>0</v>
      </c>
      <c r="Z134" s="265">
        <f t="shared" si="25"/>
        <v>12</v>
      </c>
      <c r="AA134" s="272">
        <f t="shared" ca="1" si="26"/>
        <v>21266.373485491869</v>
      </c>
      <c r="AB134" s="265">
        <f t="shared" ca="1" si="32"/>
        <v>2028</v>
      </c>
      <c r="AC134" s="265">
        <f t="shared" ca="1" si="33"/>
        <v>3</v>
      </c>
      <c r="AD134" s="276">
        <f ca="1">IF(     OR(               AND(MAX(AF$6:AF134)&lt;2,  AC134=12),                 AF134=2),                   SUMIF(AB:AB,AB134,AA:AA),                       0)</f>
        <v>0</v>
      </c>
      <c r="AE134" s="277">
        <f t="shared" ca="1" si="23"/>
        <v>0</v>
      </c>
      <c r="AF134" s="277">
        <f t="shared" ca="1" si="27"/>
        <v>0</v>
      </c>
      <c r="AG134" s="402">
        <f ca="1">IF(  AND(AC134=AdóHó,   MAX(AF$1:AF133)&lt;2),   SUMIF(AB:AB,AB134-1,AE:AE),0  )
+ IF(AND(AC134&lt;AdóHó,                            AF134=2),   SUMIF(AB:AB,AB134-1,AE:AE),0  )
+ IF(                                                                  AF134=2,    SUMIF(AB:AB,AB134,AE:AE   ),0  )</f>
        <v>0</v>
      </c>
      <c r="AH134" s="272">
        <f ca="1">SUM(AG$2:AG134)</f>
        <v>445955.18679697003</v>
      </c>
    </row>
    <row r="135" spans="1:34">
      <c r="A135" s="265">
        <f t="shared" si="28"/>
        <v>12</v>
      </c>
      <c r="B135" s="265">
        <f t="shared" si="29"/>
        <v>1</v>
      </c>
      <c r="C135" s="265">
        <f t="shared" ca="1" si="30"/>
        <v>12</v>
      </c>
      <c r="D135" s="265">
        <f t="shared" ca="1" si="31"/>
        <v>4</v>
      </c>
      <c r="E135" s="266">
        <v>5.0000000000000001E-3</v>
      </c>
      <c r="F135" s="267">
        <f>ÉV!$B$12</f>
        <v>0</v>
      </c>
      <c r="G135" s="271">
        <f ca="1">VLOOKUP(A135,ÉV!$A$18:$B$65,2,0)</f>
        <v>260300.41146242048</v>
      </c>
      <c r="H135" s="271">
        <f ca="1">IF(OR(A135=1,AND(C135=ÉV!$I$2,D135&gt;ÉV!$J$2),C135&gt;ÉV!$I$2),0,INDEX(Pz!$B$2:$AM$48,A135-1,ÉV!$G$2-9)/100000*ÉV!$B$10)</f>
        <v>230644.27841594134</v>
      </c>
      <c r="I135" s="271">
        <f ca="1">INDEX(Pz!$B$2:$AM$48,HÓ!A135,ÉV!$G$2-9)/100000*ÉV!$B$10</f>
        <v>235240.44692169482</v>
      </c>
      <c r="J135" s="273">
        <f ca="1">IF(OR(A135=1,A135=2,AND(C135=ÉV!$I$2,D135&gt;ÉV!$J$2),C135&gt;ÉV!$I$2),0,VLOOKUP(A135-2,ÉV!$A$18:$C$65,3,0))</f>
        <v>1858755.8670957277</v>
      </c>
      <c r="K135" s="273">
        <f ca="1">IF(OR(A135=1,AND(C135=ÉV!$I$2,D135&gt;ÉV!$J$2),C135&gt;ÉV!$I$2),0,VLOOKUP(A135-1,ÉV!$A$18:$C$65,3,0))</f>
        <v>2093708.4497330307</v>
      </c>
      <c r="L135" s="273">
        <f ca="1">VLOOKUP(A135,ÉV!$A$18:$C$65,3,0)*IF(OR(AND(C135=ÉV!$I$2,D135&gt;ÉV!$J$2),C135&gt;ÉV!$I$2),0,1)</f>
        <v>2333702.0350769893</v>
      </c>
      <c r="M135" s="273">
        <f ca="1">(K135*(12-B135)/12+L135*B135/12)*IF(A135&gt;ÉV!$G$2,0,1)+IF(A135&gt;ÉV!$G$2,M134,0)*IF(OR(AND(C135=ÉV!$I$2,D135&gt;ÉV!$J$2),C135&gt;ÉV!$I$2),0,1)</f>
        <v>2113707.9151783609</v>
      </c>
      <c r="N135" s="274">
        <f ca="1">IF(AND(C135=1,D135&lt;12),0,1)*IF(D135=12,MAX(0,F135-E135-0.003)*0.9*((K135+I135)*(B135/12)+(J135+H135)*(1-B135/12))+MAX(0,F135-0.003)*0.9*N134+N134,IF(AND(C135=ÉV!$I$2,D135=ÉV!$J$2),(M135+N134)*MAX(0,F135-0.003)*0.9*(D135/12)+N134,N134))*IF(OR(C135&gt;ÉV!$I$2,AND(C135=ÉV!$I$2,D135&gt;ÉV!$J$2)),0,1)</f>
        <v>0</v>
      </c>
      <c r="O135" s="313">
        <f ca="1">IF(MAX(AF$2:AF134)=2,      0,IF(OR(AC135=7, AF135=2),    SUM(AE$2:AE135),    O134)   )</f>
        <v>445955.18679697003</v>
      </c>
      <c r="P135" s="271">
        <f ca="1">IF(D135=12,V135+P134+P134*(F135-0.003)*0.9,IF(AND(C135=ÉV!$I$2,D135=ÉV!$J$2),V135+P134+P134*(F135-0.003)*0.9*D135/12,P134))*IF(OR(C135&gt;ÉV!$I$2,AND(C135=ÉV!$I$2,D135&gt;ÉV!$J$2)),0,1)</f>
        <v>0</v>
      </c>
      <c r="Q135" s="275">
        <f ca="1">(N135+P135)*IF(OR(AND(C135=ÉV!$I$2,D135&gt;ÉV!$J$2),C135&gt;ÉV!$I$2),0,1)</f>
        <v>0</v>
      </c>
      <c r="R135" s="271">
        <f ca="1">(MAX(0,F135-E135-0.003)*0.9*((K135+I135)*(1/12)))*IF(OR(C135&gt;ÉV!$I$2,AND(C135=ÉV!$I$2,D135&gt;ÉV!$J$2)),0,1)</f>
        <v>0</v>
      </c>
      <c r="S135" s="271">
        <f ca="1">(MAX(0,F135-0.003)*0.9*((O135)*(1/12)))*IF(OR(C135&gt;ÉV!$I$2,AND(C135=ÉV!$I$2,D135&gt;ÉV!$J$2)),0,1)</f>
        <v>0</v>
      </c>
      <c r="T135" s="271">
        <f ca="1">(MAX(0,F135-0.003)*0.9*((Q134)*(1/12)))*IF(OR(C135&gt;ÉV!$I$2,AND(C135=ÉV!$I$2,D135&gt;ÉV!$J$2)),0,1)</f>
        <v>0</v>
      </c>
      <c r="U135" s="271">
        <f ca="1">IF($D135=1,R135,R135+U134)*IF(OR(C135&gt;ÉV!$I$2,AND(C135=ÉV!$I$2,D135&gt;ÉV!$J$2)),0,1)</f>
        <v>0</v>
      </c>
      <c r="V135" s="271">
        <f ca="1">IF($D135=1,S135,S135+V134)*IF(OR(C135&gt;ÉV!$I$2,AND(C135=ÉV!$I$2,D135&gt;ÉV!$J$2)),0,1)</f>
        <v>0</v>
      </c>
      <c r="W135" s="271">
        <f ca="1">IF($D135=1,T135,T135+W134)*IF(OR(C135&gt;ÉV!$I$2,AND(C135=ÉV!$I$2,D135&gt;ÉV!$J$2)),0,1)</f>
        <v>0</v>
      </c>
      <c r="X135" s="271">
        <f ca="1">IF(OR(D135=12,AND(C135=ÉV!$I$2,D135=ÉV!$J$2)),SUM(U135:W135)+X134,X134)*IF(OR(C135&gt;ÉV!$I$2,AND(C135=ÉV!$I$2,D135&gt;ÉV!$J$2)),0,1)</f>
        <v>0</v>
      </c>
      <c r="Y135" s="271">
        <f t="shared" ca="1" si="24"/>
        <v>0</v>
      </c>
      <c r="Z135" s="265">
        <f t="shared" si="25"/>
        <v>1</v>
      </c>
      <c r="AA135" s="272">
        <f t="shared" ca="1" si="26"/>
        <v>21691.700955201708</v>
      </c>
      <c r="AB135" s="265">
        <f t="shared" ca="1" si="32"/>
        <v>2028</v>
      </c>
      <c r="AC135" s="265">
        <f t="shared" ca="1" si="33"/>
        <v>4</v>
      </c>
      <c r="AD135" s="276">
        <f ca="1">IF(     OR(               AND(MAX(AF$6:AF135)&lt;2,  AC135=12),                 AF135=2),                   SUMIF(AB:AB,AB135,AA:AA),                       0)</f>
        <v>0</v>
      </c>
      <c r="AE135" s="277">
        <f t="shared" ca="1" si="23"/>
        <v>0</v>
      </c>
      <c r="AF135" s="277">
        <f t="shared" ca="1" si="27"/>
        <v>0</v>
      </c>
      <c r="AG135" s="402">
        <f ca="1">IF(  AND(AC135=AdóHó,   MAX(AF$1:AF134)&lt;2),   SUMIF(AB:AB,AB135-1,AE:AE),0  )
+ IF(AND(AC135&lt;AdóHó,                            AF135=2),   SUMIF(AB:AB,AB135-1,AE:AE),0  )
+ IF(                                                                  AF135=2,    SUMIF(AB:AB,AB135,AE:AE   ),0  )</f>
        <v>0</v>
      </c>
      <c r="AH135" s="272">
        <f ca="1">SUM(AG$2:AG135)</f>
        <v>445955.18679697003</v>
      </c>
    </row>
    <row r="136" spans="1:34">
      <c r="A136" s="265">
        <f t="shared" si="28"/>
        <v>12</v>
      </c>
      <c r="B136" s="265">
        <f t="shared" si="29"/>
        <v>2</v>
      </c>
      <c r="C136" s="265">
        <f t="shared" ca="1" si="30"/>
        <v>12</v>
      </c>
      <c r="D136" s="265">
        <f t="shared" ca="1" si="31"/>
        <v>5</v>
      </c>
      <c r="E136" s="266">
        <v>5.0000000000000001E-3</v>
      </c>
      <c r="F136" s="267">
        <f>ÉV!$B$12</f>
        <v>0</v>
      </c>
      <c r="G136" s="271">
        <f ca="1">VLOOKUP(A136,ÉV!$A$18:$B$65,2,0)</f>
        <v>260300.41146242048</v>
      </c>
      <c r="H136" s="271">
        <f ca="1">IF(OR(A136=1,AND(C136=ÉV!$I$2,D136&gt;ÉV!$J$2),C136&gt;ÉV!$I$2),0,INDEX(Pz!$B$2:$AM$48,A136-1,ÉV!$G$2-9)/100000*ÉV!$B$10)</f>
        <v>230644.27841594134</v>
      </c>
      <c r="I136" s="271">
        <f ca="1">INDEX(Pz!$B$2:$AM$48,HÓ!A136,ÉV!$G$2-9)/100000*ÉV!$B$10</f>
        <v>235240.44692169482</v>
      </c>
      <c r="J136" s="273">
        <f ca="1">IF(OR(A136=1,A136=2,AND(C136=ÉV!$I$2,D136&gt;ÉV!$J$2),C136&gt;ÉV!$I$2),0,VLOOKUP(A136-2,ÉV!$A$18:$C$65,3,0))</f>
        <v>1858755.8670957277</v>
      </c>
      <c r="K136" s="273">
        <f ca="1">IF(OR(A136=1,AND(C136=ÉV!$I$2,D136&gt;ÉV!$J$2),C136&gt;ÉV!$I$2),0,VLOOKUP(A136-1,ÉV!$A$18:$C$65,3,0))</f>
        <v>2093708.4497330307</v>
      </c>
      <c r="L136" s="273">
        <f ca="1">VLOOKUP(A136,ÉV!$A$18:$C$65,3,0)*IF(OR(AND(C136=ÉV!$I$2,D136&gt;ÉV!$J$2),C136&gt;ÉV!$I$2),0,1)</f>
        <v>2333702.0350769893</v>
      </c>
      <c r="M136" s="273">
        <f ca="1">(K136*(12-B136)/12+L136*B136/12)*IF(A136&gt;ÉV!$G$2,0,1)+IF(A136&gt;ÉV!$G$2,M135,0)*IF(OR(AND(C136=ÉV!$I$2,D136&gt;ÉV!$J$2),C136&gt;ÉV!$I$2),0,1)</f>
        <v>2133707.3806236908</v>
      </c>
      <c r="N136" s="274">
        <f ca="1">IF(AND(C136=1,D136&lt;12),0,1)*IF(D136=12,MAX(0,F136-E136-0.003)*0.9*((K136+I136)*(B136/12)+(J136+H136)*(1-B136/12))+MAX(0,F136-0.003)*0.9*N135+N135,IF(AND(C136=ÉV!$I$2,D136=ÉV!$J$2),(M136+N135)*MAX(0,F136-0.003)*0.9*(D136/12)+N135,N135))*IF(OR(C136&gt;ÉV!$I$2,AND(C136=ÉV!$I$2,D136&gt;ÉV!$J$2)),0,1)</f>
        <v>0</v>
      </c>
      <c r="O136" s="313">
        <f ca="1">IF(MAX(AF$2:AF135)=2,      0,IF(OR(AC136=7, AF136=2),    SUM(AE$2:AE136),    O135)   )</f>
        <v>445955.18679697003</v>
      </c>
      <c r="P136" s="271">
        <f ca="1">IF(D136=12,V136+P135+P135*(F136-0.003)*0.9,IF(AND(C136=ÉV!$I$2,D136=ÉV!$J$2),V136+P135+P135*(F136-0.003)*0.9*D136/12,P135))*IF(OR(C136&gt;ÉV!$I$2,AND(C136=ÉV!$I$2,D136&gt;ÉV!$J$2)),0,1)</f>
        <v>0</v>
      </c>
      <c r="Q136" s="275">
        <f ca="1">(N136+P136)*IF(OR(AND(C136=ÉV!$I$2,D136&gt;ÉV!$J$2),C136&gt;ÉV!$I$2),0,1)</f>
        <v>0</v>
      </c>
      <c r="R136" s="271">
        <f ca="1">(MAX(0,F136-E136-0.003)*0.9*((K136+I136)*(1/12)))*IF(OR(C136&gt;ÉV!$I$2,AND(C136=ÉV!$I$2,D136&gt;ÉV!$J$2)),0,1)</f>
        <v>0</v>
      </c>
      <c r="S136" s="271">
        <f ca="1">(MAX(0,F136-0.003)*0.9*((O136)*(1/12)))*IF(OR(C136&gt;ÉV!$I$2,AND(C136=ÉV!$I$2,D136&gt;ÉV!$J$2)),0,1)</f>
        <v>0</v>
      </c>
      <c r="T136" s="271">
        <f ca="1">(MAX(0,F136-0.003)*0.9*((Q135)*(1/12)))*IF(OR(C136&gt;ÉV!$I$2,AND(C136=ÉV!$I$2,D136&gt;ÉV!$J$2)),0,1)</f>
        <v>0</v>
      </c>
      <c r="U136" s="271">
        <f ca="1">IF($D136=1,R136,R136+U135)*IF(OR(C136&gt;ÉV!$I$2,AND(C136=ÉV!$I$2,D136&gt;ÉV!$J$2)),0,1)</f>
        <v>0</v>
      </c>
      <c r="V136" s="271">
        <f ca="1">IF($D136=1,S136,S136+V135)*IF(OR(C136&gt;ÉV!$I$2,AND(C136=ÉV!$I$2,D136&gt;ÉV!$J$2)),0,1)</f>
        <v>0</v>
      </c>
      <c r="W136" s="271">
        <f ca="1">IF($D136=1,T136,T136+W135)*IF(OR(C136&gt;ÉV!$I$2,AND(C136=ÉV!$I$2,D136&gt;ÉV!$J$2)),0,1)</f>
        <v>0</v>
      </c>
      <c r="X136" s="271">
        <f ca="1">IF(OR(D136=12,AND(C136=ÉV!$I$2,D136=ÉV!$J$2)),SUM(U136:W136)+X135,X135)*IF(OR(C136&gt;ÉV!$I$2,AND(C136=ÉV!$I$2,D136&gt;ÉV!$J$2)),0,1)</f>
        <v>0</v>
      </c>
      <c r="Y136" s="271">
        <f t="shared" ca="1" si="24"/>
        <v>0</v>
      </c>
      <c r="Z136" s="265">
        <f t="shared" si="25"/>
        <v>2</v>
      </c>
      <c r="AA136" s="272">
        <f t="shared" ca="1" si="26"/>
        <v>21691.700955201708</v>
      </c>
      <c r="AB136" s="265">
        <f t="shared" ca="1" si="32"/>
        <v>2028</v>
      </c>
      <c r="AC136" s="265">
        <f t="shared" ca="1" si="33"/>
        <v>5</v>
      </c>
      <c r="AD136" s="276">
        <f ca="1">IF(     OR(               AND(MAX(AF$6:AF136)&lt;2,  AC136=12),                 AF136=2),                   SUMIF(AB:AB,AB136,AA:AA),                       0)</f>
        <v>0</v>
      </c>
      <c r="AE136" s="277">
        <f t="shared" ca="1" si="23"/>
        <v>0</v>
      </c>
      <c r="AF136" s="277">
        <f t="shared" ca="1" si="27"/>
        <v>0</v>
      </c>
      <c r="AG136" s="402">
        <f ca="1">IF(  AND(AC136=AdóHó,   MAX(AF$1:AF135)&lt;2),   SUMIF(AB:AB,AB136-1,AE:AE),0  )
+ IF(AND(AC136&lt;AdóHó,                            AF136=2),   SUMIF(AB:AB,AB136-1,AE:AE),0  )
+ IF(                                                                  AF136=2,    SUMIF(AB:AB,AB136,AE:AE   ),0  )</f>
        <v>0</v>
      </c>
      <c r="AH136" s="272">
        <f ca="1">SUM(AG$2:AG136)</f>
        <v>445955.18679697003</v>
      </c>
    </row>
    <row r="137" spans="1:34">
      <c r="A137" s="265">
        <f t="shared" si="28"/>
        <v>12</v>
      </c>
      <c r="B137" s="265">
        <f t="shared" si="29"/>
        <v>3</v>
      </c>
      <c r="C137" s="265">
        <f t="shared" ca="1" si="30"/>
        <v>12</v>
      </c>
      <c r="D137" s="265">
        <f t="shared" ca="1" si="31"/>
        <v>6</v>
      </c>
      <c r="E137" s="266">
        <v>5.0000000000000001E-3</v>
      </c>
      <c r="F137" s="267">
        <f>ÉV!$B$12</f>
        <v>0</v>
      </c>
      <c r="G137" s="271">
        <f ca="1">VLOOKUP(A137,ÉV!$A$18:$B$65,2,0)</f>
        <v>260300.41146242048</v>
      </c>
      <c r="H137" s="271">
        <f ca="1">IF(OR(A137=1,AND(C137=ÉV!$I$2,D137&gt;ÉV!$J$2),C137&gt;ÉV!$I$2),0,INDEX(Pz!$B$2:$AM$48,A137-1,ÉV!$G$2-9)/100000*ÉV!$B$10)</f>
        <v>230644.27841594134</v>
      </c>
      <c r="I137" s="271">
        <f ca="1">INDEX(Pz!$B$2:$AM$48,HÓ!A137,ÉV!$G$2-9)/100000*ÉV!$B$10</f>
        <v>235240.44692169482</v>
      </c>
      <c r="J137" s="273">
        <f ca="1">IF(OR(A137=1,A137=2,AND(C137=ÉV!$I$2,D137&gt;ÉV!$J$2),C137&gt;ÉV!$I$2),0,VLOOKUP(A137-2,ÉV!$A$18:$C$65,3,0))</f>
        <v>1858755.8670957277</v>
      </c>
      <c r="K137" s="273">
        <f ca="1">IF(OR(A137=1,AND(C137=ÉV!$I$2,D137&gt;ÉV!$J$2),C137&gt;ÉV!$I$2),0,VLOOKUP(A137-1,ÉV!$A$18:$C$65,3,0))</f>
        <v>2093708.4497330307</v>
      </c>
      <c r="L137" s="273">
        <f ca="1">VLOOKUP(A137,ÉV!$A$18:$C$65,3,0)*IF(OR(AND(C137=ÉV!$I$2,D137&gt;ÉV!$J$2),C137&gt;ÉV!$I$2),0,1)</f>
        <v>2333702.0350769893</v>
      </c>
      <c r="M137" s="273">
        <f ca="1">(K137*(12-B137)/12+L137*B137/12)*IF(A137&gt;ÉV!$G$2,0,1)+IF(A137&gt;ÉV!$G$2,M136,0)*IF(OR(AND(C137=ÉV!$I$2,D137&gt;ÉV!$J$2),C137&gt;ÉV!$I$2),0,1)</f>
        <v>2153706.8460690207</v>
      </c>
      <c r="N137" s="274">
        <f ca="1">IF(AND(C137=1,D137&lt;12),0,1)*IF(D137=12,MAX(0,F137-E137-0.003)*0.9*((K137+I137)*(B137/12)+(J137+H137)*(1-B137/12))+MAX(0,F137-0.003)*0.9*N136+N136,IF(AND(C137=ÉV!$I$2,D137=ÉV!$J$2),(M137+N136)*MAX(0,F137-0.003)*0.9*(D137/12)+N136,N136))*IF(OR(C137&gt;ÉV!$I$2,AND(C137=ÉV!$I$2,D137&gt;ÉV!$J$2)),0,1)</f>
        <v>0</v>
      </c>
      <c r="O137" s="313">
        <f ca="1">IF(MAX(AF$2:AF136)=2,      0,IF(OR(AC137=7, AF137=2),    SUM(AE$2:AE137),    O136)   )</f>
        <v>445955.18679697003</v>
      </c>
      <c r="P137" s="271">
        <f ca="1">IF(D137=12,V137+P136+P136*(F137-0.003)*0.9,IF(AND(C137=ÉV!$I$2,D137=ÉV!$J$2),V137+P136+P136*(F137-0.003)*0.9*D137/12,P136))*IF(OR(C137&gt;ÉV!$I$2,AND(C137=ÉV!$I$2,D137&gt;ÉV!$J$2)),0,1)</f>
        <v>0</v>
      </c>
      <c r="Q137" s="275">
        <f ca="1">(N137+P137)*IF(OR(AND(C137=ÉV!$I$2,D137&gt;ÉV!$J$2),C137&gt;ÉV!$I$2),0,1)</f>
        <v>0</v>
      </c>
      <c r="R137" s="271">
        <f ca="1">(MAX(0,F137-E137-0.003)*0.9*((K137+I137)*(1/12)))*IF(OR(C137&gt;ÉV!$I$2,AND(C137=ÉV!$I$2,D137&gt;ÉV!$J$2)),0,1)</f>
        <v>0</v>
      </c>
      <c r="S137" s="271">
        <f ca="1">(MAX(0,F137-0.003)*0.9*((O137)*(1/12)))*IF(OR(C137&gt;ÉV!$I$2,AND(C137=ÉV!$I$2,D137&gt;ÉV!$J$2)),0,1)</f>
        <v>0</v>
      </c>
      <c r="T137" s="271">
        <f ca="1">(MAX(0,F137-0.003)*0.9*((Q136)*(1/12)))*IF(OR(C137&gt;ÉV!$I$2,AND(C137=ÉV!$I$2,D137&gt;ÉV!$J$2)),0,1)</f>
        <v>0</v>
      </c>
      <c r="U137" s="271">
        <f ca="1">IF($D137=1,R137,R137+U136)*IF(OR(C137&gt;ÉV!$I$2,AND(C137=ÉV!$I$2,D137&gt;ÉV!$J$2)),0,1)</f>
        <v>0</v>
      </c>
      <c r="V137" s="271">
        <f ca="1">IF($D137=1,S137,S137+V136)*IF(OR(C137&gt;ÉV!$I$2,AND(C137=ÉV!$I$2,D137&gt;ÉV!$J$2)),0,1)</f>
        <v>0</v>
      </c>
      <c r="W137" s="271">
        <f ca="1">IF($D137=1,T137,T137+W136)*IF(OR(C137&gt;ÉV!$I$2,AND(C137=ÉV!$I$2,D137&gt;ÉV!$J$2)),0,1)</f>
        <v>0</v>
      </c>
      <c r="X137" s="271">
        <f ca="1">IF(OR(D137=12,AND(C137=ÉV!$I$2,D137=ÉV!$J$2)),SUM(U137:W137)+X136,X136)*IF(OR(C137&gt;ÉV!$I$2,AND(C137=ÉV!$I$2,D137&gt;ÉV!$J$2)),0,1)</f>
        <v>0</v>
      </c>
      <c r="Y137" s="271">
        <f t="shared" ca="1" si="24"/>
        <v>0</v>
      </c>
      <c r="Z137" s="265">
        <f t="shared" si="25"/>
        <v>3</v>
      </c>
      <c r="AA137" s="272">
        <f t="shared" ca="1" si="26"/>
        <v>21691.700955201708</v>
      </c>
      <c r="AB137" s="265">
        <f t="shared" ca="1" si="32"/>
        <v>2028</v>
      </c>
      <c r="AC137" s="265">
        <f t="shared" ca="1" si="33"/>
        <v>6</v>
      </c>
      <c r="AD137" s="276">
        <f ca="1">IF(     OR(               AND(MAX(AF$6:AF137)&lt;2,  AC137=12),                 AF137=2),                   SUMIF(AB:AB,AB137,AA:AA),                       0)</f>
        <v>0</v>
      </c>
      <c r="AE137" s="277">
        <f t="shared" ca="1" si="23"/>
        <v>0</v>
      </c>
      <c r="AF137" s="277">
        <f t="shared" ca="1" si="27"/>
        <v>0</v>
      </c>
      <c r="AG137" s="402">
        <f ca="1">IF(  AND(AC137=AdóHó,   MAX(AF$1:AF136)&lt;2),   SUMIF(AB:AB,AB137-1,AE:AE),0  )
+ IF(AND(AC137&lt;AdóHó,                            AF137=2),   SUMIF(AB:AB,AB137-1,AE:AE),0  )
+ IF(                                                                  AF137=2,    SUMIF(AB:AB,AB137,AE:AE   ),0  )</f>
        <v>0</v>
      </c>
      <c r="AH137" s="272">
        <f ca="1">SUM(AG$2:AG137)</f>
        <v>445955.18679697003</v>
      </c>
    </row>
    <row r="138" spans="1:34">
      <c r="A138" s="265">
        <f t="shared" si="28"/>
        <v>12</v>
      </c>
      <c r="B138" s="265">
        <f t="shared" si="29"/>
        <v>4</v>
      </c>
      <c r="C138" s="265">
        <f t="shared" ca="1" si="30"/>
        <v>12</v>
      </c>
      <c r="D138" s="265">
        <f t="shared" ca="1" si="31"/>
        <v>7</v>
      </c>
      <c r="E138" s="266">
        <v>5.0000000000000001E-3</v>
      </c>
      <c r="F138" s="267">
        <f>ÉV!$B$12</f>
        <v>0</v>
      </c>
      <c r="G138" s="271">
        <f ca="1">VLOOKUP(A138,ÉV!$A$18:$B$65,2,0)</f>
        <v>260300.41146242048</v>
      </c>
      <c r="H138" s="271">
        <f ca="1">IF(OR(A138=1,AND(C138=ÉV!$I$2,D138&gt;ÉV!$J$2),C138&gt;ÉV!$I$2),0,INDEX(Pz!$B$2:$AM$48,A138-1,ÉV!$G$2-9)/100000*ÉV!$B$10)</f>
        <v>230644.27841594134</v>
      </c>
      <c r="I138" s="271">
        <f ca="1">INDEX(Pz!$B$2:$AM$48,HÓ!A138,ÉV!$G$2-9)/100000*ÉV!$B$10</f>
        <v>235240.44692169482</v>
      </c>
      <c r="J138" s="273">
        <f ca="1">IF(OR(A138=1,A138=2,AND(C138=ÉV!$I$2,D138&gt;ÉV!$J$2),C138&gt;ÉV!$I$2),0,VLOOKUP(A138-2,ÉV!$A$18:$C$65,3,0))</f>
        <v>1858755.8670957277</v>
      </c>
      <c r="K138" s="273">
        <f ca="1">IF(OR(A138=1,AND(C138=ÉV!$I$2,D138&gt;ÉV!$J$2),C138&gt;ÉV!$I$2),0,VLOOKUP(A138-1,ÉV!$A$18:$C$65,3,0))</f>
        <v>2093708.4497330307</v>
      </c>
      <c r="L138" s="273">
        <f ca="1">VLOOKUP(A138,ÉV!$A$18:$C$65,3,0)*IF(OR(AND(C138=ÉV!$I$2,D138&gt;ÉV!$J$2),C138&gt;ÉV!$I$2),0,1)</f>
        <v>2333702.0350769893</v>
      </c>
      <c r="M138" s="273">
        <f ca="1">(K138*(12-B138)/12+L138*B138/12)*IF(A138&gt;ÉV!$G$2,0,1)+IF(A138&gt;ÉV!$G$2,M137,0)*IF(OR(AND(C138=ÉV!$I$2,D138&gt;ÉV!$J$2),C138&gt;ÉV!$I$2),0,1)</f>
        <v>2173706.3115143501</v>
      </c>
      <c r="N138" s="274">
        <f ca="1">IF(AND(C138=1,D138&lt;12),0,1)*IF(D138=12,MAX(0,F138-E138-0.003)*0.9*((K138+I138)*(B138/12)+(J138+H138)*(1-B138/12))+MAX(0,F138-0.003)*0.9*N137+N137,IF(AND(C138=ÉV!$I$2,D138=ÉV!$J$2),(M138+N137)*MAX(0,F138-0.003)*0.9*(D138/12)+N137,N137))*IF(OR(C138&gt;ÉV!$I$2,AND(C138=ÉV!$I$2,D138&gt;ÉV!$J$2)),0,1)</f>
        <v>0</v>
      </c>
      <c r="O138" s="313">
        <f ca="1">IF(MAX(AF$2:AF137)=2,      0,IF(OR(AC138=7, AF138=2),    SUM(AE$2:AE138),    O137)   )</f>
        <v>496744.29053290945</v>
      </c>
      <c r="P138" s="271">
        <f ca="1">IF(D138=12,V138+P137+P137*(F138-0.003)*0.9,IF(AND(C138=ÉV!$I$2,D138=ÉV!$J$2),V138+P137+P137*(F138-0.003)*0.9*D138/12,P137))*IF(OR(C138&gt;ÉV!$I$2,AND(C138=ÉV!$I$2,D138&gt;ÉV!$J$2)),0,1)</f>
        <v>0</v>
      </c>
      <c r="Q138" s="275">
        <f ca="1">(N138+P138)*IF(OR(AND(C138=ÉV!$I$2,D138&gt;ÉV!$J$2),C138&gt;ÉV!$I$2),0,1)</f>
        <v>0</v>
      </c>
      <c r="R138" s="271">
        <f ca="1">(MAX(0,F138-E138-0.003)*0.9*((K138+I138)*(1/12)))*IF(OR(C138&gt;ÉV!$I$2,AND(C138=ÉV!$I$2,D138&gt;ÉV!$J$2)),0,1)</f>
        <v>0</v>
      </c>
      <c r="S138" s="271">
        <f ca="1">(MAX(0,F138-0.003)*0.9*((O138)*(1/12)))*IF(OR(C138&gt;ÉV!$I$2,AND(C138=ÉV!$I$2,D138&gt;ÉV!$J$2)),0,1)</f>
        <v>0</v>
      </c>
      <c r="T138" s="271">
        <f ca="1">(MAX(0,F138-0.003)*0.9*((Q137)*(1/12)))*IF(OR(C138&gt;ÉV!$I$2,AND(C138=ÉV!$I$2,D138&gt;ÉV!$J$2)),0,1)</f>
        <v>0</v>
      </c>
      <c r="U138" s="271">
        <f ca="1">IF($D138=1,R138,R138+U137)*IF(OR(C138&gt;ÉV!$I$2,AND(C138=ÉV!$I$2,D138&gt;ÉV!$J$2)),0,1)</f>
        <v>0</v>
      </c>
      <c r="V138" s="271">
        <f ca="1">IF($D138=1,S138,S138+V137)*IF(OR(C138&gt;ÉV!$I$2,AND(C138=ÉV!$I$2,D138&gt;ÉV!$J$2)),0,1)</f>
        <v>0</v>
      </c>
      <c r="W138" s="271">
        <f ca="1">IF($D138=1,T138,T138+W137)*IF(OR(C138&gt;ÉV!$I$2,AND(C138=ÉV!$I$2,D138&gt;ÉV!$J$2)),0,1)</f>
        <v>0</v>
      </c>
      <c r="X138" s="271">
        <f ca="1">IF(OR(D138=12,AND(C138=ÉV!$I$2,D138=ÉV!$J$2)),SUM(U138:W138)+X137,X137)*IF(OR(C138&gt;ÉV!$I$2,AND(C138=ÉV!$I$2,D138&gt;ÉV!$J$2)),0,1)</f>
        <v>0</v>
      </c>
      <c r="Y138" s="271">
        <f t="shared" ca="1" si="24"/>
        <v>0</v>
      </c>
      <c r="Z138" s="265">
        <f t="shared" si="25"/>
        <v>4</v>
      </c>
      <c r="AA138" s="272">
        <f t="shared" ca="1" si="26"/>
        <v>21691.700955201708</v>
      </c>
      <c r="AB138" s="265">
        <f t="shared" ca="1" si="32"/>
        <v>2028</v>
      </c>
      <c r="AC138" s="265">
        <f t="shared" ca="1" si="33"/>
        <v>7</v>
      </c>
      <c r="AD138" s="276">
        <f ca="1">IF(     OR(               AND(MAX(AF$6:AF138)&lt;2,  AC138=12),                 AF138=2),                   SUMIF(AB:AB,AB138,AA:AA),                       0)</f>
        <v>0</v>
      </c>
      <c r="AE138" s="277">
        <f t="shared" ca="1" si="23"/>
        <v>0</v>
      </c>
      <c r="AF138" s="277">
        <f t="shared" ca="1" si="27"/>
        <v>0</v>
      </c>
      <c r="AG138" s="402">
        <f ca="1">IF(  AND(AC138=AdóHó,   MAX(AF$1:AF137)&lt;2),   SUMIF(AB:AB,AB138-1,AE:AE),0  )
+ IF(AND(AC138&lt;AdóHó,                            AF138=2),   SUMIF(AB:AB,AB138-1,AE:AE),0  )
+ IF(                                                                  AF138=2,    SUMIF(AB:AB,AB138,AE:AE   ),0  )</f>
        <v>50789.10373593941</v>
      </c>
      <c r="AH138" s="272">
        <f ca="1">SUM(AG$2:AG138)</f>
        <v>496744.29053290945</v>
      </c>
    </row>
    <row r="139" spans="1:34">
      <c r="A139" s="265">
        <f t="shared" si="28"/>
        <v>12</v>
      </c>
      <c r="B139" s="265">
        <f t="shared" si="29"/>
        <v>5</v>
      </c>
      <c r="C139" s="265">
        <f t="shared" ca="1" si="30"/>
        <v>12</v>
      </c>
      <c r="D139" s="265">
        <f t="shared" ca="1" si="31"/>
        <v>8</v>
      </c>
      <c r="E139" s="266">
        <v>5.0000000000000001E-3</v>
      </c>
      <c r="F139" s="267">
        <f>ÉV!$B$12</f>
        <v>0</v>
      </c>
      <c r="G139" s="271">
        <f ca="1">VLOOKUP(A139,ÉV!$A$18:$B$65,2,0)</f>
        <v>260300.41146242048</v>
      </c>
      <c r="H139" s="271">
        <f ca="1">IF(OR(A139=1,AND(C139=ÉV!$I$2,D139&gt;ÉV!$J$2),C139&gt;ÉV!$I$2),0,INDEX(Pz!$B$2:$AM$48,A139-1,ÉV!$G$2-9)/100000*ÉV!$B$10)</f>
        <v>230644.27841594134</v>
      </c>
      <c r="I139" s="271">
        <f ca="1">INDEX(Pz!$B$2:$AM$48,HÓ!A139,ÉV!$G$2-9)/100000*ÉV!$B$10</f>
        <v>235240.44692169482</v>
      </c>
      <c r="J139" s="273">
        <f ca="1">IF(OR(A139=1,A139=2,AND(C139=ÉV!$I$2,D139&gt;ÉV!$J$2),C139&gt;ÉV!$I$2),0,VLOOKUP(A139-2,ÉV!$A$18:$C$65,3,0))</f>
        <v>1858755.8670957277</v>
      </c>
      <c r="K139" s="273">
        <f ca="1">IF(OR(A139=1,AND(C139=ÉV!$I$2,D139&gt;ÉV!$J$2),C139&gt;ÉV!$I$2),0,VLOOKUP(A139-1,ÉV!$A$18:$C$65,3,0))</f>
        <v>2093708.4497330307</v>
      </c>
      <c r="L139" s="273">
        <f ca="1">VLOOKUP(A139,ÉV!$A$18:$C$65,3,0)*IF(OR(AND(C139=ÉV!$I$2,D139&gt;ÉV!$J$2),C139&gt;ÉV!$I$2),0,1)</f>
        <v>2333702.0350769893</v>
      </c>
      <c r="M139" s="273">
        <f ca="1">(K139*(12-B139)/12+L139*B139/12)*IF(A139&gt;ÉV!$G$2,0,1)+IF(A139&gt;ÉV!$G$2,M138,0)*IF(OR(AND(C139=ÉV!$I$2,D139&gt;ÉV!$J$2),C139&gt;ÉV!$I$2),0,1)</f>
        <v>2193705.77695968</v>
      </c>
      <c r="N139" s="274">
        <f ca="1">IF(AND(C139=1,D139&lt;12),0,1)*IF(D139=12,MAX(0,F139-E139-0.003)*0.9*((K139+I139)*(B139/12)+(J139+H139)*(1-B139/12))+MAX(0,F139-0.003)*0.9*N138+N138,IF(AND(C139=ÉV!$I$2,D139=ÉV!$J$2),(M139+N138)*MAX(0,F139-0.003)*0.9*(D139/12)+N138,N138))*IF(OR(C139&gt;ÉV!$I$2,AND(C139=ÉV!$I$2,D139&gt;ÉV!$J$2)),0,1)</f>
        <v>0</v>
      </c>
      <c r="O139" s="313">
        <f ca="1">IF(MAX(AF$2:AF138)=2,      0,IF(OR(AC139=7, AF139=2),    SUM(AE$2:AE139),    O138)   )</f>
        <v>496744.29053290945</v>
      </c>
      <c r="P139" s="271">
        <f ca="1">IF(D139=12,V139+P138+P138*(F139-0.003)*0.9,IF(AND(C139=ÉV!$I$2,D139=ÉV!$J$2),V139+P138+P138*(F139-0.003)*0.9*D139/12,P138))*IF(OR(C139&gt;ÉV!$I$2,AND(C139=ÉV!$I$2,D139&gt;ÉV!$J$2)),0,1)</f>
        <v>0</v>
      </c>
      <c r="Q139" s="275">
        <f ca="1">(N139+P139)*IF(OR(AND(C139=ÉV!$I$2,D139&gt;ÉV!$J$2),C139&gt;ÉV!$I$2),0,1)</f>
        <v>0</v>
      </c>
      <c r="R139" s="271">
        <f ca="1">(MAX(0,F139-E139-0.003)*0.9*((K139+I139)*(1/12)))*IF(OR(C139&gt;ÉV!$I$2,AND(C139=ÉV!$I$2,D139&gt;ÉV!$J$2)),0,1)</f>
        <v>0</v>
      </c>
      <c r="S139" s="271">
        <f ca="1">(MAX(0,F139-0.003)*0.9*((O139)*(1/12)))*IF(OR(C139&gt;ÉV!$I$2,AND(C139=ÉV!$I$2,D139&gt;ÉV!$J$2)),0,1)</f>
        <v>0</v>
      </c>
      <c r="T139" s="271">
        <f ca="1">(MAX(0,F139-0.003)*0.9*((Q138)*(1/12)))*IF(OR(C139&gt;ÉV!$I$2,AND(C139=ÉV!$I$2,D139&gt;ÉV!$J$2)),0,1)</f>
        <v>0</v>
      </c>
      <c r="U139" s="271">
        <f ca="1">IF($D139=1,R139,R139+U138)*IF(OR(C139&gt;ÉV!$I$2,AND(C139=ÉV!$I$2,D139&gt;ÉV!$J$2)),0,1)</f>
        <v>0</v>
      </c>
      <c r="V139" s="271">
        <f ca="1">IF($D139=1,S139,S139+V138)*IF(OR(C139&gt;ÉV!$I$2,AND(C139=ÉV!$I$2,D139&gt;ÉV!$J$2)),0,1)</f>
        <v>0</v>
      </c>
      <c r="W139" s="271">
        <f ca="1">IF($D139=1,T139,T139+W138)*IF(OR(C139&gt;ÉV!$I$2,AND(C139=ÉV!$I$2,D139&gt;ÉV!$J$2)),0,1)</f>
        <v>0</v>
      </c>
      <c r="X139" s="271">
        <f ca="1">IF(OR(D139=12,AND(C139=ÉV!$I$2,D139=ÉV!$J$2)),SUM(U139:W139)+X138,X138)*IF(OR(C139&gt;ÉV!$I$2,AND(C139=ÉV!$I$2,D139&gt;ÉV!$J$2)),0,1)</f>
        <v>0</v>
      </c>
      <c r="Y139" s="271">
        <f t="shared" ca="1" si="24"/>
        <v>0</v>
      </c>
      <c r="Z139" s="265">
        <f t="shared" si="25"/>
        <v>5</v>
      </c>
      <c r="AA139" s="272">
        <f t="shared" ca="1" si="26"/>
        <v>21691.700955201708</v>
      </c>
      <c r="AB139" s="265">
        <f t="shared" ca="1" si="32"/>
        <v>2028</v>
      </c>
      <c r="AC139" s="265">
        <f t="shared" ca="1" si="33"/>
        <v>8</v>
      </c>
      <c r="AD139" s="276">
        <f ca="1">IF(     OR(               AND(MAX(AF$6:AF139)&lt;2,  AC139=12),                 AF139=2),                   SUMIF(AB:AB,AB139,AA:AA),                       0)</f>
        <v>0</v>
      </c>
      <c r="AE139" s="277">
        <f t="shared" ca="1" si="23"/>
        <v>0</v>
      </c>
      <c r="AF139" s="277">
        <f t="shared" ca="1" si="27"/>
        <v>0</v>
      </c>
      <c r="AG139" s="402">
        <f ca="1">IF(  AND(AC139=AdóHó,   MAX(AF$1:AF138)&lt;2),   SUMIF(AB:AB,AB139-1,AE:AE),0  )
+ IF(AND(AC139&lt;AdóHó,                            AF139=2),   SUMIF(AB:AB,AB139-1,AE:AE),0  )
+ IF(                                                                  AF139=2,    SUMIF(AB:AB,AB139,AE:AE   ),0  )</f>
        <v>0</v>
      </c>
      <c r="AH139" s="272">
        <f ca="1">SUM(AG$2:AG139)</f>
        <v>496744.29053290945</v>
      </c>
    </row>
    <row r="140" spans="1:34">
      <c r="A140" s="265">
        <f t="shared" si="28"/>
        <v>12</v>
      </c>
      <c r="B140" s="265">
        <f t="shared" si="29"/>
        <v>6</v>
      </c>
      <c r="C140" s="265">
        <f t="shared" ca="1" si="30"/>
        <v>12</v>
      </c>
      <c r="D140" s="265">
        <f t="shared" ca="1" si="31"/>
        <v>9</v>
      </c>
      <c r="E140" s="266">
        <v>5.0000000000000001E-3</v>
      </c>
      <c r="F140" s="267">
        <f>ÉV!$B$12</f>
        <v>0</v>
      </c>
      <c r="G140" s="271">
        <f ca="1">VLOOKUP(A140,ÉV!$A$18:$B$65,2,0)</f>
        <v>260300.41146242048</v>
      </c>
      <c r="H140" s="271">
        <f ca="1">IF(OR(A140=1,AND(C140=ÉV!$I$2,D140&gt;ÉV!$J$2),C140&gt;ÉV!$I$2),0,INDEX(Pz!$B$2:$AM$48,A140-1,ÉV!$G$2-9)/100000*ÉV!$B$10)</f>
        <v>230644.27841594134</v>
      </c>
      <c r="I140" s="271">
        <f ca="1">INDEX(Pz!$B$2:$AM$48,HÓ!A140,ÉV!$G$2-9)/100000*ÉV!$B$10</f>
        <v>235240.44692169482</v>
      </c>
      <c r="J140" s="273">
        <f ca="1">IF(OR(A140=1,A140=2,AND(C140=ÉV!$I$2,D140&gt;ÉV!$J$2),C140&gt;ÉV!$I$2),0,VLOOKUP(A140-2,ÉV!$A$18:$C$65,3,0))</f>
        <v>1858755.8670957277</v>
      </c>
      <c r="K140" s="273">
        <f ca="1">IF(OR(A140=1,AND(C140=ÉV!$I$2,D140&gt;ÉV!$J$2),C140&gt;ÉV!$I$2),0,VLOOKUP(A140-1,ÉV!$A$18:$C$65,3,0))</f>
        <v>2093708.4497330307</v>
      </c>
      <c r="L140" s="273">
        <f ca="1">VLOOKUP(A140,ÉV!$A$18:$C$65,3,0)*IF(OR(AND(C140=ÉV!$I$2,D140&gt;ÉV!$J$2),C140&gt;ÉV!$I$2),0,1)</f>
        <v>2333702.0350769893</v>
      </c>
      <c r="M140" s="273">
        <f ca="1">(K140*(12-B140)/12+L140*B140/12)*IF(A140&gt;ÉV!$G$2,0,1)+IF(A140&gt;ÉV!$G$2,M139,0)*IF(OR(AND(C140=ÉV!$I$2,D140&gt;ÉV!$J$2),C140&gt;ÉV!$I$2),0,1)</f>
        <v>2213705.2424050099</v>
      </c>
      <c r="N140" s="274">
        <f ca="1">IF(AND(C140=1,D140&lt;12),0,1)*IF(D140=12,MAX(0,F140-E140-0.003)*0.9*((K140+I140)*(B140/12)+(J140+H140)*(1-B140/12))+MAX(0,F140-0.003)*0.9*N139+N139,IF(AND(C140=ÉV!$I$2,D140=ÉV!$J$2),(M140+N139)*MAX(0,F140-0.003)*0.9*(D140/12)+N139,N139))*IF(OR(C140&gt;ÉV!$I$2,AND(C140=ÉV!$I$2,D140&gt;ÉV!$J$2)),0,1)</f>
        <v>0</v>
      </c>
      <c r="O140" s="313">
        <f ca="1">IF(MAX(AF$2:AF139)=2,      0,IF(OR(AC140=7, AF140=2),    SUM(AE$2:AE140),    O139)   )</f>
        <v>496744.29053290945</v>
      </c>
      <c r="P140" s="271">
        <f ca="1">IF(D140=12,V140+P139+P139*(F140-0.003)*0.9,IF(AND(C140=ÉV!$I$2,D140=ÉV!$J$2),V140+P139+P139*(F140-0.003)*0.9*D140/12,P139))*IF(OR(C140&gt;ÉV!$I$2,AND(C140=ÉV!$I$2,D140&gt;ÉV!$J$2)),0,1)</f>
        <v>0</v>
      </c>
      <c r="Q140" s="275">
        <f ca="1">(N140+P140)*IF(OR(AND(C140=ÉV!$I$2,D140&gt;ÉV!$J$2),C140&gt;ÉV!$I$2),0,1)</f>
        <v>0</v>
      </c>
      <c r="R140" s="271">
        <f ca="1">(MAX(0,F140-E140-0.003)*0.9*((K140+I140)*(1/12)))*IF(OR(C140&gt;ÉV!$I$2,AND(C140=ÉV!$I$2,D140&gt;ÉV!$J$2)),0,1)</f>
        <v>0</v>
      </c>
      <c r="S140" s="271">
        <f ca="1">(MAX(0,F140-0.003)*0.9*((O140)*(1/12)))*IF(OR(C140&gt;ÉV!$I$2,AND(C140=ÉV!$I$2,D140&gt;ÉV!$J$2)),0,1)</f>
        <v>0</v>
      </c>
      <c r="T140" s="271">
        <f ca="1">(MAX(0,F140-0.003)*0.9*((Q139)*(1/12)))*IF(OR(C140&gt;ÉV!$I$2,AND(C140=ÉV!$I$2,D140&gt;ÉV!$J$2)),0,1)</f>
        <v>0</v>
      </c>
      <c r="U140" s="271">
        <f ca="1">IF($D140=1,R140,R140+U139)*IF(OR(C140&gt;ÉV!$I$2,AND(C140=ÉV!$I$2,D140&gt;ÉV!$J$2)),0,1)</f>
        <v>0</v>
      </c>
      <c r="V140" s="271">
        <f ca="1">IF($D140=1,S140,S140+V139)*IF(OR(C140&gt;ÉV!$I$2,AND(C140=ÉV!$I$2,D140&gt;ÉV!$J$2)),0,1)</f>
        <v>0</v>
      </c>
      <c r="W140" s="271">
        <f ca="1">IF($D140=1,T140,T140+W139)*IF(OR(C140&gt;ÉV!$I$2,AND(C140=ÉV!$I$2,D140&gt;ÉV!$J$2)),0,1)</f>
        <v>0</v>
      </c>
      <c r="X140" s="271">
        <f ca="1">IF(OR(D140=12,AND(C140=ÉV!$I$2,D140=ÉV!$J$2)),SUM(U140:W140)+X139,X139)*IF(OR(C140&gt;ÉV!$I$2,AND(C140=ÉV!$I$2,D140&gt;ÉV!$J$2)),0,1)</f>
        <v>0</v>
      </c>
      <c r="Y140" s="271">
        <f t="shared" ca="1" si="24"/>
        <v>0</v>
      </c>
      <c r="Z140" s="265">
        <f t="shared" si="25"/>
        <v>6</v>
      </c>
      <c r="AA140" s="272">
        <f t="shared" ca="1" si="26"/>
        <v>21691.700955201708</v>
      </c>
      <c r="AB140" s="265">
        <f t="shared" ca="1" si="32"/>
        <v>2028</v>
      </c>
      <c r="AC140" s="265">
        <f t="shared" ca="1" si="33"/>
        <v>9</v>
      </c>
      <c r="AD140" s="276">
        <f ca="1">IF(     OR(               AND(MAX(AF$6:AF140)&lt;2,  AC140=12),                 AF140=2),                   SUMIF(AB:AB,AB140,AA:AA),                       0)</f>
        <v>0</v>
      </c>
      <c r="AE140" s="277">
        <f t="shared" ca="1" si="23"/>
        <v>0</v>
      </c>
      <c r="AF140" s="277">
        <f t="shared" ca="1" si="27"/>
        <v>0</v>
      </c>
      <c r="AG140" s="402">
        <f ca="1">IF(  AND(AC140=AdóHó,   MAX(AF$1:AF139)&lt;2),   SUMIF(AB:AB,AB140-1,AE:AE),0  )
+ IF(AND(AC140&lt;AdóHó,                            AF140=2),   SUMIF(AB:AB,AB140-1,AE:AE),0  )
+ IF(                                                                  AF140=2,    SUMIF(AB:AB,AB140,AE:AE   ),0  )</f>
        <v>0</v>
      </c>
      <c r="AH140" s="272">
        <f ca="1">SUM(AG$2:AG140)</f>
        <v>496744.29053290945</v>
      </c>
    </row>
    <row r="141" spans="1:34">
      <c r="A141" s="265">
        <f t="shared" si="28"/>
        <v>12</v>
      </c>
      <c r="B141" s="265">
        <f t="shared" si="29"/>
        <v>7</v>
      </c>
      <c r="C141" s="265">
        <f t="shared" ca="1" si="30"/>
        <v>12</v>
      </c>
      <c r="D141" s="265">
        <f t="shared" ca="1" si="31"/>
        <v>10</v>
      </c>
      <c r="E141" s="266">
        <v>5.0000000000000001E-3</v>
      </c>
      <c r="F141" s="267">
        <f>ÉV!$B$12</f>
        <v>0</v>
      </c>
      <c r="G141" s="271">
        <f ca="1">VLOOKUP(A141,ÉV!$A$18:$B$65,2,0)</f>
        <v>260300.41146242048</v>
      </c>
      <c r="H141" s="271">
        <f ca="1">IF(OR(A141=1,AND(C141=ÉV!$I$2,D141&gt;ÉV!$J$2),C141&gt;ÉV!$I$2),0,INDEX(Pz!$B$2:$AM$48,A141-1,ÉV!$G$2-9)/100000*ÉV!$B$10)</f>
        <v>230644.27841594134</v>
      </c>
      <c r="I141" s="271">
        <f ca="1">INDEX(Pz!$B$2:$AM$48,HÓ!A141,ÉV!$G$2-9)/100000*ÉV!$B$10</f>
        <v>235240.44692169482</v>
      </c>
      <c r="J141" s="273">
        <f ca="1">IF(OR(A141=1,A141=2,AND(C141=ÉV!$I$2,D141&gt;ÉV!$J$2),C141&gt;ÉV!$I$2),0,VLOOKUP(A141-2,ÉV!$A$18:$C$65,3,0))</f>
        <v>1858755.8670957277</v>
      </c>
      <c r="K141" s="273">
        <f ca="1">IF(OR(A141=1,AND(C141=ÉV!$I$2,D141&gt;ÉV!$J$2),C141&gt;ÉV!$I$2),0,VLOOKUP(A141-1,ÉV!$A$18:$C$65,3,0))</f>
        <v>2093708.4497330307</v>
      </c>
      <c r="L141" s="273">
        <f ca="1">VLOOKUP(A141,ÉV!$A$18:$C$65,3,0)*IF(OR(AND(C141=ÉV!$I$2,D141&gt;ÉV!$J$2),C141&gt;ÉV!$I$2),0,1)</f>
        <v>2333702.0350769893</v>
      </c>
      <c r="M141" s="273">
        <f ca="1">(K141*(12-B141)/12+L141*B141/12)*IF(A141&gt;ÉV!$G$2,0,1)+IF(A141&gt;ÉV!$G$2,M140,0)*IF(OR(AND(C141=ÉV!$I$2,D141&gt;ÉV!$J$2),C141&gt;ÉV!$I$2),0,1)</f>
        <v>2233704.7078503398</v>
      </c>
      <c r="N141" s="274">
        <f ca="1">IF(AND(C141=1,D141&lt;12),0,1)*IF(D141=12,MAX(0,F141-E141-0.003)*0.9*((K141+I141)*(B141/12)+(J141+H141)*(1-B141/12))+MAX(0,F141-0.003)*0.9*N140+N140,IF(AND(C141=ÉV!$I$2,D141=ÉV!$J$2),(M141+N140)*MAX(0,F141-0.003)*0.9*(D141/12)+N140,N140))*IF(OR(C141&gt;ÉV!$I$2,AND(C141=ÉV!$I$2,D141&gt;ÉV!$J$2)),0,1)</f>
        <v>0</v>
      </c>
      <c r="O141" s="313">
        <f ca="1">IF(MAX(AF$2:AF140)=2,      0,IF(OR(AC141=7, AF141=2),    SUM(AE$2:AE141),    O140)   )</f>
        <v>496744.29053290945</v>
      </c>
      <c r="P141" s="271">
        <f ca="1">IF(D141=12,V141+P140+P140*(F141-0.003)*0.9,IF(AND(C141=ÉV!$I$2,D141=ÉV!$J$2),V141+P140+P140*(F141-0.003)*0.9*D141/12,P140))*IF(OR(C141&gt;ÉV!$I$2,AND(C141=ÉV!$I$2,D141&gt;ÉV!$J$2)),0,1)</f>
        <v>0</v>
      </c>
      <c r="Q141" s="275">
        <f ca="1">(N141+P141)*IF(OR(AND(C141=ÉV!$I$2,D141&gt;ÉV!$J$2),C141&gt;ÉV!$I$2),0,1)</f>
        <v>0</v>
      </c>
      <c r="R141" s="271">
        <f ca="1">(MAX(0,F141-E141-0.003)*0.9*((K141+I141)*(1/12)))*IF(OR(C141&gt;ÉV!$I$2,AND(C141=ÉV!$I$2,D141&gt;ÉV!$J$2)),0,1)</f>
        <v>0</v>
      </c>
      <c r="S141" s="271">
        <f ca="1">(MAX(0,F141-0.003)*0.9*((O141)*(1/12)))*IF(OR(C141&gt;ÉV!$I$2,AND(C141=ÉV!$I$2,D141&gt;ÉV!$J$2)),0,1)</f>
        <v>0</v>
      </c>
      <c r="T141" s="271">
        <f ca="1">(MAX(0,F141-0.003)*0.9*((Q140)*(1/12)))*IF(OR(C141&gt;ÉV!$I$2,AND(C141=ÉV!$I$2,D141&gt;ÉV!$J$2)),0,1)</f>
        <v>0</v>
      </c>
      <c r="U141" s="271">
        <f ca="1">IF($D141=1,R141,R141+U140)*IF(OR(C141&gt;ÉV!$I$2,AND(C141=ÉV!$I$2,D141&gt;ÉV!$J$2)),0,1)</f>
        <v>0</v>
      </c>
      <c r="V141" s="271">
        <f ca="1">IF($D141=1,S141,S141+V140)*IF(OR(C141&gt;ÉV!$I$2,AND(C141=ÉV!$I$2,D141&gt;ÉV!$J$2)),0,1)</f>
        <v>0</v>
      </c>
      <c r="W141" s="271">
        <f ca="1">IF($D141=1,T141,T141+W140)*IF(OR(C141&gt;ÉV!$I$2,AND(C141=ÉV!$I$2,D141&gt;ÉV!$J$2)),0,1)</f>
        <v>0</v>
      </c>
      <c r="X141" s="271">
        <f ca="1">IF(OR(D141=12,AND(C141=ÉV!$I$2,D141=ÉV!$J$2)),SUM(U141:W141)+X140,X140)*IF(OR(C141&gt;ÉV!$I$2,AND(C141=ÉV!$I$2,D141&gt;ÉV!$J$2)),0,1)</f>
        <v>0</v>
      </c>
      <c r="Y141" s="271">
        <f t="shared" ca="1" si="24"/>
        <v>0</v>
      </c>
      <c r="Z141" s="265">
        <f t="shared" si="25"/>
        <v>7</v>
      </c>
      <c r="AA141" s="272">
        <f t="shared" ca="1" si="26"/>
        <v>21691.700955201708</v>
      </c>
      <c r="AB141" s="265">
        <f t="shared" ca="1" si="32"/>
        <v>2028</v>
      </c>
      <c r="AC141" s="265">
        <f t="shared" ca="1" si="33"/>
        <v>10</v>
      </c>
      <c r="AD141" s="276">
        <f ca="1">IF(     OR(               AND(MAX(AF$6:AF141)&lt;2,  AC141=12),                 AF141=2),                   SUMIF(AB:AB,AB141,AA:AA),                       0)</f>
        <v>0</v>
      </c>
      <c r="AE141" s="277">
        <f t="shared" ca="1" si="23"/>
        <v>0</v>
      </c>
      <c r="AF141" s="277">
        <f t="shared" ca="1" si="27"/>
        <v>0</v>
      </c>
      <c r="AG141" s="402">
        <f ca="1">IF(  AND(AC141=AdóHó,   MAX(AF$1:AF140)&lt;2),   SUMIF(AB:AB,AB141-1,AE:AE),0  )
+ IF(AND(AC141&lt;AdóHó,                            AF141=2),   SUMIF(AB:AB,AB141-1,AE:AE),0  )
+ IF(                                                                  AF141=2,    SUMIF(AB:AB,AB141,AE:AE   ),0  )</f>
        <v>0</v>
      </c>
      <c r="AH141" s="272">
        <f ca="1">SUM(AG$2:AG141)</f>
        <v>496744.29053290945</v>
      </c>
    </row>
    <row r="142" spans="1:34">
      <c r="A142" s="265">
        <f t="shared" si="28"/>
        <v>12</v>
      </c>
      <c r="B142" s="265">
        <f t="shared" si="29"/>
        <v>8</v>
      </c>
      <c r="C142" s="265">
        <f t="shared" ca="1" si="30"/>
        <v>12</v>
      </c>
      <c r="D142" s="265">
        <f t="shared" ca="1" si="31"/>
        <v>11</v>
      </c>
      <c r="E142" s="266">
        <v>5.0000000000000001E-3</v>
      </c>
      <c r="F142" s="267">
        <f>ÉV!$B$12</f>
        <v>0</v>
      </c>
      <c r="G142" s="271">
        <f ca="1">VLOOKUP(A142,ÉV!$A$18:$B$65,2,0)</f>
        <v>260300.41146242048</v>
      </c>
      <c r="H142" s="271">
        <f ca="1">IF(OR(A142=1,AND(C142=ÉV!$I$2,D142&gt;ÉV!$J$2),C142&gt;ÉV!$I$2),0,INDEX(Pz!$B$2:$AM$48,A142-1,ÉV!$G$2-9)/100000*ÉV!$B$10)</f>
        <v>230644.27841594134</v>
      </c>
      <c r="I142" s="271">
        <f ca="1">INDEX(Pz!$B$2:$AM$48,HÓ!A142,ÉV!$G$2-9)/100000*ÉV!$B$10</f>
        <v>235240.44692169482</v>
      </c>
      <c r="J142" s="273">
        <f ca="1">IF(OR(A142=1,A142=2,AND(C142=ÉV!$I$2,D142&gt;ÉV!$J$2),C142&gt;ÉV!$I$2),0,VLOOKUP(A142-2,ÉV!$A$18:$C$65,3,0))</f>
        <v>1858755.8670957277</v>
      </c>
      <c r="K142" s="273">
        <f ca="1">IF(OR(A142=1,AND(C142=ÉV!$I$2,D142&gt;ÉV!$J$2),C142&gt;ÉV!$I$2),0,VLOOKUP(A142-1,ÉV!$A$18:$C$65,3,0))</f>
        <v>2093708.4497330307</v>
      </c>
      <c r="L142" s="273">
        <f ca="1">VLOOKUP(A142,ÉV!$A$18:$C$65,3,0)*IF(OR(AND(C142=ÉV!$I$2,D142&gt;ÉV!$J$2),C142&gt;ÉV!$I$2),0,1)</f>
        <v>2333702.0350769893</v>
      </c>
      <c r="M142" s="273">
        <f ca="1">(K142*(12-B142)/12+L142*B142/12)*IF(A142&gt;ÉV!$G$2,0,1)+IF(A142&gt;ÉV!$G$2,M141,0)*IF(OR(AND(C142=ÉV!$I$2,D142&gt;ÉV!$J$2),C142&gt;ÉV!$I$2),0,1)</f>
        <v>2253704.1732956697</v>
      </c>
      <c r="N142" s="274">
        <f ca="1">IF(AND(C142=1,D142&lt;12),0,1)*IF(D142=12,MAX(0,F142-E142-0.003)*0.9*((K142+I142)*(B142/12)+(J142+H142)*(1-B142/12))+MAX(0,F142-0.003)*0.9*N141+N141,IF(AND(C142=ÉV!$I$2,D142=ÉV!$J$2),(M142+N141)*MAX(0,F142-0.003)*0.9*(D142/12)+N141,N141))*IF(OR(C142&gt;ÉV!$I$2,AND(C142=ÉV!$I$2,D142&gt;ÉV!$J$2)),0,1)</f>
        <v>0</v>
      </c>
      <c r="O142" s="313">
        <f ca="1">IF(MAX(AF$2:AF141)=2,      0,IF(OR(AC142=7, AF142=2),    SUM(AE$2:AE142),    O141)   )</f>
        <v>496744.29053290945</v>
      </c>
      <c r="P142" s="271">
        <f ca="1">IF(D142=12,V142+P141+P141*(F142-0.003)*0.9,IF(AND(C142=ÉV!$I$2,D142=ÉV!$J$2),V142+P141+P141*(F142-0.003)*0.9*D142/12,P141))*IF(OR(C142&gt;ÉV!$I$2,AND(C142=ÉV!$I$2,D142&gt;ÉV!$J$2)),0,1)</f>
        <v>0</v>
      </c>
      <c r="Q142" s="275">
        <f ca="1">(N142+P142)*IF(OR(AND(C142=ÉV!$I$2,D142&gt;ÉV!$J$2),C142&gt;ÉV!$I$2),0,1)</f>
        <v>0</v>
      </c>
      <c r="R142" s="271">
        <f ca="1">(MAX(0,F142-E142-0.003)*0.9*((K142+I142)*(1/12)))*IF(OR(C142&gt;ÉV!$I$2,AND(C142=ÉV!$I$2,D142&gt;ÉV!$J$2)),0,1)</f>
        <v>0</v>
      </c>
      <c r="S142" s="271">
        <f ca="1">(MAX(0,F142-0.003)*0.9*((O142)*(1/12)))*IF(OR(C142&gt;ÉV!$I$2,AND(C142=ÉV!$I$2,D142&gt;ÉV!$J$2)),0,1)</f>
        <v>0</v>
      </c>
      <c r="T142" s="271">
        <f ca="1">(MAX(0,F142-0.003)*0.9*((Q141)*(1/12)))*IF(OR(C142&gt;ÉV!$I$2,AND(C142=ÉV!$I$2,D142&gt;ÉV!$J$2)),0,1)</f>
        <v>0</v>
      </c>
      <c r="U142" s="271">
        <f ca="1">IF($D142=1,R142,R142+U141)*IF(OR(C142&gt;ÉV!$I$2,AND(C142=ÉV!$I$2,D142&gt;ÉV!$J$2)),0,1)</f>
        <v>0</v>
      </c>
      <c r="V142" s="271">
        <f ca="1">IF($D142=1,S142,S142+V141)*IF(OR(C142&gt;ÉV!$I$2,AND(C142=ÉV!$I$2,D142&gt;ÉV!$J$2)),0,1)</f>
        <v>0</v>
      </c>
      <c r="W142" s="271">
        <f ca="1">IF($D142=1,T142,T142+W141)*IF(OR(C142&gt;ÉV!$I$2,AND(C142=ÉV!$I$2,D142&gt;ÉV!$J$2)),0,1)</f>
        <v>0</v>
      </c>
      <c r="X142" s="271">
        <f ca="1">IF(OR(D142=12,AND(C142=ÉV!$I$2,D142=ÉV!$J$2)),SUM(U142:W142)+X141,X141)*IF(OR(C142&gt;ÉV!$I$2,AND(C142=ÉV!$I$2,D142&gt;ÉV!$J$2)),0,1)</f>
        <v>0</v>
      </c>
      <c r="Y142" s="271">
        <f t="shared" ca="1" si="24"/>
        <v>0</v>
      </c>
      <c r="Z142" s="265">
        <f t="shared" si="25"/>
        <v>8</v>
      </c>
      <c r="AA142" s="272">
        <f t="shared" ca="1" si="26"/>
        <v>21691.700955201708</v>
      </c>
      <c r="AB142" s="265">
        <f t="shared" ca="1" si="32"/>
        <v>2028</v>
      </c>
      <c r="AC142" s="265">
        <f t="shared" ca="1" si="33"/>
        <v>11</v>
      </c>
      <c r="AD142" s="276">
        <f ca="1">IF(     OR(               AND(MAX(AF$6:AF142)&lt;2,  AC142=12),                 AF142=2),                   SUMIF(AB:AB,AB142,AA:AA),                       0)</f>
        <v>0</v>
      </c>
      <c r="AE142" s="277">
        <f t="shared" ref="AE142:AE205" ca="1" si="34">MIN(AD142*0.2,130000)</f>
        <v>0</v>
      </c>
      <c r="AF142" s="277">
        <f t="shared" ca="1" si="27"/>
        <v>0</v>
      </c>
      <c r="AG142" s="402">
        <f ca="1">IF(  AND(AC142=AdóHó,   MAX(AF$1:AF141)&lt;2),   SUMIF(AB:AB,AB142-1,AE:AE),0  )
+ IF(AND(AC142&lt;AdóHó,                            AF142=2),   SUMIF(AB:AB,AB142-1,AE:AE),0  )
+ IF(                                                                  AF142=2,    SUMIF(AB:AB,AB142,AE:AE   ),0  )</f>
        <v>0</v>
      </c>
      <c r="AH142" s="272">
        <f ca="1">SUM(AG$2:AG142)</f>
        <v>496744.29053290945</v>
      </c>
    </row>
    <row r="143" spans="1:34">
      <c r="A143" s="265">
        <f t="shared" si="28"/>
        <v>12</v>
      </c>
      <c r="B143" s="265">
        <f t="shared" si="29"/>
        <v>9</v>
      </c>
      <c r="C143" s="265">
        <f t="shared" ca="1" si="30"/>
        <v>12</v>
      </c>
      <c r="D143" s="265">
        <f t="shared" ca="1" si="31"/>
        <v>12</v>
      </c>
      <c r="E143" s="266">
        <v>5.0000000000000001E-3</v>
      </c>
      <c r="F143" s="267">
        <f>ÉV!$B$12</f>
        <v>0</v>
      </c>
      <c r="G143" s="271">
        <f ca="1">VLOOKUP(A143,ÉV!$A$18:$B$65,2,0)</f>
        <v>260300.41146242048</v>
      </c>
      <c r="H143" s="271">
        <f ca="1">IF(OR(A143=1,AND(C143=ÉV!$I$2,D143&gt;ÉV!$J$2),C143&gt;ÉV!$I$2),0,INDEX(Pz!$B$2:$AM$48,A143-1,ÉV!$G$2-9)/100000*ÉV!$B$10)</f>
        <v>230644.27841594134</v>
      </c>
      <c r="I143" s="271">
        <f ca="1">INDEX(Pz!$B$2:$AM$48,HÓ!A143,ÉV!$G$2-9)/100000*ÉV!$B$10</f>
        <v>235240.44692169482</v>
      </c>
      <c r="J143" s="273">
        <f ca="1">IF(OR(A143=1,A143=2,AND(C143=ÉV!$I$2,D143&gt;ÉV!$J$2),C143&gt;ÉV!$I$2),0,VLOOKUP(A143-2,ÉV!$A$18:$C$65,3,0))</f>
        <v>1858755.8670957277</v>
      </c>
      <c r="K143" s="273">
        <f ca="1">IF(OR(A143=1,AND(C143=ÉV!$I$2,D143&gt;ÉV!$J$2),C143&gt;ÉV!$I$2),0,VLOOKUP(A143-1,ÉV!$A$18:$C$65,3,0))</f>
        <v>2093708.4497330307</v>
      </c>
      <c r="L143" s="273">
        <f ca="1">VLOOKUP(A143,ÉV!$A$18:$C$65,3,0)*IF(OR(AND(C143=ÉV!$I$2,D143&gt;ÉV!$J$2),C143&gt;ÉV!$I$2),0,1)</f>
        <v>2333702.0350769893</v>
      </c>
      <c r="M143" s="273">
        <f ca="1">(K143*(12-B143)/12+L143*B143/12)*IF(A143&gt;ÉV!$G$2,0,1)+IF(A143&gt;ÉV!$G$2,M142,0)*IF(OR(AND(C143=ÉV!$I$2,D143&gt;ÉV!$J$2),C143&gt;ÉV!$I$2),0,1)</f>
        <v>2273703.6387409996</v>
      </c>
      <c r="N143" s="274">
        <f ca="1">IF(AND(C143=1,D143&lt;12),0,1)*IF(D143=12,MAX(0,F143-E143-0.003)*0.9*((K143+I143)*(B143/12)+(J143+H143)*(1-B143/12))+MAX(0,F143-0.003)*0.9*N142+N142,IF(AND(C143=ÉV!$I$2,D143=ÉV!$J$2),(M143+N142)*MAX(0,F143-0.003)*0.9*(D143/12)+N142,N142))*IF(OR(C143&gt;ÉV!$I$2,AND(C143=ÉV!$I$2,D143&gt;ÉV!$J$2)),0,1)</f>
        <v>0</v>
      </c>
      <c r="O143" s="313">
        <f ca="1">IF(MAX(AF$2:AF142)=2,      0,IF(OR(AC143=7, AF143=2),    SUM(AE$2:AE143),    O142)   )</f>
        <v>496744.29053290945</v>
      </c>
      <c r="P143" s="271">
        <f ca="1">IF(D143=12,V143+P142+P142*(F143-0.003)*0.9,IF(AND(C143=ÉV!$I$2,D143=ÉV!$J$2),V143+P142+P142*(F143-0.003)*0.9*D143/12,P142))*IF(OR(C143&gt;ÉV!$I$2,AND(C143=ÉV!$I$2,D143&gt;ÉV!$J$2)),0,1)</f>
        <v>0</v>
      </c>
      <c r="Q143" s="275">
        <f ca="1">(N143+P143)*IF(OR(AND(C143=ÉV!$I$2,D143&gt;ÉV!$J$2),C143&gt;ÉV!$I$2),0,1)</f>
        <v>0</v>
      </c>
      <c r="R143" s="271">
        <f ca="1">(MAX(0,F143-E143-0.003)*0.9*((K143+I143)*(1/12)))*IF(OR(C143&gt;ÉV!$I$2,AND(C143=ÉV!$I$2,D143&gt;ÉV!$J$2)),0,1)</f>
        <v>0</v>
      </c>
      <c r="S143" s="271">
        <f ca="1">(MAX(0,F143-0.003)*0.9*((O143)*(1/12)))*IF(OR(C143&gt;ÉV!$I$2,AND(C143=ÉV!$I$2,D143&gt;ÉV!$J$2)),0,1)</f>
        <v>0</v>
      </c>
      <c r="T143" s="271">
        <f ca="1">(MAX(0,F143-0.003)*0.9*((Q142)*(1/12)))*IF(OR(C143&gt;ÉV!$I$2,AND(C143=ÉV!$I$2,D143&gt;ÉV!$J$2)),0,1)</f>
        <v>0</v>
      </c>
      <c r="U143" s="271">
        <f ca="1">IF($D143=1,R143,R143+U142)*IF(OR(C143&gt;ÉV!$I$2,AND(C143=ÉV!$I$2,D143&gt;ÉV!$J$2)),0,1)</f>
        <v>0</v>
      </c>
      <c r="V143" s="271">
        <f ca="1">IF($D143=1,S143,S143+V142)*IF(OR(C143&gt;ÉV!$I$2,AND(C143=ÉV!$I$2,D143&gt;ÉV!$J$2)),0,1)</f>
        <v>0</v>
      </c>
      <c r="W143" s="271">
        <f ca="1">IF($D143=1,T143,T143+W142)*IF(OR(C143&gt;ÉV!$I$2,AND(C143=ÉV!$I$2,D143&gt;ÉV!$J$2)),0,1)</f>
        <v>0</v>
      </c>
      <c r="X143" s="271">
        <f ca="1">IF(OR(D143=12,AND(C143=ÉV!$I$2,D143=ÉV!$J$2)),SUM(U143:W143)+X142,X142)*IF(OR(C143&gt;ÉV!$I$2,AND(C143=ÉV!$I$2,D143&gt;ÉV!$J$2)),0,1)</f>
        <v>0</v>
      </c>
      <c r="Y143" s="271">
        <f t="shared" ca="1" si="24"/>
        <v>0</v>
      </c>
      <c r="Z143" s="265">
        <f t="shared" si="25"/>
        <v>9</v>
      </c>
      <c r="AA143" s="272">
        <f t="shared" ca="1" si="26"/>
        <v>21691.700955201708</v>
      </c>
      <c r="AB143" s="265">
        <f t="shared" ca="1" si="32"/>
        <v>2028</v>
      </c>
      <c r="AC143" s="265">
        <f t="shared" ca="1" si="33"/>
        <v>12</v>
      </c>
      <c r="AD143" s="276">
        <f ca="1">IF(     OR(               AND(MAX(AF$6:AF143)&lt;2,  AC143=12),                 AF143=2),                   SUMIF(AB:AB,AB143,AA:AA),                       0)</f>
        <v>259024.42905329092</v>
      </c>
      <c r="AE143" s="277">
        <f t="shared" ca="1" si="34"/>
        <v>51804.88581065819</v>
      </c>
      <c r="AF143" s="277">
        <f t="shared" ca="1" si="27"/>
        <v>0</v>
      </c>
      <c r="AG143" s="402">
        <f ca="1">IF(  AND(AC143=AdóHó,   MAX(AF$1:AF142)&lt;2),   SUMIF(AB:AB,AB143-1,AE:AE),0  )
+ IF(AND(AC143&lt;AdóHó,                            AF143=2),   SUMIF(AB:AB,AB143-1,AE:AE),0  )
+ IF(                                                                  AF143=2,    SUMIF(AB:AB,AB143,AE:AE   ),0  )</f>
        <v>0</v>
      </c>
      <c r="AH143" s="272">
        <f ca="1">SUM(AG$2:AG143)</f>
        <v>496744.29053290945</v>
      </c>
    </row>
    <row r="144" spans="1:34">
      <c r="A144" s="265">
        <f t="shared" si="28"/>
        <v>12</v>
      </c>
      <c r="B144" s="265">
        <f t="shared" si="29"/>
        <v>10</v>
      </c>
      <c r="C144" s="265">
        <f t="shared" ca="1" si="30"/>
        <v>13</v>
      </c>
      <c r="D144" s="265">
        <f t="shared" ca="1" si="31"/>
        <v>1</v>
      </c>
      <c r="E144" s="266">
        <v>5.0000000000000001E-3</v>
      </c>
      <c r="F144" s="267">
        <f>ÉV!$B$12</f>
        <v>0</v>
      </c>
      <c r="G144" s="271">
        <f ca="1">VLOOKUP(A144,ÉV!$A$18:$B$65,2,0)</f>
        <v>260300.41146242048</v>
      </c>
      <c r="H144" s="271">
        <f ca="1">IF(OR(A144=1,AND(C144=ÉV!$I$2,D144&gt;ÉV!$J$2),C144&gt;ÉV!$I$2),0,INDEX(Pz!$B$2:$AM$48,A144-1,ÉV!$G$2-9)/100000*ÉV!$B$10)</f>
        <v>230644.27841594134</v>
      </c>
      <c r="I144" s="271">
        <f ca="1">INDEX(Pz!$B$2:$AM$48,HÓ!A144,ÉV!$G$2-9)/100000*ÉV!$B$10</f>
        <v>235240.44692169482</v>
      </c>
      <c r="J144" s="273">
        <f ca="1">IF(OR(A144=1,A144=2,AND(C144=ÉV!$I$2,D144&gt;ÉV!$J$2),C144&gt;ÉV!$I$2),0,VLOOKUP(A144-2,ÉV!$A$18:$C$65,3,0))</f>
        <v>1858755.8670957277</v>
      </c>
      <c r="K144" s="273">
        <f ca="1">IF(OR(A144=1,AND(C144=ÉV!$I$2,D144&gt;ÉV!$J$2),C144&gt;ÉV!$I$2),0,VLOOKUP(A144-1,ÉV!$A$18:$C$65,3,0))</f>
        <v>2093708.4497330307</v>
      </c>
      <c r="L144" s="273">
        <f ca="1">VLOOKUP(A144,ÉV!$A$18:$C$65,3,0)*IF(OR(AND(C144=ÉV!$I$2,D144&gt;ÉV!$J$2),C144&gt;ÉV!$I$2),0,1)</f>
        <v>2333702.0350769893</v>
      </c>
      <c r="M144" s="273">
        <f ca="1">(K144*(12-B144)/12+L144*B144/12)*IF(A144&gt;ÉV!$G$2,0,1)+IF(A144&gt;ÉV!$G$2,M143,0)*IF(OR(AND(C144=ÉV!$I$2,D144&gt;ÉV!$J$2),C144&gt;ÉV!$I$2),0,1)</f>
        <v>2293703.1041863295</v>
      </c>
      <c r="N144" s="274">
        <f ca="1">IF(AND(C144=1,D144&lt;12),0,1)*IF(D144=12,MAX(0,F144-E144-0.003)*0.9*((K144+I144)*(B144/12)+(J144+H144)*(1-B144/12))+MAX(0,F144-0.003)*0.9*N143+N143,IF(AND(C144=ÉV!$I$2,D144=ÉV!$J$2),(M144+N143)*MAX(0,F144-0.003)*0.9*(D144/12)+N143,N143))*IF(OR(C144&gt;ÉV!$I$2,AND(C144=ÉV!$I$2,D144&gt;ÉV!$J$2)),0,1)</f>
        <v>0</v>
      </c>
      <c r="O144" s="313">
        <f ca="1">IF(MAX(AF$2:AF143)=2,      0,IF(OR(AC144=7, AF144=2),    SUM(AE$2:AE144),    O143)   )</f>
        <v>496744.29053290945</v>
      </c>
      <c r="P144" s="271">
        <f ca="1">IF(D144=12,V144+P143+P143*(F144-0.003)*0.9,IF(AND(C144=ÉV!$I$2,D144=ÉV!$J$2),V144+P143+P143*(F144-0.003)*0.9*D144/12,P143))*IF(OR(C144&gt;ÉV!$I$2,AND(C144=ÉV!$I$2,D144&gt;ÉV!$J$2)),0,1)</f>
        <v>0</v>
      </c>
      <c r="Q144" s="275">
        <f ca="1">(N144+P144)*IF(OR(AND(C144=ÉV!$I$2,D144&gt;ÉV!$J$2),C144&gt;ÉV!$I$2),0,1)</f>
        <v>0</v>
      </c>
      <c r="R144" s="271">
        <f ca="1">(MAX(0,F144-E144-0.003)*0.9*((K144+I144)*(1/12)))*IF(OR(C144&gt;ÉV!$I$2,AND(C144=ÉV!$I$2,D144&gt;ÉV!$J$2)),0,1)</f>
        <v>0</v>
      </c>
      <c r="S144" s="271">
        <f ca="1">(MAX(0,F144-0.003)*0.9*((O144)*(1/12)))*IF(OR(C144&gt;ÉV!$I$2,AND(C144=ÉV!$I$2,D144&gt;ÉV!$J$2)),0,1)</f>
        <v>0</v>
      </c>
      <c r="T144" s="271">
        <f ca="1">(MAX(0,F144-0.003)*0.9*((Q143)*(1/12)))*IF(OR(C144&gt;ÉV!$I$2,AND(C144=ÉV!$I$2,D144&gt;ÉV!$J$2)),0,1)</f>
        <v>0</v>
      </c>
      <c r="U144" s="271">
        <f ca="1">IF($D144=1,R144,R144+U143)*IF(OR(C144&gt;ÉV!$I$2,AND(C144=ÉV!$I$2,D144&gt;ÉV!$J$2)),0,1)</f>
        <v>0</v>
      </c>
      <c r="V144" s="271">
        <f ca="1">IF($D144=1,S144,S144+V143)*IF(OR(C144&gt;ÉV!$I$2,AND(C144=ÉV!$I$2,D144&gt;ÉV!$J$2)),0,1)</f>
        <v>0</v>
      </c>
      <c r="W144" s="271">
        <f ca="1">IF($D144=1,T144,T144+W143)*IF(OR(C144&gt;ÉV!$I$2,AND(C144=ÉV!$I$2,D144&gt;ÉV!$J$2)),0,1)</f>
        <v>0</v>
      </c>
      <c r="X144" s="271">
        <f ca="1">IF(OR(D144=12,AND(C144=ÉV!$I$2,D144=ÉV!$J$2)),SUM(U144:W144)+X143,X143)*IF(OR(C144&gt;ÉV!$I$2,AND(C144=ÉV!$I$2,D144&gt;ÉV!$J$2)),0,1)</f>
        <v>0</v>
      </c>
      <c r="Y144" s="271">
        <f t="shared" ca="1" si="24"/>
        <v>0</v>
      </c>
      <c r="Z144" s="265">
        <f t="shared" si="25"/>
        <v>10</v>
      </c>
      <c r="AA144" s="272">
        <f t="shared" ca="1" si="26"/>
        <v>21691.700955201708</v>
      </c>
      <c r="AB144" s="265">
        <f t="shared" ca="1" si="32"/>
        <v>2029</v>
      </c>
      <c r="AC144" s="265">
        <f t="shared" ca="1" si="33"/>
        <v>1</v>
      </c>
      <c r="AD144" s="276">
        <f ca="1">IF(     OR(               AND(MAX(AF$6:AF144)&lt;2,  AC144=12),                 AF144=2),                   SUMIF(AB:AB,AB144,AA:AA),                       0)</f>
        <v>0</v>
      </c>
      <c r="AE144" s="277">
        <f t="shared" ca="1" si="34"/>
        <v>0</v>
      </c>
      <c r="AF144" s="277">
        <f t="shared" ca="1" si="27"/>
        <v>0</v>
      </c>
      <c r="AG144" s="402">
        <f ca="1">IF(  AND(AC144=AdóHó,   MAX(AF$1:AF143)&lt;2),   SUMIF(AB:AB,AB144-1,AE:AE),0  )
+ IF(AND(AC144&lt;AdóHó,                            AF144=2),   SUMIF(AB:AB,AB144-1,AE:AE),0  )
+ IF(                                                                  AF144=2,    SUMIF(AB:AB,AB144,AE:AE   ),0  )</f>
        <v>0</v>
      </c>
      <c r="AH144" s="272">
        <f ca="1">SUM(AG$2:AG144)</f>
        <v>496744.29053290945</v>
      </c>
    </row>
    <row r="145" spans="1:34">
      <c r="A145" s="265">
        <f t="shared" si="28"/>
        <v>12</v>
      </c>
      <c r="B145" s="265">
        <f t="shared" si="29"/>
        <v>11</v>
      </c>
      <c r="C145" s="265">
        <f t="shared" ca="1" si="30"/>
        <v>13</v>
      </c>
      <c r="D145" s="265">
        <f t="shared" ca="1" si="31"/>
        <v>2</v>
      </c>
      <c r="E145" s="266">
        <v>5.0000000000000001E-3</v>
      </c>
      <c r="F145" s="267">
        <f>ÉV!$B$12</f>
        <v>0</v>
      </c>
      <c r="G145" s="271">
        <f ca="1">VLOOKUP(A145,ÉV!$A$18:$B$65,2,0)</f>
        <v>260300.41146242048</v>
      </c>
      <c r="H145" s="271">
        <f ca="1">IF(OR(A145=1,AND(C145=ÉV!$I$2,D145&gt;ÉV!$J$2),C145&gt;ÉV!$I$2),0,INDEX(Pz!$B$2:$AM$48,A145-1,ÉV!$G$2-9)/100000*ÉV!$B$10)</f>
        <v>230644.27841594134</v>
      </c>
      <c r="I145" s="271">
        <f ca="1">INDEX(Pz!$B$2:$AM$48,HÓ!A145,ÉV!$G$2-9)/100000*ÉV!$B$10</f>
        <v>235240.44692169482</v>
      </c>
      <c r="J145" s="273">
        <f ca="1">IF(OR(A145=1,A145=2,AND(C145=ÉV!$I$2,D145&gt;ÉV!$J$2),C145&gt;ÉV!$I$2),0,VLOOKUP(A145-2,ÉV!$A$18:$C$65,3,0))</f>
        <v>1858755.8670957277</v>
      </c>
      <c r="K145" s="273">
        <f ca="1">IF(OR(A145=1,AND(C145=ÉV!$I$2,D145&gt;ÉV!$J$2),C145&gt;ÉV!$I$2),0,VLOOKUP(A145-1,ÉV!$A$18:$C$65,3,0))</f>
        <v>2093708.4497330307</v>
      </c>
      <c r="L145" s="273">
        <f ca="1">VLOOKUP(A145,ÉV!$A$18:$C$65,3,0)*IF(OR(AND(C145=ÉV!$I$2,D145&gt;ÉV!$J$2),C145&gt;ÉV!$I$2),0,1)</f>
        <v>2333702.0350769893</v>
      </c>
      <c r="M145" s="273">
        <f ca="1">(K145*(12-B145)/12+L145*B145/12)*IF(A145&gt;ÉV!$G$2,0,1)+IF(A145&gt;ÉV!$G$2,M144,0)*IF(OR(AND(C145=ÉV!$I$2,D145&gt;ÉV!$J$2),C145&gt;ÉV!$I$2),0,1)</f>
        <v>2313702.5696316594</v>
      </c>
      <c r="N145" s="274">
        <f ca="1">IF(AND(C145=1,D145&lt;12),0,1)*IF(D145=12,MAX(0,F145-E145-0.003)*0.9*((K145+I145)*(B145/12)+(J145+H145)*(1-B145/12))+MAX(0,F145-0.003)*0.9*N144+N144,IF(AND(C145=ÉV!$I$2,D145=ÉV!$J$2),(M145+N144)*MAX(0,F145-0.003)*0.9*(D145/12)+N144,N144))*IF(OR(C145&gt;ÉV!$I$2,AND(C145=ÉV!$I$2,D145&gt;ÉV!$J$2)),0,1)</f>
        <v>0</v>
      </c>
      <c r="O145" s="313">
        <f ca="1">IF(MAX(AF$2:AF144)=2,      0,IF(OR(AC145=7, AF145=2),    SUM(AE$2:AE145),    O144)   )</f>
        <v>496744.29053290945</v>
      </c>
      <c r="P145" s="271">
        <f ca="1">IF(D145=12,V145+P144+P144*(F145-0.003)*0.9,IF(AND(C145=ÉV!$I$2,D145=ÉV!$J$2),V145+P144+P144*(F145-0.003)*0.9*D145/12,P144))*IF(OR(C145&gt;ÉV!$I$2,AND(C145=ÉV!$I$2,D145&gt;ÉV!$J$2)),0,1)</f>
        <v>0</v>
      </c>
      <c r="Q145" s="275">
        <f ca="1">(N145+P145)*IF(OR(AND(C145=ÉV!$I$2,D145&gt;ÉV!$J$2),C145&gt;ÉV!$I$2),0,1)</f>
        <v>0</v>
      </c>
      <c r="R145" s="271">
        <f ca="1">(MAX(0,F145-E145-0.003)*0.9*((K145+I145)*(1/12)))*IF(OR(C145&gt;ÉV!$I$2,AND(C145=ÉV!$I$2,D145&gt;ÉV!$J$2)),0,1)</f>
        <v>0</v>
      </c>
      <c r="S145" s="271">
        <f ca="1">(MAX(0,F145-0.003)*0.9*((O145)*(1/12)))*IF(OR(C145&gt;ÉV!$I$2,AND(C145=ÉV!$I$2,D145&gt;ÉV!$J$2)),0,1)</f>
        <v>0</v>
      </c>
      <c r="T145" s="271">
        <f ca="1">(MAX(0,F145-0.003)*0.9*((Q144)*(1/12)))*IF(OR(C145&gt;ÉV!$I$2,AND(C145=ÉV!$I$2,D145&gt;ÉV!$J$2)),0,1)</f>
        <v>0</v>
      </c>
      <c r="U145" s="271">
        <f ca="1">IF($D145=1,R145,R145+U144)*IF(OR(C145&gt;ÉV!$I$2,AND(C145=ÉV!$I$2,D145&gt;ÉV!$J$2)),0,1)</f>
        <v>0</v>
      </c>
      <c r="V145" s="271">
        <f ca="1">IF($D145=1,S145,S145+V144)*IF(OR(C145&gt;ÉV!$I$2,AND(C145=ÉV!$I$2,D145&gt;ÉV!$J$2)),0,1)</f>
        <v>0</v>
      </c>
      <c r="W145" s="271">
        <f ca="1">IF($D145=1,T145,T145+W144)*IF(OR(C145&gt;ÉV!$I$2,AND(C145=ÉV!$I$2,D145&gt;ÉV!$J$2)),0,1)</f>
        <v>0</v>
      </c>
      <c r="X145" s="271">
        <f ca="1">IF(OR(D145=12,AND(C145=ÉV!$I$2,D145=ÉV!$J$2)),SUM(U145:W145)+X144,X144)*IF(OR(C145&gt;ÉV!$I$2,AND(C145=ÉV!$I$2,D145&gt;ÉV!$J$2)),0,1)</f>
        <v>0</v>
      </c>
      <c r="Y145" s="271">
        <f t="shared" ca="1" si="24"/>
        <v>0</v>
      </c>
      <c r="Z145" s="265">
        <f t="shared" si="25"/>
        <v>11</v>
      </c>
      <c r="AA145" s="272">
        <f t="shared" ca="1" si="26"/>
        <v>21691.700955201708</v>
      </c>
      <c r="AB145" s="265">
        <f t="shared" ca="1" si="32"/>
        <v>2029</v>
      </c>
      <c r="AC145" s="265">
        <f t="shared" ca="1" si="33"/>
        <v>2</v>
      </c>
      <c r="AD145" s="276">
        <f ca="1">IF(     OR(               AND(MAX(AF$6:AF145)&lt;2,  AC145=12),                 AF145=2),                   SUMIF(AB:AB,AB145,AA:AA),                       0)</f>
        <v>0</v>
      </c>
      <c r="AE145" s="277">
        <f t="shared" ca="1" si="34"/>
        <v>0</v>
      </c>
      <c r="AF145" s="277">
        <f t="shared" ca="1" si="27"/>
        <v>0</v>
      </c>
      <c r="AG145" s="402">
        <f ca="1">IF(  AND(AC145=AdóHó,   MAX(AF$1:AF144)&lt;2),   SUMIF(AB:AB,AB145-1,AE:AE),0  )
+ IF(AND(AC145&lt;AdóHó,                            AF145=2),   SUMIF(AB:AB,AB145-1,AE:AE),0  )
+ IF(                                                                  AF145=2,    SUMIF(AB:AB,AB145,AE:AE   ),0  )</f>
        <v>0</v>
      </c>
      <c r="AH145" s="272">
        <f ca="1">SUM(AG$2:AG145)</f>
        <v>496744.29053290945</v>
      </c>
    </row>
    <row r="146" spans="1:34">
      <c r="A146" s="265">
        <f t="shared" si="28"/>
        <v>12</v>
      </c>
      <c r="B146" s="265">
        <f t="shared" si="29"/>
        <v>12</v>
      </c>
      <c r="C146" s="265">
        <f t="shared" ca="1" si="30"/>
        <v>13</v>
      </c>
      <c r="D146" s="265">
        <f t="shared" ca="1" si="31"/>
        <v>3</v>
      </c>
      <c r="E146" s="266">
        <v>5.0000000000000001E-3</v>
      </c>
      <c r="F146" s="267">
        <f>ÉV!$B$12</f>
        <v>0</v>
      </c>
      <c r="G146" s="271">
        <f ca="1">VLOOKUP(A146,ÉV!$A$18:$B$65,2,0)</f>
        <v>260300.41146242048</v>
      </c>
      <c r="H146" s="271">
        <f ca="1">IF(OR(A146=1,AND(C146=ÉV!$I$2,D146&gt;ÉV!$J$2),C146&gt;ÉV!$I$2),0,INDEX(Pz!$B$2:$AM$48,A146-1,ÉV!$G$2-9)/100000*ÉV!$B$10)</f>
        <v>230644.27841594134</v>
      </c>
      <c r="I146" s="271">
        <f ca="1">INDEX(Pz!$B$2:$AM$48,HÓ!A146,ÉV!$G$2-9)/100000*ÉV!$B$10</f>
        <v>235240.44692169482</v>
      </c>
      <c r="J146" s="273">
        <f ca="1">IF(OR(A146=1,A146=2,AND(C146=ÉV!$I$2,D146&gt;ÉV!$J$2),C146&gt;ÉV!$I$2),0,VLOOKUP(A146-2,ÉV!$A$18:$C$65,3,0))</f>
        <v>1858755.8670957277</v>
      </c>
      <c r="K146" s="273">
        <f ca="1">IF(OR(A146=1,AND(C146=ÉV!$I$2,D146&gt;ÉV!$J$2),C146&gt;ÉV!$I$2),0,VLOOKUP(A146-1,ÉV!$A$18:$C$65,3,0))</f>
        <v>2093708.4497330307</v>
      </c>
      <c r="L146" s="273">
        <f ca="1">VLOOKUP(A146,ÉV!$A$18:$C$65,3,0)*IF(OR(AND(C146=ÉV!$I$2,D146&gt;ÉV!$J$2),C146&gt;ÉV!$I$2),0,1)</f>
        <v>2333702.0350769893</v>
      </c>
      <c r="M146" s="273">
        <f ca="1">(K146*(12-B146)/12+L146*B146/12)*IF(A146&gt;ÉV!$G$2,0,1)+IF(A146&gt;ÉV!$G$2,M145,0)*IF(OR(AND(C146=ÉV!$I$2,D146&gt;ÉV!$J$2),C146&gt;ÉV!$I$2),0,1)</f>
        <v>2333702.0350769893</v>
      </c>
      <c r="N146" s="274">
        <f ca="1">IF(AND(C146=1,D146&lt;12),0,1)*IF(D146=12,MAX(0,F146-E146-0.003)*0.9*((K146+I146)*(B146/12)+(J146+H146)*(1-B146/12))+MAX(0,F146-0.003)*0.9*N145+N145,IF(AND(C146=ÉV!$I$2,D146=ÉV!$J$2),(M146+N145)*MAX(0,F146-0.003)*0.9*(D146/12)+N145,N145))*IF(OR(C146&gt;ÉV!$I$2,AND(C146=ÉV!$I$2,D146&gt;ÉV!$J$2)),0,1)</f>
        <v>0</v>
      </c>
      <c r="O146" s="313">
        <f ca="1">IF(MAX(AF$2:AF145)=2,      0,IF(OR(AC146=7, AF146=2),    SUM(AE$2:AE146),    O145)   )</f>
        <v>496744.29053290945</v>
      </c>
      <c r="P146" s="271">
        <f ca="1">IF(D146=12,V146+P145+P145*(F146-0.003)*0.9,IF(AND(C146=ÉV!$I$2,D146=ÉV!$J$2),V146+P145+P145*(F146-0.003)*0.9*D146/12,P145))*IF(OR(C146&gt;ÉV!$I$2,AND(C146=ÉV!$I$2,D146&gt;ÉV!$J$2)),0,1)</f>
        <v>0</v>
      </c>
      <c r="Q146" s="275">
        <f ca="1">(N146+P146)*IF(OR(AND(C146=ÉV!$I$2,D146&gt;ÉV!$J$2),C146&gt;ÉV!$I$2),0,1)</f>
        <v>0</v>
      </c>
      <c r="R146" s="271">
        <f ca="1">(MAX(0,F146-E146-0.003)*0.9*((K146+I146)*(1/12)))*IF(OR(C146&gt;ÉV!$I$2,AND(C146=ÉV!$I$2,D146&gt;ÉV!$J$2)),0,1)</f>
        <v>0</v>
      </c>
      <c r="S146" s="271">
        <f ca="1">(MAX(0,F146-0.003)*0.9*((O146)*(1/12)))*IF(OR(C146&gt;ÉV!$I$2,AND(C146=ÉV!$I$2,D146&gt;ÉV!$J$2)),0,1)</f>
        <v>0</v>
      </c>
      <c r="T146" s="271">
        <f ca="1">(MAX(0,F146-0.003)*0.9*((Q145)*(1/12)))*IF(OR(C146&gt;ÉV!$I$2,AND(C146=ÉV!$I$2,D146&gt;ÉV!$J$2)),0,1)</f>
        <v>0</v>
      </c>
      <c r="U146" s="271">
        <f ca="1">IF($D146=1,R146,R146+U145)*IF(OR(C146&gt;ÉV!$I$2,AND(C146=ÉV!$I$2,D146&gt;ÉV!$J$2)),0,1)</f>
        <v>0</v>
      </c>
      <c r="V146" s="271">
        <f ca="1">IF($D146=1,S146,S146+V145)*IF(OR(C146&gt;ÉV!$I$2,AND(C146=ÉV!$I$2,D146&gt;ÉV!$J$2)),0,1)</f>
        <v>0</v>
      </c>
      <c r="W146" s="271">
        <f ca="1">IF($D146=1,T146,T146+W145)*IF(OR(C146&gt;ÉV!$I$2,AND(C146=ÉV!$I$2,D146&gt;ÉV!$J$2)),0,1)</f>
        <v>0</v>
      </c>
      <c r="X146" s="271">
        <f ca="1">IF(OR(D146=12,AND(C146=ÉV!$I$2,D146=ÉV!$J$2)),SUM(U146:W146)+X145,X145)*IF(OR(C146&gt;ÉV!$I$2,AND(C146=ÉV!$I$2,D146&gt;ÉV!$J$2)),0,1)</f>
        <v>0</v>
      </c>
      <c r="Y146" s="271">
        <f t="shared" ca="1" si="24"/>
        <v>0</v>
      </c>
      <c r="Z146" s="265">
        <f t="shared" si="25"/>
        <v>12</v>
      </c>
      <c r="AA146" s="272">
        <f t="shared" ca="1" si="26"/>
        <v>21691.700955201708</v>
      </c>
      <c r="AB146" s="265">
        <f t="shared" ca="1" si="32"/>
        <v>2029</v>
      </c>
      <c r="AC146" s="265">
        <f t="shared" ca="1" si="33"/>
        <v>3</v>
      </c>
      <c r="AD146" s="276">
        <f ca="1">IF(     OR(               AND(MAX(AF$6:AF146)&lt;2,  AC146=12),                 AF146=2),                   SUMIF(AB:AB,AB146,AA:AA),                       0)</f>
        <v>0</v>
      </c>
      <c r="AE146" s="277">
        <f t="shared" ca="1" si="34"/>
        <v>0</v>
      </c>
      <c r="AF146" s="277">
        <f t="shared" ca="1" si="27"/>
        <v>0</v>
      </c>
      <c r="AG146" s="402">
        <f ca="1">IF(  AND(AC146=AdóHó,   MAX(AF$1:AF145)&lt;2),   SUMIF(AB:AB,AB146-1,AE:AE),0  )
+ IF(AND(AC146&lt;AdóHó,                            AF146=2),   SUMIF(AB:AB,AB146-1,AE:AE),0  )
+ IF(                                                                  AF146=2,    SUMIF(AB:AB,AB146,AE:AE   ),0  )</f>
        <v>0</v>
      </c>
      <c r="AH146" s="272">
        <f ca="1">SUM(AG$2:AG146)</f>
        <v>496744.29053290945</v>
      </c>
    </row>
    <row r="147" spans="1:34">
      <c r="A147" s="265">
        <f t="shared" si="28"/>
        <v>13</v>
      </c>
      <c r="B147" s="265">
        <f t="shared" si="29"/>
        <v>1</v>
      </c>
      <c r="C147" s="265">
        <f t="shared" ca="1" si="30"/>
        <v>13</v>
      </c>
      <c r="D147" s="265">
        <f t="shared" ca="1" si="31"/>
        <v>4</v>
      </c>
      <c r="E147" s="266">
        <v>5.0000000000000001E-3</v>
      </c>
      <c r="F147" s="267">
        <f>ÉV!$B$12</f>
        <v>0</v>
      </c>
      <c r="G147" s="271">
        <f ca="1">VLOOKUP(A147,ÉV!$A$18:$B$65,2,0)</f>
        <v>265506.41969166888</v>
      </c>
      <c r="H147" s="271">
        <f ca="1">IF(OR(A147=1,AND(C147=ÉV!$I$2,D147&gt;ÉV!$J$2),C147&gt;ÉV!$I$2),0,INDEX(Pz!$B$2:$AM$48,A147-1,ÉV!$G$2-9)/100000*ÉV!$B$10)</f>
        <v>235240.44692169482</v>
      </c>
      <c r="I147" s="271">
        <f ca="1">INDEX(Pz!$B$2:$AM$48,HÓ!A147,ÉV!$G$2-9)/100000*ÉV!$B$10</f>
        <v>239928.53879756347</v>
      </c>
      <c r="J147" s="273">
        <f ca="1">IF(OR(A147=1,A147=2,AND(C147=ÉV!$I$2,D147&gt;ÉV!$J$2),C147&gt;ÉV!$I$2),0,VLOOKUP(A147-2,ÉV!$A$18:$C$65,3,0))</f>
        <v>2093708.4497330307</v>
      </c>
      <c r="K147" s="273">
        <f ca="1">IF(OR(A147=1,AND(C147=ÉV!$I$2,D147&gt;ÉV!$J$2),C147&gt;ÉV!$I$2),0,VLOOKUP(A147-1,ÉV!$A$18:$C$65,3,0))</f>
        <v>2333702.0350769893</v>
      </c>
      <c r="L147" s="273">
        <f ca="1">VLOOKUP(A147,ÉV!$A$18:$C$65,3,0)*IF(OR(AND(C147=ÉV!$I$2,D147&gt;ÉV!$J$2),C147&gt;ÉV!$I$2),0,1)</f>
        <v>2578772.3495152127</v>
      </c>
      <c r="M147" s="273">
        <f ca="1">(K147*(12-B147)/12+L147*B147/12)*IF(A147&gt;ÉV!$G$2,0,1)+IF(A147&gt;ÉV!$G$2,M146,0)*IF(OR(AND(C147=ÉV!$I$2,D147&gt;ÉV!$J$2),C147&gt;ÉV!$I$2),0,1)</f>
        <v>2354124.5612801746</v>
      </c>
      <c r="N147" s="274">
        <f ca="1">IF(AND(C147=1,D147&lt;12),0,1)*IF(D147=12,MAX(0,F147-E147-0.003)*0.9*((K147+I147)*(B147/12)+(J147+H147)*(1-B147/12))+MAX(0,F147-0.003)*0.9*N146+N146,IF(AND(C147=ÉV!$I$2,D147=ÉV!$J$2),(M147+N146)*MAX(0,F147-0.003)*0.9*(D147/12)+N146,N146))*IF(OR(C147&gt;ÉV!$I$2,AND(C147=ÉV!$I$2,D147&gt;ÉV!$J$2)),0,1)</f>
        <v>0</v>
      </c>
      <c r="O147" s="313">
        <f ca="1">IF(MAX(AF$2:AF146)=2,      0,IF(OR(AC147=7, AF147=2),    SUM(AE$2:AE147),    O146)   )</f>
        <v>496744.29053290945</v>
      </c>
      <c r="P147" s="271">
        <f ca="1">IF(D147=12,V147+P146+P146*(F147-0.003)*0.9,IF(AND(C147=ÉV!$I$2,D147=ÉV!$J$2),V147+P146+P146*(F147-0.003)*0.9*D147/12,P146))*IF(OR(C147&gt;ÉV!$I$2,AND(C147=ÉV!$I$2,D147&gt;ÉV!$J$2)),0,1)</f>
        <v>0</v>
      </c>
      <c r="Q147" s="275">
        <f ca="1">(N147+P147)*IF(OR(AND(C147=ÉV!$I$2,D147&gt;ÉV!$J$2),C147&gt;ÉV!$I$2),0,1)</f>
        <v>0</v>
      </c>
      <c r="R147" s="271">
        <f ca="1">(MAX(0,F147-E147-0.003)*0.9*((K147+I147)*(1/12)))*IF(OR(C147&gt;ÉV!$I$2,AND(C147=ÉV!$I$2,D147&gt;ÉV!$J$2)),0,1)</f>
        <v>0</v>
      </c>
      <c r="S147" s="271">
        <f ca="1">(MAX(0,F147-0.003)*0.9*((O147)*(1/12)))*IF(OR(C147&gt;ÉV!$I$2,AND(C147=ÉV!$I$2,D147&gt;ÉV!$J$2)),0,1)</f>
        <v>0</v>
      </c>
      <c r="T147" s="271">
        <f ca="1">(MAX(0,F147-0.003)*0.9*((Q146)*(1/12)))*IF(OR(C147&gt;ÉV!$I$2,AND(C147=ÉV!$I$2,D147&gt;ÉV!$J$2)),0,1)</f>
        <v>0</v>
      </c>
      <c r="U147" s="271">
        <f ca="1">IF($D147=1,R147,R147+U146)*IF(OR(C147&gt;ÉV!$I$2,AND(C147=ÉV!$I$2,D147&gt;ÉV!$J$2)),0,1)</f>
        <v>0</v>
      </c>
      <c r="V147" s="271">
        <f ca="1">IF($D147=1,S147,S147+V146)*IF(OR(C147&gt;ÉV!$I$2,AND(C147=ÉV!$I$2,D147&gt;ÉV!$J$2)),0,1)</f>
        <v>0</v>
      </c>
      <c r="W147" s="271">
        <f ca="1">IF($D147=1,T147,T147+W146)*IF(OR(C147&gt;ÉV!$I$2,AND(C147=ÉV!$I$2,D147&gt;ÉV!$J$2)),0,1)</f>
        <v>0</v>
      </c>
      <c r="X147" s="271">
        <f ca="1">IF(OR(D147=12,AND(C147=ÉV!$I$2,D147=ÉV!$J$2)),SUM(U147:W147)+X146,X146)*IF(OR(C147&gt;ÉV!$I$2,AND(C147=ÉV!$I$2,D147&gt;ÉV!$J$2)),0,1)</f>
        <v>0</v>
      </c>
      <c r="Y147" s="271">
        <f t="shared" ca="1" si="24"/>
        <v>0</v>
      </c>
      <c r="Z147" s="265">
        <f t="shared" si="25"/>
        <v>1</v>
      </c>
      <c r="AA147" s="272">
        <f t="shared" ca="1" si="26"/>
        <v>22125.534974305741</v>
      </c>
      <c r="AB147" s="265">
        <f t="shared" ca="1" si="32"/>
        <v>2029</v>
      </c>
      <c r="AC147" s="265">
        <f t="shared" ca="1" si="33"/>
        <v>4</v>
      </c>
      <c r="AD147" s="276">
        <f ca="1">IF(     OR(               AND(MAX(AF$6:AF147)&lt;2,  AC147=12),                 AF147=2),                   SUMIF(AB:AB,AB147,AA:AA),                       0)</f>
        <v>0</v>
      </c>
      <c r="AE147" s="277">
        <f t="shared" ca="1" si="34"/>
        <v>0</v>
      </c>
      <c r="AF147" s="277">
        <f t="shared" ca="1" si="27"/>
        <v>0</v>
      </c>
      <c r="AG147" s="402">
        <f ca="1">IF(  AND(AC147=AdóHó,   MAX(AF$1:AF146)&lt;2),   SUMIF(AB:AB,AB147-1,AE:AE),0  )
+ IF(AND(AC147&lt;AdóHó,                            AF147=2),   SUMIF(AB:AB,AB147-1,AE:AE),0  )
+ IF(                                                                  AF147=2,    SUMIF(AB:AB,AB147,AE:AE   ),0  )</f>
        <v>0</v>
      </c>
      <c r="AH147" s="272">
        <f ca="1">SUM(AG$2:AG147)</f>
        <v>496744.29053290945</v>
      </c>
    </row>
    <row r="148" spans="1:34">
      <c r="A148" s="265">
        <f t="shared" si="28"/>
        <v>13</v>
      </c>
      <c r="B148" s="265">
        <f t="shared" si="29"/>
        <v>2</v>
      </c>
      <c r="C148" s="265">
        <f t="shared" ca="1" si="30"/>
        <v>13</v>
      </c>
      <c r="D148" s="265">
        <f t="shared" ca="1" si="31"/>
        <v>5</v>
      </c>
      <c r="E148" s="266">
        <v>5.0000000000000001E-3</v>
      </c>
      <c r="F148" s="267">
        <f>ÉV!$B$12</f>
        <v>0</v>
      </c>
      <c r="G148" s="271">
        <f ca="1">VLOOKUP(A148,ÉV!$A$18:$B$65,2,0)</f>
        <v>265506.41969166888</v>
      </c>
      <c r="H148" s="271">
        <f ca="1">IF(OR(A148=1,AND(C148=ÉV!$I$2,D148&gt;ÉV!$J$2),C148&gt;ÉV!$I$2),0,INDEX(Pz!$B$2:$AM$48,A148-1,ÉV!$G$2-9)/100000*ÉV!$B$10)</f>
        <v>235240.44692169482</v>
      </c>
      <c r="I148" s="271">
        <f ca="1">INDEX(Pz!$B$2:$AM$48,HÓ!A148,ÉV!$G$2-9)/100000*ÉV!$B$10</f>
        <v>239928.53879756347</v>
      </c>
      <c r="J148" s="273">
        <f ca="1">IF(OR(A148=1,A148=2,AND(C148=ÉV!$I$2,D148&gt;ÉV!$J$2),C148&gt;ÉV!$I$2),0,VLOOKUP(A148-2,ÉV!$A$18:$C$65,3,0))</f>
        <v>2093708.4497330307</v>
      </c>
      <c r="K148" s="273">
        <f ca="1">IF(OR(A148=1,AND(C148=ÉV!$I$2,D148&gt;ÉV!$J$2),C148&gt;ÉV!$I$2),0,VLOOKUP(A148-1,ÉV!$A$18:$C$65,3,0))</f>
        <v>2333702.0350769893</v>
      </c>
      <c r="L148" s="273">
        <f ca="1">VLOOKUP(A148,ÉV!$A$18:$C$65,3,0)*IF(OR(AND(C148=ÉV!$I$2,D148&gt;ÉV!$J$2),C148&gt;ÉV!$I$2),0,1)</f>
        <v>2578772.3495152127</v>
      </c>
      <c r="M148" s="273">
        <f ca="1">(K148*(12-B148)/12+L148*B148/12)*IF(A148&gt;ÉV!$G$2,0,1)+IF(A148&gt;ÉV!$G$2,M147,0)*IF(OR(AND(C148=ÉV!$I$2,D148&gt;ÉV!$J$2),C148&gt;ÉV!$I$2),0,1)</f>
        <v>2374547.0874833595</v>
      </c>
      <c r="N148" s="274">
        <f ca="1">IF(AND(C148=1,D148&lt;12),0,1)*IF(D148=12,MAX(0,F148-E148-0.003)*0.9*((K148+I148)*(B148/12)+(J148+H148)*(1-B148/12))+MAX(0,F148-0.003)*0.9*N147+N147,IF(AND(C148=ÉV!$I$2,D148=ÉV!$J$2),(M148+N147)*MAX(0,F148-0.003)*0.9*(D148/12)+N147,N147))*IF(OR(C148&gt;ÉV!$I$2,AND(C148=ÉV!$I$2,D148&gt;ÉV!$J$2)),0,1)</f>
        <v>0</v>
      </c>
      <c r="O148" s="313">
        <f ca="1">IF(MAX(AF$2:AF147)=2,      0,IF(OR(AC148=7, AF148=2),    SUM(AE$2:AE148),    O147)   )</f>
        <v>496744.29053290945</v>
      </c>
      <c r="P148" s="271">
        <f ca="1">IF(D148=12,V148+P147+P147*(F148-0.003)*0.9,IF(AND(C148=ÉV!$I$2,D148=ÉV!$J$2),V148+P147+P147*(F148-0.003)*0.9*D148/12,P147))*IF(OR(C148&gt;ÉV!$I$2,AND(C148=ÉV!$I$2,D148&gt;ÉV!$J$2)),0,1)</f>
        <v>0</v>
      </c>
      <c r="Q148" s="275">
        <f ca="1">(N148+P148)*IF(OR(AND(C148=ÉV!$I$2,D148&gt;ÉV!$J$2),C148&gt;ÉV!$I$2),0,1)</f>
        <v>0</v>
      </c>
      <c r="R148" s="271">
        <f ca="1">(MAX(0,F148-E148-0.003)*0.9*((K148+I148)*(1/12)))*IF(OR(C148&gt;ÉV!$I$2,AND(C148=ÉV!$I$2,D148&gt;ÉV!$J$2)),0,1)</f>
        <v>0</v>
      </c>
      <c r="S148" s="271">
        <f ca="1">(MAX(0,F148-0.003)*0.9*((O148)*(1/12)))*IF(OR(C148&gt;ÉV!$I$2,AND(C148=ÉV!$I$2,D148&gt;ÉV!$J$2)),0,1)</f>
        <v>0</v>
      </c>
      <c r="T148" s="271">
        <f ca="1">(MAX(0,F148-0.003)*0.9*((Q147)*(1/12)))*IF(OR(C148&gt;ÉV!$I$2,AND(C148=ÉV!$I$2,D148&gt;ÉV!$J$2)),0,1)</f>
        <v>0</v>
      </c>
      <c r="U148" s="271">
        <f ca="1">IF($D148=1,R148,R148+U147)*IF(OR(C148&gt;ÉV!$I$2,AND(C148=ÉV!$I$2,D148&gt;ÉV!$J$2)),0,1)</f>
        <v>0</v>
      </c>
      <c r="V148" s="271">
        <f ca="1">IF($D148=1,S148,S148+V147)*IF(OR(C148&gt;ÉV!$I$2,AND(C148=ÉV!$I$2,D148&gt;ÉV!$J$2)),0,1)</f>
        <v>0</v>
      </c>
      <c r="W148" s="271">
        <f ca="1">IF($D148=1,T148,T148+W147)*IF(OR(C148&gt;ÉV!$I$2,AND(C148=ÉV!$I$2,D148&gt;ÉV!$J$2)),0,1)</f>
        <v>0</v>
      </c>
      <c r="X148" s="271">
        <f ca="1">IF(OR(D148=12,AND(C148=ÉV!$I$2,D148=ÉV!$J$2)),SUM(U148:W148)+X147,X147)*IF(OR(C148&gt;ÉV!$I$2,AND(C148=ÉV!$I$2,D148&gt;ÉV!$J$2)),0,1)</f>
        <v>0</v>
      </c>
      <c r="Y148" s="271">
        <f t="shared" ca="1" si="24"/>
        <v>0</v>
      </c>
      <c r="Z148" s="265">
        <f t="shared" si="25"/>
        <v>2</v>
      </c>
      <c r="AA148" s="272">
        <f t="shared" ca="1" si="26"/>
        <v>22125.534974305741</v>
      </c>
      <c r="AB148" s="265">
        <f t="shared" ca="1" si="32"/>
        <v>2029</v>
      </c>
      <c r="AC148" s="265">
        <f t="shared" ca="1" si="33"/>
        <v>5</v>
      </c>
      <c r="AD148" s="276">
        <f ca="1">IF(     OR(               AND(MAX(AF$6:AF148)&lt;2,  AC148=12),                 AF148=2),                   SUMIF(AB:AB,AB148,AA:AA),                       0)</f>
        <v>0</v>
      </c>
      <c r="AE148" s="277">
        <f t="shared" ca="1" si="34"/>
        <v>0</v>
      </c>
      <c r="AF148" s="277">
        <f t="shared" ca="1" si="27"/>
        <v>0</v>
      </c>
      <c r="AG148" s="402">
        <f ca="1">IF(  AND(AC148=AdóHó,   MAX(AF$1:AF147)&lt;2),   SUMIF(AB:AB,AB148-1,AE:AE),0  )
+ IF(AND(AC148&lt;AdóHó,                            AF148=2),   SUMIF(AB:AB,AB148-1,AE:AE),0  )
+ IF(                                                                  AF148=2,    SUMIF(AB:AB,AB148,AE:AE   ),0  )</f>
        <v>0</v>
      </c>
      <c r="AH148" s="272">
        <f ca="1">SUM(AG$2:AG148)</f>
        <v>496744.29053290945</v>
      </c>
    </row>
    <row r="149" spans="1:34">
      <c r="A149" s="265">
        <f t="shared" si="28"/>
        <v>13</v>
      </c>
      <c r="B149" s="265">
        <f t="shared" si="29"/>
        <v>3</v>
      </c>
      <c r="C149" s="265">
        <f t="shared" ca="1" si="30"/>
        <v>13</v>
      </c>
      <c r="D149" s="265">
        <f t="shared" ca="1" si="31"/>
        <v>6</v>
      </c>
      <c r="E149" s="266">
        <v>5.0000000000000001E-3</v>
      </c>
      <c r="F149" s="267">
        <f>ÉV!$B$12</f>
        <v>0</v>
      </c>
      <c r="G149" s="271">
        <f ca="1">VLOOKUP(A149,ÉV!$A$18:$B$65,2,0)</f>
        <v>265506.41969166888</v>
      </c>
      <c r="H149" s="271">
        <f ca="1">IF(OR(A149=1,AND(C149=ÉV!$I$2,D149&gt;ÉV!$J$2),C149&gt;ÉV!$I$2),0,INDEX(Pz!$B$2:$AM$48,A149-1,ÉV!$G$2-9)/100000*ÉV!$B$10)</f>
        <v>235240.44692169482</v>
      </c>
      <c r="I149" s="271">
        <f ca="1">INDEX(Pz!$B$2:$AM$48,HÓ!A149,ÉV!$G$2-9)/100000*ÉV!$B$10</f>
        <v>239928.53879756347</v>
      </c>
      <c r="J149" s="273">
        <f ca="1">IF(OR(A149=1,A149=2,AND(C149=ÉV!$I$2,D149&gt;ÉV!$J$2),C149&gt;ÉV!$I$2),0,VLOOKUP(A149-2,ÉV!$A$18:$C$65,3,0))</f>
        <v>2093708.4497330307</v>
      </c>
      <c r="K149" s="273">
        <f ca="1">IF(OR(A149=1,AND(C149=ÉV!$I$2,D149&gt;ÉV!$J$2),C149&gt;ÉV!$I$2),0,VLOOKUP(A149-1,ÉV!$A$18:$C$65,3,0))</f>
        <v>2333702.0350769893</v>
      </c>
      <c r="L149" s="273">
        <f ca="1">VLOOKUP(A149,ÉV!$A$18:$C$65,3,0)*IF(OR(AND(C149=ÉV!$I$2,D149&gt;ÉV!$J$2),C149&gt;ÉV!$I$2),0,1)</f>
        <v>2578772.3495152127</v>
      </c>
      <c r="M149" s="273">
        <f ca="1">(K149*(12-B149)/12+L149*B149/12)*IF(A149&gt;ÉV!$G$2,0,1)+IF(A149&gt;ÉV!$G$2,M148,0)*IF(OR(AND(C149=ÉV!$I$2,D149&gt;ÉV!$J$2),C149&gt;ÉV!$I$2),0,1)</f>
        <v>2394969.6136865453</v>
      </c>
      <c r="N149" s="274">
        <f ca="1">IF(AND(C149=1,D149&lt;12),0,1)*IF(D149=12,MAX(0,F149-E149-0.003)*0.9*((K149+I149)*(B149/12)+(J149+H149)*(1-B149/12))+MAX(0,F149-0.003)*0.9*N148+N148,IF(AND(C149=ÉV!$I$2,D149=ÉV!$J$2),(M149+N148)*MAX(0,F149-0.003)*0.9*(D149/12)+N148,N148))*IF(OR(C149&gt;ÉV!$I$2,AND(C149=ÉV!$I$2,D149&gt;ÉV!$J$2)),0,1)</f>
        <v>0</v>
      </c>
      <c r="O149" s="313">
        <f ca="1">IF(MAX(AF$2:AF148)=2,      0,IF(OR(AC149=7, AF149=2),    SUM(AE$2:AE149),    O148)   )</f>
        <v>496744.29053290945</v>
      </c>
      <c r="P149" s="271">
        <f ca="1">IF(D149=12,V149+P148+P148*(F149-0.003)*0.9,IF(AND(C149=ÉV!$I$2,D149=ÉV!$J$2),V149+P148+P148*(F149-0.003)*0.9*D149/12,P148))*IF(OR(C149&gt;ÉV!$I$2,AND(C149=ÉV!$I$2,D149&gt;ÉV!$J$2)),0,1)</f>
        <v>0</v>
      </c>
      <c r="Q149" s="275">
        <f ca="1">(N149+P149)*IF(OR(AND(C149=ÉV!$I$2,D149&gt;ÉV!$J$2),C149&gt;ÉV!$I$2),0,1)</f>
        <v>0</v>
      </c>
      <c r="R149" s="271">
        <f ca="1">(MAX(0,F149-E149-0.003)*0.9*((K149+I149)*(1/12)))*IF(OR(C149&gt;ÉV!$I$2,AND(C149=ÉV!$I$2,D149&gt;ÉV!$J$2)),0,1)</f>
        <v>0</v>
      </c>
      <c r="S149" s="271">
        <f ca="1">(MAX(0,F149-0.003)*0.9*((O149)*(1/12)))*IF(OR(C149&gt;ÉV!$I$2,AND(C149=ÉV!$I$2,D149&gt;ÉV!$J$2)),0,1)</f>
        <v>0</v>
      </c>
      <c r="T149" s="271">
        <f ca="1">(MAX(0,F149-0.003)*0.9*((Q148)*(1/12)))*IF(OR(C149&gt;ÉV!$I$2,AND(C149=ÉV!$I$2,D149&gt;ÉV!$J$2)),0,1)</f>
        <v>0</v>
      </c>
      <c r="U149" s="271">
        <f ca="1">IF($D149=1,R149,R149+U148)*IF(OR(C149&gt;ÉV!$I$2,AND(C149=ÉV!$I$2,D149&gt;ÉV!$J$2)),0,1)</f>
        <v>0</v>
      </c>
      <c r="V149" s="271">
        <f ca="1">IF($D149=1,S149,S149+V148)*IF(OR(C149&gt;ÉV!$I$2,AND(C149=ÉV!$I$2,D149&gt;ÉV!$J$2)),0,1)</f>
        <v>0</v>
      </c>
      <c r="W149" s="271">
        <f ca="1">IF($D149=1,T149,T149+W148)*IF(OR(C149&gt;ÉV!$I$2,AND(C149=ÉV!$I$2,D149&gt;ÉV!$J$2)),0,1)</f>
        <v>0</v>
      </c>
      <c r="X149" s="271">
        <f ca="1">IF(OR(D149=12,AND(C149=ÉV!$I$2,D149=ÉV!$J$2)),SUM(U149:W149)+X148,X148)*IF(OR(C149&gt;ÉV!$I$2,AND(C149=ÉV!$I$2,D149&gt;ÉV!$J$2)),0,1)</f>
        <v>0</v>
      </c>
      <c r="Y149" s="271">
        <f t="shared" ca="1" si="24"/>
        <v>0</v>
      </c>
      <c r="Z149" s="265">
        <f t="shared" si="25"/>
        <v>3</v>
      </c>
      <c r="AA149" s="272">
        <f t="shared" ca="1" si="26"/>
        <v>22125.534974305741</v>
      </c>
      <c r="AB149" s="265">
        <f t="shared" ca="1" si="32"/>
        <v>2029</v>
      </c>
      <c r="AC149" s="265">
        <f t="shared" ca="1" si="33"/>
        <v>6</v>
      </c>
      <c r="AD149" s="276">
        <f ca="1">IF(     OR(               AND(MAX(AF$6:AF149)&lt;2,  AC149=12),                 AF149=2),                   SUMIF(AB:AB,AB149,AA:AA),                       0)</f>
        <v>0</v>
      </c>
      <c r="AE149" s="277">
        <f t="shared" ca="1" si="34"/>
        <v>0</v>
      </c>
      <c r="AF149" s="277">
        <f t="shared" ca="1" si="27"/>
        <v>0</v>
      </c>
      <c r="AG149" s="402">
        <f ca="1">IF(  AND(AC149=AdóHó,   MAX(AF$1:AF148)&lt;2),   SUMIF(AB:AB,AB149-1,AE:AE),0  )
+ IF(AND(AC149&lt;AdóHó,                            AF149=2),   SUMIF(AB:AB,AB149-1,AE:AE),0  )
+ IF(                                                                  AF149=2,    SUMIF(AB:AB,AB149,AE:AE   ),0  )</f>
        <v>0</v>
      </c>
      <c r="AH149" s="272">
        <f ca="1">SUM(AG$2:AG149)</f>
        <v>496744.29053290945</v>
      </c>
    </row>
    <row r="150" spans="1:34">
      <c r="A150" s="265">
        <f t="shared" si="28"/>
        <v>13</v>
      </c>
      <c r="B150" s="265">
        <f t="shared" si="29"/>
        <v>4</v>
      </c>
      <c r="C150" s="265">
        <f t="shared" ca="1" si="30"/>
        <v>13</v>
      </c>
      <c r="D150" s="265">
        <f t="shared" ca="1" si="31"/>
        <v>7</v>
      </c>
      <c r="E150" s="266">
        <v>5.0000000000000001E-3</v>
      </c>
      <c r="F150" s="267">
        <f>ÉV!$B$12</f>
        <v>0</v>
      </c>
      <c r="G150" s="271">
        <f ca="1">VLOOKUP(A150,ÉV!$A$18:$B$65,2,0)</f>
        <v>265506.41969166888</v>
      </c>
      <c r="H150" s="271">
        <f ca="1">IF(OR(A150=1,AND(C150=ÉV!$I$2,D150&gt;ÉV!$J$2),C150&gt;ÉV!$I$2),0,INDEX(Pz!$B$2:$AM$48,A150-1,ÉV!$G$2-9)/100000*ÉV!$B$10)</f>
        <v>235240.44692169482</v>
      </c>
      <c r="I150" s="271">
        <f ca="1">INDEX(Pz!$B$2:$AM$48,HÓ!A150,ÉV!$G$2-9)/100000*ÉV!$B$10</f>
        <v>239928.53879756347</v>
      </c>
      <c r="J150" s="273">
        <f ca="1">IF(OR(A150=1,A150=2,AND(C150=ÉV!$I$2,D150&gt;ÉV!$J$2),C150&gt;ÉV!$I$2),0,VLOOKUP(A150-2,ÉV!$A$18:$C$65,3,0))</f>
        <v>2093708.4497330307</v>
      </c>
      <c r="K150" s="273">
        <f ca="1">IF(OR(A150=1,AND(C150=ÉV!$I$2,D150&gt;ÉV!$J$2),C150&gt;ÉV!$I$2),0,VLOOKUP(A150-1,ÉV!$A$18:$C$65,3,0))</f>
        <v>2333702.0350769893</v>
      </c>
      <c r="L150" s="273">
        <f ca="1">VLOOKUP(A150,ÉV!$A$18:$C$65,3,0)*IF(OR(AND(C150=ÉV!$I$2,D150&gt;ÉV!$J$2),C150&gt;ÉV!$I$2),0,1)</f>
        <v>2578772.3495152127</v>
      </c>
      <c r="M150" s="273">
        <f ca="1">(K150*(12-B150)/12+L150*B150/12)*IF(A150&gt;ÉV!$G$2,0,1)+IF(A150&gt;ÉV!$G$2,M149,0)*IF(OR(AND(C150=ÉV!$I$2,D150&gt;ÉV!$J$2),C150&gt;ÉV!$I$2),0,1)</f>
        <v>2415392.1398897301</v>
      </c>
      <c r="N150" s="274">
        <f ca="1">IF(AND(C150=1,D150&lt;12),0,1)*IF(D150=12,MAX(0,F150-E150-0.003)*0.9*((K150+I150)*(B150/12)+(J150+H150)*(1-B150/12))+MAX(0,F150-0.003)*0.9*N149+N149,IF(AND(C150=ÉV!$I$2,D150=ÉV!$J$2),(M150+N149)*MAX(0,F150-0.003)*0.9*(D150/12)+N149,N149))*IF(OR(C150&gt;ÉV!$I$2,AND(C150=ÉV!$I$2,D150&gt;ÉV!$J$2)),0,1)</f>
        <v>0</v>
      </c>
      <c r="O150" s="313">
        <f ca="1">IF(MAX(AF$2:AF149)=2,      0,IF(OR(AC150=7, AF150=2),    SUM(AE$2:AE150),    O149)   )</f>
        <v>548549.17634356767</v>
      </c>
      <c r="P150" s="271">
        <f ca="1">IF(D150=12,V150+P149+P149*(F150-0.003)*0.9,IF(AND(C150=ÉV!$I$2,D150=ÉV!$J$2),V150+P149+P149*(F150-0.003)*0.9*D150/12,P149))*IF(OR(C150&gt;ÉV!$I$2,AND(C150=ÉV!$I$2,D150&gt;ÉV!$J$2)),0,1)</f>
        <v>0</v>
      </c>
      <c r="Q150" s="275">
        <f ca="1">(N150+P150)*IF(OR(AND(C150=ÉV!$I$2,D150&gt;ÉV!$J$2),C150&gt;ÉV!$I$2),0,1)</f>
        <v>0</v>
      </c>
      <c r="R150" s="271">
        <f ca="1">(MAX(0,F150-E150-0.003)*0.9*((K150+I150)*(1/12)))*IF(OR(C150&gt;ÉV!$I$2,AND(C150=ÉV!$I$2,D150&gt;ÉV!$J$2)),0,1)</f>
        <v>0</v>
      </c>
      <c r="S150" s="271">
        <f ca="1">(MAX(0,F150-0.003)*0.9*((O150)*(1/12)))*IF(OR(C150&gt;ÉV!$I$2,AND(C150=ÉV!$I$2,D150&gt;ÉV!$J$2)),0,1)</f>
        <v>0</v>
      </c>
      <c r="T150" s="271">
        <f ca="1">(MAX(0,F150-0.003)*0.9*((Q149)*(1/12)))*IF(OR(C150&gt;ÉV!$I$2,AND(C150=ÉV!$I$2,D150&gt;ÉV!$J$2)),0,1)</f>
        <v>0</v>
      </c>
      <c r="U150" s="271">
        <f ca="1">IF($D150=1,R150,R150+U149)*IF(OR(C150&gt;ÉV!$I$2,AND(C150=ÉV!$I$2,D150&gt;ÉV!$J$2)),0,1)</f>
        <v>0</v>
      </c>
      <c r="V150" s="271">
        <f ca="1">IF($D150=1,S150,S150+V149)*IF(OR(C150&gt;ÉV!$I$2,AND(C150=ÉV!$I$2,D150&gt;ÉV!$J$2)),0,1)</f>
        <v>0</v>
      </c>
      <c r="W150" s="271">
        <f ca="1">IF($D150=1,T150,T150+W149)*IF(OR(C150&gt;ÉV!$I$2,AND(C150=ÉV!$I$2,D150&gt;ÉV!$J$2)),0,1)</f>
        <v>0</v>
      </c>
      <c r="X150" s="271">
        <f ca="1">IF(OR(D150=12,AND(C150=ÉV!$I$2,D150=ÉV!$J$2)),SUM(U150:W150)+X149,X149)*IF(OR(C150&gt;ÉV!$I$2,AND(C150=ÉV!$I$2,D150&gt;ÉV!$J$2)),0,1)</f>
        <v>0</v>
      </c>
      <c r="Y150" s="271">
        <f t="shared" ca="1" si="24"/>
        <v>0</v>
      </c>
      <c r="Z150" s="265">
        <f t="shared" si="25"/>
        <v>4</v>
      </c>
      <c r="AA150" s="272">
        <f t="shared" ca="1" si="26"/>
        <v>22125.534974305741</v>
      </c>
      <c r="AB150" s="265">
        <f t="shared" ca="1" si="32"/>
        <v>2029</v>
      </c>
      <c r="AC150" s="265">
        <f t="shared" ca="1" si="33"/>
        <v>7</v>
      </c>
      <c r="AD150" s="276">
        <f ca="1">IF(     OR(               AND(MAX(AF$6:AF150)&lt;2,  AC150=12),                 AF150=2),                   SUMIF(AB:AB,AB150,AA:AA),                       0)</f>
        <v>0</v>
      </c>
      <c r="AE150" s="277">
        <f t="shared" ca="1" si="34"/>
        <v>0</v>
      </c>
      <c r="AF150" s="277">
        <f t="shared" ca="1" si="27"/>
        <v>0</v>
      </c>
      <c r="AG150" s="402">
        <f ca="1">IF(  AND(AC150=AdóHó,   MAX(AF$1:AF149)&lt;2),   SUMIF(AB:AB,AB150-1,AE:AE),0  )
+ IF(AND(AC150&lt;AdóHó,                            AF150=2),   SUMIF(AB:AB,AB150-1,AE:AE),0  )
+ IF(                                                                  AF150=2,    SUMIF(AB:AB,AB150,AE:AE   ),0  )</f>
        <v>51804.88581065819</v>
      </c>
      <c r="AH150" s="272">
        <f ca="1">SUM(AG$2:AG150)</f>
        <v>548549.17634356767</v>
      </c>
    </row>
    <row r="151" spans="1:34">
      <c r="A151" s="265">
        <f t="shared" si="28"/>
        <v>13</v>
      </c>
      <c r="B151" s="265">
        <f t="shared" si="29"/>
        <v>5</v>
      </c>
      <c r="C151" s="265">
        <f t="shared" ca="1" si="30"/>
        <v>13</v>
      </c>
      <c r="D151" s="265">
        <f t="shared" ca="1" si="31"/>
        <v>8</v>
      </c>
      <c r="E151" s="266">
        <v>5.0000000000000001E-3</v>
      </c>
      <c r="F151" s="267">
        <f>ÉV!$B$12</f>
        <v>0</v>
      </c>
      <c r="G151" s="271">
        <f ca="1">VLOOKUP(A151,ÉV!$A$18:$B$65,2,0)</f>
        <v>265506.41969166888</v>
      </c>
      <c r="H151" s="271">
        <f ca="1">IF(OR(A151=1,AND(C151=ÉV!$I$2,D151&gt;ÉV!$J$2),C151&gt;ÉV!$I$2),0,INDEX(Pz!$B$2:$AM$48,A151-1,ÉV!$G$2-9)/100000*ÉV!$B$10)</f>
        <v>235240.44692169482</v>
      </c>
      <c r="I151" s="271">
        <f ca="1">INDEX(Pz!$B$2:$AM$48,HÓ!A151,ÉV!$G$2-9)/100000*ÉV!$B$10</f>
        <v>239928.53879756347</v>
      </c>
      <c r="J151" s="273">
        <f ca="1">IF(OR(A151=1,A151=2,AND(C151=ÉV!$I$2,D151&gt;ÉV!$J$2),C151&gt;ÉV!$I$2),0,VLOOKUP(A151-2,ÉV!$A$18:$C$65,3,0))</f>
        <v>2093708.4497330307</v>
      </c>
      <c r="K151" s="273">
        <f ca="1">IF(OR(A151=1,AND(C151=ÉV!$I$2,D151&gt;ÉV!$J$2),C151&gt;ÉV!$I$2),0,VLOOKUP(A151-1,ÉV!$A$18:$C$65,3,0))</f>
        <v>2333702.0350769893</v>
      </c>
      <c r="L151" s="273">
        <f ca="1">VLOOKUP(A151,ÉV!$A$18:$C$65,3,0)*IF(OR(AND(C151=ÉV!$I$2,D151&gt;ÉV!$J$2),C151&gt;ÉV!$I$2),0,1)</f>
        <v>2578772.3495152127</v>
      </c>
      <c r="M151" s="273">
        <f ca="1">(K151*(12-B151)/12+L151*B151/12)*IF(A151&gt;ÉV!$G$2,0,1)+IF(A151&gt;ÉV!$G$2,M150,0)*IF(OR(AND(C151=ÉV!$I$2,D151&gt;ÉV!$J$2),C151&gt;ÉV!$I$2),0,1)</f>
        <v>2435814.6660929155</v>
      </c>
      <c r="N151" s="274">
        <f ca="1">IF(AND(C151=1,D151&lt;12),0,1)*IF(D151=12,MAX(0,F151-E151-0.003)*0.9*((K151+I151)*(B151/12)+(J151+H151)*(1-B151/12))+MAX(0,F151-0.003)*0.9*N150+N150,IF(AND(C151=ÉV!$I$2,D151=ÉV!$J$2),(M151+N150)*MAX(0,F151-0.003)*0.9*(D151/12)+N150,N150))*IF(OR(C151&gt;ÉV!$I$2,AND(C151=ÉV!$I$2,D151&gt;ÉV!$J$2)),0,1)</f>
        <v>0</v>
      </c>
      <c r="O151" s="313">
        <f ca="1">IF(MAX(AF$2:AF150)=2,      0,IF(OR(AC151=7, AF151=2),    SUM(AE$2:AE151),    O150)   )</f>
        <v>548549.17634356767</v>
      </c>
      <c r="P151" s="271">
        <f ca="1">IF(D151=12,V151+P150+P150*(F151-0.003)*0.9,IF(AND(C151=ÉV!$I$2,D151=ÉV!$J$2),V151+P150+P150*(F151-0.003)*0.9*D151/12,P150))*IF(OR(C151&gt;ÉV!$I$2,AND(C151=ÉV!$I$2,D151&gt;ÉV!$J$2)),0,1)</f>
        <v>0</v>
      </c>
      <c r="Q151" s="275">
        <f ca="1">(N151+P151)*IF(OR(AND(C151=ÉV!$I$2,D151&gt;ÉV!$J$2),C151&gt;ÉV!$I$2),0,1)</f>
        <v>0</v>
      </c>
      <c r="R151" s="271">
        <f ca="1">(MAX(0,F151-E151-0.003)*0.9*((K151+I151)*(1/12)))*IF(OR(C151&gt;ÉV!$I$2,AND(C151=ÉV!$I$2,D151&gt;ÉV!$J$2)),0,1)</f>
        <v>0</v>
      </c>
      <c r="S151" s="271">
        <f ca="1">(MAX(0,F151-0.003)*0.9*((O151)*(1/12)))*IF(OR(C151&gt;ÉV!$I$2,AND(C151=ÉV!$I$2,D151&gt;ÉV!$J$2)),0,1)</f>
        <v>0</v>
      </c>
      <c r="T151" s="271">
        <f ca="1">(MAX(0,F151-0.003)*0.9*((Q150)*(1/12)))*IF(OR(C151&gt;ÉV!$I$2,AND(C151=ÉV!$I$2,D151&gt;ÉV!$J$2)),0,1)</f>
        <v>0</v>
      </c>
      <c r="U151" s="271">
        <f ca="1">IF($D151=1,R151,R151+U150)*IF(OR(C151&gt;ÉV!$I$2,AND(C151=ÉV!$I$2,D151&gt;ÉV!$J$2)),0,1)</f>
        <v>0</v>
      </c>
      <c r="V151" s="271">
        <f ca="1">IF($D151=1,S151,S151+V150)*IF(OR(C151&gt;ÉV!$I$2,AND(C151=ÉV!$I$2,D151&gt;ÉV!$J$2)),0,1)</f>
        <v>0</v>
      </c>
      <c r="W151" s="271">
        <f ca="1">IF($D151=1,T151,T151+W150)*IF(OR(C151&gt;ÉV!$I$2,AND(C151=ÉV!$I$2,D151&gt;ÉV!$J$2)),0,1)</f>
        <v>0</v>
      </c>
      <c r="X151" s="271">
        <f ca="1">IF(OR(D151=12,AND(C151=ÉV!$I$2,D151=ÉV!$J$2)),SUM(U151:W151)+X150,X150)*IF(OR(C151&gt;ÉV!$I$2,AND(C151=ÉV!$I$2,D151&gt;ÉV!$J$2)),0,1)</f>
        <v>0</v>
      </c>
      <c r="Y151" s="271">
        <f t="shared" ca="1" si="24"/>
        <v>0</v>
      </c>
      <c r="Z151" s="265">
        <f t="shared" si="25"/>
        <v>5</v>
      </c>
      <c r="AA151" s="272">
        <f t="shared" ca="1" si="26"/>
        <v>22125.534974305741</v>
      </c>
      <c r="AB151" s="265">
        <f t="shared" ca="1" si="32"/>
        <v>2029</v>
      </c>
      <c r="AC151" s="265">
        <f t="shared" ca="1" si="33"/>
        <v>8</v>
      </c>
      <c r="AD151" s="276">
        <f ca="1">IF(     OR(               AND(MAX(AF$6:AF151)&lt;2,  AC151=12),                 AF151=2),                   SUMIF(AB:AB,AB151,AA:AA),                       0)</f>
        <v>0</v>
      </c>
      <c r="AE151" s="277">
        <f t="shared" ca="1" si="34"/>
        <v>0</v>
      </c>
      <c r="AF151" s="277">
        <f t="shared" ca="1" si="27"/>
        <v>0</v>
      </c>
      <c r="AG151" s="402">
        <f ca="1">IF(  AND(AC151=AdóHó,   MAX(AF$1:AF150)&lt;2),   SUMIF(AB:AB,AB151-1,AE:AE),0  )
+ IF(AND(AC151&lt;AdóHó,                            AF151=2),   SUMIF(AB:AB,AB151-1,AE:AE),0  )
+ IF(                                                                  AF151=2,    SUMIF(AB:AB,AB151,AE:AE   ),0  )</f>
        <v>0</v>
      </c>
      <c r="AH151" s="272">
        <f ca="1">SUM(AG$2:AG151)</f>
        <v>548549.17634356767</v>
      </c>
    </row>
    <row r="152" spans="1:34">
      <c r="A152" s="265">
        <f t="shared" si="28"/>
        <v>13</v>
      </c>
      <c r="B152" s="265">
        <f t="shared" si="29"/>
        <v>6</v>
      </c>
      <c r="C152" s="265">
        <f t="shared" ca="1" si="30"/>
        <v>13</v>
      </c>
      <c r="D152" s="265">
        <f t="shared" ca="1" si="31"/>
        <v>9</v>
      </c>
      <c r="E152" s="266">
        <v>5.0000000000000001E-3</v>
      </c>
      <c r="F152" s="267">
        <f>ÉV!$B$12</f>
        <v>0</v>
      </c>
      <c r="G152" s="271">
        <f ca="1">VLOOKUP(A152,ÉV!$A$18:$B$65,2,0)</f>
        <v>265506.41969166888</v>
      </c>
      <c r="H152" s="271">
        <f ca="1">IF(OR(A152=1,AND(C152=ÉV!$I$2,D152&gt;ÉV!$J$2),C152&gt;ÉV!$I$2),0,INDEX(Pz!$B$2:$AM$48,A152-1,ÉV!$G$2-9)/100000*ÉV!$B$10)</f>
        <v>235240.44692169482</v>
      </c>
      <c r="I152" s="271">
        <f ca="1">INDEX(Pz!$B$2:$AM$48,HÓ!A152,ÉV!$G$2-9)/100000*ÉV!$B$10</f>
        <v>239928.53879756347</v>
      </c>
      <c r="J152" s="273">
        <f ca="1">IF(OR(A152=1,A152=2,AND(C152=ÉV!$I$2,D152&gt;ÉV!$J$2),C152&gt;ÉV!$I$2),0,VLOOKUP(A152-2,ÉV!$A$18:$C$65,3,0))</f>
        <v>2093708.4497330307</v>
      </c>
      <c r="K152" s="273">
        <f ca="1">IF(OR(A152=1,AND(C152=ÉV!$I$2,D152&gt;ÉV!$J$2),C152&gt;ÉV!$I$2),0,VLOOKUP(A152-1,ÉV!$A$18:$C$65,3,0))</f>
        <v>2333702.0350769893</v>
      </c>
      <c r="L152" s="273">
        <f ca="1">VLOOKUP(A152,ÉV!$A$18:$C$65,3,0)*IF(OR(AND(C152=ÉV!$I$2,D152&gt;ÉV!$J$2),C152&gt;ÉV!$I$2),0,1)</f>
        <v>2578772.3495152127</v>
      </c>
      <c r="M152" s="273">
        <f ca="1">(K152*(12-B152)/12+L152*B152/12)*IF(A152&gt;ÉV!$G$2,0,1)+IF(A152&gt;ÉV!$G$2,M151,0)*IF(OR(AND(C152=ÉV!$I$2,D152&gt;ÉV!$J$2),C152&gt;ÉV!$I$2),0,1)</f>
        <v>2456237.1922961008</v>
      </c>
      <c r="N152" s="274">
        <f ca="1">IF(AND(C152=1,D152&lt;12),0,1)*IF(D152=12,MAX(0,F152-E152-0.003)*0.9*((K152+I152)*(B152/12)+(J152+H152)*(1-B152/12))+MAX(0,F152-0.003)*0.9*N151+N151,IF(AND(C152=ÉV!$I$2,D152=ÉV!$J$2),(M152+N151)*MAX(0,F152-0.003)*0.9*(D152/12)+N151,N151))*IF(OR(C152&gt;ÉV!$I$2,AND(C152=ÉV!$I$2,D152&gt;ÉV!$J$2)),0,1)</f>
        <v>0</v>
      </c>
      <c r="O152" s="313">
        <f ca="1">IF(MAX(AF$2:AF151)=2,      0,IF(OR(AC152=7, AF152=2),    SUM(AE$2:AE152),    O151)   )</f>
        <v>548549.17634356767</v>
      </c>
      <c r="P152" s="271">
        <f ca="1">IF(D152=12,V152+P151+P151*(F152-0.003)*0.9,IF(AND(C152=ÉV!$I$2,D152=ÉV!$J$2),V152+P151+P151*(F152-0.003)*0.9*D152/12,P151))*IF(OR(C152&gt;ÉV!$I$2,AND(C152=ÉV!$I$2,D152&gt;ÉV!$J$2)),0,1)</f>
        <v>0</v>
      </c>
      <c r="Q152" s="275">
        <f ca="1">(N152+P152)*IF(OR(AND(C152=ÉV!$I$2,D152&gt;ÉV!$J$2),C152&gt;ÉV!$I$2),0,1)</f>
        <v>0</v>
      </c>
      <c r="R152" s="271">
        <f ca="1">(MAX(0,F152-E152-0.003)*0.9*((K152+I152)*(1/12)))*IF(OR(C152&gt;ÉV!$I$2,AND(C152=ÉV!$I$2,D152&gt;ÉV!$J$2)),0,1)</f>
        <v>0</v>
      </c>
      <c r="S152" s="271">
        <f ca="1">(MAX(0,F152-0.003)*0.9*((O152)*(1/12)))*IF(OR(C152&gt;ÉV!$I$2,AND(C152=ÉV!$I$2,D152&gt;ÉV!$J$2)),0,1)</f>
        <v>0</v>
      </c>
      <c r="T152" s="271">
        <f ca="1">(MAX(0,F152-0.003)*0.9*((Q151)*(1/12)))*IF(OR(C152&gt;ÉV!$I$2,AND(C152=ÉV!$I$2,D152&gt;ÉV!$J$2)),0,1)</f>
        <v>0</v>
      </c>
      <c r="U152" s="271">
        <f ca="1">IF($D152=1,R152,R152+U151)*IF(OR(C152&gt;ÉV!$I$2,AND(C152=ÉV!$I$2,D152&gt;ÉV!$J$2)),0,1)</f>
        <v>0</v>
      </c>
      <c r="V152" s="271">
        <f ca="1">IF($D152=1,S152,S152+V151)*IF(OR(C152&gt;ÉV!$I$2,AND(C152=ÉV!$I$2,D152&gt;ÉV!$J$2)),0,1)</f>
        <v>0</v>
      </c>
      <c r="W152" s="271">
        <f ca="1">IF($D152=1,T152,T152+W151)*IF(OR(C152&gt;ÉV!$I$2,AND(C152=ÉV!$I$2,D152&gt;ÉV!$J$2)),0,1)</f>
        <v>0</v>
      </c>
      <c r="X152" s="271">
        <f ca="1">IF(OR(D152=12,AND(C152=ÉV!$I$2,D152=ÉV!$J$2)),SUM(U152:W152)+X151,X151)*IF(OR(C152&gt;ÉV!$I$2,AND(C152=ÉV!$I$2,D152&gt;ÉV!$J$2)),0,1)</f>
        <v>0</v>
      </c>
      <c r="Y152" s="271">
        <f t="shared" ca="1" si="24"/>
        <v>0</v>
      </c>
      <c r="Z152" s="265">
        <f t="shared" si="25"/>
        <v>6</v>
      </c>
      <c r="AA152" s="272">
        <f t="shared" ca="1" si="26"/>
        <v>22125.534974305741</v>
      </c>
      <c r="AB152" s="265">
        <f t="shared" ca="1" si="32"/>
        <v>2029</v>
      </c>
      <c r="AC152" s="265">
        <f t="shared" ca="1" si="33"/>
        <v>9</v>
      </c>
      <c r="AD152" s="276">
        <f ca="1">IF(     OR(               AND(MAX(AF$6:AF152)&lt;2,  AC152=12),                 AF152=2),                   SUMIF(AB:AB,AB152,AA:AA),                       0)</f>
        <v>0</v>
      </c>
      <c r="AE152" s="277">
        <f t="shared" ca="1" si="34"/>
        <v>0</v>
      </c>
      <c r="AF152" s="277">
        <f t="shared" ca="1" si="27"/>
        <v>0</v>
      </c>
      <c r="AG152" s="402">
        <f ca="1">IF(  AND(AC152=AdóHó,   MAX(AF$1:AF151)&lt;2),   SUMIF(AB:AB,AB152-1,AE:AE),0  )
+ IF(AND(AC152&lt;AdóHó,                            AF152=2),   SUMIF(AB:AB,AB152-1,AE:AE),0  )
+ IF(                                                                  AF152=2,    SUMIF(AB:AB,AB152,AE:AE   ),0  )</f>
        <v>0</v>
      </c>
      <c r="AH152" s="272">
        <f ca="1">SUM(AG$2:AG152)</f>
        <v>548549.17634356767</v>
      </c>
    </row>
    <row r="153" spans="1:34">
      <c r="A153" s="265">
        <f t="shared" si="28"/>
        <v>13</v>
      </c>
      <c r="B153" s="265">
        <f t="shared" si="29"/>
        <v>7</v>
      </c>
      <c r="C153" s="265">
        <f t="shared" ca="1" si="30"/>
        <v>13</v>
      </c>
      <c r="D153" s="265">
        <f t="shared" ca="1" si="31"/>
        <v>10</v>
      </c>
      <c r="E153" s="266">
        <v>5.0000000000000001E-3</v>
      </c>
      <c r="F153" s="267">
        <f>ÉV!$B$12</f>
        <v>0</v>
      </c>
      <c r="G153" s="271">
        <f ca="1">VLOOKUP(A153,ÉV!$A$18:$B$65,2,0)</f>
        <v>265506.41969166888</v>
      </c>
      <c r="H153" s="271">
        <f ca="1">IF(OR(A153=1,AND(C153=ÉV!$I$2,D153&gt;ÉV!$J$2),C153&gt;ÉV!$I$2),0,INDEX(Pz!$B$2:$AM$48,A153-1,ÉV!$G$2-9)/100000*ÉV!$B$10)</f>
        <v>235240.44692169482</v>
      </c>
      <c r="I153" s="271">
        <f ca="1">INDEX(Pz!$B$2:$AM$48,HÓ!A153,ÉV!$G$2-9)/100000*ÉV!$B$10</f>
        <v>239928.53879756347</v>
      </c>
      <c r="J153" s="273">
        <f ca="1">IF(OR(A153=1,A153=2,AND(C153=ÉV!$I$2,D153&gt;ÉV!$J$2),C153&gt;ÉV!$I$2),0,VLOOKUP(A153-2,ÉV!$A$18:$C$65,3,0))</f>
        <v>2093708.4497330307</v>
      </c>
      <c r="K153" s="273">
        <f ca="1">IF(OR(A153=1,AND(C153=ÉV!$I$2,D153&gt;ÉV!$J$2),C153&gt;ÉV!$I$2),0,VLOOKUP(A153-1,ÉV!$A$18:$C$65,3,0))</f>
        <v>2333702.0350769893</v>
      </c>
      <c r="L153" s="273">
        <f ca="1">VLOOKUP(A153,ÉV!$A$18:$C$65,3,0)*IF(OR(AND(C153=ÉV!$I$2,D153&gt;ÉV!$J$2),C153&gt;ÉV!$I$2),0,1)</f>
        <v>2578772.3495152127</v>
      </c>
      <c r="M153" s="273">
        <f ca="1">(K153*(12-B153)/12+L153*B153/12)*IF(A153&gt;ÉV!$G$2,0,1)+IF(A153&gt;ÉV!$G$2,M152,0)*IF(OR(AND(C153=ÉV!$I$2,D153&gt;ÉV!$J$2),C153&gt;ÉV!$I$2),0,1)</f>
        <v>2476659.7184992861</v>
      </c>
      <c r="N153" s="274">
        <f ca="1">IF(AND(C153=1,D153&lt;12),0,1)*IF(D153=12,MAX(0,F153-E153-0.003)*0.9*((K153+I153)*(B153/12)+(J153+H153)*(1-B153/12))+MAX(0,F153-0.003)*0.9*N152+N152,IF(AND(C153=ÉV!$I$2,D153=ÉV!$J$2),(M153+N152)*MAX(0,F153-0.003)*0.9*(D153/12)+N152,N152))*IF(OR(C153&gt;ÉV!$I$2,AND(C153=ÉV!$I$2,D153&gt;ÉV!$J$2)),0,1)</f>
        <v>0</v>
      </c>
      <c r="O153" s="313">
        <f ca="1">IF(MAX(AF$2:AF152)=2,      0,IF(OR(AC153=7, AF153=2),    SUM(AE$2:AE153),    O152)   )</f>
        <v>548549.17634356767</v>
      </c>
      <c r="P153" s="271">
        <f ca="1">IF(D153=12,V153+P152+P152*(F153-0.003)*0.9,IF(AND(C153=ÉV!$I$2,D153=ÉV!$J$2),V153+P152+P152*(F153-0.003)*0.9*D153/12,P152))*IF(OR(C153&gt;ÉV!$I$2,AND(C153=ÉV!$I$2,D153&gt;ÉV!$J$2)),0,1)</f>
        <v>0</v>
      </c>
      <c r="Q153" s="275">
        <f ca="1">(N153+P153)*IF(OR(AND(C153=ÉV!$I$2,D153&gt;ÉV!$J$2),C153&gt;ÉV!$I$2),0,1)</f>
        <v>0</v>
      </c>
      <c r="R153" s="271">
        <f ca="1">(MAX(0,F153-E153-0.003)*0.9*((K153+I153)*(1/12)))*IF(OR(C153&gt;ÉV!$I$2,AND(C153=ÉV!$I$2,D153&gt;ÉV!$J$2)),0,1)</f>
        <v>0</v>
      </c>
      <c r="S153" s="271">
        <f ca="1">(MAX(0,F153-0.003)*0.9*((O153)*(1/12)))*IF(OR(C153&gt;ÉV!$I$2,AND(C153=ÉV!$I$2,D153&gt;ÉV!$J$2)),0,1)</f>
        <v>0</v>
      </c>
      <c r="T153" s="271">
        <f ca="1">(MAX(0,F153-0.003)*0.9*((Q152)*(1/12)))*IF(OR(C153&gt;ÉV!$I$2,AND(C153=ÉV!$I$2,D153&gt;ÉV!$J$2)),0,1)</f>
        <v>0</v>
      </c>
      <c r="U153" s="271">
        <f ca="1">IF($D153=1,R153,R153+U152)*IF(OR(C153&gt;ÉV!$I$2,AND(C153=ÉV!$I$2,D153&gt;ÉV!$J$2)),0,1)</f>
        <v>0</v>
      </c>
      <c r="V153" s="271">
        <f ca="1">IF($D153=1,S153,S153+V152)*IF(OR(C153&gt;ÉV!$I$2,AND(C153=ÉV!$I$2,D153&gt;ÉV!$J$2)),0,1)</f>
        <v>0</v>
      </c>
      <c r="W153" s="271">
        <f ca="1">IF($D153=1,T153,T153+W152)*IF(OR(C153&gt;ÉV!$I$2,AND(C153=ÉV!$I$2,D153&gt;ÉV!$J$2)),0,1)</f>
        <v>0</v>
      </c>
      <c r="X153" s="271">
        <f ca="1">IF(OR(D153=12,AND(C153=ÉV!$I$2,D153=ÉV!$J$2)),SUM(U153:W153)+X152,X152)*IF(OR(C153&gt;ÉV!$I$2,AND(C153=ÉV!$I$2,D153&gt;ÉV!$J$2)),0,1)</f>
        <v>0</v>
      </c>
      <c r="Y153" s="271">
        <f t="shared" ca="1" si="24"/>
        <v>0</v>
      </c>
      <c r="Z153" s="265">
        <f t="shared" si="25"/>
        <v>7</v>
      </c>
      <c r="AA153" s="272">
        <f t="shared" ca="1" si="26"/>
        <v>22125.534974305741</v>
      </c>
      <c r="AB153" s="265">
        <f t="shared" ca="1" si="32"/>
        <v>2029</v>
      </c>
      <c r="AC153" s="265">
        <f t="shared" ca="1" si="33"/>
        <v>10</v>
      </c>
      <c r="AD153" s="276">
        <f ca="1">IF(     OR(               AND(MAX(AF$6:AF153)&lt;2,  AC153=12),                 AF153=2),                   SUMIF(AB:AB,AB153,AA:AA),                       0)</f>
        <v>0</v>
      </c>
      <c r="AE153" s="277">
        <f t="shared" ca="1" si="34"/>
        <v>0</v>
      </c>
      <c r="AF153" s="277">
        <f t="shared" ca="1" si="27"/>
        <v>0</v>
      </c>
      <c r="AG153" s="402">
        <f ca="1">IF(  AND(AC153=AdóHó,   MAX(AF$1:AF152)&lt;2),   SUMIF(AB:AB,AB153-1,AE:AE),0  )
+ IF(AND(AC153&lt;AdóHó,                            AF153=2),   SUMIF(AB:AB,AB153-1,AE:AE),0  )
+ IF(                                                                  AF153=2,    SUMIF(AB:AB,AB153,AE:AE   ),0  )</f>
        <v>0</v>
      </c>
      <c r="AH153" s="272">
        <f ca="1">SUM(AG$2:AG153)</f>
        <v>548549.17634356767</v>
      </c>
    </row>
    <row r="154" spans="1:34">
      <c r="A154" s="265">
        <f t="shared" si="28"/>
        <v>13</v>
      </c>
      <c r="B154" s="265">
        <f t="shared" si="29"/>
        <v>8</v>
      </c>
      <c r="C154" s="265">
        <f t="shared" ca="1" si="30"/>
        <v>13</v>
      </c>
      <c r="D154" s="265">
        <f t="shared" ca="1" si="31"/>
        <v>11</v>
      </c>
      <c r="E154" s="266">
        <v>5.0000000000000001E-3</v>
      </c>
      <c r="F154" s="267">
        <f>ÉV!$B$12</f>
        <v>0</v>
      </c>
      <c r="G154" s="271">
        <f ca="1">VLOOKUP(A154,ÉV!$A$18:$B$65,2,0)</f>
        <v>265506.41969166888</v>
      </c>
      <c r="H154" s="271">
        <f ca="1">IF(OR(A154=1,AND(C154=ÉV!$I$2,D154&gt;ÉV!$J$2),C154&gt;ÉV!$I$2),0,INDEX(Pz!$B$2:$AM$48,A154-1,ÉV!$G$2-9)/100000*ÉV!$B$10)</f>
        <v>235240.44692169482</v>
      </c>
      <c r="I154" s="271">
        <f ca="1">INDEX(Pz!$B$2:$AM$48,HÓ!A154,ÉV!$G$2-9)/100000*ÉV!$B$10</f>
        <v>239928.53879756347</v>
      </c>
      <c r="J154" s="273">
        <f ca="1">IF(OR(A154=1,A154=2,AND(C154=ÉV!$I$2,D154&gt;ÉV!$J$2),C154&gt;ÉV!$I$2),0,VLOOKUP(A154-2,ÉV!$A$18:$C$65,3,0))</f>
        <v>2093708.4497330307</v>
      </c>
      <c r="K154" s="273">
        <f ca="1">IF(OR(A154=1,AND(C154=ÉV!$I$2,D154&gt;ÉV!$J$2),C154&gt;ÉV!$I$2),0,VLOOKUP(A154-1,ÉV!$A$18:$C$65,3,0))</f>
        <v>2333702.0350769893</v>
      </c>
      <c r="L154" s="273">
        <f ca="1">VLOOKUP(A154,ÉV!$A$18:$C$65,3,0)*IF(OR(AND(C154=ÉV!$I$2,D154&gt;ÉV!$J$2),C154&gt;ÉV!$I$2),0,1)</f>
        <v>2578772.3495152127</v>
      </c>
      <c r="M154" s="273">
        <f ca="1">(K154*(12-B154)/12+L154*B154/12)*IF(A154&gt;ÉV!$G$2,0,1)+IF(A154&gt;ÉV!$G$2,M153,0)*IF(OR(AND(C154=ÉV!$I$2,D154&gt;ÉV!$J$2),C154&gt;ÉV!$I$2),0,1)</f>
        <v>2497082.2447024714</v>
      </c>
      <c r="N154" s="274">
        <f ca="1">IF(AND(C154=1,D154&lt;12),0,1)*IF(D154=12,MAX(0,F154-E154-0.003)*0.9*((K154+I154)*(B154/12)+(J154+H154)*(1-B154/12))+MAX(0,F154-0.003)*0.9*N153+N153,IF(AND(C154=ÉV!$I$2,D154=ÉV!$J$2),(M154+N153)*MAX(0,F154-0.003)*0.9*(D154/12)+N153,N153))*IF(OR(C154&gt;ÉV!$I$2,AND(C154=ÉV!$I$2,D154&gt;ÉV!$J$2)),0,1)</f>
        <v>0</v>
      </c>
      <c r="O154" s="313">
        <f ca="1">IF(MAX(AF$2:AF153)=2,      0,IF(OR(AC154=7, AF154=2),    SUM(AE$2:AE154),    O153)   )</f>
        <v>548549.17634356767</v>
      </c>
      <c r="P154" s="271">
        <f ca="1">IF(D154=12,V154+P153+P153*(F154-0.003)*0.9,IF(AND(C154=ÉV!$I$2,D154=ÉV!$J$2),V154+P153+P153*(F154-0.003)*0.9*D154/12,P153))*IF(OR(C154&gt;ÉV!$I$2,AND(C154=ÉV!$I$2,D154&gt;ÉV!$J$2)),0,1)</f>
        <v>0</v>
      </c>
      <c r="Q154" s="275">
        <f ca="1">(N154+P154)*IF(OR(AND(C154=ÉV!$I$2,D154&gt;ÉV!$J$2),C154&gt;ÉV!$I$2),0,1)</f>
        <v>0</v>
      </c>
      <c r="R154" s="271">
        <f ca="1">(MAX(0,F154-E154-0.003)*0.9*((K154+I154)*(1/12)))*IF(OR(C154&gt;ÉV!$I$2,AND(C154=ÉV!$I$2,D154&gt;ÉV!$J$2)),0,1)</f>
        <v>0</v>
      </c>
      <c r="S154" s="271">
        <f ca="1">(MAX(0,F154-0.003)*0.9*((O154)*(1/12)))*IF(OR(C154&gt;ÉV!$I$2,AND(C154=ÉV!$I$2,D154&gt;ÉV!$J$2)),0,1)</f>
        <v>0</v>
      </c>
      <c r="T154" s="271">
        <f ca="1">(MAX(0,F154-0.003)*0.9*((Q153)*(1/12)))*IF(OR(C154&gt;ÉV!$I$2,AND(C154=ÉV!$I$2,D154&gt;ÉV!$J$2)),0,1)</f>
        <v>0</v>
      </c>
      <c r="U154" s="271">
        <f ca="1">IF($D154=1,R154,R154+U153)*IF(OR(C154&gt;ÉV!$I$2,AND(C154=ÉV!$I$2,D154&gt;ÉV!$J$2)),0,1)</f>
        <v>0</v>
      </c>
      <c r="V154" s="271">
        <f ca="1">IF($D154=1,S154,S154+V153)*IF(OR(C154&gt;ÉV!$I$2,AND(C154=ÉV!$I$2,D154&gt;ÉV!$J$2)),0,1)</f>
        <v>0</v>
      </c>
      <c r="W154" s="271">
        <f ca="1">IF($D154=1,T154,T154+W153)*IF(OR(C154&gt;ÉV!$I$2,AND(C154=ÉV!$I$2,D154&gt;ÉV!$J$2)),0,1)</f>
        <v>0</v>
      </c>
      <c r="X154" s="271">
        <f ca="1">IF(OR(D154=12,AND(C154=ÉV!$I$2,D154=ÉV!$J$2)),SUM(U154:W154)+X153,X153)*IF(OR(C154&gt;ÉV!$I$2,AND(C154=ÉV!$I$2,D154&gt;ÉV!$J$2)),0,1)</f>
        <v>0</v>
      </c>
      <c r="Y154" s="271">
        <f t="shared" ca="1" si="24"/>
        <v>0</v>
      </c>
      <c r="Z154" s="265">
        <f t="shared" si="25"/>
        <v>8</v>
      </c>
      <c r="AA154" s="272">
        <f t="shared" ca="1" si="26"/>
        <v>22125.534974305741</v>
      </c>
      <c r="AB154" s="265">
        <f t="shared" ca="1" si="32"/>
        <v>2029</v>
      </c>
      <c r="AC154" s="265">
        <f t="shared" ca="1" si="33"/>
        <v>11</v>
      </c>
      <c r="AD154" s="276">
        <f ca="1">IF(     OR(               AND(MAX(AF$6:AF154)&lt;2,  AC154=12),                 AF154=2),                   SUMIF(AB:AB,AB154,AA:AA),                       0)</f>
        <v>0</v>
      </c>
      <c r="AE154" s="277">
        <f t="shared" ca="1" si="34"/>
        <v>0</v>
      </c>
      <c r="AF154" s="277">
        <f t="shared" ca="1" si="27"/>
        <v>0</v>
      </c>
      <c r="AG154" s="402">
        <f ca="1">IF(  AND(AC154=AdóHó,   MAX(AF$1:AF153)&lt;2),   SUMIF(AB:AB,AB154-1,AE:AE),0  )
+ IF(AND(AC154&lt;AdóHó,                            AF154=2),   SUMIF(AB:AB,AB154-1,AE:AE),0  )
+ IF(                                                                  AF154=2,    SUMIF(AB:AB,AB154,AE:AE   ),0  )</f>
        <v>0</v>
      </c>
      <c r="AH154" s="272">
        <f ca="1">SUM(AG$2:AG154)</f>
        <v>548549.17634356767</v>
      </c>
    </row>
    <row r="155" spans="1:34">
      <c r="A155" s="265">
        <f t="shared" si="28"/>
        <v>13</v>
      </c>
      <c r="B155" s="265">
        <f t="shared" si="29"/>
        <v>9</v>
      </c>
      <c r="C155" s="265">
        <f t="shared" ca="1" si="30"/>
        <v>13</v>
      </c>
      <c r="D155" s="265">
        <f t="shared" ca="1" si="31"/>
        <v>12</v>
      </c>
      <c r="E155" s="266">
        <v>5.0000000000000001E-3</v>
      </c>
      <c r="F155" s="267">
        <f>ÉV!$B$12</f>
        <v>0</v>
      </c>
      <c r="G155" s="271">
        <f ca="1">VLOOKUP(A155,ÉV!$A$18:$B$65,2,0)</f>
        <v>265506.41969166888</v>
      </c>
      <c r="H155" s="271">
        <f ca="1">IF(OR(A155=1,AND(C155=ÉV!$I$2,D155&gt;ÉV!$J$2),C155&gt;ÉV!$I$2),0,INDEX(Pz!$B$2:$AM$48,A155-1,ÉV!$G$2-9)/100000*ÉV!$B$10)</f>
        <v>235240.44692169482</v>
      </c>
      <c r="I155" s="271">
        <f ca="1">INDEX(Pz!$B$2:$AM$48,HÓ!A155,ÉV!$G$2-9)/100000*ÉV!$B$10</f>
        <v>239928.53879756347</v>
      </c>
      <c r="J155" s="273">
        <f ca="1">IF(OR(A155=1,A155=2,AND(C155=ÉV!$I$2,D155&gt;ÉV!$J$2),C155&gt;ÉV!$I$2),0,VLOOKUP(A155-2,ÉV!$A$18:$C$65,3,0))</f>
        <v>2093708.4497330307</v>
      </c>
      <c r="K155" s="273">
        <f ca="1">IF(OR(A155=1,AND(C155=ÉV!$I$2,D155&gt;ÉV!$J$2),C155&gt;ÉV!$I$2),0,VLOOKUP(A155-1,ÉV!$A$18:$C$65,3,0))</f>
        <v>2333702.0350769893</v>
      </c>
      <c r="L155" s="273">
        <f ca="1">VLOOKUP(A155,ÉV!$A$18:$C$65,3,0)*IF(OR(AND(C155=ÉV!$I$2,D155&gt;ÉV!$J$2),C155&gt;ÉV!$I$2),0,1)</f>
        <v>2578772.3495152127</v>
      </c>
      <c r="M155" s="273">
        <f ca="1">(K155*(12-B155)/12+L155*B155/12)*IF(A155&gt;ÉV!$G$2,0,1)+IF(A155&gt;ÉV!$G$2,M154,0)*IF(OR(AND(C155=ÉV!$I$2,D155&gt;ÉV!$J$2),C155&gt;ÉV!$I$2),0,1)</f>
        <v>2517504.7709056572</v>
      </c>
      <c r="N155" s="274">
        <f ca="1">IF(AND(C155=1,D155&lt;12),0,1)*IF(D155=12,MAX(0,F155-E155-0.003)*0.9*((K155+I155)*(B155/12)+(J155+H155)*(1-B155/12))+MAX(0,F155-0.003)*0.9*N154+N154,IF(AND(C155=ÉV!$I$2,D155=ÉV!$J$2),(M155+N154)*MAX(0,F155-0.003)*0.9*(D155/12)+N154,N154))*IF(OR(C155&gt;ÉV!$I$2,AND(C155=ÉV!$I$2,D155&gt;ÉV!$J$2)),0,1)</f>
        <v>0</v>
      </c>
      <c r="O155" s="313">
        <f ca="1">IF(MAX(AF$2:AF154)=2,      0,IF(OR(AC155=7, AF155=2),    SUM(AE$2:AE155),    O154)   )</f>
        <v>548549.17634356767</v>
      </c>
      <c r="P155" s="271">
        <f ca="1">IF(D155=12,V155+P154+P154*(F155-0.003)*0.9,IF(AND(C155=ÉV!$I$2,D155=ÉV!$J$2),V155+P154+P154*(F155-0.003)*0.9*D155/12,P154))*IF(OR(C155&gt;ÉV!$I$2,AND(C155=ÉV!$I$2,D155&gt;ÉV!$J$2)),0,1)</f>
        <v>0</v>
      </c>
      <c r="Q155" s="275">
        <f ca="1">(N155+P155)*IF(OR(AND(C155=ÉV!$I$2,D155&gt;ÉV!$J$2),C155&gt;ÉV!$I$2),0,1)</f>
        <v>0</v>
      </c>
      <c r="R155" s="271">
        <f ca="1">(MAX(0,F155-E155-0.003)*0.9*((K155+I155)*(1/12)))*IF(OR(C155&gt;ÉV!$I$2,AND(C155=ÉV!$I$2,D155&gt;ÉV!$J$2)),0,1)</f>
        <v>0</v>
      </c>
      <c r="S155" s="271">
        <f ca="1">(MAX(0,F155-0.003)*0.9*((O155)*(1/12)))*IF(OR(C155&gt;ÉV!$I$2,AND(C155=ÉV!$I$2,D155&gt;ÉV!$J$2)),0,1)</f>
        <v>0</v>
      </c>
      <c r="T155" s="271">
        <f ca="1">(MAX(0,F155-0.003)*0.9*((Q154)*(1/12)))*IF(OR(C155&gt;ÉV!$I$2,AND(C155=ÉV!$I$2,D155&gt;ÉV!$J$2)),0,1)</f>
        <v>0</v>
      </c>
      <c r="U155" s="271">
        <f ca="1">IF($D155=1,R155,R155+U154)*IF(OR(C155&gt;ÉV!$I$2,AND(C155=ÉV!$I$2,D155&gt;ÉV!$J$2)),0,1)</f>
        <v>0</v>
      </c>
      <c r="V155" s="271">
        <f ca="1">IF($D155=1,S155,S155+V154)*IF(OR(C155&gt;ÉV!$I$2,AND(C155=ÉV!$I$2,D155&gt;ÉV!$J$2)),0,1)</f>
        <v>0</v>
      </c>
      <c r="W155" s="271">
        <f ca="1">IF($D155=1,T155,T155+W154)*IF(OR(C155&gt;ÉV!$I$2,AND(C155=ÉV!$I$2,D155&gt;ÉV!$J$2)),0,1)</f>
        <v>0</v>
      </c>
      <c r="X155" s="271">
        <f ca="1">IF(OR(D155=12,AND(C155=ÉV!$I$2,D155=ÉV!$J$2)),SUM(U155:W155)+X154,X154)*IF(OR(C155&gt;ÉV!$I$2,AND(C155=ÉV!$I$2,D155&gt;ÉV!$J$2)),0,1)</f>
        <v>0</v>
      </c>
      <c r="Y155" s="271">
        <f t="shared" ca="1" si="24"/>
        <v>0</v>
      </c>
      <c r="Z155" s="265">
        <f t="shared" si="25"/>
        <v>9</v>
      </c>
      <c r="AA155" s="272">
        <f t="shared" ca="1" si="26"/>
        <v>22125.534974305741</v>
      </c>
      <c r="AB155" s="265">
        <f t="shared" ca="1" si="32"/>
        <v>2029</v>
      </c>
      <c r="AC155" s="265">
        <f t="shared" ca="1" si="33"/>
        <v>12</v>
      </c>
      <c r="AD155" s="276">
        <f ca="1">IF(     OR(               AND(MAX(AF$6:AF155)&lt;2,  AC155=12),                 AF155=2),                   SUMIF(AB:AB,AB155,AA:AA),                       0)</f>
        <v>264204.91763435683</v>
      </c>
      <c r="AE155" s="277">
        <f t="shared" ca="1" si="34"/>
        <v>52840.983526871365</v>
      </c>
      <c r="AF155" s="277">
        <f t="shared" ca="1" si="27"/>
        <v>0</v>
      </c>
      <c r="AG155" s="402">
        <f ca="1">IF(  AND(AC155=AdóHó,   MAX(AF$1:AF154)&lt;2),   SUMIF(AB:AB,AB155-1,AE:AE),0  )
+ IF(AND(AC155&lt;AdóHó,                            AF155=2),   SUMIF(AB:AB,AB155-1,AE:AE),0  )
+ IF(                                                                  AF155=2,    SUMIF(AB:AB,AB155,AE:AE   ),0  )</f>
        <v>0</v>
      </c>
      <c r="AH155" s="272">
        <f ca="1">SUM(AG$2:AG155)</f>
        <v>548549.17634356767</v>
      </c>
    </row>
    <row r="156" spans="1:34">
      <c r="A156" s="265">
        <f t="shared" si="28"/>
        <v>13</v>
      </c>
      <c r="B156" s="265">
        <f t="shared" si="29"/>
        <v>10</v>
      </c>
      <c r="C156" s="265">
        <f t="shared" ca="1" si="30"/>
        <v>14</v>
      </c>
      <c r="D156" s="265">
        <f t="shared" ca="1" si="31"/>
        <v>1</v>
      </c>
      <c r="E156" s="266">
        <v>5.0000000000000001E-3</v>
      </c>
      <c r="F156" s="267">
        <f>ÉV!$B$12</f>
        <v>0</v>
      </c>
      <c r="G156" s="271">
        <f ca="1">VLOOKUP(A156,ÉV!$A$18:$B$65,2,0)</f>
        <v>265506.41969166888</v>
      </c>
      <c r="H156" s="271">
        <f ca="1">IF(OR(A156=1,AND(C156=ÉV!$I$2,D156&gt;ÉV!$J$2),C156&gt;ÉV!$I$2),0,INDEX(Pz!$B$2:$AM$48,A156-1,ÉV!$G$2-9)/100000*ÉV!$B$10)</f>
        <v>235240.44692169482</v>
      </c>
      <c r="I156" s="271">
        <f ca="1">INDEX(Pz!$B$2:$AM$48,HÓ!A156,ÉV!$G$2-9)/100000*ÉV!$B$10</f>
        <v>239928.53879756347</v>
      </c>
      <c r="J156" s="273">
        <f ca="1">IF(OR(A156=1,A156=2,AND(C156=ÉV!$I$2,D156&gt;ÉV!$J$2),C156&gt;ÉV!$I$2),0,VLOOKUP(A156-2,ÉV!$A$18:$C$65,3,0))</f>
        <v>2093708.4497330307</v>
      </c>
      <c r="K156" s="273">
        <f ca="1">IF(OR(A156=1,AND(C156=ÉV!$I$2,D156&gt;ÉV!$J$2),C156&gt;ÉV!$I$2),0,VLOOKUP(A156-1,ÉV!$A$18:$C$65,3,0))</f>
        <v>2333702.0350769893</v>
      </c>
      <c r="L156" s="273">
        <f ca="1">VLOOKUP(A156,ÉV!$A$18:$C$65,3,0)*IF(OR(AND(C156=ÉV!$I$2,D156&gt;ÉV!$J$2),C156&gt;ÉV!$I$2),0,1)</f>
        <v>2578772.3495152127</v>
      </c>
      <c r="M156" s="273">
        <f ca="1">(K156*(12-B156)/12+L156*B156/12)*IF(A156&gt;ÉV!$G$2,0,1)+IF(A156&gt;ÉV!$G$2,M155,0)*IF(OR(AND(C156=ÉV!$I$2,D156&gt;ÉV!$J$2),C156&gt;ÉV!$I$2),0,1)</f>
        <v>2537927.2971088421</v>
      </c>
      <c r="N156" s="274">
        <f ca="1">IF(AND(C156=1,D156&lt;12),0,1)*IF(D156=12,MAX(0,F156-E156-0.003)*0.9*((K156+I156)*(B156/12)+(J156+H156)*(1-B156/12))+MAX(0,F156-0.003)*0.9*N155+N155,IF(AND(C156=ÉV!$I$2,D156=ÉV!$J$2),(M156+N155)*MAX(0,F156-0.003)*0.9*(D156/12)+N155,N155))*IF(OR(C156&gt;ÉV!$I$2,AND(C156=ÉV!$I$2,D156&gt;ÉV!$J$2)),0,1)</f>
        <v>0</v>
      </c>
      <c r="O156" s="313">
        <f ca="1">IF(MAX(AF$2:AF155)=2,      0,IF(OR(AC156=7, AF156=2),    SUM(AE$2:AE156),    O155)   )</f>
        <v>548549.17634356767</v>
      </c>
      <c r="P156" s="271">
        <f ca="1">IF(D156=12,V156+P155+P155*(F156-0.003)*0.9,IF(AND(C156=ÉV!$I$2,D156=ÉV!$J$2),V156+P155+P155*(F156-0.003)*0.9*D156/12,P155))*IF(OR(C156&gt;ÉV!$I$2,AND(C156=ÉV!$I$2,D156&gt;ÉV!$J$2)),0,1)</f>
        <v>0</v>
      </c>
      <c r="Q156" s="275">
        <f ca="1">(N156+P156)*IF(OR(AND(C156=ÉV!$I$2,D156&gt;ÉV!$J$2),C156&gt;ÉV!$I$2),0,1)</f>
        <v>0</v>
      </c>
      <c r="R156" s="271">
        <f ca="1">(MAX(0,F156-E156-0.003)*0.9*((K156+I156)*(1/12)))*IF(OR(C156&gt;ÉV!$I$2,AND(C156=ÉV!$I$2,D156&gt;ÉV!$J$2)),0,1)</f>
        <v>0</v>
      </c>
      <c r="S156" s="271">
        <f ca="1">(MAX(0,F156-0.003)*0.9*((O156)*(1/12)))*IF(OR(C156&gt;ÉV!$I$2,AND(C156=ÉV!$I$2,D156&gt;ÉV!$J$2)),0,1)</f>
        <v>0</v>
      </c>
      <c r="T156" s="271">
        <f ca="1">(MAX(0,F156-0.003)*0.9*((Q155)*(1/12)))*IF(OR(C156&gt;ÉV!$I$2,AND(C156=ÉV!$I$2,D156&gt;ÉV!$J$2)),0,1)</f>
        <v>0</v>
      </c>
      <c r="U156" s="271">
        <f ca="1">IF($D156=1,R156,R156+U155)*IF(OR(C156&gt;ÉV!$I$2,AND(C156=ÉV!$I$2,D156&gt;ÉV!$J$2)),0,1)</f>
        <v>0</v>
      </c>
      <c r="V156" s="271">
        <f ca="1">IF($D156=1,S156,S156+V155)*IF(OR(C156&gt;ÉV!$I$2,AND(C156=ÉV!$I$2,D156&gt;ÉV!$J$2)),0,1)</f>
        <v>0</v>
      </c>
      <c r="W156" s="271">
        <f ca="1">IF($D156=1,T156,T156+W155)*IF(OR(C156&gt;ÉV!$I$2,AND(C156=ÉV!$I$2,D156&gt;ÉV!$J$2)),0,1)</f>
        <v>0</v>
      </c>
      <c r="X156" s="271">
        <f ca="1">IF(OR(D156=12,AND(C156=ÉV!$I$2,D156=ÉV!$J$2)),SUM(U156:W156)+X155,X155)*IF(OR(C156&gt;ÉV!$I$2,AND(C156=ÉV!$I$2,D156&gt;ÉV!$J$2)),0,1)</f>
        <v>0</v>
      </c>
      <c r="Y156" s="271">
        <f t="shared" ca="1" si="24"/>
        <v>0</v>
      </c>
      <c r="Z156" s="265">
        <f t="shared" si="25"/>
        <v>10</v>
      </c>
      <c r="AA156" s="272">
        <f t="shared" ca="1" si="26"/>
        <v>22125.534974305741</v>
      </c>
      <c r="AB156" s="265">
        <f t="shared" ca="1" si="32"/>
        <v>2030</v>
      </c>
      <c r="AC156" s="265">
        <f t="shared" ca="1" si="33"/>
        <v>1</v>
      </c>
      <c r="AD156" s="276">
        <f ca="1">IF(     OR(               AND(MAX(AF$6:AF156)&lt;2,  AC156=12),                 AF156=2),                   SUMIF(AB:AB,AB156,AA:AA),                       0)</f>
        <v>0</v>
      </c>
      <c r="AE156" s="277">
        <f t="shared" ca="1" si="34"/>
        <v>0</v>
      </c>
      <c r="AF156" s="277">
        <f t="shared" ca="1" si="27"/>
        <v>0</v>
      </c>
      <c r="AG156" s="402">
        <f ca="1">IF(  AND(AC156=AdóHó,   MAX(AF$1:AF155)&lt;2),   SUMIF(AB:AB,AB156-1,AE:AE),0  )
+ IF(AND(AC156&lt;AdóHó,                            AF156=2),   SUMIF(AB:AB,AB156-1,AE:AE),0  )
+ IF(                                                                  AF156=2,    SUMIF(AB:AB,AB156,AE:AE   ),0  )</f>
        <v>0</v>
      </c>
      <c r="AH156" s="272">
        <f ca="1">SUM(AG$2:AG156)</f>
        <v>548549.17634356767</v>
      </c>
    </row>
    <row r="157" spans="1:34">
      <c r="A157" s="265">
        <f t="shared" si="28"/>
        <v>13</v>
      </c>
      <c r="B157" s="265">
        <f t="shared" si="29"/>
        <v>11</v>
      </c>
      <c r="C157" s="265">
        <f t="shared" ca="1" si="30"/>
        <v>14</v>
      </c>
      <c r="D157" s="265">
        <f t="shared" ca="1" si="31"/>
        <v>2</v>
      </c>
      <c r="E157" s="266">
        <v>5.0000000000000001E-3</v>
      </c>
      <c r="F157" s="267">
        <f>ÉV!$B$12</f>
        <v>0</v>
      </c>
      <c r="G157" s="271">
        <f ca="1">VLOOKUP(A157,ÉV!$A$18:$B$65,2,0)</f>
        <v>265506.41969166888</v>
      </c>
      <c r="H157" s="271">
        <f ca="1">IF(OR(A157=1,AND(C157=ÉV!$I$2,D157&gt;ÉV!$J$2),C157&gt;ÉV!$I$2),0,INDEX(Pz!$B$2:$AM$48,A157-1,ÉV!$G$2-9)/100000*ÉV!$B$10)</f>
        <v>235240.44692169482</v>
      </c>
      <c r="I157" s="271">
        <f ca="1">INDEX(Pz!$B$2:$AM$48,HÓ!A157,ÉV!$G$2-9)/100000*ÉV!$B$10</f>
        <v>239928.53879756347</v>
      </c>
      <c r="J157" s="273">
        <f ca="1">IF(OR(A157=1,A157=2,AND(C157=ÉV!$I$2,D157&gt;ÉV!$J$2),C157&gt;ÉV!$I$2),0,VLOOKUP(A157-2,ÉV!$A$18:$C$65,3,0))</f>
        <v>2093708.4497330307</v>
      </c>
      <c r="K157" s="273">
        <f ca="1">IF(OR(A157=1,AND(C157=ÉV!$I$2,D157&gt;ÉV!$J$2),C157&gt;ÉV!$I$2),0,VLOOKUP(A157-1,ÉV!$A$18:$C$65,3,0))</f>
        <v>2333702.0350769893</v>
      </c>
      <c r="L157" s="273">
        <f ca="1">VLOOKUP(A157,ÉV!$A$18:$C$65,3,0)*IF(OR(AND(C157=ÉV!$I$2,D157&gt;ÉV!$J$2),C157&gt;ÉV!$I$2),0,1)</f>
        <v>2578772.3495152127</v>
      </c>
      <c r="M157" s="273">
        <f ca="1">(K157*(12-B157)/12+L157*B157/12)*IF(A157&gt;ÉV!$G$2,0,1)+IF(A157&gt;ÉV!$G$2,M156,0)*IF(OR(AND(C157=ÉV!$I$2,D157&gt;ÉV!$J$2),C157&gt;ÉV!$I$2),0,1)</f>
        <v>2558349.8233120274</v>
      </c>
      <c r="N157" s="274">
        <f ca="1">IF(AND(C157=1,D157&lt;12),0,1)*IF(D157=12,MAX(0,F157-E157-0.003)*0.9*((K157+I157)*(B157/12)+(J157+H157)*(1-B157/12))+MAX(0,F157-0.003)*0.9*N156+N156,IF(AND(C157=ÉV!$I$2,D157=ÉV!$J$2),(M157+N156)*MAX(0,F157-0.003)*0.9*(D157/12)+N156,N156))*IF(OR(C157&gt;ÉV!$I$2,AND(C157=ÉV!$I$2,D157&gt;ÉV!$J$2)),0,1)</f>
        <v>0</v>
      </c>
      <c r="O157" s="313">
        <f ca="1">IF(MAX(AF$2:AF156)=2,      0,IF(OR(AC157=7, AF157=2),    SUM(AE$2:AE157),    O156)   )</f>
        <v>548549.17634356767</v>
      </c>
      <c r="P157" s="271">
        <f ca="1">IF(D157=12,V157+P156+P156*(F157-0.003)*0.9,IF(AND(C157=ÉV!$I$2,D157=ÉV!$J$2),V157+P156+P156*(F157-0.003)*0.9*D157/12,P156))*IF(OR(C157&gt;ÉV!$I$2,AND(C157=ÉV!$I$2,D157&gt;ÉV!$J$2)),0,1)</f>
        <v>0</v>
      </c>
      <c r="Q157" s="275">
        <f ca="1">(N157+P157)*IF(OR(AND(C157=ÉV!$I$2,D157&gt;ÉV!$J$2),C157&gt;ÉV!$I$2),0,1)</f>
        <v>0</v>
      </c>
      <c r="R157" s="271">
        <f ca="1">(MAX(0,F157-E157-0.003)*0.9*((K157+I157)*(1/12)))*IF(OR(C157&gt;ÉV!$I$2,AND(C157=ÉV!$I$2,D157&gt;ÉV!$J$2)),0,1)</f>
        <v>0</v>
      </c>
      <c r="S157" s="271">
        <f ca="1">(MAX(0,F157-0.003)*0.9*((O157)*(1/12)))*IF(OR(C157&gt;ÉV!$I$2,AND(C157=ÉV!$I$2,D157&gt;ÉV!$J$2)),0,1)</f>
        <v>0</v>
      </c>
      <c r="T157" s="271">
        <f ca="1">(MAX(0,F157-0.003)*0.9*((Q156)*(1/12)))*IF(OR(C157&gt;ÉV!$I$2,AND(C157=ÉV!$I$2,D157&gt;ÉV!$J$2)),0,1)</f>
        <v>0</v>
      </c>
      <c r="U157" s="271">
        <f ca="1">IF($D157=1,R157,R157+U156)*IF(OR(C157&gt;ÉV!$I$2,AND(C157=ÉV!$I$2,D157&gt;ÉV!$J$2)),0,1)</f>
        <v>0</v>
      </c>
      <c r="V157" s="271">
        <f ca="1">IF($D157=1,S157,S157+V156)*IF(OR(C157&gt;ÉV!$I$2,AND(C157=ÉV!$I$2,D157&gt;ÉV!$J$2)),0,1)</f>
        <v>0</v>
      </c>
      <c r="W157" s="271">
        <f ca="1">IF($D157=1,T157,T157+W156)*IF(OR(C157&gt;ÉV!$I$2,AND(C157=ÉV!$I$2,D157&gt;ÉV!$J$2)),0,1)</f>
        <v>0</v>
      </c>
      <c r="X157" s="271">
        <f ca="1">IF(OR(D157=12,AND(C157=ÉV!$I$2,D157=ÉV!$J$2)),SUM(U157:W157)+X156,X156)*IF(OR(C157&gt;ÉV!$I$2,AND(C157=ÉV!$I$2,D157&gt;ÉV!$J$2)),0,1)</f>
        <v>0</v>
      </c>
      <c r="Y157" s="271">
        <f t="shared" ca="1" si="24"/>
        <v>0</v>
      </c>
      <c r="Z157" s="265">
        <f t="shared" si="25"/>
        <v>11</v>
      </c>
      <c r="AA157" s="272">
        <f t="shared" ca="1" si="26"/>
        <v>22125.534974305741</v>
      </c>
      <c r="AB157" s="265">
        <f t="shared" ca="1" si="32"/>
        <v>2030</v>
      </c>
      <c r="AC157" s="265">
        <f t="shared" ca="1" si="33"/>
        <v>2</v>
      </c>
      <c r="AD157" s="276">
        <f ca="1">IF(     OR(               AND(MAX(AF$6:AF157)&lt;2,  AC157=12),                 AF157=2),                   SUMIF(AB:AB,AB157,AA:AA),                       0)</f>
        <v>0</v>
      </c>
      <c r="AE157" s="277">
        <f t="shared" ca="1" si="34"/>
        <v>0</v>
      </c>
      <c r="AF157" s="277">
        <f t="shared" ca="1" si="27"/>
        <v>0</v>
      </c>
      <c r="AG157" s="402">
        <f ca="1">IF(  AND(AC157=AdóHó,   MAX(AF$1:AF156)&lt;2),   SUMIF(AB:AB,AB157-1,AE:AE),0  )
+ IF(AND(AC157&lt;AdóHó,                            AF157=2),   SUMIF(AB:AB,AB157-1,AE:AE),0  )
+ IF(                                                                  AF157=2,    SUMIF(AB:AB,AB157,AE:AE   ),0  )</f>
        <v>0</v>
      </c>
      <c r="AH157" s="272">
        <f ca="1">SUM(AG$2:AG157)</f>
        <v>548549.17634356767</v>
      </c>
    </row>
    <row r="158" spans="1:34">
      <c r="A158" s="265">
        <f t="shared" si="28"/>
        <v>13</v>
      </c>
      <c r="B158" s="265">
        <f t="shared" si="29"/>
        <v>12</v>
      </c>
      <c r="C158" s="265">
        <f t="shared" ca="1" si="30"/>
        <v>14</v>
      </c>
      <c r="D158" s="265">
        <f t="shared" ca="1" si="31"/>
        <v>3</v>
      </c>
      <c r="E158" s="266">
        <v>5.0000000000000001E-3</v>
      </c>
      <c r="F158" s="267">
        <f>ÉV!$B$12</f>
        <v>0</v>
      </c>
      <c r="G158" s="271">
        <f ca="1">VLOOKUP(A158,ÉV!$A$18:$B$65,2,0)</f>
        <v>265506.41969166888</v>
      </c>
      <c r="H158" s="271">
        <f ca="1">IF(OR(A158=1,AND(C158=ÉV!$I$2,D158&gt;ÉV!$J$2),C158&gt;ÉV!$I$2),0,INDEX(Pz!$B$2:$AM$48,A158-1,ÉV!$G$2-9)/100000*ÉV!$B$10)</f>
        <v>235240.44692169482</v>
      </c>
      <c r="I158" s="271">
        <f ca="1">INDEX(Pz!$B$2:$AM$48,HÓ!A158,ÉV!$G$2-9)/100000*ÉV!$B$10</f>
        <v>239928.53879756347</v>
      </c>
      <c r="J158" s="273">
        <f ca="1">IF(OR(A158=1,A158=2,AND(C158=ÉV!$I$2,D158&gt;ÉV!$J$2),C158&gt;ÉV!$I$2),0,VLOOKUP(A158-2,ÉV!$A$18:$C$65,3,0))</f>
        <v>2093708.4497330307</v>
      </c>
      <c r="K158" s="273">
        <f ca="1">IF(OR(A158=1,AND(C158=ÉV!$I$2,D158&gt;ÉV!$J$2),C158&gt;ÉV!$I$2),0,VLOOKUP(A158-1,ÉV!$A$18:$C$65,3,0))</f>
        <v>2333702.0350769893</v>
      </c>
      <c r="L158" s="273">
        <f ca="1">VLOOKUP(A158,ÉV!$A$18:$C$65,3,0)*IF(OR(AND(C158=ÉV!$I$2,D158&gt;ÉV!$J$2),C158&gt;ÉV!$I$2),0,1)</f>
        <v>2578772.3495152127</v>
      </c>
      <c r="M158" s="273">
        <f ca="1">(K158*(12-B158)/12+L158*B158/12)*IF(A158&gt;ÉV!$G$2,0,1)+IF(A158&gt;ÉV!$G$2,M157,0)*IF(OR(AND(C158=ÉV!$I$2,D158&gt;ÉV!$J$2),C158&gt;ÉV!$I$2),0,1)</f>
        <v>2578772.3495152127</v>
      </c>
      <c r="N158" s="274">
        <f ca="1">IF(AND(C158=1,D158&lt;12),0,1)*IF(D158=12,MAX(0,F158-E158-0.003)*0.9*((K158+I158)*(B158/12)+(J158+H158)*(1-B158/12))+MAX(0,F158-0.003)*0.9*N157+N157,IF(AND(C158=ÉV!$I$2,D158=ÉV!$J$2),(M158+N157)*MAX(0,F158-0.003)*0.9*(D158/12)+N157,N157))*IF(OR(C158&gt;ÉV!$I$2,AND(C158=ÉV!$I$2,D158&gt;ÉV!$J$2)),0,1)</f>
        <v>0</v>
      </c>
      <c r="O158" s="313">
        <f ca="1">IF(MAX(AF$2:AF157)=2,      0,IF(OR(AC158=7, AF158=2),    SUM(AE$2:AE158),    O157)   )</f>
        <v>548549.17634356767</v>
      </c>
      <c r="P158" s="271">
        <f ca="1">IF(D158=12,V158+P157+P157*(F158-0.003)*0.9,IF(AND(C158=ÉV!$I$2,D158=ÉV!$J$2),V158+P157+P157*(F158-0.003)*0.9*D158/12,P157))*IF(OR(C158&gt;ÉV!$I$2,AND(C158=ÉV!$I$2,D158&gt;ÉV!$J$2)),0,1)</f>
        <v>0</v>
      </c>
      <c r="Q158" s="275">
        <f ca="1">(N158+P158)*IF(OR(AND(C158=ÉV!$I$2,D158&gt;ÉV!$J$2),C158&gt;ÉV!$I$2),0,1)</f>
        <v>0</v>
      </c>
      <c r="R158" s="271">
        <f ca="1">(MAX(0,F158-E158-0.003)*0.9*((K158+I158)*(1/12)))*IF(OR(C158&gt;ÉV!$I$2,AND(C158=ÉV!$I$2,D158&gt;ÉV!$J$2)),0,1)</f>
        <v>0</v>
      </c>
      <c r="S158" s="271">
        <f ca="1">(MAX(0,F158-0.003)*0.9*((O158)*(1/12)))*IF(OR(C158&gt;ÉV!$I$2,AND(C158=ÉV!$I$2,D158&gt;ÉV!$J$2)),0,1)</f>
        <v>0</v>
      </c>
      <c r="T158" s="271">
        <f ca="1">(MAX(0,F158-0.003)*0.9*((Q157)*(1/12)))*IF(OR(C158&gt;ÉV!$I$2,AND(C158=ÉV!$I$2,D158&gt;ÉV!$J$2)),0,1)</f>
        <v>0</v>
      </c>
      <c r="U158" s="271">
        <f ca="1">IF($D158=1,R158,R158+U157)*IF(OR(C158&gt;ÉV!$I$2,AND(C158=ÉV!$I$2,D158&gt;ÉV!$J$2)),0,1)</f>
        <v>0</v>
      </c>
      <c r="V158" s="271">
        <f ca="1">IF($D158=1,S158,S158+V157)*IF(OR(C158&gt;ÉV!$I$2,AND(C158=ÉV!$I$2,D158&gt;ÉV!$J$2)),0,1)</f>
        <v>0</v>
      </c>
      <c r="W158" s="271">
        <f ca="1">IF($D158=1,T158,T158+W157)*IF(OR(C158&gt;ÉV!$I$2,AND(C158=ÉV!$I$2,D158&gt;ÉV!$J$2)),0,1)</f>
        <v>0</v>
      </c>
      <c r="X158" s="271">
        <f ca="1">IF(OR(D158=12,AND(C158=ÉV!$I$2,D158=ÉV!$J$2)),SUM(U158:W158)+X157,X157)*IF(OR(C158&gt;ÉV!$I$2,AND(C158=ÉV!$I$2,D158&gt;ÉV!$J$2)),0,1)</f>
        <v>0</v>
      </c>
      <c r="Y158" s="271">
        <f t="shared" ca="1" si="24"/>
        <v>0</v>
      </c>
      <c r="Z158" s="265">
        <f t="shared" si="25"/>
        <v>12</v>
      </c>
      <c r="AA158" s="272">
        <f t="shared" ca="1" si="26"/>
        <v>22125.534974305741</v>
      </c>
      <c r="AB158" s="265">
        <f t="shared" ca="1" si="32"/>
        <v>2030</v>
      </c>
      <c r="AC158" s="265">
        <f t="shared" ca="1" si="33"/>
        <v>3</v>
      </c>
      <c r="AD158" s="276">
        <f ca="1">IF(     OR(               AND(MAX(AF$6:AF158)&lt;2,  AC158=12),                 AF158=2),                   SUMIF(AB:AB,AB158,AA:AA),                       0)</f>
        <v>0</v>
      </c>
      <c r="AE158" s="277">
        <f t="shared" ca="1" si="34"/>
        <v>0</v>
      </c>
      <c r="AF158" s="277">
        <f t="shared" ca="1" si="27"/>
        <v>0</v>
      </c>
      <c r="AG158" s="402">
        <f ca="1">IF(  AND(AC158=AdóHó,   MAX(AF$1:AF157)&lt;2),   SUMIF(AB:AB,AB158-1,AE:AE),0  )
+ IF(AND(AC158&lt;AdóHó,                            AF158=2),   SUMIF(AB:AB,AB158-1,AE:AE),0  )
+ IF(                                                                  AF158=2,    SUMIF(AB:AB,AB158,AE:AE   ),0  )</f>
        <v>0</v>
      </c>
      <c r="AH158" s="272">
        <f ca="1">SUM(AG$2:AG158)</f>
        <v>548549.17634356767</v>
      </c>
    </row>
    <row r="159" spans="1:34">
      <c r="A159" s="265">
        <f t="shared" si="28"/>
        <v>14</v>
      </c>
      <c r="B159" s="265">
        <f t="shared" si="29"/>
        <v>1</v>
      </c>
      <c r="C159" s="265">
        <f t="shared" ca="1" si="30"/>
        <v>14</v>
      </c>
      <c r="D159" s="265">
        <f t="shared" ca="1" si="31"/>
        <v>4</v>
      </c>
      <c r="E159" s="266">
        <v>5.0000000000000001E-3</v>
      </c>
      <c r="F159" s="267">
        <f>ÉV!$B$12</f>
        <v>0</v>
      </c>
      <c r="G159" s="271">
        <f ca="1">VLOOKUP(A159,ÉV!$A$18:$B$65,2,0)</f>
        <v>270816.54808550229</v>
      </c>
      <c r="H159" s="271">
        <f ca="1">IF(OR(A159=1,AND(C159=ÉV!$I$2,D159&gt;ÉV!$J$2),C159&gt;ÉV!$I$2),0,INDEX(Pz!$B$2:$AM$48,A159-1,ÉV!$G$2-9)/100000*ÉV!$B$10)</f>
        <v>239928.53879756347</v>
      </c>
      <c r="I159" s="271">
        <f ca="1">INDEX(Pz!$B$2:$AM$48,HÓ!A159,ÉV!$G$2-9)/100000*ÉV!$B$10</f>
        <v>244710.39251094937</v>
      </c>
      <c r="J159" s="273">
        <f ca="1">IF(OR(A159=1,A159=2,AND(C159=ÉV!$I$2,D159&gt;ÉV!$J$2),C159&gt;ÉV!$I$2),0,VLOOKUP(A159-2,ÉV!$A$18:$C$65,3,0))</f>
        <v>2333702.0350769893</v>
      </c>
      <c r="K159" s="273">
        <f ca="1">IF(OR(A159=1,AND(C159=ÉV!$I$2,D159&gt;ÉV!$J$2),C159&gt;ÉV!$I$2),0,VLOOKUP(A159-1,ÉV!$A$18:$C$65,3,0))</f>
        <v>2578772.3495152127</v>
      </c>
      <c r="L159" s="273">
        <f ca="1">VLOOKUP(A159,ÉV!$A$18:$C$65,3,0)*IF(OR(AND(C159=ÉV!$I$2,D159&gt;ÉV!$J$2),C159&gt;ÉV!$I$2),0,1)</f>
        <v>2828947.0730127157</v>
      </c>
      <c r="M159" s="273">
        <f ca="1">(K159*(12-B159)/12+L159*B159/12)*IF(A159&gt;ÉV!$G$2,0,1)+IF(A159&gt;ÉV!$G$2,M158,0)*IF(OR(AND(C159=ÉV!$I$2,D159&gt;ÉV!$J$2),C159&gt;ÉV!$I$2),0,1)</f>
        <v>2599620.2431400046</v>
      </c>
      <c r="N159" s="274">
        <f ca="1">IF(AND(C159=1,D159&lt;12),0,1)*IF(D159=12,MAX(0,F159-E159-0.003)*0.9*((K159+I159)*(B159/12)+(J159+H159)*(1-B159/12))+MAX(0,F159-0.003)*0.9*N158+N158,IF(AND(C159=ÉV!$I$2,D159=ÉV!$J$2),(M159+N158)*MAX(0,F159-0.003)*0.9*(D159/12)+N158,N158))*IF(OR(C159&gt;ÉV!$I$2,AND(C159=ÉV!$I$2,D159&gt;ÉV!$J$2)),0,1)</f>
        <v>0</v>
      </c>
      <c r="O159" s="313">
        <f ca="1">IF(MAX(AF$2:AF158)=2,      0,IF(OR(AC159=7, AF159=2),    SUM(AE$2:AE159),    O158)   )</f>
        <v>548549.17634356767</v>
      </c>
      <c r="P159" s="271">
        <f ca="1">IF(D159=12,V159+P158+P158*(F159-0.003)*0.9,IF(AND(C159=ÉV!$I$2,D159=ÉV!$J$2),V159+P158+P158*(F159-0.003)*0.9*D159/12,P158))*IF(OR(C159&gt;ÉV!$I$2,AND(C159=ÉV!$I$2,D159&gt;ÉV!$J$2)),0,1)</f>
        <v>0</v>
      </c>
      <c r="Q159" s="275">
        <f ca="1">(N159+P159)*IF(OR(AND(C159=ÉV!$I$2,D159&gt;ÉV!$J$2),C159&gt;ÉV!$I$2),0,1)</f>
        <v>0</v>
      </c>
      <c r="R159" s="271">
        <f ca="1">(MAX(0,F159-E159-0.003)*0.9*((K159+I159)*(1/12)))*IF(OR(C159&gt;ÉV!$I$2,AND(C159=ÉV!$I$2,D159&gt;ÉV!$J$2)),0,1)</f>
        <v>0</v>
      </c>
      <c r="S159" s="271">
        <f ca="1">(MAX(0,F159-0.003)*0.9*((O159)*(1/12)))*IF(OR(C159&gt;ÉV!$I$2,AND(C159=ÉV!$I$2,D159&gt;ÉV!$J$2)),0,1)</f>
        <v>0</v>
      </c>
      <c r="T159" s="271">
        <f ca="1">(MAX(0,F159-0.003)*0.9*((Q158)*(1/12)))*IF(OR(C159&gt;ÉV!$I$2,AND(C159=ÉV!$I$2,D159&gt;ÉV!$J$2)),0,1)</f>
        <v>0</v>
      </c>
      <c r="U159" s="271">
        <f ca="1">IF($D159=1,R159,R159+U158)*IF(OR(C159&gt;ÉV!$I$2,AND(C159=ÉV!$I$2,D159&gt;ÉV!$J$2)),0,1)</f>
        <v>0</v>
      </c>
      <c r="V159" s="271">
        <f ca="1">IF($D159=1,S159,S159+V158)*IF(OR(C159&gt;ÉV!$I$2,AND(C159=ÉV!$I$2,D159&gt;ÉV!$J$2)),0,1)</f>
        <v>0</v>
      </c>
      <c r="W159" s="271">
        <f ca="1">IF($D159=1,T159,T159+W158)*IF(OR(C159&gt;ÉV!$I$2,AND(C159=ÉV!$I$2,D159&gt;ÉV!$J$2)),0,1)</f>
        <v>0</v>
      </c>
      <c r="X159" s="271">
        <f ca="1">IF(OR(D159=12,AND(C159=ÉV!$I$2,D159=ÉV!$J$2)),SUM(U159:W159)+X158,X158)*IF(OR(C159&gt;ÉV!$I$2,AND(C159=ÉV!$I$2,D159&gt;ÉV!$J$2)),0,1)</f>
        <v>0</v>
      </c>
      <c r="Y159" s="271">
        <f t="shared" ca="1" si="24"/>
        <v>0</v>
      </c>
      <c r="Z159" s="265">
        <f t="shared" si="25"/>
        <v>1</v>
      </c>
      <c r="AA159" s="272">
        <f t="shared" ca="1" si="26"/>
        <v>22568.045673791858</v>
      </c>
      <c r="AB159" s="265">
        <f t="shared" ca="1" si="32"/>
        <v>2030</v>
      </c>
      <c r="AC159" s="265">
        <f t="shared" ca="1" si="33"/>
        <v>4</v>
      </c>
      <c r="AD159" s="276">
        <f ca="1">IF(     OR(               AND(MAX(AF$6:AF159)&lt;2,  AC159=12),                 AF159=2),                   SUMIF(AB:AB,AB159,AA:AA),                       0)</f>
        <v>0</v>
      </c>
      <c r="AE159" s="277">
        <f t="shared" ca="1" si="34"/>
        <v>0</v>
      </c>
      <c r="AF159" s="277">
        <f t="shared" ca="1" si="27"/>
        <v>0</v>
      </c>
      <c r="AG159" s="402">
        <f ca="1">IF(  AND(AC159=AdóHó,   MAX(AF$1:AF158)&lt;2),   SUMIF(AB:AB,AB159-1,AE:AE),0  )
+ IF(AND(AC159&lt;AdóHó,                            AF159=2),   SUMIF(AB:AB,AB159-1,AE:AE),0  )
+ IF(                                                                  AF159=2,    SUMIF(AB:AB,AB159,AE:AE   ),0  )</f>
        <v>0</v>
      </c>
      <c r="AH159" s="272">
        <f ca="1">SUM(AG$2:AG159)</f>
        <v>548549.17634356767</v>
      </c>
    </row>
    <row r="160" spans="1:34">
      <c r="A160" s="265">
        <f t="shared" si="28"/>
        <v>14</v>
      </c>
      <c r="B160" s="265">
        <f t="shared" si="29"/>
        <v>2</v>
      </c>
      <c r="C160" s="265">
        <f t="shared" ca="1" si="30"/>
        <v>14</v>
      </c>
      <c r="D160" s="265">
        <f t="shared" ca="1" si="31"/>
        <v>5</v>
      </c>
      <c r="E160" s="266">
        <v>5.0000000000000001E-3</v>
      </c>
      <c r="F160" s="267">
        <f>ÉV!$B$12</f>
        <v>0</v>
      </c>
      <c r="G160" s="271">
        <f ca="1">VLOOKUP(A160,ÉV!$A$18:$B$65,2,0)</f>
        <v>270816.54808550229</v>
      </c>
      <c r="H160" s="271">
        <f ca="1">IF(OR(A160=1,AND(C160=ÉV!$I$2,D160&gt;ÉV!$J$2),C160&gt;ÉV!$I$2),0,INDEX(Pz!$B$2:$AM$48,A160-1,ÉV!$G$2-9)/100000*ÉV!$B$10)</f>
        <v>239928.53879756347</v>
      </c>
      <c r="I160" s="271">
        <f ca="1">INDEX(Pz!$B$2:$AM$48,HÓ!A160,ÉV!$G$2-9)/100000*ÉV!$B$10</f>
        <v>244710.39251094937</v>
      </c>
      <c r="J160" s="273">
        <f ca="1">IF(OR(A160=1,A160=2,AND(C160=ÉV!$I$2,D160&gt;ÉV!$J$2),C160&gt;ÉV!$I$2),0,VLOOKUP(A160-2,ÉV!$A$18:$C$65,3,0))</f>
        <v>2333702.0350769893</v>
      </c>
      <c r="K160" s="273">
        <f ca="1">IF(OR(A160=1,AND(C160=ÉV!$I$2,D160&gt;ÉV!$J$2),C160&gt;ÉV!$I$2),0,VLOOKUP(A160-1,ÉV!$A$18:$C$65,3,0))</f>
        <v>2578772.3495152127</v>
      </c>
      <c r="L160" s="273">
        <f ca="1">VLOOKUP(A160,ÉV!$A$18:$C$65,3,0)*IF(OR(AND(C160=ÉV!$I$2,D160&gt;ÉV!$J$2),C160&gt;ÉV!$I$2),0,1)</f>
        <v>2828947.0730127157</v>
      </c>
      <c r="M160" s="273">
        <f ca="1">(K160*(12-B160)/12+L160*B160/12)*IF(A160&gt;ÉV!$G$2,0,1)+IF(A160&gt;ÉV!$G$2,M159,0)*IF(OR(AND(C160=ÉV!$I$2,D160&gt;ÉV!$J$2),C160&gt;ÉV!$I$2),0,1)</f>
        <v>2620468.1367647965</v>
      </c>
      <c r="N160" s="274">
        <f ca="1">IF(AND(C160=1,D160&lt;12),0,1)*IF(D160=12,MAX(0,F160-E160-0.003)*0.9*((K160+I160)*(B160/12)+(J160+H160)*(1-B160/12))+MAX(0,F160-0.003)*0.9*N159+N159,IF(AND(C160=ÉV!$I$2,D160=ÉV!$J$2),(M160+N159)*MAX(0,F160-0.003)*0.9*(D160/12)+N159,N159))*IF(OR(C160&gt;ÉV!$I$2,AND(C160=ÉV!$I$2,D160&gt;ÉV!$J$2)),0,1)</f>
        <v>0</v>
      </c>
      <c r="O160" s="313">
        <f ca="1">IF(MAX(AF$2:AF159)=2,      0,IF(OR(AC160=7, AF160=2),    SUM(AE$2:AE160),    O159)   )</f>
        <v>548549.17634356767</v>
      </c>
      <c r="P160" s="271">
        <f ca="1">IF(D160=12,V160+P159+P159*(F160-0.003)*0.9,IF(AND(C160=ÉV!$I$2,D160=ÉV!$J$2),V160+P159+P159*(F160-0.003)*0.9*D160/12,P159))*IF(OR(C160&gt;ÉV!$I$2,AND(C160=ÉV!$I$2,D160&gt;ÉV!$J$2)),0,1)</f>
        <v>0</v>
      </c>
      <c r="Q160" s="275">
        <f ca="1">(N160+P160)*IF(OR(AND(C160=ÉV!$I$2,D160&gt;ÉV!$J$2),C160&gt;ÉV!$I$2),0,1)</f>
        <v>0</v>
      </c>
      <c r="R160" s="271">
        <f ca="1">(MAX(0,F160-E160-0.003)*0.9*((K160+I160)*(1/12)))*IF(OR(C160&gt;ÉV!$I$2,AND(C160=ÉV!$I$2,D160&gt;ÉV!$J$2)),0,1)</f>
        <v>0</v>
      </c>
      <c r="S160" s="271">
        <f ca="1">(MAX(0,F160-0.003)*0.9*((O160)*(1/12)))*IF(OR(C160&gt;ÉV!$I$2,AND(C160=ÉV!$I$2,D160&gt;ÉV!$J$2)),0,1)</f>
        <v>0</v>
      </c>
      <c r="T160" s="271">
        <f ca="1">(MAX(0,F160-0.003)*0.9*((Q159)*(1/12)))*IF(OR(C160&gt;ÉV!$I$2,AND(C160=ÉV!$I$2,D160&gt;ÉV!$J$2)),0,1)</f>
        <v>0</v>
      </c>
      <c r="U160" s="271">
        <f ca="1">IF($D160=1,R160,R160+U159)*IF(OR(C160&gt;ÉV!$I$2,AND(C160=ÉV!$I$2,D160&gt;ÉV!$J$2)),0,1)</f>
        <v>0</v>
      </c>
      <c r="V160" s="271">
        <f ca="1">IF($D160=1,S160,S160+V159)*IF(OR(C160&gt;ÉV!$I$2,AND(C160=ÉV!$I$2,D160&gt;ÉV!$J$2)),0,1)</f>
        <v>0</v>
      </c>
      <c r="W160" s="271">
        <f ca="1">IF($D160=1,T160,T160+W159)*IF(OR(C160&gt;ÉV!$I$2,AND(C160=ÉV!$I$2,D160&gt;ÉV!$J$2)),0,1)</f>
        <v>0</v>
      </c>
      <c r="X160" s="271">
        <f ca="1">IF(OR(D160=12,AND(C160=ÉV!$I$2,D160=ÉV!$J$2)),SUM(U160:W160)+X159,X159)*IF(OR(C160&gt;ÉV!$I$2,AND(C160=ÉV!$I$2,D160&gt;ÉV!$J$2)),0,1)</f>
        <v>0</v>
      </c>
      <c r="Y160" s="271">
        <f t="shared" ca="1" si="24"/>
        <v>0</v>
      </c>
      <c r="Z160" s="265">
        <f t="shared" si="25"/>
        <v>2</v>
      </c>
      <c r="AA160" s="272">
        <f t="shared" ca="1" si="26"/>
        <v>22568.045673791858</v>
      </c>
      <c r="AB160" s="265">
        <f t="shared" ca="1" si="32"/>
        <v>2030</v>
      </c>
      <c r="AC160" s="265">
        <f t="shared" ca="1" si="33"/>
        <v>5</v>
      </c>
      <c r="AD160" s="276">
        <f ca="1">IF(     OR(               AND(MAX(AF$6:AF160)&lt;2,  AC160=12),                 AF160=2),                   SUMIF(AB:AB,AB160,AA:AA),                       0)</f>
        <v>0</v>
      </c>
      <c r="AE160" s="277">
        <f t="shared" ca="1" si="34"/>
        <v>0</v>
      </c>
      <c r="AF160" s="277">
        <f t="shared" ca="1" si="27"/>
        <v>0</v>
      </c>
      <c r="AG160" s="402">
        <f ca="1">IF(  AND(AC160=AdóHó,   MAX(AF$1:AF159)&lt;2),   SUMIF(AB:AB,AB160-1,AE:AE),0  )
+ IF(AND(AC160&lt;AdóHó,                            AF160=2),   SUMIF(AB:AB,AB160-1,AE:AE),0  )
+ IF(                                                                  AF160=2,    SUMIF(AB:AB,AB160,AE:AE   ),0  )</f>
        <v>0</v>
      </c>
      <c r="AH160" s="272">
        <f ca="1">SUM(AG$2:AG160)</f>
        <v>548549.17634356767</v>
      </c>
    </row>
    <row r="161" spans="1:34">
      <c r="A161" s="265">
        <f t="shared" si="28"/>
        <v>14</v>
      </c>
      <c r="B161" s="265">
        <f t="shared" si="29"/>
        <v>3</v>
      </c>
      <c r="C161" s="265">
        <f t="shared" ca="1" si="30"/>
        <v>14</v>
      </c>
      <c r="D161" s="265">
        <f t="shared" ca="1" si="31"/>
        <v>6</v>
      </c>
      <c r="E161" s="266">
        <v>5.0000000000000001E-3</v>
      </c>
      <c r="F161" s="267">
        <f>ÉV!$B$12</f>
        <v>0</v>
      </c>
      <c r="G161" s="271">
        <f ca="1">VLOOKUP(A161,ÉV!$A$18:$B$65,2,0)</f>
        <v>270816.54808550229</v>
      </c>
      <c r="H161" s="271">
        <f ca="1">IF(OR(A161=1,AND(C161=ÉV!$I$2,D161&gt;ÉV!$J$2),C161&gt;ÉV!$I$2),0,INDEX(Pz!$B$2:$AM$48,A161-1,ÉV!$G$2-9)/100000*ÉV!$B$10)</f>
        <v>239928.53879756347</v>
      </c>
      <c r="I161" s="271">
        <f ca="1">INDEX(Pz!$B$2:$AM$48,HÓ!A161,ÉV!$G$2-9)/100000*ÉV!$B$10</f>
        <v>244710.39251094937</v>
      </c>
      <c r="J161" s="273">
        <f ca="1">IF(OR(A161=1,A161=2,AND(C161=ÉV!$I$2,D161&gt;ÉV!$J$2),C161&gt;ÉV!$I$2),0,VLOOKUP(A161-2,ÉV!$A$18:$C$65,3,0))</f>
        <v>2333702.0350769893</v>
      </c>
      <c r="K161" s="273">
        <f ca="1">IF(OR(A161=1,AND(C161=ÉV!$I$2,D161&gt;ÉV!$J$2),C161&gt;ÉV!$I$2),0,VLOOKUP(A161-1,ÉV!$A$18:$C$65,3,0))</f>
        <v>2578772.3495152127</v>
      </c>
      <c r="L161" s="273">
        <f ca="1">VLOOKUP(A161,ÉV!$A$18:$C$65,3,0)*IF(OR(AND(C161=ÉV!$I$2,D161&gt;ÉV!$J$2),C161&gt;ÉV!$I$2),0,1)</f>
        <v>2828947.0730127157</v>
      </c>
      <c r="M161" s="273">
        <f ca="1">(K161*(12-B161)/12+L161*B161/12)*IF(A161&gt;ÉV!$G$2,0,1)+IF(A161&gt;ÉV!$G$2,M160,0)*IF(OR(AND(C161=ÉV!$I$2,D161&gt;ÉV!$J$2),C161&gt;ÉV!$I$2),0,1)</f>
        <v>2641316.0303895888</v>
      </c>
      <c r="N161" s="274">
        <f ca="1">IF(AND(C161=1,D161&lt;12),0,1)*IF(D161=12,MAX(0,F161-E161-0.003)*0.9*((K161+I161)*(B161/12)+(J161+H161)*(1-B161/12))+MAX(0,F161-0.003)*0.9*N160+N160,IF(AND(C161=ÉV!$I$2,D161=ÉV!$J$2),(M161+N160)*MAX(0,F161-0.003)*0.9*(D161/12)+N160,N160))*IF(OR(C161&gt;ÉV!$I$2,AND(C161=ÉV!$I$2,D161&gt;ÉV!$J$2)),0,1)</f>
        <v>0</v>
      </c>
      <c r="O161" s="313">
        <f ca="1">IF(MAX(AF$2:AF160)=2,      0,IF(OR(AC161=7, AF161=2),    SUM(AE$2:AE161),    O160)   )</f>
        <v>548549.17634356767</v>
      </c>
      <c r="P161" s="271">
        <f ca="1">IF(D161=12,V161+P160+P160*(F161-0.003)*0.9,IF(AND(C161=ÉV!$I$2,D161=ÉV!$J$2),V161+P160+P160*(F161-0.003)*0.9*D161/12,P160))*IF(OR(C161&gt;ÉV!$I$2,AND(C161=ÉV!$I$2,D161&gt;ÉV!$J$2)),0,1)</f>
        <v>0</v>
      </c>
      <c r="Q161" s="275">
        <f ca="1">(N161+P161)*IF(OR(AND(C161=ÉV!$I$2,D161&gt;ÉV!$J$2),C161&gt;ÉV!$I$2),0,1)</f>
        <v>0</v>
      </c>
      <c r="R161" s="271">
        <f ca="1">(MAX(0,F161-E161-0.003)*0.9*((K161+I161)*(1/12)))*IF(OR(C161&gt;ÉV!$I$2,AND(C161=ÉV!$I$2,D161&gt;ÉV!$J$2)),0,1)</f>
        <v>0</v>
      </c>
      <c r="S161" s="271">
        <f ca="1">(MAX(0,F161-0.003)*0.9*((O161)*(1/12)))*IF(OR(C161&gt;ÉV!$I$2,AND(C161=ÉV!$I$2,D161&gt;ÉV!$J$2)),0,1)</f>
        <v>0</v>
      </c>
      <c r="T161" s="271">
        <f ca="1">(MAX(0,F161-0.003)*0.9*((Q160)*(1/12)))*IF(OR(C161&gt;ÉV!$I$2,AND(C161=ÉV!$I$2,D161&gt;ÉV!$J$2)),0,1)</f>
        <v>0</v>
      </c>
      <c r="U161" s="271">
        <f ca="1">IF($D161=1,R161,R161+U160)*IF(OR(C161&gt;ÉV!$I$2,AND(C161=ÉV!$I$2,D161&gt;ÉV!$J$2)),0,1)</f>
        <v>0</v>
      </c>
      <c r="V161" s="271">
        <f ca="1">IF($D161=1,S161,S161+V160)*IF(OR(C161&gt;ÉV!$I$2,AND(C161=ÉV!$I$2,D161&gt;ÉV!$J$2)),0,1)</f>
        <v>0</v>
      </c>
      <c r="W161" s="271">
        <f ca="1">IF($D161=1,T161,T161+W160)*IF(OR(C161&gt;ÉV!$I$2,AND(C161=ÉV!$I$2,D161&gt;ÉV!$J$2)),0,1)</f>
        <v>0</v>
      </c>
      <c r="X161" s="271">
        <f ca="1">IF(OR(D161=12,AND(C161=ÉV!$I$2,D161=ÉV!$J$2)),SUM(U161:W161)+X160,X160)*IF(OR(C161&gt;ÉV!$I$2,AND(C161=ÉV!$I$2,D161&gt;ÉV!$J$2)),0,1)</f>
        <v>0</v>
      </c>
      <c r="Y161" s="271">
        <f t="shared" ca="1" si="24"/>
        <v>0</v>
      </c>
      <c r="Z161" s="265">
        <f t="shared" si="25"/>
        <v>3</v>
      </c>
      <c r="AA161" s="272">
        <f t="shared" ca="1" si="26"/>
        <v>22568.045673791858</v>
      </c>
      <c r="AB161" s="265">
        <f t="shared" ca="1" si="32"/>
        <v>2030</v>
      </c>
      <c r="AC161" s="265">
        <f t="shared" ca="1" si="33"/>
        <v>6</v>
      </c>
      <c r="AD161" s="276">
        <f ca="1">IF(     OR(               AND(MAX(AF$6:AF161)&lt;2,  AC161=12),                 AF161=2),                   SUMIF(AB:AB,AB161,AA:AA),                       0)</f>
        <v>0</v>
      </c>
      <c r="AE161" s="277">
        <f t="shared" ca="1" si="34"/>
        <v>0</v>
      </c>
      <c r="AF161" s="277">
        <f t="shared" ca="1" si="27"/>
        <v>0</v>
      </c>
      <c r="AG161" s="402">
        <f ca="1">IF(  AND(AC161=AdóHó,   MAX(AF$1:AF160)&lt;2),   SUMIF(AB:AB,AB161-1,AE:AE),0  )
+ IF(AND(AC161&lt;AdóHó,                            AF161=2),   SUMIF(AB:AB,AB161-1,AE:AE),0  )
+ IF(                                                                  AF161=2,    SUMIF(AB:AB,AB161,AE:AE   ),0  )</f>
        <v>0</v>
      </c>
      <c r="AH161" s="272">
        <f ca="1">SUM(AG$2:AG161)</f>
        <v>548549.17634356767</v>
      </c>
    </row>
    <row r="162" spans="1:34">
      <c r="A162" s="265">
        <f t="shared" si="28"/>
        <v>14</v>
      </c>
      <c r="B162" s="265">
        <f t="shared" si="29"/>
        <v>4</v>
      </c>
      <c r="C162" s="265">
        <f t="shared" ca="1" si="30"/>
        <v>14</v>
      </c>
      <c r="D162" s="265">
        <f t="shared" ca="1" si="31"/>
        <v>7</v>
      </c>
      <c r="E162" s="266">
        <v>5.0000000000000001E-3</v>
      </c>
      <c r="F162" s="267">
        <f>ÉV!$B$12</f>
        <v>0</v>
      </c>
      <c r="G162" s="271">
        <f ca="1">VLOOKUP(A162,ÉV!$A$18:$B$65,2,0)</f>
        <v>270816.54808550229</v>
      </c>
      <c r="H162" s="271">
        <f ca="1">IF(OR(A162=1,AND(C162=ÉV!$I$2,D162&gt;ÉV!$J$2),C162&gt;ÉV!$I$2),0,INDEX(Pz!$B$2:$AM$48,A162-1,ÉV!$G$2-9)/100000*ÉV!$B$10)</f>
        <v>239928.53879756347</v>
      </c>
      <c r="I162" s="271">
        <f ca="1">INDEX(Pz!$B$2:$AM$48,HÓ!A162,ÉV!$G$2-9)/100000*ÉV!$B$10</f>
        <v>244710.39251094937</v>
      </c>
      <c r="J162" s="273">
        <f ca="1">IF(OR(A162=1,A162=2,AND(C162=ÉV!$I$2,D162&gt;ÉV!$J$2),C162&gt;ÉV!$I$2),0,VLOOKUP(A162-2,ÉV!$A$18:$C$65,3,0))</f>
        <v>2333702.0350769893</v>
      </c>
      <c r="K162" s="273">
        <f ca="1">IF(OR(A162=1,AND(C162=ÉV!$I$2,D162&gt;ÉV!$J$2),C162&gt;ÉV!$I$2),0,VLOOKUP(A162-1,ÉV!$A$18:$C$65,3,0))</f>
        <v>2578772.3495152127</v>
      </c>
      <c r="L162" s="273">
        <f ca="1">VLOOKUP(A162,ÉV!$A$18:$C$65,3,0)*IF(OR(AND(C162=ÉV!$I$2,D162&gt;ÉV!$J$2),C162&gt;ÉV!$I$2),0,1)</f>
        <v>2828947.0730127157</v>
      </c>
      <c r="M162" s="273">
        <f ca="1">(K162*(12-B162)/12+L162*B162/12)*IF(A162&gt;ÉV!$G$2,0,1)+IF(A162&gt;ÉV!$G$2,M161,0)*IF(OR(AND(C162=ÉV!$I$2,D162&gt;ÉV!$J$2),C162&gt;ÉV!$I$2),0,1)</f>
        <v>2662163.9240143802</v>
      </c>
      <c r="N162" s="274">
        <f ca="1">IF(AND(C162=1,D162&lt;12),0,1)*IF(D162=12,MAX(0,F162-E162-0.003)*0.9*((K162+I162)*(B162/12)+(J162+H162)*(1-B162/12))+MAX(0,F162-0.003)*0.9*N161+N161,IF(AND(C162=ÉV!$I$2,D162=ÉV!$J$2),(M162+N161)*MAX(0,F162-0.003)*0.9*(D162/12)+N161,N161))*IF(OR(C162&gt;ÉV!$I$2,AND(C162=ÉV!$I$2,D162&gt;ÉV!$J$2)),0,1)</f>
        <v>0</v>
      </c>
      <c r="O162" s="313">
        <f ca="1">IF(MAX(AF$2:AF161)=2,      0,IF(OR(AC162=7, AF162=2),    SUM(AE$2:AE162),    O161)   )</f>
        <v>601390.15987043898</v>
      </c>
      <c r="P162" s="271">
        <f ca="1">IF(D162=12,V162+P161+P161*(F162-0.003)*0.9,IF(AND(C162=ÉV!$I$2,D162=ÉV!$J$2),V162+P161+P161*(F162-0.003)*0.9*D162/12,P161))*IF(OR(C162&gt;ÉV!$I$2,AND(C162=ÉV!$I$2,D162&gt;ÉV!$J$2)),0,1)</f>
        <v>0</v>
      </c>
      <c r="Q162" s="275">
        <f ca="1">(N162+P162)*IF(OR(AND(C162=ÉV!$I$2,D162&gt;ÉV!$J$2),C162&gt;ÉV!$I$2),0,1)</f>
        <v>0</v>
      </c>
      <c r="R162" s="271">
        <f ca="1">(MAX(0,F162-E162-0.003)*0.9*((K162+I162)*(1/12)))*IF(OR(C162&gt;ÉV!$I$2,AND(C162=ÉV!$I$2,D162&gt;ÉV!$J$2)),0,1)</f>
        <v>0</v>
      </c>
      <c r="S162" s="271">
        <f ca="1">(MAX(0,F162-0.003)*0.9*((O162)*(1/12)))*IF(OR(C162&gt;ÉV!$I$2,AND(C162=ÉV!$I$2,D162&gt;ÉV!$J$2)),0,1)</f>
        <v>0</v>
      </c>
      <c r="T162" s="271">
        <f ca="1">(MAX(0,F162-0.003)*0.9*((Q161)*(1/12)))*IF(OR(C162&gt;ÉV!$I$2,AND(C162=ÉV!$I$2,D162&gt;ÉV!$J$2)),0,1)</f>
        <v>0</v>
      </c>
      <c r="U162" s="271">
        <f ca="1">IF($D162=1,R162,R162+U161)*IF(OR(C162&gt;ÉV!$I$2,AND(C162=ÉV!$I$2,D162&gt;ÉV!$J$2)),0,1)</f>
        <v>0</v>
      </c>
      <c r="V162" s="271">
        <f ca="1">IF($D162=1,S162,S162+V161)*IF(OR(C162&gt;ÉV!$I$2,AND(C162=ÉV!$I$2,D162&gt;ÉV!$J$2)),0,1)</f>
        <v>0</v>
      </c>
      <c r="W162" s="271">
        <f ca="1">IF($D162=1,T162,T162+W161)*IF(OR(C162&gt;ÉV!$I$2,AND(C162=ÉV!$I$2,D162&gt;ÉV!$J$2)),0,1)</f>
        <v>0</v>
      </c>
      <c r="X162" s="271">
        <f ca="1">IF(OR(D162=12,AND(C162=ÉV!$I$2,D162=ÉV!$J$2)),SUM(U162:W162)+X161,X161)*IF(OR(C162&gt;ÉV!$I$2,AND(C162=ÉV!$I$2,D162&gt;ÉV!$J$2)),0,1)</f>
        <v>0</v>
      </c>
      <c r="Y162" s="271">
        <f t="shared" ca="1" si="24"/>
        <v>0</v>
      </c>
      <c r="Z162" s="265">
        <f t="shared" si="25"/>
        <v>4</v>
      </c>
      <c r="AA162" s="272">
        <f t="shared" ca="1" si="26"/>
        <v>22568.045673791858</v>
      </c>
      <c r="AB162" s="265">
        <f t="shared" ca="1" si="32"/>
        <v>2030</v>
      </c>
      <c r="AC162" s="265">
        <f t="shared" ca="1" si="33"/>
        <v>7</v>
      </c>
      <c r="AD162" s="276">
        <f ca="1">IF(     OR(               AND(MAX(AF$6:AF162)&lt;2,  AC162=12),                 AF162=2),                   SUMIF(AB:AB,AB162,AA:AA),                       0)</f>
        <v>0</v>
      </c>
      <c r="AE162" s="277">
        <f t="shared" ca="1" si="34"/>
        <v>0</v>
      </c>
      <c r="AF162" s="277">
        <f t="shared" ca="1" si="27"/>
        <v>0</v>
      </c>
      <c r="AG162" s="402">
        <f ca="1">IF(  AND(AC162=AdóHó,   MAX(AF$1:AF161)&lt;2),   SUMIF(AB:AB,AB162-1,AE:AE),0  )
+ IF(AND(AC162&lt;AdóHó,                            AF162=2),   SUMIF(AB:AB,AB162-1,AE:AE),0  )
+ IF(                                                                  AF162=2,    SUMIF(AB:AB,AB162,AE:AE   ),0  )</f>
        <v>52840.983526871365</v>
      </c>
      <c r="AH162" s="272">
        <f ca="1">SUM(AG$2:AG162)</f>
        <v>601390.15987043898</v>
      </c>
    </row>
    <row r="163" spans="1:34">
      <c r="A163" s="265">
        <f t="shared" si="28"/>
        <v>14</v>
      </c>
      <c r="B163" s="265">
        <f t="shared" si="29"/>
        <v>5</v>
      </c>
      <c r="C163" s="265">
        <f t="shared" ca="1" si="30"/>
        <v>14</v>
      </c>
      <c r="D163" s="265">
        <f t="shared" ca="1" si="31"/>
        <v>8</v>
      </c>
      <c r="E163" s="266">
        <v>5.0000000000000001E-3</v>
      </c>
      <c r="F163" s="267">
        <f>ÉV!$B$12</f>
        <v>0</v>
      </c>
      <c r="G163" s="271">
        <f ca="1">VLOOKUP(A163,ÉV!$A$18:$B$65,2,0)</f>
        <v>270816.54808550229</v>
      </c>
      <c r="H163" s="271">
        <f ca="1">IF(OR(A163=1,AND(C163=ÉV!$I$2,D163&gt;ÉV!$J$2),C163&gt;ÉV!$I$2),0,INDEX(Pz!$B$2:$AM$48,A163-1,ÉV!$G$2-9)/100000*ÉV!$B$10)</f>
        <v>239928.53879756347</v>
      </c>
      <c r="I163" s="271">
        <f ca="1">INDEX(Pz!$B$2:$AM$48,HÓ!A163,ÉV!$G$2-9)/100000*ÉV!$B$10</f>
        <v>244710.39251094937</v>
      </c>
      <c r="J163" s="273">
        <f ca="1">IF(OR(A163=1,A163=2,AND(C163=ÉV!$I$2,D163&gt;ÉV!$J$2),C163&gt;ÉV!$I$2),0,VLOOKUP(A163-2,ÉV!$A$18:$C$65,3,0))</f>
        <v>2333702.0350769893</v>
      </c>
      <c r="K163" s="273">
        <f ca="1">IF(OR(A163=1,AND(C163=ÉV!$I$2,D163&gt;ÉV!$J$2),C163&gt;ÉV!$I$2),0,VLOOKUP(A163-1,ÉV!$A$18:$C$65,3,0))</f>
        <v>2578772.3495152127</v>
      </c>
      <c r="L163" s="273">
        <f ca="1">VLOOKUP(A163,ÉV!$A$18:$C$65,3,0)*IF(OR(AND(C163=ÉV!$I$2,D163&gt;ÉV!$J$2),C163&gt;ÉV!$I$2),0,1)</f>
        <v>2828947.0730127157</v>
      </c>
      <c r="M163" s="273">
        <f ca="1">(K163*(12-B163)/12+L163*B163/12)*IF(A163&gt;ÉV!$G$2,0,1)+IF(A163&gt;ÉV!$G$2,M162,0)*IF(OR(AND(C163=ÉV!$I$2,D163&gt;ÉV!$J$2),C163&gt;ÉV!$I$2),0,1)</f>
        <v>2683011.8176391721</v>
      </c>
      <c r="N163" s="274">
        <f ca="1">IF(AND(C163=1,D163&lt;12),0,1)*IF(D163=12,MAX(0,F163-E163-0.003)*0.9*((K163+I163)*(B163/12)+(J163+H163)*(1-B163/12))+MAX(0,F163-0.003)*0.9*N162+N162,IF(AND(C163=ÉV!$I$2,D163=ÉV!$J$2),(M163+N162)*MAX(0,F163-0.003)*0.9*(D163/12)+N162,N162))*IF(OR(C163&gt;ÉV!$I$2,AND(C163=ÉV!$I$2,D163&gt;ÉV!$J$2)),0,1)</f>
        <v>0</v>
      </c>
      <c r="O163" s="313">
        <f ca="1">IF(MAX(AF$2:AF162)=2,      0,IF(OR(AC163=7, AF163=2),    SUM(AE$2:AE163),    O162)   )</f>
        <v>601390.15987043898</v>
      </c>
      <c r="P163" s="271">
        <f ca="1">IF(D163=12,V163+P162+P162*(F163-0.003)*0.9,IF(AND(C163=ÉV!$I$2,D163=ÉV!$J$2),V163+P162+P162*(F163-0.003)*0.9*D163/12,P162))*IF(OR(C163&gt;ÉV!$I$2,AND(C163=ÉV!$I$2,D163&gt;ÉV!$J$2)),0,1)</f>
        <v>0</v>
      </c>
      <c r="Q163" s="275">
        <f ca="1">(N163+P163)*IF(OR(AND(C163=ÉV!$I$2,D163&gt;ÉV!$J$2),C163&gt;ÉV!$I$2),0,1)</f>
        <v>0</v>
      </c>
      <c r="R163" s="271">
        <f ca="1">(MAX(0,F163-E163-0.003)*0.9*((K163+I163)*(1/12)))*IF(OR(C163&gt;ÉV!$I$2,AND(C163=ÉV!$I$2,D163&gt;ÉV!$J$2)),0,1)</f>
        <v>0</v>
      </c>
      <c r="S163" s="271">
        <f ca="1">(MAX(0,F163-0.003)*0.9*((O163)*(1/12)))*IF(OR(C163&gt;ÉV!$I$2,AND(C163=ÉV!$I$2,D163&gt;ÉV!$J$2)),0,1)</f>
        <v>0</v>
      </c>
      <c r="T163" s="271">
        <f ca="1">(MAX(0,F163-0.003)*0.9*((Q162)*(1/12)))*IF(OR(C163&gt;ÉV!$I$2,AND(C163=ÉV!$I$2,D163&gt;ÉV!$J$2)),0,1)</f>
        <v>0</v>
      </c>
      <c r="U163" s="271">
        <f ca="1">IF($D163=1,R163,R163+U162)*IF(OR(C163&gt;ÉV!$I$2,AND(C163=ÉV!$I$2,D163&gt;ÉV!$J$2)),0,1)</f>
        <v>0</v>
      </c>
      <c r="V163" s="271">
        <f ca="1">IF($D163=1,S163,S163+V162)*IF(OR(C163&gt;ÉV!$I$2,AND(C163=ÉV!$I$2,D163&gt;ÉV!$J$2)),0,1)</f>
        <v>0</v>
      </c>
      <c r="W163" s="271">
        <f ca="1">IF($D163=1,T163,T163+W162)*IF(OR(C163&gt;ÉV!$I$2,AND(C163=ÉV!$I$2,D163&gt;ÉV!$J$2)),0,1)</f>
        <v>0</v>
      </c>
      <c r="X163" s="271">
        <f ca="1">IF(OR(D163=12,AND(C163=ÉV!$I$2,D163=ÉV!$J$2)),SUM(U163:W163)+X162,X162)*IF(OR(C163&gt;ÉV!$I$2,AND(C163=ÉV!$I$2,D163&gt;ÉV!$J$2)),0,1)</f>
        <v>0</v>
      </c>
      <c r="Y163" s="271">
        <f t="shared" ca="1" si="24"/>
        <v>0</v>
      </c>
      <c r="Z163" s="265">
        <f t="shared" si="25"/>
        <v>5</v>
      </c>
      <c r="AA163" s="272">
        <f t="shared" ca="1" si="26"/>
        <v>22568.045673791858</v>
      </c>
      <c r="AB163" s="265">
        <f t="shared" ca="1" si="32"/>
        <v>2030</v>
      </c>
      <c r="AC163" s="265">
        <f t="shared" ca="1" si="33"/>
        <v>8</v>
      </c>
      <c r="AD163" s="276">
        <f ca="1">IF(     OR(               AND(MAX(AF$6:AF163)&lt;2,  AC163=12),                 AF163=2),                   SUMIF(AB:AB,AB163,AA:AA),                       0)</f>
        <v>0</v>
      </c>
      <c r="AE163" s="277">
        <f t="shared" ca="1" si="34"/>
        <v>0</v>
      </c>
      <c r="AF163" s="277">
        <f t="shared" ca="1" si="27"/>
        <v>0</v>
      </c>
      <c r="AG163" s="402">
        <f ca="1">IF(  AND(AC163=AdóHó,   MAX(AF$1:AF162)&lt;2),   SUMIF(AB:AB,AB163-1,AE:AE),0  )
+ IF(AND(AC163&lt;AdóHó,                            AF163=2),   SUMIF(AB:AB,AB163-1,AE:AE),0  )
+ IF(                                                                  AF163=2,    SUMIF(AB:AB,AB163,AE:AE   ),0  )</f>
        <v>0</v>
      </c>
      <c r="AH163" s="272">
        <f ca="1">SUM(AG$2:AG163)</f>
        <v>601390.15987043898</v>
      </c>
    </row>
    <row r="164" spans="1:34">
      <c r="A164" s="265">
        <f t="shared" si="28"/>
        <v>14</v>
      </c>
      <c r="B164" s="265">
        <f t="shared" si="29"/>
        <v>6</v>
      </c>
      <c r="C164" s="265">
        <f t="shared" ca="1" si="30"/>
        <v>14</v>
      </c>
      <c r="D164" s="265">
        <f t="shared" ca="1" si="31"/>
        <v>9</v>
      </c>
      <c r="E164" s="266">
        <v>5.0000000000000001E-3</v>
      </c>
      <c r="F164" s="267">
        <f>ÉV!$B$12</f>
        <v>0</v>
      </c>
      <c r="G164" s="271">
        <f ca="1">VLOOKUP(A164,ÉV!$A$18:$B$65,2,0)</f>
        <v>270816.54808550229</v>
      </c>
      <c r="H164" s="271">
        <f ca="1">IF(OR(A164=1,AND(C164=ÉV!$I$2,D164&gt;ÉV!$J$2),C164&gt;ÉV!$I$2),0,INDEX(Pz!$B$2:$AM$48,A164-1,ÉV!$G$2-9)/100000*ÉV!$B$10)</f>
        <v>239928.53879756347</v>
      </c>
      <c r="I164" s="271">
        <f ca="1">INDEX(Pz!$B$2:$AM$48,HÓ!A164,ÉV!$G$2-9)/100000*ÉV!$B$10</f>
        <v>244710.39251094937</v>
      </c>
      <c r="J164" s="273">
        <f ca="1">IF(OR(A164=1,A164=2,AND(C164=ÉV!$I$2,D164&gt;ÉV!$J$2),C164&gt;ÉV!$I$2),0,VLOOKUP(A164-2,ÉV!$A$18:$C$65,3,0))</f>
        <v>2333702.0350769893</v>
      </c>
      <c r="K164" s="273">
        <f ca="1">IF(OR(A164=1,AND(C164=ÉV!$I$2,D164&gt;ÉV!$J$2),C164&gt;ÉV!$I$2),0,VLOOKUP(A164-1,ÉV!$A$18:$C$65,3,0))</f>
        <v>2578772.3495152127</v>
      </c>
      <c r="L164" s="273">
        <f ca="1">VLOOKUP(A164,ÉV!$A$18:$C$65,3,0)*IF(OR(AND(C164=ÉV!$I$2,D164&gt;ÉV!$J$2),C164&gt;ÉV!$I$2),0,1)</f>
        <v>2828947.0730127157</v>
      </c>
      <c r="M164" s="273">
        <f ca="1">(K164*(12-B164)/12+L164*B164/12)*IF(A164&gt;ÉV!$G$2,0,1)+IF(A164&gt;ÉV!$G$2,M163,0)*IF(OR(AND(C164=ÉV!$I$2,D164&gt;ÉV!$J$2),C164&gt;ÉV!$I$2),0,1)</f>
        <v>2703859.711263964</v>
      </c>
      <c r="N164" s="274">
        <f ca="1">IF(AND(C164=1,D164&lt;12),0,1)*IF(D164=12,MAX(0,F164-E164-0.003)*0.9*((K164+I164)*(B164/12)+(J164+H164)*(1-B164/12))+MAX(0,F164-0.003)*0.9*N163+N163,IF(AND(C164=ÉV!$I$2,D164=ÉV!$J$2),(M164+N163)*MAX(0,F164-0.003)*0.9*(D164/12)+N163,N163))*IF(OR(C164&gt;ÉV!$I$2,AND(C164=ÉV!$I$2,D164&gt;ÉV!$J$2)),0,1)</f>
        <v>0</v>
      </c>
      <c r="O164" s="313">
        <f ca="1">IF(MAX(AF$2:AF163)=2,      0,IF(OR(AC164=7, AF164=2),    SUM(AE$2:AE164),    O163)   )</f>
        <v>601390.15987043898</v>
      </c>
      <c r="P164" s="271">
        <f ca="1">IF(D164=12,V164+P163+P163*(F164-0.003)*0.9,IF(AND(C164=ÉV!$I$2,D164=ÉV!$J$2),V164+P163+P163*(F164-0.003)*0.9*D164/12,P163))*IF(OR(C164&gt;ÉV!$I$2,AND(C164=ÉV!$I$2,D164&gt;ÉV!$J$2)),0,1)</f>
        <v>0</v>
      </c>
      <c r="Q164" s="275">
        <f ca="1">(N164+P164)*IF(OR(AND(C164=ÉV!$I$2,D164&gt;ÉV!$J$2),C164&gt;ÉV!$I$2),0,1)</f>
        <v>0</v>
      </c>
      <c r="R164" s="271">
        <f ca="1">(MAX(0,F164-E164-0.003)*0.9*((K164+I164)*(1/12)))*IF(OR(C164&gt;ÉV!$I$2,AND(C164=ÉV!$I$2,D164&gt;ÉV!$J$2)),0,1)</f>
        <v>0</v>
      </c>
      <c r="S164" s="271">
        <f ca="1">(MAX(0,F164-0.003)*0.9*((O164)*(1/12)))*IF(OR(C164&gt;ÉV!$I$2,AND(C164=ÉV!$I$2,D164&gt;ÉV!$J$2)),0,1)</f>
        <v>0</v>
      </c>
      <c r="T164" s="271">
        <f ca="1">(MAX(0,F164-0.003)*0.9*((Q163)*(1/12)))*IF(OR(C164&gt;ÉV!$I$2,AND(C164=ÉV!$I$2,D164&gt;ÉV!$J$2)),0,1)</f>
        <v>0</v>
      </c>
      <c r="U164" s="271">
        <f ca="1">IF($D164=1,R164,R164+U163)*IF(OR(C164&gt;ÉV!$I$2,AND(C164=ÉV!$I$2,D164&gt;ÉV!$J$2)),0,1)</f>
        <v>0</v>
      </c>
      <c r="V164" s="271">
        <f ca="1">IF($D164=1,S164,S164+V163)*IF(OR(C164&gt;ÉV!$I$2,AND(C164=ÉV!$I$2,D164&gt;ÉV!$J$2)),0,1)</f>
        <v>0</v>
      </c>
      <c r="W164" s="271">
        <f ca="1">IF($D164=1,T164,T164+W163)*IF(OR(C164&gt;ÉV!$I$2,AND(C164=ÉV!$I$2,D164&gt;ÉV!$J$2)),0,1)</f>
        <v>0</v>
      </c>
      <c r="X164" s="271">
        <f ca="1">IF(OR(D164=12,AND(C164=ÉV!$I$2,D164=ÉV!$J$2)),SUM(U164:W164)+X163,X163)*IF(OR(C164&gt;ÉV!$I$2,AND(C164=ÉV!$I$2,D164&gt;ÉV!$J$2)),0,1)</f>
        <v>0</v>
      </c>
      <c r="Y164" s="271">
        <f t="shared" ca="1" si="24"/>
        <v>0</v>
      </c>
      <c r="Z164" s="265">
        <f t="shared" si="25"/>
        <v>6</v>
      </c>
      <c r="AA164" s="272">
        <f t="shared" ca="1" si="26"/>
        <v>22568.045673791858</v>
      </c>
      <c r="AB164" s="265">
        <f t="shared" ca="1" si="32"/>
        <v>2030</v>
      </c>
      <c r="AC164" s="265">
        <f t="shared" ca="1" si="33"/>
        <v>9</v>
      </c>
      <c r="AD164" s="276">
        <f ca="1">IF(     OR(               AND(MAX(AF$6:AF164)&lt;2,  AC164=12),                 AF164=2),                   SUMIF(AB:AB,AB164,AA:AA),                       0)</f>
        <v>0</v>
      </c>
      <c r="AE164" s="277">
        <f t="shared" ca="1" si="34"/>
        <v>0</v>
      </c>
      <c r="AF164" s="277">
        <f t="shared" ca="1" si="27"/>
        <v>0</v>
      </c>
      <c r="AG164" s="402">
        <f ca="1">IF(  AND(AC164=AdóHó,   MAX(AF$1:AF163)&lt;2),   SUMIF(AB:AB,AB164-1,AE:AE),0  )
+ IF(AND(AC164&lt;AdóHó,                            AF164=2),   SUMIF(AB:AB,AB164-1,AE:AE),0  )
+ IF(                                                                  AF164=2,    SUMIF(AB:AB,AB164,AE:AE   ),0  )</f>
        <v>0</v>
      </c>
      <c r="AH164" s="272">
        <f ca="1">SUM(AG$2:AG164)</f>
        <v>601390.15987043898</v>
      </c>
    </row>
    <row r="165" spans="1:34">
      <c r="A165" s="265">
        <f t="shared" si="28"/>
        <v>14</v>
      </c>
      <c r="B165" s="265">
        <f t="shared" si="29"/>
        <v>7</v>
      </c>
      <c r="C165" s="265">
        <f t="shared" ca="1" si="30"/>
        <v>14</v>
      </c>
      <c r="D165" s="265">
        <f t="shared" ca="1" si="31"/>
        <v>10</v>
      </c>
      <c r="E165" s="266">
        <v>5.0000000000000001E-3</v>
      </c>
      <c r="F165" s="267">
        <f>ÉV!$B$12</f>
        <v>0</v>
      </c>
      <c r="G165" s="271">
        <f ca="1">VLOOKUP(A165,ÉV!$A$18:$B$65,2,0)</f>
        <v>270816.54808550229</v>
      </c>
      <c r="H165" s="271">
        <f ca="1">IF(OR(A165=1,AND(C165=ÉV!$I$2,D165&gt;ÉV!$J$2),C165&gt;ÉV!$I$2),0,INDEX(Pz!$B$2:$AM$48,A165-1,ÉV!$G$2-9)/100000*ÉV!$B$10)</f>
        <v>239928.53879756347</v>
      </c>
      <c r="I165" s="271">
        <f ca="1">INDEX(Pz!$B$2:$AM$48,HÓ!A165,ÉV!$G$2-9)/100000*ÉV!$B$10</f>
        <v>244710.39251094937</v>
      </c>
      <c r="J165" s="273">
        <f ca="1">IF(OR(A165=1,A165=2,AND(C165=ÉV!$I$2,D165&gt;ÉV!$J$2),C165&gt;ÉV!$I$2),0,VLOOKUP(A165-2,ÉV!$A$18:$C$65,3,0))</f>
        <v>2333702.0350769893</v>
      </c>
      <c r="K165" s="273">
        <f ca="1">IF(OR(A165=1,AND(C165=ÉV!$I$2,D165&gt;ÉV!$J$2),C165&gt;ÉV!$I$2),0,VLOOKUP(A165-1,ÉV!$A$18:$C$65,3,0))</f>
        <v>2578772.3495152127</v>
      </c>
      <c r="L165" s="273">
        <f ca="1">VLOOKUP(A165,ÉV!$A$18:$C$65,3,0)*IF(OR(AND(C165=ÉV!$I$2,D165&gt;ÉV!$J$2),C165&gt;ÉV!$I$2),0,1)</f>
        <v>2828947.0730127157</v>
      </c>
      <c r="M165" s="273">
        <f ca="1">(K165*(12-B165)/12+L165*B165/12)*IF(A165&gt;ÉV!$G$2,0,1)+IF(A165&gt;ÉV!$G$2,M164,0)*IF(OR(AND(C165=ÉV!$I$2,D165&gt;ÉV!$J$2),C165&gt;ÉV!$I$2),0,1)</f>
        <v>2724707.6048887558</v>
      </c>
      <c r="N165" s="274">
        <f ca="1">IF(AND(C165=1,D165&lt;12),0,1)*IF(D165=12,MAX(0,F165-E165-0.003)*0.9*((K165+I165)*(B165/12)+(J165+H165)*(1-B165/12))+MAX(0,F165-0.003)*0.9*N164+N164,IF(AND(C165=ÉV!$I$2,D165=ÉV!$J$2),(M165+N164)*MAX(0,F165-0.003)*0.9*(D165/12)+N164,N164))*IF(OR(C165&gt;ÉV!$I$2,AND(C165=ÉV!$I$2,D165&gt;ÉV!$J$2)),0,1)</f>
        <v>0</v>
      </c>
      <c r="O165" s="313">
        <f ca="1">IF(MAX(AF$2:AF164)=2,      0,IF(OR(AC165=7, AF165=2),    SUM(AE$2:AE165),    O164)   )</f>
        <v>601390.15987043898</v>
      </c>
      <c r="P165" s="271">
        <f ca="1">IF(D165=12,V165+P164+P164*(F165-0.003)*0.9,IF(AND(C165=ÉV!$I$2,D165=ÉV!$J$2),V165+P164+P164*(F165-0.003)*0.9*D165/12,P164))*IF(OR(C165&gt;ÉV!$I$2,AND(C165=ÉV!$I$2,D165&gt;ÉV!$J$2)),0,1)</f>
        <v>0</v>
      </c>
      <c r="Q165" s="275">
        <f ca="1">(N165+P165)*IF(OR(AND(C165=ÉV!$I$2,D165&gt;ÉV!$J$2),C165&gt;ÉV!$I$2),0,1)</f>
        <v>0</v>
      </c>
      <c r="R165" s="271">
        <f ca="1">(MAX(0,F165-E165-0.003)*0.9*((K165+I165)*(1/12)))*IF(OR(C165&gt;ÉV!$I$2,AND(C165=ÉV!$I$2,D165&gt;ÉV!$J$2)),0,1)</f>
        <v>0</v>
      </c>
      <c r="S165" s="271">
        <f ca="1">(MAX(0,F165-0.003)*0.9*((O165)*(1/12)))*IF(OR(C165&gt;ÉV!$I$2,AND(C165=ÉV!$I$2,D165&gt;ÉV!$J$2)),0,1)</f>
        <v>0</v>
      </c>
      <c r="T165" s="271">
        <f ca="1">(MAX(0,F165-0.003)*0.9*((Q164)*(1/12)))*IF(OR(C165&gt;ÉV!$I$2,AND(C165=ÉV!$I$2,D165&gt;ÉV!$J$2)),0,1)</f>
        <v>0</v>
      </c>
      <c r="U165" s="271">
        <f ca="1">IF($D165=1,R165,R165+U164)*IF(OR(C165&gt;ÉV!$I$2,AND(C165=ÉV!$I$2,D165&gt;ÉV!$J$2)),0,1)</f>
        <v>0</v>
      </c>
      <c r="V165" s="271">
        <f ca="1">IF($D165=1,S165,S165+V164)*IF(OR(C165&gt;ÉV!$I$2,AND(C165=ÉV!$I$2,D165&gt;ÉV!$J$2)),0,1)</f>
        <v>0</v>
      </c>
      <c r="W165" s="271">
        <f ca="1">IF($D165=1,T165,T165+W164)*IF(OR(C165&gt;ÉV!$I$2,AND(C165=ÉV!$I$2,D165&gt;ÉV!$J$2)),0,1)</f>
        <v>0</v>
      </c>
      <c r="X165" s="271">
        <f ca="1">IF(OR(D165=12,AND(C165=ÉV!$I$2,D165=ÉV!$J$2)),SUM(U165:W165)+X164,X164)*IF(OR(C165&gt;ÉV!$I$2,AND(C165=ÉV!$I$2,D165&gt;ÉV!$J$2)),0,1)</f>
        <v>0</v>
      </c>
      <c r="Y165" s="271">
        <f t="shared" ca="1" si="24"/>
        <v>0</v>
      </c>
      <c r="Z165" s="265">
        <f t="shared" si="25"/>
        <v>7</v>
      </c>
      <c r="AA165" s="272">
        <f t="shared" ca="1" si="26"/>
        <v>22568.045673791858</v>
      </c>
      <c r="AB165" s="265">
        <f t="shared" ca="1" si="32"/>
        <v>2030</v>
      </c>
      <c r="AC165" s="265">
        <f t="shared" ca="1" si="33"/>
        <v>10</v>
      </c>
      <c r="AD165" s="276">
        <f ca="1">IF(     OR(               AND(MAX(AF$6:AF165)&lt;2,  AC165=12),                 AF165=2),                   SUMIF(AB:AB,AB165,AA:AA),                       0)</f>
        <v>0</v>
      </c>
      <c r="AE165" s="277">
        <f t="shared" ca="1" si="34"/>
        <v>0</v>
      </c>
      <c r="AF165" s="277">
        <f t="shared" ca="1" si="27"/>
        <v>0</v>
      </c>
      <c r="AG165" s="402">
        <f ca="1">IF(  AND(AC165=AdóHó,   MAX(AF$1:AF164)&lt;2),   SUMIF(AB:AB,AB165-1,AE:AE),0  )
+ IF(AND(AC165&lt;AdóHó,                            AF165=2),   SUMIF(AB:AB,AB165-1,AE:AE),0  )
+ IF(                                                                  AF165=2,    SUMIF(AB:AB,AB165,AE:AE   ),0  )</f>
        <v>0</v>
      </c>
      <c r="AH165" s="272">
        <f ca="1">SUM(AG$2:AG165)</f>
        <v>601390.15987043898</v>
      </c>
    </row>
    <row r="166" spans="1:34">
      <c r="A166" s="265">
        <f t="shared" si="28"/>
        <v>14</v>
      </c>
      <c r="B166" s="265">
        <f t="shared" si="29"/>
        <v>8</v>
      </c>
      <c r="C166" s="265">
        <f t="shared" ca="1" si="30"/>
        <v>14</v>
      </c>
      <c r="D166" s="265">
        <f t="shared" ca="1" si="31"/>
        <v>11</v>
      </c>
      <c r="E166" s="266">
        <v>5.0000000000000001E-3</v>
      </c>
      <c r="F166" s="267">
        <f>ÉV!$B$12</f>
        <v>0</v>
      </c>
      <c r="G166" s="271">
        <f ca="1">VLOOKUP(A166,ÉV!$A$18:$B$65,2,0)</f>
        <v>270816.54808550229</v>
      </c>
      <c r="H166" s="271">
        <f ca="1">IF(OR(A166=1,AND(C166=ÉV!$I$2,D166&gt;ÉV!$J$2),C166&gt;ÉV!$I$2),0,INDEX(Pz!$B$2:$AM$48,A166-1,ÉV!$G$2-9)/100000*ÉV!$B$10)</f>
        <v>239928.53879756347</v>
      </c>
      <c r="I166" s="271">
        <f ca="1">INDEX(Pz!$B$2:$AM$48,HÓ!A166,ÉV!$G$2-9)/100000*ÉV!$B$10</f>
        <v>244710.39251094937</v>
      </c>
      <c r="J166" s="273">
        <f ca="1">IF(OR(A166=1,A166=2,AND(C166=ÉV!$I$2,D166&gt;ÉV!$J$2),C166&gt;ÉV!$I$2),0,VLOOKUP(A166-2,ÉV!$A$18:$C$65,3,0))</f>
        <v>2333702.0350769893</v>
      </c>
      <c r="K166" s="273">
        <f ca="1">IF(OR(A166=1,AND(C166=ÉV!$I$2,D166&gt;ÉV!$J$2),C166&gt;ÉV!$I$2),0,VLOOKUP(A166-1,ÉV!$A$18:$C$65,3,0))</f>
        <v>2578772.3495152127</v>
      </c>
      <c r="L166" s="273">
        <f ca="1">VLOOKUP(A166,ÉV!$A$18:$C$65,3,0)*IF(OR(AND(C166=ÉV!$I$2,D166&gt;ÉV!$J$2),C166&gt;ÉV!$I$2),0,1)</f>
        <v>2828947.0730127157</v>
      </c>
      <c r="M166" s="273">
        <f ca="1">(K166*(12-B166)/12+L166*B166/12)*IF(A166&gt;ÉV!$G$2,0,1)+IF(A166&gt;ÉV!$G$2,M165,0)*IF(OR(AND(C166=ÉV!$I$2,D166&gt;ÉV!$J$2),C166&gt;ÉV!$I$2),0,1)</f>
        <v>2745555.4985135477</v>
      </c>
      <c r="N166" s="274">
        <f ca="1">IF(AND(C166=1,D166&lt;12),0,1)*IF(D166=12,MAX(0,F166-E166-0.003)*0.9*((K166+I166)*(B166/12)+(J166+H166)*(1-B166/12))+MAX(0,F166-0.003)*0.9*N165+N165,IF(AND(C166=ÉV!$I$2,D166=ÉV!$J$2),(M166+N165)*MAX(0,F166-0.003)*0.9*(D166/12)+N165,N165))*IF(OR(C166&gt;ÉV!$I$2,AND(C166=ÉV!$I$2,D166&gt;ÉV!$J$2)),0,1)</f>
        <v>0</v>
      </c>
      <c r="O166" s="313">
        <f ca="1">IF(MAX(AF$2:AF165)=2,      0,IF(OR(AC166=7, AF166=2),    SUM(AE$2:AE166),    O165)   )</f>
        <v>601390.15987043898</v>
      </c>
      <c r="P166" s="271">
        <f ca="1">IF(D166=12,V166+P165+P165*(F166-0.003)*0.9,IF(AND(C166=ÉV!$I$2,D166=ÉV!$J$2),V166+P165+P165*(F166-0.003)*0.9*D166/12,P165))*IF(OR(C166&gt;ÉV!$I$2,AND(C166=ÉV!$I$2,D166&gt;ÉV!$J$2)),0,1)</f>
        <v>0</v>
      </c>
      <c r="Q166" s="275">
        <f ca="1">(N166+P166)*IF(OR(AND(C166=ÉV!$I$2,D166&gt;ÉV!$J$2),C166&gt;ÉV!$I$2),0,1)</f>
        <v>0</v>
      </c>
      <c r="R166" s="271">
        <f ca="1">(MAX(0,F166-E166-0.003)*0.9*((K166+I166)*(1/12)))*IF(OR(C166&gt;ÉV!$I$2,AND(C166=ÉV!$I$2,D166&gt;ÉV!$J$2)),0,1)</f>
        <v>0</v>
      </c>
      <c r="S166" s="271">
        <f ca="1">(MAX(0,F166-0.003)*0.9*((O166)*(1/12)))*IF(OR(C166&gt;ÉV!$I$2,AND(C166=ÉV!$I$2,D166&gt;ÉV!$J$2)),0,1)</f>
        <v>0</v>
      </c>
      <c r="T166" s="271">
        <f ca="1">(MAX(0,F166-0.003)*0.9*((Q165)*(1/12)))*IF(OR(C166&gt;ÉV!$I$2,AND(C166=ÉV!$I$2,D166&gt;ÉV!$J$2)),0,1)</f>
        <v>0</v>
      </c>
      <c r="U166" s="271">
        <f ca="1">IF($D166=1,R166,R166+U165)*IF(OR(C166&gt;ÉV!$I$2,AND(C166=ÉV!$I$2,D166&gt;ÉV!$J$2)),0,1)</f>
        <v>0</v>
      </c>
      <c r="V166" s="271">
        <f ca="1">IF($D166=1,S166,S166+V165)*IF(OR(C166&gt;ÉV!$I$2,AND(C166=ÉV!$I$2,D166&gt;ÉV!$J$2)),0,1)</f>
        <v>0</v>
      </c>
      <c r="W166" s="271">
        <f ca="1">IF($D166=1,T166,T166+W165)*IF(OR(C166&gt;ÉV!$I$2,AND(C166=ÉV!$I$2,D166&gt;ÉV!$J$2)),0,1)</f>
        <v>0</v>
      </c>
      <c r="X166" s="271">
        <f ca="1">IF(OR(D166=12,AND(C166=ÉV!$I$2,D166=ÉV!$J$2)),SUM(U166:W166)+X165,X165)*IF(OR(C166&gt;ÉV!$I$2,AND(C166=ÉV!$I$2,D166&gt;ÉV!$J$2)),0,1)</f>
        <v>0</v>
      </c>
      <c r="Y166" s="271">
        <f t="shared" ca="1" si="24"/>
        <v>0</v>
      </c>
      <c r="Z166" s="265">
        <f t="shared" si="25"/>
        <v>8</v>
      </c>
      <c r="AA166" s="272">
        <f t="shared" ca="1" si="26"/>
        <v>22568.045673791858</v>
      </c>
      <c r="AB166" s="265">
        <f t="shared" ca="1" si="32"/>
        <v>2030</v>
      </c>
      <c r="AC166" s="265">
        <f t="shared" ca="1" si="33"/>
        <v>11</v>
      </c>
      <c r="AD166" s="276">
        <f ca="1">IF(     OR(               AND(MAX(AF$6:AF166)&lt;2,  AC166=12),                 AF166=2),                   SUMIF(AB:AB,AB166,AA:AA),                       0)</f>
        <v>0</v>
      </c>
      <c r="AE166" s="277">
        <f t="shared" ca="1" si="34"/>
        <v>0</v>
      </c>
      <c r="AF166" s="277">
        <f t="shared" ca="1" si="27"/>
        <v>0</v>
      </c>
      <c r="AG166" s="402">
        <f ca="1">IF(  AND(AC166=AdóHó,   MAX(AF$1:AF165)&lt;2),   SUMIF(AB:AB,AB166-1,AE:AE),0  )
+ IF(AND(AC166&lt;AdóHó,                            AF166=2),   SUMIF(AB:AB,AB166-1,AE:AE),0  )
+ IF(                                                                  AF166=2,    SUMIF(AB:AB,AB166,AE:AE   ),0  )</f>
        <v>0</v>
      </c>
      <c r="AH166" s="272">
        <f ca="1">SUM(AG$2:AG166)</f>
        <v>601390.15987043898</v>
      </c>
    </row>
    <row r="167" spans="1:34">
      <c r="A167" s="265">
        <f t="shared" si="28"/>
        <v>14</v>
      </c>
      <c r="B167" s="265">
        <f t="shared" si="29"/>
        <v>9</v>
      </c>
      <c r="C167" s="265">
        <f t="shared" ca="1" si="30"/>
        <v>14</v>
      </c>
      <c r="D167" s="265">
        <f t="shared" ca="1" si="31"/>
        <v>12</v>
      </c>
      <c r="E167" s="266">
        <v>5.0000000000000001E-3</v>
      </c>
      <c r="F167" s="267">
        <f>ÉV!$B$12</f>
        <v>0</v>
      </c>
      <c r="G167" s="271">
        <f ca="1">VLOOKUP(A167,ÉV!$A$18:$B$65,2,0)</f>
        <v>270816.54808550229</v>
      </c>
      <c r="H167" s="271">
        <f ca="1">IF(OR(A167=1,AND(C167=ÉV!$I$2,D167&gt;ÉV!$J$2),C167&gt;ÉV!$I$2),0,INDEX(Pz!$B$2:$AM$48,A167-1,ÉV!$G$2-9)/100000*ÉV!$B$10)</f>
        <v>239928.53879756347</v>
      </c>
      <c r="I167" s="271">
        <f ca="1">INDEX(Pz!$B$2:$AM$48,HÓ!A167,ÉV!$G$2-9)/100000*ÉV!$B$10</f>
        <v>244710.39251094937</v>
      </c>
      <c r="J167" s="273">
        <f ca="1">IF(OR(A167=1,A167=2,AND(C167=ÉV!$I$2,D167&gt;ÉV!$J$2),C167&gt;ÉV!$I$2),0,VLOOKUP(A167-2,ÉV!$A$18:$C$65,3,0))</f>
        <v>2333702.0350769893</v>
      </c>
      <c r="K167" s="273">
        <f ca="1">IF(OR(A167=1,AND(C167=ÉV!$I$2,D167&gt;ÉV!$J$2),C167&gt;ÉV!$I$2),0,VLOOKUP(A167-1,ÉV!$A$18:$C$65,3,0))</f>
        <v>2578772.3495152127</v>
      </c>
      <c r="L167" s="273">
        <f ca="1">VLOOKUP(A167,ÉV!$A$18:$C$65,3,0)*IF(OR(AND(C167=ÉV!$I$2,D167&gt;ÉV!$J$2),C167&gt;ÉV!$I$2),0,1)</f>
        <v>2828947.0730127157</v>
      </c>
      <c r="M167" s="273">
        <f ca="1">(K167*(12-B167)/12+L167*B167/12)*IF(A167&gt;ÉV!$G$2,0,1)+IF(A167&gt;ÉV!$G$2,M166,0)*IF(OR(AND(C167=ÉV!$I$2,D167&gt;ÉV!$J$2),C167&gt;ÉV!$I$2),0,1)</f>
        <v>2766403.39213834</v>
      </c>
      <c r="N167" s="274">
        <f ca="1">IF(AND(C167=1,D167&lt;12),0,1)*IF(D167=12,MAX(0,F167-E167-0.003)*0.9*((K167+I167)*(B167/12)+(J167+H167)*(1-B167/12))+MAX(0,F167-0.003)*0.9*N166+N166,IF(AND(C167=ÉV!$I$2,D167=ÉV!$J$2),(M167+N166)*MAX(0,F167-0.003)*0.9*(D167/12)+N166,N166))*IF(OR(C167&gt;ÉV!$I$2,AND(C167=ÉV!$I$2,D167&gt;ÉV!$J$2)),0,1)</f>
        <v>0</v>
      </c>
      <c r="O167" s="313">
        <f ca="1">IF(MAX(AF$2:AF166)=2,      0,IF(OR(AC167=7, AF167=2),    SUM(AE$2:AE167),    O166)   )</f>
        <v>601390.15987043898</v>
      </c>
      <c r="P167" s="271">
        <f ca="1">IF(D167=12,V167+P166+P166*(F167-0.003)*0.9,IF(AND(C167=ÉV!$I$2,D167=ÉV!$J$2),V167+P166+P166*(F167-0.003)*0.9*D167/12,P166))*IF(OR(C167&gt;ÉV!$I$2,AND(C167=ÉV!$I$2,D167&gt;ÉV!$J$2)),0,1)</f>
        <v>0</v>
      </c>
      <c r="Q167" s="275">
        <f ca="1">(N167+P167)*IF(OR(AND(C167=ÉV!$I$2,D167&gt;ÉV!$J$2),C167&gt;ÉV!$I$2),0,1)</f>
        <v>0</v>
      </c>
      <c r="R167" s="271">
        <f ca="1">(MAX(0,F167-E167-0.003)*0.9*((K167+I167)*(1/12)))*IF(OR(C167&gt;ÉV!$I$2,AND(C167=ÉV!$I$2,D167&gt;ÉV!$J$2)),0,1)</f>
        <v>0</v>
      </c>
      <c r="S167" s="271">
        <f ca="1">(MAX(0,F167-0.003)*0.9*((O167)*(1/12)))*IF(OR(C167&gt;ÉV!$I$2,AND(C167=ÉV!$I$2,D167&gt;ÉV!$J$2)),0,1)</f>
        <v>0</v>
      </c>
      <c r="T167" s="271">
        <f ca="1">(MAX(0,F167-0.003)*0.9*((Q166)*(1/12)))*IF(OR(C167&gt;ÉV!$I$2,AND(C167=ÉV!$I$2,D167&gt;ÉV!$J$2)),0,1)</f>
        <v>0</v>
      </c>
      <c r="U167" s="271">
        <f ca="1">IF($D167=1,R167,R167+U166)*IF(OR(C167&gt;ÉV!$I$2,AND(C167=ÉV!$I$2,D167&gt;ÉV!$J$2)),0,1)</f>
        <v>0</v>
      </c>
      <c r="V167" s="271">
        <f ca="1">IF($D167=1,S167,S167+V166)*IF(OR(C167&gt;ÉV!$I$2,AND(C167=ÉV!$I$2,D167&gt;ÉV!$J$2)),0,1)</f>
        <v>0</v>
      </c>
      <c r="W167" s="271">
        <f ca="1">IF($D167=1,T167,T167+W166)*IF(OR(C167&gt;ÉV!$I$2,AND(C167=ÉV!$I$2,D167&gt;ÉV!$J$2)),0,1)</f>
        <v>0</v>
      </c>
      <c r="X167" s="271">
        <f ca="1">IF(OR(D167=12,AND(C167=ÉV!$I$2,D167=ÉV!$J$2)),SUM(U167:W167)+X166,X166)*IF(OR(C167&gt;ÉV!$I$2,AND(C167=ÉV!$I$2,D167&gt;ÉV!$J$2)),0,1)</f>
        <v>0</v>
      </c>
      <c r="Y167" s="271">
        <f t="shared" ca="1" si="24"/>
        <v>0</v>
      </c>
      <c r="Z167" s="265">
        <f t="shared" si="25"/>
        <v>9</v>
      </c>
      <c r="AA167" s="272">
        <f t="shared" ca="1" si="26"/>
        <v>22568.045673791858</v>
      </c>
      <c r="AB167" s="265">
        <f t="shared" ca="1" si="32"/>
        <v>2030</v>
      </c>
      <c r="AC167" s="265">
        <f t="shared" ca="1" si="33"/>
        <v>12</v>
      </c>
      <c r="AD167" s="276">
        <f ca="1">IF(     OR(               AND(MAX(AF$6:AF167)&lt;2,  AC167=12),                 AF167=2),                   SUMIF(AB:AB,AB167,AA:AA),                       0)</f>
        <v>269489.01598704385</v>
      </c>
      <c r="AE167" s="277">
        <f t="shared" ca="1" si="34"/>
        <v>53897.803197408772</v>
      </c>
      <c r="AF167" s="277">
        <f t="shared" ca="1" si="27"/>
        <v>0</v>
      </c>
      <c r="AG167" s="402">
        <f ca="1">IF(  AND(AC167=AdóHó,   MAX(AF$1:AF166)&lt;2),   SUMIF(AB:AB,AB167-1,AE:AE),0  )
+ IF(AND(AC167&lt;AdóHó,                            AF167=2),   SUMIF(AB:AB,AB167-1,AE:AE),0  )
+ IF(                                                                  AF167=2,    SUMIF(AB:AB,AB167,AE:AE   ),0  )</f>
        <v>0</v>
      </c>
      <c r="AH167" s="272">
        <f ca="1">SUM(AG$2:AG167)</f>
        <v>601390.15987043898</v>
      </c>
    </row>
    <row r="168" spans="1:34">
      <c r="A168" s="265">
        <f t="shared" si="28"/>
        <v>14</v>
      </c>
      <c r="B168" s="265">
        <f t="shared" si="29"/>
        <v>10</v>
      </c>
      <c r="C168" s="265">
        <f t="shared" ca="1" si="30"/>
        <v>15</v>
      </c>
      <c r="D168" s="265">
        <f t="shared" ca="1" si="31"/>
        <v>1</v>
      </c>
      <c r="E168" s="266">
        <v>5.0000000000000001E-3</v>
      </c>
      <c r="F168" s="267">
        <f>ÉV!$B$12</f>
        <v>0</v>
      </c>
      <c r="G168" s="271">
        <f ca="1">VLOOKUP(A168,ÉV!$A$18:$B$65,2,0)</f>
        <v>270816.54808550229</v>
      </c>
      <c r="H168" s="271">
        <f ca="1">IF(OR(A168=1,AND(C168=ÉV!$I$2,D168&gt;ÉV!$J$2),C168&gt;ÉV!$I$2),0,INDEX(Pz!$B$2:$AM$48,A168-1,ÉV!$G$2-9)/100000*ÉV!$B$10)</f>
        <v>239928.53879756347</v>
      </c>
      <c r="I168" s="271">
        <f ca="1">INDEX(Pz!$B$2:$AM$48,HÓ!A168,ÉV!$G$2-9)/100000*ÉV!$B$10</f>
        <v>244710.39251094937</v>
      </c>
      <c r="J168" s="273">
        <f ca="1">IF(OR(A168=1,A168=2,AND(C168=ÉV!$I$2,D168&gt;ÉV!$J$2),C168&gt;ÉV!$I$2),0,VLOOKUP(A168-2,ÉV!$A$18:$C$65,3,0))</f>
        <v>2333702.0350769893</v>
      </c>
      <c r="K168" s="273">
        <f ca="1">IF(OR(A168=1,AND(C168=ÉV!$I$2,D168&gt;ÉV!$J$2),C168&gt;ÉV!$I$2),0,VLOOKUP(A168-1,ÉV!$A$18:$C$65,3,0))</f>
        <v>2578772.3495152127</v>
      </c>
      <c r="L168" s="273">
        <f ca="1">VLOOKUP(A168,ÉV!$A$18:$C$65,3,0)*IF(OR(AND(C168=ÉV!$I$2,D168&gt;ÉV!$J$2),C168&gt;ÉV!$I$2),0,1)</f>
        <v>2828947.0730127157</v>
      </c>
      <c r="M168" s="273">
        <f ca="1">(K168*(12-B168)/12+L168*B168/12)*IF(A168&gt;ÉV!$G$2,0,1)+IF(A168&gt;ÉV!$G$2,M167,0)*IF(OR(AND(C168=ÉV!$I$2,D168&gt;ÉV!$J$2),C168&gt;ÉV!$I$2),0,1)</f>
        <v>2787251.2857631319</v>
      </c>
      <c r="N168" s="274">
        <f ca="1">IF(AND(C168=1,D168&lt;12),0,1)*IF(D168=12,MAX(0,F168-E168-0.003)*0.9*((K168+I168)*(B168/12)+(J168+H168)*(1-B168/12))+MAX(0,F168-0.003)*0.9*N167+N167,IF(AND(C168=ÉV!$I$2,D168=ÉV!$J$2),(M168+N167)*MAX(0,F168-0.003)*0.9*(D168/12)+N167,N167))*IF(OR(C168&gt;ÉV!$I$2,AND(C168=ÉV!$I$2,D168&gt;ÉV!$J$2)),0,1)</f>
        <v>0</v>
      </c>
      <c r="O168" s="313">
        <f ca="1">IF(MAX(AF$2:AF167)=2,      0,IF(OR(AC168=7, AF168=2),    SUM(AE$2:AE168),    O167)   )</f>
        <v>601390.15987043898</v>
      </c>
      <c r="P168" s="271">
        <f ca="1">IF(D168=12,V168+P167+P167*(F168-0.003)*0.9,IF(AND(C168=ÉV!$I$2,D168=ÉV!$J$2),V168+P167+P167*(F168-0.003)*0.9*D168/12,P167))*IF(OR(C168&gt;ÉV!$I$2,AND(C168=ÉV!$I$2,D168&gt;ÉV!$J$2)),0,1)</f>
        <v>0</v>
      </c>
      <c r="Q168" s="275">
        <f ca="1">(N168+P168)*IF(OR(AND(C168=ÉV!$I$2,D168&gt;ÉV!$J$2),C168&gt;ÉV!$I$2),0,1)</f>
        <v>0</v>
      </c>
      <c r="R168" s="271">
        <f ca="1">(MAX(0,F168-E168-0.003)*0.9*((K168+I168)*(1/12)))*IF(OR(C168&gt;ÉV!$I$2,AND(C168=ÉV!$I$2,D168&gt;ÉV!$J$2)),0,1)</f>
        <v>0</v>
      </c>
      <c r="S168" s="271">
        <f ca="1">(MAX(0,F168-0.003)*0.9*((O168)*(1/12)))*IF(OR(C168&gt;ÉV!$I$2,AND(C168=ÉV!$I$2,D168&gt;ÉV!$J$2)),0,1)</f>
        <v>0</v>
      </c>
      <c r="T168" s="271">
        <f ca="1">(MAX(0,F168-0.003)*0.9*((Q167)*(1/12)))*IF(OR(C168&gt;ÉV!$I$2,AND(C168=ÉV!$I$2,D168&gt;ÉV!$J$2)),0,1)</f>
        <v>0</v>
      </c>
      <c r="U168" s="271">
        <f ca="1">IF($D168=1,R168,R168+U167)*IF(OR(C168&gt;ÉV!$I$2,AND(C168=ÉV!$I$2,D168&gt;ÉV!$J$2)),0,1)</f>
        <v>0</v>
      </c>
      <c r="V168" s="271">
        <f ca="1">IF($D168=1,S168,S168+V167)*IF(OR(C168&gt;ÉV!$I$2,AND(C168=ÉV!$I$2,D168&gt;ÉV!$J$2)),0,1)</f>
        <v>0</v>
      </c>
      <c r="W168" s="271">
        <f ca="1">IF($D168=1,T168,T168+W167)*IF(OR(C168&gt;ÉV!$I$2,AND(C168=ÉV!$I$2,D168&gt;ÉV!$J$2)),0,1)</f>
        <v>0</v>
      </c>
      <c r="X168" s="271">
        <f ca="1">IF(OR(D168=12,AND(C168=ÉV!$I$2,D168=ÉV!$J$2)),SUM(U168:W168)+X167,X167)*IF(OR(C168&gt;ÉV!$I$2,AND(C168=ÉV!$I$2,D168&gt;ÉV!$J$2)),0,1)</f>
        <v>0</v>
      </c>
      <c r="Y168" s="271">
        <f t="shared" ca="1" si="24"/>
        <v>0</v>
      </c>
      <c r="Z168" s="265">
        <f t="shared" si="25"/>
        <v>10</v>
      </c>
      <c r="AA168" s="272">
        <f t="shared" ca="1" si="26"/>
        <v>22568.045673791858</v>
      </c>
      <c r="AB168" s="265">
        <f t="shared" ca="1" si="32"/>
        <v>2031</v>
      </c>
      <c r="AC168" s="265">
        <f t="shared" ca="1" si="33"/>
        <v>1</v>
      </c>
      <c r="AD168" s="276">
        <f ca="1">IF(     OR(               AND(MAX(AF$6:AF168)&lt;2,  AC168=12),                 AF168=2),                   SUMIF(AB:AB,AB168,AA:AA),                       0)</f>
        <v>0</v>
      </c>
      <c r="AE168" s="277">
        <f t="shared" ca="1" si="34"/>
        <v>0</v>
      </c>
      <c r="AF168" s="277">
        <f t="shared" ca="1" si="27"/>
        <v>0</v>
      </c>
      <c r="AG168" s="402">
        <f ca="1">IF(  AND(AC168=AdóHó,   MAX(AF$1:AF167)&lt;2),   SUMIF(AB:AB,AB168-1,AE:AE),0  )
+ IF(AND(AC168&lt;AdóHó,                            AF168=2),   SUMIF(AB:AB,AB168-1,AE:AE),0  )
+ IF(                                                                  AF168=2,    SUMIF(AB:AB,AB168,AE:AE   ),0  )</f>
        <v>0</v>
      </c>
      <c r="AH168" s="272">
        <f ca="1">SUM(AG$2:AG168)</f>
        <v>601390.15987043898</v>
      </c>
    </row>
    <row r="169" spans="1:34">
      <c r="A169" s="265">
        <f t="shared" si="28"/>
        <v>14</v>
      </c>
      <c r="B169" s="265">
        <f t="shared" si="29"/>
        <v>11</v>
      </c>
      <c r="C169" s="265">
        <f t="shared" ca="1" si="30"/>
        <v>15</v>
      </c>
      <c r="D169" s="265">
        <f t="shared" ca="1" si="31"/>
        <v>2</v>
      </c>
      <c r="E169" s="266">
        <v>5.0000000000000001E-3</v>
      </c>
      <c r="F169" s="267">
        <f>ÉV!$B$12</f>
        <v>0</v>
      </c>
      <c r="G169" s="271">
        <f ca="1">VLOOKUP(A169,ÉV!$A$18:$B$65,2,0)</f>
        <v>270816.54808550229</v>
      </c>
      <c r="H169" s="271">
        <f ca="1">IF(OR(A169=1,AND(C169=ÉV!$I$2,D169&gt;ÉV!$J$2),C169&gt;ÉV!$I$2),0,INDEX(Pz!$B$2:$AM$48,A169-1,ÉV!$G$2-9)/100000*ÉV!$B$10)</f>
        <v>239928.53879756347</v>
      </c>
      <c r="I169" s="271">
        <f ca="1">INDEX(Pz!$B$2:$AM$48,HÓ!A169,ÉV!$G$2-9)/100000*ÉV!$B$10</f>
        <v>244710.39251094937</v>
      </c>
      <c r="J169" s="273">
        <f ca="1">IF(OR(A169=1,A169=2,AND(C169=ÉV!$I$2,D169&gt;ÉV!$J$2),C169&gt;ÉV!$I$2),0,VLOOKUP(A169-2,ÉV!$A$18:$C$65,3,0))</f>
        <v>2333702.0350769893</v>
      </c>
      <c r="K169" s="273">
        <f ca="1">IF(OR(A169=1,AND(C169=ÉV!$I$2,D169&gt;ÉV!$J$2),C169&gt;ÉV!$I$2),0,VLOOKUP(A169-1,ÉV!$A$18:$C$65,3,0))</f>
        <v>2578772.3495152127</v>
      </c>
      <c r="L169" s="273">
        <f ca="1">VLOOKUP(A169,ÉV!$A$18:$C$65,3,0)*IF(OR(AND(C169=ÉV!$I$2,D169&gt;ÉV!$J$2),C169&gt;ÉV!$I$2),0,1)</f>
        <v>2828947.0730127157</v>
      </c>
      <c r="M169" s="273">
        <f ca="1">(K169*(12-B169)/12+L169*B169/12)*IF(A169&gt;ÉV!$G$2,0,1)+IF(A169&gt;ÉV!$G$2,M168,0)*IF(OR(AND(C169=ÉV!$I$2,D169&gt;ÉV!$J$2),C169&gt;ÉV!$I$2),0,1)</f>
        <v>2808099.1793879238</v>
      </c>
      <c r="N169" s="274">
        <f ca="1">IF(AND(C169=1,D169&lt;12),0,1)*IF(D169=12,MAX(0,F169-E169-0.003)*0.9*((K169+I169)*(B169/12)+(J169+H169)*(1-B169/12))+MAX(0,F169-0.003)*0.9*N168+N168,IF(AND(C169=ÉV!$I$2,D169=ÉV!$J$2),(M169+N168)*MAX(0,F169-0.003)*0.9*(D169/12)+N168,N168))*IF(OR(C169&gt;ÉV!$I$2,AND(C169=ÉV!$I$2,D169&gt;ÉV!$J$2)),0,1)</f>
        <v>0</v>
      </c>
      <c r="O169" s="313">
        <f ca="1">IF(MAX(AF$2:AF168)=2,      0,IF(OR(AC169=7, AF169=2),    SUM(AE$2:AE169),    O168)   )</f>
        <v>601390.15987043898</v>
      </c>
      <c r="P169" s="271">
        <f ca="1">IF(D169=12,V169+P168+P168*(F169-0.003)*0.9,IF(AND(C169=ÉV!$I$2,D169=ÉV!$J$2),V169+P168+P168*(F169-0.003)*0.9*D169/12,P168))*IF(OR(C169&gt;ÉV!$I$2,AND(C169=ÉV!$I$2,D169&gt;ÉV!$J$2)),0,1)</f>
        <v>0</v>
      </c>
      <c r="Q169" s="275">
        <f ca="1">(N169+P169)*IF(OR(AND(C169=ÉV!$I$2,D169&gt;ÉV!$J$2),C169&gt;ÉV!$I$2),0,1)</f>
        <v>0</v>
      </c>
      <c r="R169" s="271">
        <f ca="1">(MAX(0,F169-E169-0.003)*0.9*((K169+I169)*(1/12)))*IF(OR(C169&gt;ÉV!$I$2,AND(C169=ÉV!$I$2,D169&gt;ÉV!$J$2)),0,1)</f>
        <v>0</v>
      </c>
      <c r="S169" s="271">
        <f ca="1">(MAX(0,F169-0.003)*0.9*((O169)*(1/12)))*IF(OR(C169&gt;ÉV!$I$2,AND(C169=ÉV!$I$2,D169&gt;ÉV!$J$2)),0,1)</f>
        <v>0</v>
      </c>
      <c r="T169" s="271">
        <f ca="1">(MAX(0,F169-0.003)*0.9*((Q168)*(1/12)))*IF(OR(C169&gt;ÉV!$I$2,AND(C169=ÉV!$I$2,D169&gt;ÉV!$J$2)),0,1)</f>
        <v>0</v>
      </c>
      <c r="U169" s="271">
        <f ca="1">IF($D169=1,R169,R169+U168)*IF(OR(C169&gt;ÉV!$I$2,AND(C169=ÉV!$I$2,D169&gt;ÉV!$J$2)),0,1)</f>
        <v>0</v>
      </c>
      <c r="V169" s="271">
        <f ca="1">IF($D169=1,S169,S169+V168)*IF(OR(C169&gt;ÉV!$I$2,AND(C169=ÉV!$I$2,D169&gt;ÉV!$J$2)),0,1)</f>
        <v>0</v>
      </c>
      <c r="W169" s="271">
        <f ca="1">IF($D169=1,T169,T169+W168)*IF(OR(C169&gt;ÉV!$I$2,AND(C169=ÉV!$I$2,D169&gt;ÉV!$J$2)),0,1)</f>
        <v>0</v>
      </c>
      <c r="X169" s="271">
        <f ca="1">IF(OR(D169=12,AND(C169=ÉV!$I$2,D169=ÉV!$J$2)),SUM(U169:W169)+X168,X168)*IF(OR(C169&gt;ÉV!$I$2,AND(C169=ÉV!$I$2,D169&gt;ÉV!$J$2)),0,1)</f>
        <v>0</v>
      </c>
      <c r="Y169" s="271">
        <f t="shared" ca="1" si="24"/>
        <v>0</v>
      </c>
      <c r="Z169" s="265">
        <f t="shared" si="25"/>
        <v>11</v>
      </c>
      <c r="AA169" s="272">
        <f t="shared" ca="1" si="26"/>
        <v>22568.045673791858</v>
      </c>
      <c r="AB169" s="265">
        <f t="shared" ca="1" si="32"/>
        <v>2031</v>
      </c>
      <c r="AC169" s="265">
        <f t="shared" ca="1" si="33"/>
        <v>2</v>
      </c>
      <c r="AD169" s="276">
        <f ca="1">IF(     OR(               AND(MAX(AF$6:AF169)&lt;2,  AC169=12),                 AF169=2),                   SUMIF(AB:AB,AB169,AA:AA),                       0)</f>
        <v>0</v>
      </c>
      <c r="AE169" s="277">
        <f t="shared" ca="1" si="34"/>
        <v>0</v>
      </c>
      <c r="AF169" s="277">
        <f t="shared" ca="1" si="27"/>
        <v>0</v>
      </c>
      <c r="AG169" s="402">
        <f ca="1">IF(  AND(AC169=AdóHó,   MAX(AF$1:AF168)&lt;2),   SUMIF(AB:AB,AB169-1,AE:AE),0  )
+ IF(AND(AC169&lt;AdóHó,                            AF169=2),   SUMIF(AB:AB,AB169-1,AE:AE),0  )
+ IF(                                                                  AF169=2,    SUMIF(AB:AB,AB169,AE:AE   ),0  )</f>
        <v>0</v>
      </c>
      <c r="AH169" s="272">
        <f ca="1">SUM(AG$2:AG169)</f>
        <v>601390.15987043898</v>
      </c>
    </row>
    <row r="170" spans="1:34">
      <c r="A170" s="265">
        <f t="shared" si="28"/>
        <v>14</v>
      </c>
      <c r="B170" s="265">
        <f t="shared" si="29"/>
        <v>12</v>
      </c>
      <c r="C170" s="265">
        <f t="shared" ca="1" si="30"/>
        <v>15</v>
      </c>
      <c r="D170" s="265">
        <f t="shared" ca="1" si="31"/>
        <v>3</v>
      </c>
      <c r="E170" s="266">
        <v>5.0000000000000001E-3</v>
      </c>
      <c r="F170" s="267">
        <f>ÉV!$B$12</f>
        <v>0</v>
      </c>
      <c r="G170" s="271">
        <f ca="1">VLOOKUP(A170,ÉV!$A$18:$B$65,2,0)</f>
        <v>270816.54808550229</v>
      </c>
      <c r="H170" s="271">
        <f ca="1">IF(OR(A170=1,AND(C170=ÉV!$I$2,D170&gt;ÉV!$J$2),C170&gt;ÉV!$I$2),0,INDEX(Pz!$B$2:$AM$48,A170-1,ÉV!$G$2-9)/100000*ÉV!$B$10)</f>
        <v>239928.53879756347</v>
      </c>
      <c r="I170" s="271">
        <f ca="1">INDEX(Pz!$B$2:$AM$48,HÓ!A170,ÉV!$G$2-9)/100000*ÉV!$B$10</f>
        <v>244710.39251094937</v>
      </c>
      <c r="J170" s="273">
        <f ca="1">IF(OR(A170=1,A170=2,AND(C170=ÉV!$I$2,D170&gt;ÉV!$J$2),C170&gt;ÉV!$I$2),0,VLOOKUP(A170-2,ÉV!$A$18:$C$65,3,0))</f>
        <v>2333702.0350769893</v>
      </c>
      <c r="K170" s="273">
        <f ca="1">IF(OR(A170=1,AND(C170=ÉV!$I$2,D170&gt;ÉV!$J$2),C170&gt;ÉV!$I$2),0,VLOOKUP(A170-1,ÉV!$A$18:$C$65,3,0))</f>
        <v>2578772.3495152127</v>
      </c>
      <c r="L170" s="273">
        <f ca="1">VLOOKUP(A170,ÉV!$A$18:$C$65,3,0)*IF(OR(AND(C170=ÉV!$I$2,D170&gt;ÉV!$J$2),C170&gt;ÉV!$I$2),0,1)</f>
        <v>2828947.0730127157</v>
      </c>
      <c r="M170" s="273">
        <f ca="1">(K170*(12-B170)/12+L170*B170/12)*IF(A170&gt;ÉV!$G$2,0,1)+IF(A170&gt;ÉV!$G$2,M169,0)*IF(OR(AND(C170=ÉV!$I$2,D170&gt;ÉV!$J$2),C170&gt;ÉV!$I$2),0,1)</f>
        <v>2828947.0730127157</v>
      </c>
      <c r="N170" s="274">
        <f ca="1">IF(AND(C170=1,D170&lt;12),0,1)*IF(D170=12,MAX(0,F170-E170-0.003)*0.9*((K170+I170)*(B170/12)+(J170+H170)*(1-B170/12))+MAX(0,F170-0.003)*0.9*N169+N169,IF(AND(C170=ÉV!$I$2,D170=ÉV!$J$2),(M170+N169)*MAX(0,F170-0.003)*0.9*(D170/12)+N169,N169))*IF(OR(C170&gt;ÉV!$I$2,AND(C170=ÉV!$I$2,D170&gt;ÉV!$J$2)),0,1)</f>
        <v>0</v>
      </c>
      <c r="O170" s="313">
        <f ca="1">IF(MAX(AF$2:AF169)=2,      0,IF(OR(AC170=7, AF170=2),    SUM(AE$2:AE170),    O169)   )</f>
        <v>601390.15987043898</v>
      </c>
      <c r="P170" s="271">
        <f ca="1">IF(D170=12,V170+P169+P169*(F170-0.003)*0.9,IF(AND(C170=ÉV!$I$2,D170=ÉV!$J$2),V170+P169+P169*(F170-0.003)*0.9*D170/12,P169))*IF(OR(C170&gt;ÉV!$I$2,AND(C170=ÉV!$I$2,D170&gt;ÉV!$J$2)),0,1)</f>
        <v>0</v>
      </c>
      <c r="Q170" s="275">
        <f ca="1">(N170+P170)*IF(OR(AND(C170=ÉV!$I$2,D170&gt;ÉV!$J$2),C170&gt;ÉV!$I$2),0,1)</f>
        <v>0</v>
      </c>
      <c r="R170" s="271">
        <f ca="1">(MAX(0,F170-E170-0.003)*0.9*((K170+I170)*(1/12)))*IF(OR(C170&gt;ÉV!$I$2,AND(C170=ÉV!$I$2,D170&gt;ÉV!$J$2)),0,1)</f>
        <v>0</v>
      </c>
      <c r="S170" s="271">
        <f ca="1">(MAX(0,F170-0.003)*0.9*((O170)*(1/12)))*IF(OR(C170&gt;ÉV!$I$2,AND(C170=ÉV!$I$2,D170&gt;ÉV!$J$2)),0,1)</f>
        <v>0</v>
      </c>
      <c r="T170" s="271">
        <f ca="1">(MAX(0,F170-0.003)*0.9*((Q169)*(1/12)))*IF(OR(C170&gt;ÉV!$I$2,AND(C170=ÉV!$I$2,D170&gt;ÉV!$J$2)),0,1)</f>
        <v>0</v>
      </c>
      <c r="U170" s="271">
        <f ca="1">IF($D170=1,R170,R170+U169)*IF(OR(C170&gt;ÉV!$I$2,AND(C170=ÉV!$I$2,D170&gt;ÉV!$J$2)),0,1)</f>
        <v>0</v>
      </c>
      <c r="V170" s="271">
        <f ca="1">IF($D170=1,S170,S170+V169)*IF(OR(C170&gt;ÉV!$I$2,AND(C170=ÉV!$I$2,D170&gt;ÉV!$J$2)),0,1)</f>
        <v>0</v>
      </c>
      <c r="W170" s="271">
        <f ca="1">IF($D170=1,T170,T170+W169)*IF(OR(C170&gt;ÉV!$I$2,AND(C170=ÉV!$I$2,D170&gt;ÉV!$J$2)),0,1)</f>
        <v>0</v>
      </c>
      <c r="X170" s="271">
        <f ca="1">IF(OR(D170=12,AND(C170=ÉV!$I$2,D170=ÉV!$J$2)),SUM(U170:W170)+X169,X169)*IF(OR(C170&gt;ÉV!$I$2,AND(C170=ÉV!$I$2,D170&gt;ÉV!$J$2)),0,1)</f>
        <v>0</v>
      </c>
      <c r="Y170" s="271">
        <f t="shared" ca="1" si="24"/>
        <v>0</v>
      </c>
      <c r="Z170" s="265">
        <f t="shared" si="25"/>
        <v>12</v>
      </c>
      <c r="AA170" s="272">
        <f t="shared" ca="1" si="26"/>
        <v>22568.045673791858</v>
      </c>
      <c r="AB170" s="265">
        <f t="shared" ca="1" si="32"/>
        <v>2031</v>
      </c>
      <c r="AC170" s="265">
        <f t="shared" ca="1" si="33"/>
        <v>3</v>
      </c>
      <c r="AD170" s="276">
        <f ca="1">IF(     OR(               AND(MAX(AF$6:AF170)&lt;2,  AC170=12),                 AF170=2),                   SUMIF(AB:AB,AB170,AA:AA),                       0)</f>
        <v>0</v>
      </c>
      <c r="AE170" s="277">
        <f t="shared" ca="1" si="34"/>
        <v>0</v>
      </c>
      <c r="AF170" s="277">
        <f t="shared" ca="1" si="27"/>
        <v>0</v>
      </c>
      <c r="AG170" s="402">
        <f ca="1">IF(  AND(AC170=AdóHó,   MAX(AF$1:AF169)&lt;2),   SUMIF(AB:AB,AB170-1,AE:AE),0  )
+ IF(AND(AC170&lt;AdóHó,                            AF170=2),   SUMIF(AB:AB,AB170-1,AE:AE),0  )
+ IF(                                                                  AF170=2,    SUMIF(AB:AB,AB170,AE:AE   ),0  )</f>
        <v>0</v>
      </c>
      <c r="AH170" s="272">
        <f ca="1">SUM(AG$2:AG170)</f>
        <v>601390.15987043898</v>
      </c>
    </row>
    <row r="171" spans="1:34">
      <c r="A171" s="265">
        <f t="shared" si="28"/>
        <v>15</v>
      </c>
      <c r="B171" s="265">
        <f t="shared" si="29"/>
        <v>1</v>
      </c>
      <c r="C171" s="265">
        <f t="shared" ca="1" si="30"/>
        <v>15</v>
      </c>
      <c r="D171" s="265">
        <f t="shared" ca="1" si="31"/>
        <v>4</v>
      </c>
      <c r="E171" s="266">
        <v>5.0000000000000001E-3</v>
      </c>
      <c r="F171" s="267">
        <f>ÉV!$B$12</f>
        <v>0</v>
      </c>
      <c r="G171" s="271">
        <f ca="1">VLOOKUP(A171,ÉV!$A$18:$B$65,2,0)</f>
        <v>276232.87904721237</v>
      </c>
      <c r="H171" s="271">
        <f ca="1">IF(OR(A171=1,AND(C171=ÉV!$I$2,D171&gt;ÉV!$J$2),C171&gt;ÉV!$I$2),0,INDEX(Pz!$B$2:$AM$48,A171-1,ÉV!$G$2-9)/100000*ÉV!$B$10)</f>
        <v>244710.39251094937</v>
      </c>
      <c r="I171" s="271">
        <f ca="1">INDEX(Pz!$B$2:$AM$48,HÓ!A171,ÉV!$G$2-9)/100000*ÉV!$B$10</f>
        <v>249587.88329860297</v>
      </c>
      <c r="J171" s="273">
        <f ca="1">IF(OR(A171=1,A171=2,AND(C171=ÉV!$I$2,D171&gt;ÉV!$J$2),C171&gt;ÉV!$I$2),0,VLOOKUP(A171-2,ÉV!$A$18:$C$65,3,0))</f>
        <v>2578772.3495152127</v>
      </c>
      <c r="K171" s="273">
        <f ca="1">IF(OR(A171=1,AND(C171=ÉV!$I$2,D171&gt;ÉV!$J$2),C171&gt;ÉV!$I$2),0,VLOOKUP(A171-1,ÉV!$A$18:$C$65,3,0))</f>
        <v>2828947.0730127157</v>
      </c>
      <c r="L171" s="273">
        <f ca="1">VLOOKUP(A171,ÉV!$A$18:$C$65,3,0)*IF(OR(AND(C171=ÉV!$I$2,D171&gt;ÉV!$J$2),C171&gt;ÉV!$I$2),0,1)</f>
        <v>3084271.3827091712</v>
      </c>
      <c r="M171" s="273">
        <f ca="1">(K171*(12-B171)/12+L171*B171/12)*IF(A171&gt;ÉV!$G$2,0,1)+IF(A171&gt;ÉV!$G$2,M170,0)*IF(OR(AND(C171=ÉV!$I$2,D171&gt;ÉV!$J$2),C171&gt;ÉV!$I$2),0,1)</f>
        <v>2850224.0988207539</v>
      </c>
      <c r="N171" s="274">
        <f ca="1">IF(AND(C171=1,D171&lt;12),0,1)*IF(D171=12,MAX(0,F171-E171-0.003)*0.9*((K171+I171)*(B171/12)+(J171+H171)*(1-B171/12))+MAX(0,F171-0.003)*0.9*N170+N170,IF(AND(C171=ÉV!$I$2,D171=ÉV!$J$2),(M171+N170)*MAX(0,F171-0.003)*0.9*(D171/12)+N170,N170))*IF(OR(C171&gt;ÉV!$I$2,AND(C171=ÉV!$I$2,D171&gt;ÉV!$J$2)),0,1)</f>
        <v>0</v>
      </c>
      <c r="O171" s="313">
        <f ca="1">IF(MAX(AF$2:AF170)=2,      0,IF(OR(AC171=7, AF171=2),    SUM(AE$2:AE171),    O170)   )</f>
        <v>601390.15987043898</v>
      </c>
      <c r="P171" s="271">
        <f ca="1">IF(D171=12,V171+P170+P170*(F171-0.003)*0.9,IF(AND(C171=ÉV!$I$2,D171=ÉV!$J$2),V171+P170+P170*(F171-0.003)*0.9*D171/12,P170))*IF(OR(C171&gt;ÉV!$I$2,AND(C171=ÉV!$I$2,D171&gt;ÉV!$J$2)),0,1)</f>
        <v>0</v>
      </c>
      <c r="Q171" s="275">
        <f ca="1">(N171+P171)*IF(OR(AND(C171=ÉV!$I$2,D171&gt;ÉV!$J$2),C171&gt;ÉV!$I$2),0,1)</f>
        <v>0</v>
      </c>
      <c r="R171" s="271">
        <f ca="1">(MAX(0,F171-E171-0.003)*0.9*((K171+I171)*(1/12)))*IF(OR(C171&gt;ÉV!$I$2,AND(C171=ÉV!$I$2,D171&gt;ÉV!$J$2)),0,1)</f>
        <v>0</v>
      </c>
      <c r="S171" s="271">
        <f ca="1">(MAX(0,F171-0.003)*0.9*((O171)*(1/12)))*IF(OR(C171&gt;ÉV!$I$2,AND(C171=ÉV!$I$2,D171&gt;ÉV!$J$2)),0,1)</f>
        <v>0</v>
      </c>
      <c r="T171" s="271">
        <f ca="1">(MAX(0,F171-0.003)*0.9*((Q170)*(1/12)))*IF(OR(C171&gt;ÉV!$I$2,AND(C171=ÉV!$I$2,D171&gt;ÉV!$J$2)),0,1)</f>
        <v>0</v>
      </c>
      <c r="U171" s="271">
        <f ca="1">IF($D171=1,R171,R171+U170)*IF(OR(C171&gt;ÉV!$I$2,AND(C171=ÉV!$I$2,D171&gt;ÉV!$J$2)),0,1)</f>
        <v>0</v>
      </c>
      <c r="V171" s="271">
        <f ca="1">IF($D171=1,S171,S171+V170)*IF(OR(C171&gt;ÉV!$I$2,AND(C171=ÉV!$I$2,D171&gt;ÉV!$J$2)),0,1)</f>
        <v>0</v>
      </c>
      <c r="W171" s="271">
        <f ca="1">IF($D171=1,T171,T171+W170)*IF(OR(C171&gt;ÉV!$I$2,AND(C171=ÉV!$I$2,D171&gt;ÉV!$J$2)),0,1)</f>
        <v>0</v>
      </c>
      <c r="X171" s="271">
        <f ca="1">IF(OR(D171=12,AND(C171=ÉV!$I$2,D171=ÉV!$J$2)),SUM(U171:W171)+X170,X170)*IF(OR(C171&gt;ÉV!$I$2,AND(C171=ÉV!$I$2,D171&gt;ÉV!$J$2)),0,1)</f>
        <v>0</v>
      </c>
      <c r="Y171" s="271">
        <f t="shared" ca="1" si="24"/>
        <v>0</v>
      </c>
      <c r="Z171" s="265">
        <f t="shared" si="25"/>
        <v>1</v>
      </c>
      <c r="AA171" s="272">
        <f t="shared" ca="1" si="26"/>
        <v>23019.406587267698</v>
      </c>
      <c r="AB171" s="265">
        <f t="shared" ca="1" si="32"/>
        <v>2031</v>
      </c>
      <c r="AC171" s="265">
        <f t="shared" ca="1" si="33"/>
        <v>4</v>
      </c>
      <c r="AD171" s="276">
        <f ca="1">IF(     OR(               AND(MAX(AF$6:AF171)&lt;2,  AC171=12),                 AF171=2),                   SUMIF(AB:AB,AB171,AA:AA),                       0)</f>
        <v>0</v>
      </c>
      <c r="AE171" s="277">
        <f t="shared" ca="1" si="34"/>
        <v>0</v>
      </c>
      <c r="AF171" s="277">
        <f t="shared" ca="1" si="27"/>
        <v>0</v>
      </c>
      <c r="AG171" s="402">
        <f ca="1">IF(  AND(AC171=AdóHó,   MAX(AF$1:AF170)&lt;2),   SUMIF(AB:AB,AB171-1,AE:AE),0  )
+ IF(AND(AC171&lt;AdóHó,                            AF171=2),   SUMIF(AB:AB,AB171-1,AE:AE),0  )
+ IF(                                                                  AF171=2,    SUMIF(AB:AB,AB171,AE:AE   ),0  )</f>
        <v>0</v>
      </c>
      <c r="AH171" s="272">
        <f ca="1">SUM(AG$2:AG171)</f>
        <v>601390.15987043898</v>
      </c>
    </row>
    <row r="172" spans="1:34">
      <c r="A172" s="265">
        <f t="shared" si="28"/>
        <v>15</v>
      </c>
      <c r="B172" s="265">
        <f t="shared" si="29"/>
        <v>2</v>
      </c>
      <c r="C172" s="265">
        <f t="shared" ca="1" si="30"/>
        <v>15</v>
      </c>
      <c r="D172" s="265">
        <f t="shared" ca="1" si="31"/>
        <v>5</v>
      </c>
      <c r="E172" s="266">
        <v>5.0000000000000001E-3</v>
      </c>
      <c r="F172" s="267">
        <f>ÉV!$B$12</f>
        <v>0</v>
      </c>
      <c r="G172" s="271">
        <f ca="1">VLOOKUP(A172,ÉV!$A$18:$B$65,2,0)</f>
        <v>276232.87904721237</v>
      </c>
      <c r="H172" s="271">
        <f ca="1">IF(OR(A172=1,AND(C172=ÉV!$I$2,D172&gt;ÉV!$J$2),C172&gt;ÉV!$I$2),0,INDEX(Pz!$B$2:$AM$48,A172-1,ÉV!$G$2-9)/100000*ÉV!$B$10)</f>
        <v>244710.39251094937</v>
      </c>
      <c r="I172" s="271">
        <f ca="1">INDEX(Pz!$B$2:$AM$48,HÓ!A172,ÉV!$G$2-9)/100000*ÉV!$B$10</f>
        <v>249587.88329860297</v>
      </c>
      <c r="J172" s="273">
        <f ca="1">IF(OR(A172=1,A172=2,AND(C172=ÉV!$I$2,D172&gt;ÉV!$J$2),C172&gt;ÉV!$I$2),0,VLOOKUP(A172-2,ÉV!$A$18:$C$65,3,0))</f>
        <v>2578772.3495152127</v>
      </c>
      <c r="K172" s="273">
        <f ca="1">IF(OR(A172=1,AND(C172=ÉV!$I$2,D172&gt;ÉV!$J$2),C172&gt;ÉV!$I$2),0,VLOOKUP(A172-1,ÉV!$A$18:$C$65,3,0))</f>
        <v>2828947.0730127157</v>
      </c>
      <c r="L172" s="273">
        <f ca="1">VLOOKUP(A172,ÉV!$A$18:$C$65,3,0)*IF(OR(AND(C172=ÉV!$I$2,D172&gt;ÉV!$J$2),C172&gt;ÉV!$I$2),0,1)</f>
        <v>3084271.3827091712</v>
      </c>
      <c r="M172" s="273">
        <f ca="1">(K172*(12-B172)/12+L172*B172/12)*IF(A172&gt;ÉV!$G$2,0,1)+IF(A172&gt;ÉV!$G$2,M171,0)*IF(OR(AND(C172=ÉV!$I$2,D172&gt;ÉV!$J$2),C172&gt;ÉV!$I$2),0,1)</f>
        <v>2871501.1246287916</v>
      </c>
      <c r="N172" s="274">
        <f ca="1">IF(AND(C172=1,D172&lt;12),0,1)*IF(D172=12,MAX(0,F172-E172-0.003)*0.9*((K172+I172)*(B172/12)+(J172+H172)*(1-B172/12))+MAX(0,F172-0.003)*0.9*N171+N171,IF(AND(C172=ÉV!$I$2,D172=ÉV!$J$2),(M172+N171)*MAX(0,F172-0.003)*0.9*(D172/12)+N171,N171))*IF(OR(C172&gt;ÉV!$I$2,AND(C172=ÉV!$I$2,D172&gt;ÉV!$J$2)),0,1)</f>
        <v>0</v>
      </c>
      <c r="O172" s="313">
        <f ca="1">IF(MAX(AF$2:AF171)=2,      0,IF(OR(AC172=7, AF172=2),    SUM(AE$2:AE172),    O171)   )</f>
        <v>601390.15987043898</v>
      </c>
      <c r="P172" s="271">
        <f ca="1">IF(D172=12,V172+P171+P171*(F172-0.003)*0.9,IF(AND(C172=ÉV!$I$2,D172=ÉV!$J$2),V172+P171+P171*(F172-0.003)*0.9*D172/12,P171))*IF(OR(C172&gt;ÉV!$I$2,AND(C172=ÉV!$I$2,D172&gt;ÉV!$J$2)),0,1)</f>
        <v>0</v>
      </c>
      <c r="Q172" s="275">
        <f ca="1">(N172+P172)*IF(OR(AND(C172=ÉV!$I$2,D172&gt;ÉV!$J$2),C172&gt;ÉV!$I$2),0,1)</f>
        <v>0</v>
      </c>
      <c r="R172" s="271">
        <f ca="1">(MAX(0,F172-E172-0.003)*0.9*((K172+I172)*(1/12)))*IF(OR(C172&gt;ÉV!$I$2,AND(C172=ÉV!$I$2,D172&gt;ÉV!$J$2)),0,1)</f>
        <v>0</v>
      </c>
      <c r="S172" s="271">
        <f ca="1">(MAX(0,F172-0.003)*0.9*((O172)*(1/12)))*IF(OR(C172&gt;ÉV!$I$2,AND(C172=ÉV!$I$2,D172&gt;ÉV!$J$2)),0,1)</f>
        <v>0</v>
      </c>
      <c r="T172" s="271">
        <f ca="1">(MAX(0,F172-0.003)*0.9*((Q171)*(1/12)))*IF(OR(C172&gt;ÉV!$I$2,AND(C172=ÉV!$I$2,D172&gt;ÉV!$J$2)),0,1)</f>
        <v>0</v>
      </c>
      <c r="U172" s="271">
        <f ca="1">IF($D172=1,R172,R172+U171)*IF(OR(C172&gt;ÉV!$I$2,AND(C172=ÉV!$I$2,D172&gt;ÉV!$J$2)),0,1)</f>
        <v>0</v>
      </c>
      <c r="V172" s="271">
        <f ca="1">IF($D172=1,S172,S172+V171)*IF(OR(C172&gt;ÉV!$I$2,AND(C172=ÉV!$I$2,D172&gt;ÉV!$J$2)),0,1)</f>
        <v>0</v>
      </c>
      <c r="W172" s="271">
        <f ca="1">IF($D172=1,T172,T172+W171)*IF(OR(C172&gt;ÉV!$I$2,AND(C172=ÉV!$I$2,D172&gt;ÉV!$J$2)),0,1)</f>
        <v>0</v>
      </c>
      <c r="X172" s="271">
        <f ca="1">IF(OR(D172=12,AND(C172=ÉV!$I$2,D172=ÉV!$J$2)),SUM(U172:W172)+X171,X171)*IF(OR(C172&gt;ÉV!$I$2,AND(C172=ÉV!$I$2,D172&gt;ÉV!$J$2)),0,1)</f>
        <v>0</v>
      </c>
      <c r="Y172" s="271">
        <f t="shared" ca="1" si="24"/>
        <v>0</v>
      </c>
      <c r="Z172" s="265">
        <f t="shared" si="25"/>
        <v>2</v>
      </c>
      <c r="AA172" s="272">
        <f t="shared" ca="1" si="26"/>
        <v>23019.406587267698</v>
      </c>
      <c r="AB172" s="265">
        <f t="shared" ca="1" si="32"/>
        <v>2031</v>
      </c>
      <c r="AC172" s="265">
        <f t="shared" ca="1" si="33"/>
        <v>5</v>
      </c>
      <c r="AD172" s="276">
        <f ca="1">IF(     OR(               AND(MAX(AF$6:AF172)&lt;2,  AC172=12),                 AF172=2),                   SUMIF(AB:AB,AB172,AA:AA),                       0)</f>
        <v>0</v>
      </c>
      <c r="AE172" s="277">
        <f t="shared" ca="1" si="34"/>
        <v>0</v>
      </c>
      <c r="AF172" s="277">
        <f t="shared" ca="1" si="27"/>
        <v>0</v>
      </c>
      <c r="AG172" s="402">
        <f ca="1">IF(  AND(AC172=AdóHó,   MAX(AF$1:AF171)&lt;2),   SUMIF(AB:AB,AB172-1,AE:AE),0  )
+ IF(AND(AC172&lt;AdóHó,                            AF172=2),   SUMIF(AB:AB,AB172-1,AE:AE),0  )
+ IF(                                                                  AF172=2,    SUMIF(AB:AB,AB172,AE:AE   ),0  )</f>
        <v>0</v>
      </c>
      <c r="AH172" s="272">
        <f ca="1">SUM(AG$2:AG172)</f>
        <v>601390.15987043898</v>
      </c>
    </row>
    <row r="173" spans="1:34">
      <c r="A173" s="265">
        <f t="shared" si="28"/>
        <v>15</v>
      </c>
      <c r="B173" s="265">
        <f t="shared" si="29"/>
        <v>3</v>
      </c>
      <c r="C173" s="265">
        <f t="shared" ca="1" si="30"/>
        <v>15</v>
      </c>
      <c r="D173" s="265">
        <f t="shared" ca="1" si="31"/>
        <v>6</v>
      </c>
      <c r="E173" s="266">
        <v>5.0000000000000001E-3</v>
      </c>
      <c r="F173" s="267">
        <f>ÉV!$B$12</f>
        <v>0</v>
      </c>
      <c r="G173" s="271">
        <f ca="1">VLOOKUP(A173,ÉV!$A$18:$B$65,2,0)</f>
        <v>276232.87904721237</v>
      </c>
      <c r="H173" s="271">
        <f ca="1">IF(OR(A173=1,AND(C173=ÉV!$I$2,D173&gt;ÉV!$J$2),C173&gt;ÉV!$I$2),0,INDEX(Pz!$B$2:$AM$48,A173-1,ÉV!$G$2-9)/100000*ÉV!$B$10)</f>
        <v>244710.39251094937</v>
      </c>
      <c r="I173" s="271">
        <f ca="1">INDEX(Pz!$B$2:$AM$48,HÓ!A173,ÉV!$G$2-9)/100000*ÉV!$B$10</f>
        <v>249587.88329860297</v>
      </c>
      <c r="J173" s="273">
        <f ca="1">IF(OR(A173=1,A173=2,AND(C173=ÉV!$I$2,D173&gt;ÉV!$J$2),C173&gt;ÉV!$I$2),0,VLOOKUP(A173-2,ÉV!$A$18:$C$65,3,0))</f>
        <v>2578772.3495152127</v>
      </c>
      <c r="K173" s="273">
        <f ca="1">IF(OR(A173=1,AND(C173=ÉV!$I$2,D173&gt;ÉV!$J$2),C173&gt;ÉV!$I$2),0,VLOOKUP(A173-1,ÉV!$A$18:$C$65,3,0))</f>
        <v>2828947.0730127157</v>
      </c>
      <c r="L173" s="273">
        <f ca="1">VLOOKUP(A173,ÉV!$A$18:$C$65,3,0)*IF(OR(AND(C173=ÉV!$I$2,D173&gt;ÉV!$J$2),C173&gt;ÉV!$I$2),0,1)</f>
        <v>3084271.3827091712</v>
      </c>
      <c r="M173" s="273">
        <f ca="1">(K173*(12-B173)/12+L173*B173/12)*IF(A173&gt;ÉV!$G$2,0,1)+IF(A173&gt;ÉV!$G$2,M172,0)*IF(OR(AND(C173=ÉV!$I$2,D173&gt;ÉV!$J$2),C173&gt;ÉV!$I$2),0,1)</f>
        <v>2892778.1504368298</v>
      </c>
      <c r="N173" s="274">
        <f ca="1">IF(AND(C173=1,D173&lt;12),0,1)*IF(D173=12,MAX(0,F173-E173-0.003)*0.9*((K173+I173)*(B173/12)+(J173+H173)*(1-B173/12))+MAX(0,F173-0.003)*0.9*N172+N172,IF(AND(C173=ÉV!$I$2,D173=ÉV!$J$2),(M173+N172)*MAX(0,F173-0.003)*0.9*(D173/12)+N172,N172))*IF(OR(C173&gt;ÉV!$I$2,AND(C173=ÉV!$I$2,D173&gt;ÉV!$J$2)),0,1)</f>
        <v>0</v>
      </c>
      <c r="O173" s="313">
        <f ca="1">IF(MAX(AF$2:AF172)=2,      0,IF(OR(AC173=7, AF173=2),    SUM(AE$2:AE173),    O172)   )</f>
        <v>601390.15987043898</v>
      </c>
      <c r="P173" s="271">
        <f ca="1">IF(D173=12,V173+P172+P172*(F173-0.003)*0.9,IF(AND(C173=ÉV!$I$2,D173=ÉV!$J$2),V173+P172+P172*(F173-0.003)*0.9*D173/12,P172))*IF(OR(C173&gt;ÉV!$I$2,AND(C173=ÉV!$I$2,D173&gt;ÉV!$J$2)),0,1)</f>
        <v>0</v>
      </c>
      <c r="Q173" s="275">
        <f ca="1">(N173+P173)*IF(OR(AND(C173=ÉV!$I$2,D173&gt;ÉV!$J$2),C173&gt;ÉV!$I$2),0,1)</f>
        <v>0</v>
      </c>
      <c r="R173" s="271">
        <f ca="1">(MAX(0,F173-E173-0.003)*0.9*((K173+I173)*(1/12)))*IF(OR(C173&gt;ÉV!$I$2,AND(C173=ÉV!$I$2,D173&gt;ÉV!$J$2)),0,1)</f>
        <v>0</v>
      </c>
      <c r="S173" s="271">
        <f ca="1">(MAX(0,F173-0.003)*0.9*((O173)*(1/12)))*IF(OR(C173&gt;ÉV!$I$2,AND(C173=ÉV!$I$2,D173&gt;ÉV!$J$2)),0,1)</f>
        <v>0</v>
      </c>
      <c r="T173" s="271">
        <f ca="1">(MAX(0,F173-0.003)*0.9*((Q172)*(1/12)))*IF(OR(C173&gt;ÉV!$I$2,AND(C173=ÉV!$I$2,D173&gt;ÉV!$J$2)),0,1)</f>
        <v>0</v>
      </c>
      <c r="U173" s="271">
        <f ca="1">IF($D173=1,R173,R173+U172)*IF(OR(C173&gt;ÉV!$I$2,AND(C173=ÉV!$I$2,D173&gt;ÉV!$J$2)),0,1)</f>
        <v>0</v>
      </c>
      <c r="V173" s="271">
        <f ca="1">IF($D173=1,S173,S173+V172)*IF(OR(C173&gt;ÉV!$I$2,AND(C173=ÉV!$I$2,D173&gt;ÉV!$J$2)),0,1)</f>
        <v>0</v>
      </c>
      <c r="W173" s="271">
        <f ca="1">IF($D173=1,T173,T173+W172)*IF(OR(C173&gt;ÉV!$I$2,AND(C173=ÉV!$I$2,D173&gt;ÉV!$J$2)),0,1)</f>
        <v>0</v>
      </c>
      <c r="X173" s="271">
        <f ca="1">IF(OR(D173=12,AND(C173=ÉV!$I$2,D173=ÉV!$J$2)),SUM(U173:W173)+X172,X172)*IF(OR(C173&gt;ÉV!$I$2,AND(C173=ÉV!$I$2,D173&gt;ÉV!$J$2)),0,1)</f>
        <v>0</v>
      </c>
      <c r="Y173" s="271">
        <f t="shared" ca="1" si="24"/>
        <v>0</v>
      </c>
      <c r="Z173" s="265">
        <f t="shared" si="25"/>
        <v>3</v>
      </c>
      <c r="AA173" s="272">
        <f t="shared" ca="1" si="26"/>
        <v>23019.406587267698</v>
      </c>
      <c r="AB173" s="265">
        <f t="shared" ca="1" si="32"/>
        <v>2031</v>
      </c>
      <c r="AC173" s="265">
        <f t="shared" ca="1" si="33"/>
        <v>6</v>
      </c>
      <c r="AD173" s="276">
        <f ca="1">IF(     OR(               AND(MAX(AF$6:AF173)&lt;2,  AC173=12),                 AF173=2),                   SUMIF(AB:AB,AB173,AA:AA),                       0)</f>
        <v>0</v>
      </c>
      <c r="AE173" s="277">
        <f t="shared" ca="1" si="34"/>
        <v>0</v>
      </c>
      <c r="AF173" s="277">
        <f t="shared" ca="1" si="27"/>
        <v>0</v>
      </c>
      <c r="AG173" s="402">
        <f ca="1">IF(  AND(AC173=AdóHó,   MAX(AF$1:AF172)&lt;2),   SUMIF(AB:AB,AB173-1,AE:AE),0  )
+ IF(AND(AC173&lt;AdóHó,                            AF173=2),   SUMIF(AB:AB,AB173-1,AE:AE),0  )
+ IF(                                                                  AF173=2,    SUMIF(AB:AB,AB173,AE:AE   ),0  )</f>
        <v>0</v>
      </c>
      <c r="AH173" s="272">
        <f ca="1">SUM(AG$2:AG173)</f>
        <v>601390.15987043898</v>
      </c>
    </row>
    <row r="174" spans="1:34">
      <c r="A174" s="265">
        <f t="shared" si="28"/>
        <v>15</v>
      </c>
      <c r="B174" s="265">
        <f t="shared" si="29"/>
        <v>4</v>
      </c>
      <c r="C174" s="265">
        <f t="shared" ca="1" si="30"/>
        <v>15</v>
      </c>
      <c r="D174" s="265">
        <f t="shared" ca="1" si="31"/>
        <v>7</v>
      </c>
      <c r="E174" s="266">
        <v>5.0000000000000001E-3</v>
      </c>
      <c r="F174" s="267">
        <f>ÉV!$B$12</f>
        <v>0</v>
      </c>
      <c r="G174" s="271">
        <f ca="1">VLOOKUP(A174,ÉV!$A$18:$B$65,2,0)</f>
        <v>276232.87904721237</v>
      </c>
      <c r="H174" s="271">
        <f ca="1">IF(OR(A174=1,AND(C174=ÉV!$I$2,D174&gt;ÉV!$J$2),C174&gt;ÉV!$I$2),0,INDEX(Pz!$B$2:$AM$48,A174-1,ÉV!$G$2-9)/100000*ÉV!$B$10)</f>
        <v>244710.39251094937</v>
      </c>
      <c r="I174" s="271">
        <f ca="1">INDEX(Pz!$B$2:$AM$48,HÓ!A174,ÉV!$G$2-9)/100000*ÉV!$B$10</f>
        <v>249587.88329860297</v>
      </c>
      <c r="J174" s="273">
        <f ca="1">IF(OR(A174=1,A174=2,AND(C174=ÉV!$I$2,D174&gt;ÉV!$J$2),C174&gt;ÉV!$I$2),0,VLOOKUP(A174-2,ÉV!$A$18:$C$65,3,0))</f>
        <v>2578772.3495152127</v>
      </c>
      <c r="K174" s="273">
        <f ca="1">IF(OR(A174=1,AND(C174=ÉV!$I$2,D174&gt;ÉV!$J$2),C174&gt;ÉV!$I$2),0,VLOOKUP(A174-1,ÉV!$A$18:$C$65,3,0))</f>
        <v>2828947.0730127157</v>
      </c>
      <c r="L174" s="273">
        <f ca="1">VLOOKUP(A174,ÉV!$A$18:$C$65,3,0)*IF(OR(AND(C174=ÉV!$I$2,D174&gt;ÉV!$J$2),C174&gt;ÉV!$I$2),0,1)</f>
        <v>3084271.3827091712</v>
      </c>
      <c r="M174" s="273">
        <f ca="1">(K174*(12-B174)/12+L174*B174/12)*IF(A174&gt;ÉV!$G$2,0,1)+IF(A174&gt;ÉV!$G$2,M173,0)*IF(OR(AND(C174=ÉV!$I$2,D174&gt;ÉV!$J$2),C174&gt;ÉV!$I$2),0,1)</f>
        <v>2914055.1762448675</v>
      </c>
      <c r="N174" s="274">
        <f ca="1">IF(AND(C174=1,D174&lt;12),0,1)*IF(D174=12,MAX(0,F174-E174-0.003)*0.9*((K174+I174)*(B174/12)+(J174+H174)*(1-B174/12))+MAX(0,F174-0.003)*0.9*N173+N173,IF(AND(C174=ÉV!$I$2,D174=ÉV!$J$2),(M174+N173)*MAX(0,F174-0.003)*0.9*(D174/12)+N173,N173))*IF(OR(C174&gt;ÉV!$I$2,AND(C174=ÉV!$I$2,D174&gt;ÉV!$J$2)),0,1)</f>
        <v>0</v>
      </c>
      <c r="O174" s="313">
        <f ca="1">IF(MAX(AF$2:AF173)=2,      0,IF(OR(AC174=7, AF174=2),    SUM(AE$2:AE174),    O173)   )</f>
        <v>655287.96306784777</v>
      </c>
      <c r="P174" s="271">
        <f ca="1">IF(D174=12,V174+P173+P173*(F174-0.003)*0.9,IF(AND(C174=ÉV!$I$2,D174=ÉV!$J$2),V174+P173+P173*(F174-0.003)*0.9*D174/12,P173))*IF(OR(C174&gt;ÉV!$I$2,AND(C174=ÉV!$I$2,D174&gt;ÉV!$J$2)),0,1)</f>
        <v>0</v>
      </c>
      <c r="Q174" s="275">
        <f ca="1">(N174+P174)*IF(OR(AND(C174=ÉV!$I$2,D174&gt;ÉV!$J$2),C174&gt;ÉV!$I$2),0,1)</f>
        <v>0</v>
      </c>
      <c r="R174" s="271">
        <f ca="1">(MAX(0,F174-E174-0.003)*0.9*((K174+I174)*(1/12)))*IF(OR(C174&gt;ÉV!$I$2,AND(C174=ÉV!$I$2,D174&gt;ÉV!$J$2)),0,1)</f>
        <v>0</v>
      </c>
      <c r="S174" s="271">
        <f ca="1">(MAX(0,F174-0.003)*0.9*((O174)*(1/12)))*IF(OR(C174&gt;ÉV!$I$2,AND(C174=ÉV!$I$2,D174&gt;ÉV!$J$2)),0,1)</f>
        <v>0</v>
      </c>
      <c r="T174" s="271">
        <f ca="1">(MAX(0,F174-0.003)*0.9*((Q173)*(1/12)))*IF(OR(C174&gt;ÉV!$I$2,AND(C174=ÉV!$I$2,D174&gt;ÉV!$J$2)),0,1)</f>
        <v>0</v>
      </c>
      <c r="U174" s="271">
        <f ca="1">IF($D174=1,R174,R174+U173)*IF(OR(C174&gt;ÉV!$I$2,AND(C174=ÉV!$I$2,D174&gt;ÉV!$J$2)),0,1)</f>
        <v>0</v>
      </c>
      <c r="V174" s="271">
        <f ca="1">IF($D174=1,S174,S174+V173)*IF(OR(C174&gt;ÉV!$I$2,AND(C174=ÉV!$I$2,D174&gt;ÉV!$J$2)),0,1)</f>
        <v>0</v>
      </c>
      <c r="W174" s="271">
        <f ca="1">IF($D174=1,T174,T174+W173)*IF(OR(C174&gt;ÉV!$I$2,AND(C174=ÉV!$I$2,D174&gt;ÉV!$J$2)),0,1)</f>
        <v>0</v>
      </c>
      <c r="X174" s="271">
        <f ca="1">IF(OR(D174=12,AND(C174=ÉV!$I$2,D174=ÉV!$J$2)),SUM(U174:W174)+X173,X173)*IF(OR(C174&gt;ÉV!$I$2,AND(C174=ÉV!$I$2,D174&gt;ÉV!$J$2)),0,1)</f>
        <v>0</v>
      </c>
      <c r="Y174" s="271">
        <f t="shared" ca="1" si="24"/>
        <v>0</v>
      </c>
      <c r="Z174" s="265">
        <f t="shared" si="25"/>
        <v>4</v>
      </c>
      <c r="AA174" s="272">
        <f t="shared" ca="1" si="26"/>
        <v>23019.406587267698</v>
      </c>
      <c r="AB174" s="265">
        <f t="shared" ca="1" si="32"/>
        <v>2031</v>
      </c>
      <c r="AC174" s="265">
        <f t="shared" ca="1" si="33"/>
        <v>7</v>
      </c>
      <c r="AD174" s="276">
        <f ca="1">IF(     OR(               AND(MAX(AF$6:AF174)&lt;2,  AC174=12),                 AF174=2),                   SUMIF(AB:AB,AB174,AA:AA),                       0)</f>
        <v>0</v>
      </c>
      <c r="AE174" s="277">
        <f t="shared" ca="1" si="34"/>
        <v>0</v>
      </c>
      <c r="AF174" s="277">
        <f t="shared" ca="1" si="27"/>
        <v>0</v>
      </c>
      <c r="AG174" s="402">
        <f ca="1">IF(  AND(AC174=AdóHó,   MAX(AF$1:AF173)&lt;2),   SUMIF(AB:AB,AB174-1,AE:AE),0  )
+ IF(AND(AC174&lt;AdóHó,                            AF174=2),   SUMIF(AB:AB,AB174-1,AE:AE),0  )
+ IF(                                                                  AF174=2,    SUMIF(AB:AB,AB174,AE:AE   ),0  )</f>
        <v>53897.803197408772</v>
      </c>
      <c r="AH174" s="272">
        <f ca="1">SUM(AG$2:AG174)</f>
        <v>655287.96306784777</v>
      </c>
    </row>
    <row r="175" spans="1:34">
      <c r="A175" s="265">
        <f t="shared" si="28"/>
        <v>15</v>
      </c>
      <c r="B175" s="265">
        <f t="shared" si="29"/>
        <v>5</v>
      </c>
      <c r="C175" s="265">
        <f t="shared" ca="1" si="30"/>
        <v>15</v>
      </c>
      <c r="D175" s="265">
        <f t="shared" ca="1" si="31"/>
        <v>8</v>
      </c>
      <c r="E175" s="266">
        <v>5.0000000000000001E-3</v>
      </c>
      <c r="F175" s="267">
        <f>ÉV!$B$12</f>
        <v>0</v>
      </c>
      <c r="G175" s="271">
        <f ca="1">VLOOKUP(A175,ÉV!$A$18:$B$65,2,0)</f>
        <v>276232.87904721237</v>
      </c>
      <c r="H175" s="271">
        <f ca="1">IF(OR(A175=1,AND(C175=ÉV!$I$2,D175&gt;ÉV!$J$2),C175&gt;ÉV!$I$2),0,INDEX(Pz!$B$2:$AM$48,A175-1,ÉV!$G$2-9)/100000*ÉV!$B$10)</f>
        <v>244710.39251094937</v>
      </c>
      <c r="I175" s="271">
        <f ca="1">INDEX(Pz!$B$2:$AM$48,HÓ!A175,ÉV!$G$2-9)/100000*ÉV!$B$10</f>
        <v>249587.88329860297</v>
      </c>
      <c r="J175" s="273">
        <f ca="1">IF(OR(A175=1,A175=2,AND(C175=ÉV!$I$2,D175&gt;ÉV!$J$2),C175&gt;ÉV!$I$2),0,VLOOKUP(A175-2,ÉV!$A$18:$C$65,3,0))</f>
        <v>2578772.3495152127</v>
      </c>
      <c r="K175" s="273">
        <f ca="1">IF(OR(A175=1,AND(C175=ÉV!$I$2,D175&gt;ÉV!$J$2),C175&gt;ÉV!$I$2),0,VLOOKUP(A175-1,ÉV!$A$18:$C$65,3,0))</f>
        <v>2828947.0730127157</v>
      </c>
      <c r="L175" s="273">
        <f ca="1">VLOOKUP(A175,ÉV!$A$18:$C$65,3,0)*IF(OR(AND(C175=ÉV!$I$2,D175&gt;ÉV!$J$2),C175&gt;ÉV!$I$2),0,1)</f>
        <v>3084271.3827091712</v>
      </c>
      <c r="M175" s="273">
        <f ca="1">(K175*(12-B175)/12+L175*B175/12)*IF(A175&gt;ÉV!$G$2,0,1)+IF(A175&gt;ÉV!$G$2,M174,0)*IF(OR(AND(C175=ÉV!$I$2,D175&gt;ÉV!$J$2),C175&gt;ÉV!$I$2),0,1)</f>
        <v>2935332.2020529052</v>
      </c>
      <c r="N175" s="274">
        <f ca="1">IF(AND(C175=1,D175&lt;12),0,1)*IF(D175=12,MAX(0,F175-E175-0.003)*0.9*((K175+I175)*(B175/12)+(J175+H175)*(1-B175/12))+MAX(0,F175-0.003)*0.9*N174+N174,IF(AND(C175=ÉV!$I$2,D175=ÉV!$J$2),(M175+N174)*MAX(0,F175-0.003)*0.9*(D175/12)+N174,N174))*IF(OR(C175&gt;ÉV!$I$2,AND(C175=ÉV!$I$2,D175&gt;ÉV!$J$2)),0,1)</f>
        <v>0</v>
      </c>
      <c r="O175" s="313">
        <f ca="1">IF(MAX(AF$2:AF174)=2,      0,IF(OR(AC175=7, AF175=2),    SUM(AE$2:AE175),    O174)   )</f>
        <v>655287.96306784777</v>
      </c>
      <c r="P175" s="271">
        <f ca="1">IF(D175=12,V175+P174+P174*(F175-0.003)*0.9,IF(AND(C175=ÉV!$I$2,D175=ÉV!$J$2),V175+P174+P174*(F175-0.003)*0.9*D175/12,P174))*IF(OR(C175&gt;ÉV!$I$2,AND(C175=ÉV!$I$2,D175&gt;ÉV!$J$2)),0,1)</f>
        <v>0</v>
      </c>
      <c r="Q175" s="275">
        <f ca="1">(N175+P175)*IF(OR(AND(C175=ÉV!$I$2,D175&gt;ÉV!$J$2),C175&gt;ÉV!$I$2),0,1)</f>
        <v>0</v>
      </c>
      <c r="R175" s="271">
        <f ca="1">(MAX(0,F175-E175-0.003)*0.9*((K175+I175)*(1/12)))*IF(OR(C175&gt;ÉV!$I$2,AND(C175=ÉV!$I$2,D175&gt;ÉV!$J$2)),0,1)</f>
        <v>0</v>
      </c>
      <c r="S175" s="271">
        <f ca="1">(MAX(0,F175-0.003)*0.9*((O175)*(1/12)))*IF(OR(C175&gt;ÉV!$I$2,AND(C175=ÉV!$I$2,D175&gt;ÉV!$J$2)),0,1)</f>
        <v>0</v>
      </c>
      <c r="T175" s="271">
        <f ca="1">(MAX(0,F175-0.003)*0.9*((Q174)*(1/12)))*IF(OR(C175&gt;ÉV!$I$2,AND(C175=ÉV!$I$2,D175&gt;ÉV!$J$2)),0,1)</f>
        <v>0</v>
      </c>
      <c r="U175" s="271">
        <f ca="1">IF($D175=1,R175,R175+U174)*IF(OR(C175&gt;ÉV!$I$2,AND(C175=ÉV!$I$2,D175&gt;ÉV!$J$2)),0,1)</f>
        <v>0</v>
      </c>
      <c r="V175" s="271">
        <f ca="1">IF($D175=1,S175,S175+V174)*IF(OR(C175&gt;ÉV!$I$2,AND(C175=ÉV!$I$2,D175&gt;ÉV!$J$2)),0,1)</f>
        <v>0</v>
      </c>
      <c r="W175" s="271">
        <f ca="1">IF($D175=1,T175,T175+W174)*IF(OR(C175&gt;ÉV!$I$2,AND(C175=ÉV!$I$2,D175&gt;ÉV!$J$2)),0,1)</f>
        <v>0</v>
      </c>
      <c r="X175" s="271">
        <f ca="1">IF(OR(D175=12,AND(C175=ÉV!$I$2,D175=ÉV!$J$2)),SUM(U175:W175)+X174,X174)*IF(OR(C175&gt;ÉV!$I$2,AND(C175=ÉV!$I$2,D175&gt;ÉV!$J$2)),0,1)</f>
        <v>0</v>
      </c>
      <c r="Y175" s="271">
        <f t="shared" ca="1" si="24"/>
        <v>0</v>
      </c>
      <c r="Z175" s="265">
        <f t="shared" si="25"/>
        <v>5</v>
      </c>
      <c r="AA175" s="272">
        <f t="shared" ca="1" si="26"/>
        <v>23019.406587267698</v>
      </c>
      <c r="AB175" s="265">
        <f t="shared" ca="1" si="32"/>
        <v>2031</v>
      </c>
      <c r="AC175" s="265">
        <f t="shared" ca="1" si="33"/>
        <v>8</v>
      </c>
      <c r="AD175" s="276">
        <f ca="1">IF(     OR(               AND(MAX(AF$6:AF175)&lt;2,  AC175=12),                 AF175=2),                   SUMIF(AB:AB,AB175,AA:AA),                       0)</f>
        <v>0</v>
      </c>
      <c r="AE175" s="277">
        <f t="shared" ca="1" si="34"/>
        <v>0</v>
      </c>
      <c r="AF175" s="277">
        <f t="shared" ca="1" si="27"/>
        <v>0</v>
      </c>
      <c r="AG175" s="402">
        <f ca="1">IF(  AND(AC175=AdóHó,   MAX(AF$1:AF174)&lt;2),   SUMIF(AB:AB,AB175-1,AE:AE),0  )
+ IF(AND(AC175&lt;AdóHó,                            AF175=2),   SUMIF(AB:AB,AB175-1,AE:AE),0  )
+ IF(                                                                  AF175=2,    SUMIF(AB:AB,AB175,AE:AE   ),0  )</f>
        <v>0</v>
      </c>
      <c r="AH175" s="272">
        <f ca="1">SUM(AG$2:AG175)</f>
        <v>655287.96306784777</v>
      </c>
    </row>
    <row r="176" spans="1:34">
      <c r="A176" s="265">
        <f t="shared" si="28"/>
        <v>15</v>
      </c>
      <c r="B176" s="265">
        <f t="shared" si="29"/>
        <v>6</v>
      </c>
      <c r="C176" s="265">
        <f t="shared" ca="1" si="30"/>
        <v>15</v>
      </c>
      <c r="D176" s="265">
        <f t="shared" ca="1" si="31"/>
        <v>9</v>
      </c>
      <c r="E176" s="266">
        <v>5.0000000000000001E-3</v>
      </c>
      <c r="F176" s="267">
        <f>ÉV!$B$12</f>
        <v>0</v>
      </c>
      <c r="G176" s="271">
        <f ca="1">VLOOKUP(A176,ÉV!$A$18:$B$65,2,0)</f>
        <v>276232.87904721237</v>
      </c>
      <c r="H176" s="271">
        <f ca="1">IF(OR(A176=1,AND(C176=ÉV!$I$2,D176&gt;ÉV!$J$2),C176&gt;ÉV!$I$2),0,INDEX(Pz!$B$2:$AM$48,A176-1,ÉV!$G$2-9)/100000*ÉV!$B$10)</f>
        <v>244710.39251094937</v>
      </c>
      <c r="I176" s="271">
        <f ca="1">INDEX(Pz!$B$2:$AM$48,HÓ!A176,ÉV!$G$2-9)/100000*ÉV!$B$10</f>
        <v>249587.88329860297</v>
      </c>
      <c r="J176" s="273">
        <f ca="1">IF(OR(A176=1,A176=2,AND(C176=ÉV!$I$2,D176&gt;ÉV!$J$2),C176&gt;ÉV!$I$2),0,VLOOKUP(A176-2,ÉV!$A$18:$C$65,3,0))</f>
        <v>2578772.3495152127</v>
      </c>
      <c r="K176" s="273">
        <f ca="1">IF(OR(A176=1,AND(C176=ÉV!$I$2,D176&gt;ÉV!$J$2),C176&gt;ÉV!$I$2),0,VLOOKUP(A176-1,ÉV!$A$18:$C$65,3,0))</f>
        <v>2828947.0730127157</v>
      </c>
      <c r="L176" s="273">
        <f ca="1">VLOOKUP(A176,ÉV!$A$18:$C$65,3,0)*IF(OR(AND(C176=ÉV!$I$2,D176&gt;ÉV!$J$2),C176&gt;ÉV!$I$2),0,1)</f>
        <v>3084271.3827091712</v>
      </c>
      <c r="M176" s="273">
        <f ca="1">(K176*(12-B176)/12+L176*B176/12)*IF(A176&gt;ÉV!$G$2,0,1)+IF(A176&gt;ÉV!$G$2,M175,0)*IF(OR(AND(C176=ÉV!$I$2,D176&gt;ÉV!$J$2),C176&gt;ÉV!$I$2),0,1)</f>
        <v>2956609.2278609434</v>
      </c>
      <c r="N176" s="274">
        <f ca="1">IF(AND(C176=1,D176&lt;12),0,1)*IF(D176=12,MAX(0,F176-E176-0.003)*0.9*((K176+I176)*(B176/12)+(J176+H176)*(1-B176/12))+MAX(0,F176-0.003)*0.9*N175+N175,IF(AND(C176=ÉV!$I$2,D176=ÉV!$J$2),(M176+N175)*MAX(0,F176-0.003)*0.9*(D176/12)+N175,N175))*IF(OR(C176&gt;ÉV!$I$2,AND(C176=ÉV!$I$2,D176&gt;ÉV!$J$2)),0,1)</f>
        <v>0</v>
      </c>
      <c r="O176" s="313">
        <f ca="1">IF(MAX(AF$2:AF175)=2,      0,IF(OR(AC176=7, AF176=2),    SUM(AE$2:AE176),    O175)   )</f>
        <v>655287.96306784777</v>
      </c>
      <c r="P176" s="271">
        <f ca="1">IF(D176=12,V176+P175+P175*(F176-0.003)*0.9,IF(AND(C176=ÉV!$I$2,D176=ÉV!$J$2),V176+P175+P175*(F176-0.003)*0.9*D176/12,P175))*IF(OR(C176&gt;ÉV!$I$2,AND(C176=ÉV!$I$2,D176&gt;ÉV!$J$2)),0,1)</f>
        <v>0</v>
      </c>
      <c r="Q176" s="275">
        <f ca="1">(N176+P176)*IF(OR(AND(C176=ÉV!$I$2,D176&gt;ÉV!$J$2),C176&gt;ÉV!$I$2),0,1)</f>
        <v>0</v>
      </c>
      <c r="R176" s="271">
        <f ca="1">(MAX(0,F176-E176-0.003)*0.9*((K176+I176)*(1/12)))*IF(OR(C176&gt;ÉV!$I$2,AND(C176=ÉV!$I$2,D176&gt;ÉV!$J$2)),0,1)</f>
        <v>0</v>
      </c>
      <c r="S176" s="271">
        <f ca="1">(MAX(0,F176-0.003)*0.9*((O176)*(1/12)))*IF(OR(C176&gt;ÉV!$I$2,AND(C176=ÉV!$I$2,D176&gt;ÉV!$J$2)),0,1)</f>
        <v>0</v>
      </c>
      <c r="T176" s="271">
        <f ca="1">(MAX(0,F176-0.003)*0.9*((Q175)*(1/12)))*IF(OR(C176&gt;ÉV!$I$2,AND(C176=ÉV!$I$2,D176&gt;ÉV!$J$2)),0,1)</f>
        <v>0</v>
      </c>
      <c r="U176" s="271">
        <f ca="1">IF($D176=1,R176,R176+U175)*IF(OR(C176&gt;ÉV!$I$2,AND(C176=ÉV!$I$2,D176&gt;ÉV!$J$2)),0,1)</f>
        <v>0</v>
      </c>
      <c r="V176" s="271">
        <f ca="1">IF($D176=1,S176,S176+V175)*IF(OR(C176&gt;ÉV!$I$2,AND(C176=ÉV!$I$2,D176&gt;ÉV!$J$2)),0,1)</f>
        <v>0</v>
      </c>
      <c r="W176" s="271">
        <f ca="1">IF($D176=1,T176,T176+W175)*IF(OR(C176&gt;ÉV!$I$2,AND(C176=ÉV!$I$2,D176&gt;ÉV!$J$2)),0,1)</f>
        <v>0</v>
      </c>
      <c r="X176" s="271">
        <f ca="1">IF(OR(D176=12,AND(C176=ÉV!$I$2,D176=ÉV!$J$2)),SUM(U176:W176)+X175,X175)*IF(OR(C176&gt;ÉV!$I$2,AND(C176=ÉV!$I$2,D176&gt;ÉV!$J$2)),0,1)</f>
        <v>0</v>
      </c>
      <c r="Y176" s="271">
        <f t="shared" ca="1" si="24"/>
        <v>0</v>
      </c>
      <c r="Z176" s="265">
        <f t="shared" si="25"/>
        <v>6</v>
      </c>
      <c r="AA176" s="272">
        <f t="shared" ca="1" si="26"/>
        <v>23019.406587267698</v>
      </c>
      <c r="AB176" s="265">
        <f t="shared" ca="1" si="32"/>
        <v>2031</v>
      </c>
      <c r="AC176" s="265">
        <f t="shared" ca="1" si="33"/>
        <v>9</v>
      </c>
      <c r="AD176" s="276">
        <f ca="1">IF(     OR(               AND(MAX(AF$6:AF176)&lt;2,  AC176=12),                 AF176=2),                   SUMIF(AB:AB,AB176,AA:AA),                       0)</f>
        <v>0</v>
      </c>
      <c r="AE176" s="277">
        <f t="shared" ca="1" si="34"/>
        <v>0</v>
      </c>
      <c r="AF176" s="277">
        <f t="shared" ca="1" si="27"/>
        <v>0</v>
      </c>
      <c r="AG176" s="402">
        <f ca="1">IF(  AND(AC176=AdóHó,   MAX(AF$1:AF175)&lt;2),   SUMIF(AB:AB,AB176-1,AE:AE),0  )
+ IF(AND(AC176&lt;AdóHó,                            AF176=2),   SUMIF(AB:AB,AB176-1,AE:AE),0  )
+ IF(                                                                  AF176=2,    SUMIF(AB:AB,AB176,AE:AE   ),0  )</f>
        <v>0</v>
      </c>
      <c r="AH176" s="272">
        <f ca="1">SUM(AG$2:AG176)</f>
        <v>655287.96306784777</v>
      </c>
    </row>
    <row r="177" spans="1:34">
      <c r="A177" s="265">
        <f t="shared" si="28"/>
        <v>15</v>
      </c>
      <c r="B177" s="265">
        <f t="shared" si="29"/>
        <v>7</v>
      </c>
      <c r="C177" s="265">
        <f t="shared" ca="1" si="30"/>
        <v>15</v>
      </c>
      <c r="D177" s="265">
        <f t="shared" ca="1" si="31"/>
        <v>10</v>
      </c>
      <c r="E177" s="266">
        <v>5.0000000000000001E-3</v>
      </c>
      <c r="F177" s="267">
        <f>ÉV!$B$12</f>
        <v>0</v>
      </c>
      <c r="G177" s="271">
        <f ca="1">VLOOKUP(A177,ÉV!$A$18:$B$65,2,0)</f>
        <v>276232.87904721237</v>
      </c>
      <c r="H177" s="271">
        <f ca="1">IF(OR(A177=1,AND(C177=ÉV!$I$2,D177&gt;ÉV!$J$2),C177&gt;ÉV!$I$2),0,INDEX(Pz!$B$2:$AM$48,A177-1,ÉV!$G$2-9)/100000*ÉV!$B$10)</f>
        <v>244710.39251094937</v>
      </c>
      <c r="I177" s="271">
        <f ca="1">INDEX(Pz!$B$2:$AM$48,HÓ!A177,ÉV!$G$2-9)/100000*ÉV!$B$10</f>
        <v>249587.88329860297</v>
      </c>
      <c r="J177" s="273">
        <f ca="1">IF(OR(A177=1,A177=2,AND(C177=ÉV!$I$2,D177&gt;ÉV!$J$2),C177&gt;ÉV!$I$2),0,VLOOKUP(A177-2,ÉV!$A$18:$C$65,3,0))</f>
        <v>2578772.3495152127</v>
      </c>
      <c r="K177" s="273">
        <f ca="1">IF(OR(A177=1,AND(C177=ÉV!$I$2,D177&gt;ÉV!$J$2),C177&gt;ÉV!$I$2),0,VLOOKUP(A177-1,ÉV!$A$18:$C$65,3,0))</f>
        <v>2828947.0730127157</v>
      </c>
      <c r="L177" s="273">
        <f ca="1">VLOOKUP(A177,ÉV!$A$18:$C$65,3,0)*IF(OR(AND(C177=ÉV!$I$2,D177&gt;ÉV!$J$2),C177&gt;ÉV!$I$2),0,1)</f>
        <v>3084271.3827091712</v>
      </c>
      <c r="M177" s="273">
        <f ca="1">(K177*(12-B177)/12+L177*B177/12)*IF(A177&gt;ÉV!$G$2,0,1)+IF(A177&gt;ÉV!$G$2,M176,0)*IF(OR(AND(C177=ÉV!$I$2,D177&gt;ÉV!$J$2),C177&gt;ÉV!$I$2),0,1)</f>
        <v>2977886.2536689816</v>
      </c>
      <c r="N177" s="274">
        <f ca="1">IF(AND(C177=1,D177&lt;12),0,1)*IF(D177=12,MAX(0,F177-E177-0.003)*0.9*((K177+I177)*(B177/12)+(J177+H177)*(1-B177/12))+MAX(0,F177-0.003)*0.9*N176+N176,IF(AND(C177=ÉV!$I$2,D177=ÉV!$J$2),(M177+N176)*MAX(0,F177-0.003)*0.9*(D177/12)+N176,N176))*IF(OR(C177&gt;ÉV!$I$2,AND(C177=ÉV!$I$2,D177&gt;ÉV!$J$2)),0,1)</f>
        <v>0</v>
      </c>
      <c r="O177" s="313">
        <f ca="1">IF(MAX(AF$2:AF176)=2,      0,IF(OR(AC177=7, AF177=2),    SUM(AE$2:AE177),    O176)   )</f>
        <v>655287.96306784777</v>
      </c>
      <c r="P177" s="271">
        <f ca="1">IF(D177=12,V177+P176+P176*(F177-0.003)*0.9,IF(AND(C177=ÉV!$I$2,D177=ÉV!$J$2),V177+P176+P176*(F177-0.003)*0.9*D177/12,P176))*IF(OR(C177&gt;ÉV!$I$2,AND(C177=ÉV!$I$2,D177&gt;ÉV!$J$2)),0,1)</f>
        <v>0</v>
      </c>
      <c r="Q177" s="275">
        <f ca="1">(N177+P177)*IF(OR(AND(C177=ÉV!$I$2,D177&gt;ÉV!$J$2),C177&gt;ÉV!$I$2),0,1)</f>
        <v>0</v>
      </c>
      <c r="R177" s="271">
        <f ca="1">(MAX(0,F177-E177-0.003)*0.9*((K177+I177)*(1/12)))*IF(OR(C177&gt;ÉV!$I$2,AND(C177=ÉV!$I$2,D177&gt;ÉV!$J$2)),0,1)</f>
        <v>0</v>
      </c>
      <c r="S177" s="271">
        <f ca="1">(MAX(0,F177-0.003)*0.9*((O177)*(1/12)))*IF(OR(C177&gt;ÉV!$I$2,AND(C177=ÉV!$I$2,D177&gt;ÉV!$J$2)),0,1)</f>
        <v>0</v>
      </c>
      <c r="T177" s="271">
        <f ca="1">(MAX(0,F177-0.003)*0.9*((Q176)*(1/12)))*IF(OR(C177&gt;ÉV!$I$2,AND(C177=ÉV!$I$2,D177&gt;ÉV!$J$2)),0,1)</f>
        <v>0</v>
      </c>
      <c r="U177" s="271">
        <f ca="1">IF($D177=1,R177,R177+U176)*IF(OR(C177&gt;ÉV!$I$2,AND(C177=ÉV!$I$2,D177&gt;ÉV!$J$2)),0,1)</f>
        <v>0</v>
      </c>
      <c r="V177" s="271">
        <f ca="1">IF($D177=1,S177,S177+V176)*IF(OR(C177&gt;ÉV!$I$2,AND(C177=ÉV!$I$2,D177&gt;ÉV!$J$2)),0,1)</f>
        <v>0</v>
      </c>
      <c r="W177" s="271">
        <f ca="1">IF($D177=1,T177,T177+W176)*IF(OR(C177&gt;ÉV!$I$2,AND(C177=ÉV!$I$2,D177&gt;ÉV!$J$2)),0,1)</f>
        <v>0</v>
      </c>
      <c r="X177" s="271">
        <f ca="1">IF(OR(D177=12,AND(C177=ÉV!$I$2,D177=ÉV!$J$2)),SUM(U177:W177)+X176,X176)*IF(OR(C177&gt;ÉV!$I$2,AND(C177=ÉV!$I$2,D177&gt;ÉV!$J$2)),0,1)</f>
        <v>0</v>
      </c>
      <c r="Y177" s="271">
        <f t="shared" ca="1" si="24"/>
        <v>0</v>
      </c>
      <c r="Z177" s="265">
        <f t="shared" si="25"/>
        <v>7</v>
      </c>
      <c r="AA177" s="272">
        <f t="shared" ca="1" si="26"/>
        <v>23019.406587267698</v>
      </c>
      <c r="AB177" s="265">
        <f t="shared" ca="1" si="32"/>
        <v>2031</v>
      </c>
      <c r="AC177" s="265">
        <f t="shared" ca="1" si="33"/>
        <v>10</v>
      </c>
      <c r="AD177" s="276">
        <f ca="1">IF(     OR(               AND(MAX(AF$6:AF177)&lt;2,  AC177=12),                 AF177=2),                   SUMIF(AB:AB,AB177,AA:AA),                       0)</f>
        <v>0</v>
      </c>
      <c r="AE177" s="277">
        <f t="shared" ca="1" si="34"/>
        <v>0</v>
      </c>
      <c r="AF177" s="277">
        <f t="shared" ca="1" si="27"/>
        <v>0</v>
      </c>
      <c r="AG177" s="402">
        <f ca="1">IF(  AND(AC177=AdóHó,   MAX(AF$1:AF176)&lt;2),   SUMIF(AB:AB,AB177-1,AE:AE),0  )
+ IF(AND(AC177&lt;AdóHó,                            AF177=2),   SUMIF(AB:AB,AB177-1,AE:AE),0  )
+ IF(                                                                  AF177=2,    SUMIF(AB:AB,AB177,AE:AE   ),0  )</f>
        <v>0</v>
      </c>
      <c r="AH177" s="272">
        <f ca="1">SUM(AG$2:AG177)</f>
        <v>655287.96306784777</v>
      </c>
    </row>
    <row r="178" spans="1:34">
      <c r="A178" s="265">
        <f t="shared" si="28"/>
        <v>15</v>
      </c>
      <c r="B178" s="265">
        <f t="shared" si="29"/>
        <v>8</v>
      </c>
      <c r="C178" s="265">
        <f t="shared" ca="1" si="30"/>
        <v>15</v>
      </c>
      <c r="D178" s="265">
        <f t="shared" ca="1" si="31"/>
        <v>11</v>
      </c>
      <c r="E178" s="266">
        <v>5.0000000000000001E-3</v>
      </c>
      <c r="F178" s="267">
        <f>ÉV!$B$12</f>
        <v>0</v>
      </c>
      <c r="G178" s="271">
        <f ca="1">VLOOKUP(A178,ÉV!$A$18:$B$65,2,0)</f>
        <v>276232.87904721237</v>
      </c>
      <c r="H178" s="271">
        <f ca="1">IF(OR(A178=1,AND(C178=ÉV!$I$2,D178&gt;ÉV!$J$2),C178&gt;ÉV!$I$2),0,INDEX(Pz!$B$2:$AM$48,A178-1,ÉV!$G$2-9)/100000*ÉV!$B$10)</f>
        <v>244710.39251094937</v>
      </c>
      <c r="I178" s="271">
        <f ca="1">INDEX(Pz!$B$2:$AM$48,HÓ!A178,ÉV!$G$2-9)/100000*ÉV!$B$10</f>
        <v>249587.88329860297</v>
      </c>
      <c r="J178" s="273">
        <f ca="1">IF(OR(A178=1,A178=2,AND(C178=ÉV!$I$2,D178&gt;ÉV!$J$2),C178&gt;ÉV!$I$2),0,VLOOKUP(A178-2,ÉV!$A$18:$C$65,3,0))</f>
        <v>2578772.3495152127</v>
      </c>
      <c r="K178" s="273">
        <f ca="1">IF(OR(A178=1,AND(C178=ÉV!$I$2,D178&gt;ÉV!$J$2),C178&gt;ÉV!$I$2),0,VLOOKUP(A178-1,ÉV!$A$18:$C$65,3,0))</f>
        <v>2828947.0730127157</v>
      </c>
      <c r="L178" s="273">
        <f ca="1">VLOOKUP(A178,ÉV!$A$18:$C$65,3,0)*IF(OR(AND(C178=ÉV!$I$2,D178&gt;ÉV!$J$2),C178&gt;ÉV!$I$2),0,1)</f>
        <v>3084271.3827091712</v>
      </c>
      <c r="M178" s="273">
        <f ca="1">(K178*(12-B178)/12+L178*B178/12)*IF(A178&gt;ÉV!$G$2,0,1)+IF(A178&gt;ÉV!$G$2,M177,0)*IF(OR(AND(C178=ÉV!$I$2,D178&gt;ÉV!$J$2),C178&gt;ÉV!$I$2),0,1)</f>
        <v>2999163.2794770193</v>
      </c>
      <c r="N178" s="274">
        <f ca="1">IF(AND(C178=1,D178&lt;12),0,1)*IF(D178=12,MAX(0,F178-E178-0.003)*0.9*((K178+I178)*(B178/12)+(J178+H178)*(1-B178/12))+MAX(0,F178-0.003)*0.9*N177+N177,IF(AND(C178=ÉV!$I$2,D178=ÉV!$J$2),(M178+N177)*MAX(0,F178-0.003)*0.9*(D178/12)+N177,N177))*IF(OR(C178&gt;ÉV!$I$2,AND(C178=ÉV!$I$2,D178&gt;ÉV!$J$2)),0,1)</f>
        <v>0</v>
      </c>
      <c r="O178" s="313">
        <f ca="1">IF(MAX(AF$2:AF177)=2,      0,IF(OR(AC178=7, AF178=2),    SUM(AE$2:AE178),    O177)   )</f>
        <v>655287.96306784777</v>
      </c>
      <c r="P178" s="271">
        <f ca="1">IF(D178=12,V178+P177+P177*(F178-0.003)*0.9,IF(AND(C178=ÉV!$I$2,D178=ÉV!$J$2),V178+P177+P177*(F178-0.003)*0.9*D178/12,P177))*IF(OR(C178&gt;ÉV!$I$2,AND(C178=ÉV!$I$2,D178&gt;ÉV!$J$2)),0,1)</f>
        <v>0</v>
      </c>
      <c r="Q178" s="275">
        <f ca="1">(N178+P178)*IF(OR(AND(C178=ÉV!$I$2,D178&gt;ÉV!$J$2),C178&gt;ÉV!$I$2),0,1)</f>
        <v>0</v>
      </c>
      <c r="R178" s="271">
        <f ca="1">(MAX(0,F178-E178-0.003)*0.9*((K178+I178)*(1/12)))*IF(OR(C178&gt;ÉV!$I$2,AND(C178=ÉV!$I$2,D178&gt;ÉV!$J$2)),0,1)</f>
        <v>0</v>
      </c>
      <c r="S178" s="271">
        <f ca="1">(MAX(0,F178-0.003)*0.9*((O178)*(1/12)))*IF(OR(C178&gt;ÉV!$I$2,AND(C178=ÉV!$I$2,D178&gt;ÉV!$J$2)),0,1)</f>
        <v>0</v>
      </c>
      <c r="T178" s="271">
        <f ca="1">(MAX(0,F178-0.003)*0.9*((Q177)*(1/12)))*IF(OR(C178&gt;ÉV!$I$2,AND(C178=ÉV!$I$2,D178&gt;ÉV!$J$2)),0,1)</f>
        <v>0</v>
      </c>
      <c r="U178" s="271">
        <f ca="1">IF($D178=1,R178,R178+U177)*IF(OR(C178&gt;ÉV!$I$2,AND(C178=ÉV!$I$2,D178&gt;ÉV!$J$2)),0,1)</f>
        <v>0</v>
      </c>
      <c r="V178" s="271">
        <f ca="1">IF($D178=1,S178,S178+V177)*IF(OR(C178&gt;ÉV!$I$2,AND(C178=ÉV!$I$2,D178&gt;ÉV!$J$2)),0,1)</f>
        <v>0</v>
      </c>
      <c r="W178" s="271">
        <f ca="1">IF($D178=1,T178,T178+W177)*IF(OR(C178&gt;ÉV!$I$2,AND(C178=ÉV!$I$2,D178&gt;ÉV!$J$2)),0,1)</f>
        <v>0</v>
      </c>
      <c r="X178" s="271">
        <f ca="1">IF(OR(D178=12,AND(C178=ÉV!$I$2,D178=ÉV!$J$2)),SUM(U178:W178)+X177,X177)*IF(OR(C178&gt;ÉV!$I$2,AND(C178=ÉV!$I$2,D178&gt;ÉV!$J$2)),0,1)</f>
        <v>0</v>
      </c>
      <c r="Y178" s="271">
        <f t="shared" ca="1" si="24"/>
        <v>0</v>
      </c>
      <c r="Z178" s="265">
        <f t="shared" si="25"/>
        <v>8</v>
      </c>
      <c r="AA178" s="272">
        <f t="shared" ca="1" si="26"/>
        <v>23019.406587267698</v>
      </c>
      <c r="AB178" s="265">
        <f t="shared" ca="1" si="32"/>
        <v>2031</v>
      </c>
      <c r="AC178" s="265">
        <f t="shared" ca="1" si="33"/>
        <v>11</v>
      </c>
      <c r="AD178" s="276">
        <f ca="1">IF(     OR(               AND(MAX(AF$6:AF178)&lt;2,  AC178=12),                 AF178=2),                   SUMIF(AB:AB,AB178,AA:AA),                       0)</f>
        <v>0</v>
      </c>
      <c r="AE178" s="277">
        <f t="shared" ca="1" si="34"/>
        <v>0</v>
      </c>
      <c r="AF178" s="277">
        <f t="shared" ca="1" si="27"/>
        <v>0</v>
      </c>
      <c r="AG178" s="402">
        <f ca="1">IF(  AND(AC178=AdóHó,   MAX(AF$1:AF177)&lt;2),   SUMIF(AB:AB,AB178-1,AE:AE),0  )
+ IF(AND(AC178&lt;AdóHó,                            AF178=2),   SUMIF(AB:AB,AB178-1,AE:AE),0  )
+ IF(                                                                  AF178=2,    SUMIF(AB:AB,AB178,AE:AE   ),0  )</f>
        <v>0</v>
      </c>
      <c r="AH178" s="272">
        <f ca="1">SUM(AG$2:AG178)</f>
        <v>655287.96306784777</v>
      </c>
    </row>
    <row r="179" spans="1:34">
      <c r="A179" s="265">
        <f t="shared" si="28"/>
        <v>15</v>
      </c>
      <c r="B179" s="265">
        <f t="shared" si="29"/>
        <v>9</v>
      </c>
      <c r="C179" s="265">
        <f t="shared" ca="1" si="30"/>
        <v>15</v>
      </c>
      <c r="D179" s="265">
        <f t="shared" ca="1" si="31"/>
        <v>12</v>
      </c>
      <c r="E179" s="266">
        <v>5.0000000000000001E-3</v>
      </c>
      <c r="F179" s="267">
        <f>ÉV!$B$12</f>
        <v>0</v>
      </c>
      <c r="G179" s="271">
        <f ca="1">VLOOKUP(A179,ÉV!$A$18:$B$65,2,0)</f>
        <v>276232.87904721237</v>
      </c>
      <c r="H179" s="271">
        <f ca="1">IF(OR(A179=1,AND(C179=ÉV!$I$2,D179&gt;ÉV!$J$2),C179&gt;ÉV!$I$2),0,INDEX(Pz!$B$2:$AM$48,A179-1,ÉV!$G$2-9)/100000*ÉV!$B$10)</f>
        <v>244710.39251094937</v>
      </c>
      <c r="I179" s="271">
        <f ca="1">INDEX(Pz!$B$2:$AM$48,HÓ!A179,ÉV!$G$2-9)/100000*ÉV!$B$10</f>
        <v>249587.88329860297</v>
      </c>
      <c r="J179" s="273">
        <f ca="1">IF(OR(A179=1,A179=2,AND(C179=ÉV!$I$2,D179&gt;ÉV!$J$2),C179&gt;ÉV!$I$2),0,VLOOKUP(A179-2,ÉV!$A$18:$C$65,3,0))</f>
        <v>2578772.3495152127</v>
      </c>
      <c r="K179" s="273">
        <f ca="1">IF(OR(A179=1,AND(C179=ÉV!$I$2,D179&gt;ÉV!$J$2),C179&gt;ÉV!$I$2),0,VLOOKUP(A179-1,ÉV!$A$18:$C$65,3,0))</f>
        <v>2828947.0730127157</v>
      </c>
      <c r="L179" s="273">
        <f ca="1">VLOOKUP(A179,ÉV!$A$18:$C$65,3,0)*IF(OR(AND(C179=ÉV!$I$2,D179&gt;ÉV!$J$2),C179&gt;ÉV!$I$2),0,1)</f>
        <v>3084271.3827091712</v>
      </c>
      <c r="M179" s="273">
        <f ca="1">(K179*(12-B179)/12+L179*B179/12)*IF(A179&gt;ÉV!$G$2,0,1)+IF(A179&gt;ÉV!$G$2,M178,0)*IF(OR(AND(C179=ÉV!$I$2,D179&gt;ÉV!$J$2),C179&gt;ÉV!$I$2),0,1)</f>
        <v>3020440.3052850571</v>
      </c>
      <c r="N179" s="274">
        <f ca="1">IF(AND(C179=1,D179&lt;12),0,1)*IF(D179=12,MAX(0,F179-E179-0.003)*0.9*((K179+I179)*(B179/12)+(J179+H179)*(1-B179/12))+MAX(0,F179-0.003)*0.9*N178+N178,IF(AND(C179=ÉV!$I$2,D179=ÉV!$J$2),(M179+N178)*MAX(0,F179-0.003)*0.9*(D179/12)+N178,N178))*IF(OR(C179&gt;ÉV!$I$2,AND(C179=ÉV!$I$2,D179&gt;ÉV!$J$2)),0,1)</f>
        <v>0</v>
      </c>
      <c r="O179" s="313">
        <f ca="1">IF(MAX(AF$2:AF178)=2,      0,IF(OR(AC179=7, AF179=2),    SUM(AE$2:AE179),    O178)   )</f>
        <v>655287.96306784777</v>
      </c>
      <c r="P179" s="271">
        <f ca="1">IF(D179=12,V179+P178+P178*(F179-0.003)*0.9,IF(AND(C179=ÉV!$I$2,D179=ÉV!$J$2),V179+P178+P178*(F179-0.003)*0.9*D179/12,P178))*IF(OR(C179&gt;ÉV!$I$2,AND(C179=ÉV!$I$2,D179&gt;ÉV!$J$2)),0,1)</f>
        <v>0</v>
      </c>
      <c r="Q179" s="275">
        <f ca="1">(N179+P179)*IF(OR(AND(C179=ÉV!$I$2,D179&gt;ÉV!$J$2),C179&gt;ÉV!$I$2),0,1)</f>
        <v>0</v>
      </c>
      <c r="R179" s="271">
        <f ca="1">(MAX(0,F179-E179-0.003)*0.9*((K179+I179)*(1/12)))*IF(OR(C179&gt;ÉV!$I$2,AND(C179=ÉV!$I$2,D179&gt;ÉV!$J$2)),0,1)</f>
        <v>0</v>
      </c>
      <c r="S179" s="271">
        <f ca="1">(MAX(0,F179-0.003)*0.9*((O179)*(1/12)))*IF(OR(C179&gt;ÉV!$I$2,AND(C179=ÉV!$I$2,D179&gt;ÉV!$J$2)),0,1)</f>
        <v>0</v>
      </c>
      <c r="T179" s="271">
        <f ca="1">(MAX(0,F179-0.003)*0.9*((Q178)*(1/12)))*IF(OR(C179&gt;ÉV!$I$2,AND(C179=ÉV!$I$2,D179&gt;ÉV!$J$2)),0,1)</f>
        <v>0</v>
      </c>
      <c r="U179" s="271">
        <f ca="1">IF($D179=1,R179,R179+U178)*IF(OR(C179&gt;ÉV!$I$2,AND(C179=ÉV!$I$2,D179&gt;ÉV!$J$2)),0,1)</f>
        <v>0</v>
      </c>
      <c r="V179" s="271">
        <f ca="1">IF($D179=1,S179,S179+V178)*IF(OR(C179&gt;ÉV!$I$2,AND(C179=ÉV!$I$2,D179&gt;ÉV!$J$2)),0,1)</f>
        <v>0</v>
      </c>
      <c r="W179" s="271">
        <f ca="1">IF($D179=1,T179,T179+W178)*IF(OR(C179&gt;ÉV!$I$2,AND(C179=ÉV!$I$2,D179&gt;ÉV!$J$2)),0,1)</f>
        <v>0</v>
      </c>
      <c r="X179" s="271">
        <f ca="1">IF(OR(D179=12,AND(C179=ÉV!$I$2,D179=ÉV!$J$2)),SUM(U179:W179)+X178,X178)*IF(OR(C179&gt;ÉV!$I$2,AND(C179=ÉV!$I$2,D179&gt;ÉV!$J$2)),0,1)</f>
        <v>0</v>
      </c>
      <c r="Y179" s="271">
        <f t="shared" ca="1" si="24"/>
        <v>0</v>
      </c>
      <c r="Z179" s="265">
        <f t="shared" si="25"/>
        <v>9</v>
      </c>
      <c r="AA179" s="272">
        <f t="shared" ca="1" si="26"/>
        <v>23019.406587267698</v>
      </c>
      <c r="AB179" s="265">
        <f t="shared" ca="1" si="32"/>
        <v>2031</v>
      </c>
      <c r="AC179" s="265">
        <f t="shared" ca="1" si="33"/>
        <v>12</v>
      </c>
      <c r="AD179" s="276">
        <f ca="1">IF(     OR(               AND(MAX(AF$6:AF179)&lt;2,  AC179=12),                 AF179=2),                   SUMIF(AB:AB,AB179,AA:AA),                       0)</f>
        <v>274878.79630678485</v>
      </c>
      <c r="AE179" s="277">
        <f t="shared" ca="1" si="34"/>
        <v>54975.759261356972</v>
      </c>
      <c r="AF179" s="277">
        <f t="shared" ca="1" si="27"/>
        <v>0</v>
      </c>
      <c r="AG179" s="402">
        <f ca="1">IF(  AND(AC179=AdóHó,   MAX(AF$1:AF178)&lt;2),   SUMIF(AB:AB,AB179-1,AE:AE),0  )
+ IF(AND(AC179&lt;AdóHó,                            AF179=2),   SUMIF(AB:AB,AB179-1,AE:AE),0  )
+ IF(                                                                  AF179=2,    SUMIF(AB:AB,AB179,AE:AE   ),0  )</f>
        <v>0</v>
      </c>
      <c r="AH179" s="272">
        <f ca="1">SUM(AG$2:AG179)</f>
        <v>655287.96306784777</v>
      </c>
    </row>
    <row r="180" spans="1:34">
      <c r="A180" s="265">
        <f t="shared" si="28"/>
        <v>15</v>
      </c>
      <c r="B180" s="265">
        <f t="shared" si="29"/>
        <v>10</v>
      </c>
      <c r="C180" s="265">
        <f t="shared" ca="1" si="30"/>
        <v>16</v>
      </c>
      <c r="D180" s="265">
        <f t="shared" ca="1" si="31"/>
        <v>1</v>
      </c>
      <c r="E180" s="266">
        <v>5.0000000000000001E-3</v>
      </c>
      <c r="F180" s="267">
        <f>ÉV!$B$12</f>
        <v>0</v>
      </c>
      <c r="G180" s="271">
        <f ca="1">VLOOKUP(A180,ÉV!$A$18:$B$65,2,0)</f>
        <v>276232.87904721237</v>
      </c>
      <c r="H180" s="271">
        <f ca="1">IF(OR(A180=1,AND(C180=ÉV!$I$2,D180&gt;ÉV!$J$2),C180&gt;ÉV!$I$2),0,INDEX(Pz!$B$2:$AM$48,A180-1,ÉV!$G$2-9)/100000*ÉV!$B$10)</f>
        <v>244710.39251094937</v>
      </c>
      <c r="I180" s="271">
        <f ca="1">INDEX(Pz!$B$2:$AM$48,HÓ!A180,ÉV!$G$2-9)/100000*ÉV!$B$10</f>
        <v>249587.88329860297</v>
      </c>
      <c r="J180" s="273">
        <f ca="1">IF(OR(A180=1,A180=2,AND(C180=ÉV!$I$2,D180&gt;ÉV!$J$2),C180&gt;ÉV!$I$2),0,VLOOKUP(A180-2,ÉV!$A$18:$C$65,3,0))</f>
        <v>2578772.3495152127</v>
      </c>
      <c r="K180" s="273">
        <f ca="1">IF(OR(A180=1,AND(C180=ÉV!$I$2,D180&gt;ÉV!$J$2),C180&gt;ÉV!$I$2),0,VLOOKUP(A180-1,ÉV!$A$18:$C$65,3,0))</f>
        <v>2828947.0730127157</v>
      </c>
      <c r="L180" s="273">
        <f ca="1">VLOOKUP(A180,ÉV!$A$18:$C$65,3,0)*IF(OR(AND(C180=ÉV!$I$2,D180&gt;ÉV!$J$2),C180&gt;ÉV!$I$2),0,1)</f>
        <v>3084271.3827091712</v>
      </c>
      <c r="M180" s="273">
        <f ca="1">(K180*(12-B180)/12+L180*B180/12)*IF(A180&gt;ÉV!$G$2,0,1)+IF(A180&gt;ÉV!$G$2,M179,0)*IF(OR(AND(C180=ÉV!$I$2,D180&gt;ÉV!$J$2),C180&gt;ÉV!$I$2),0,1)</f>
        <v>3041717.3310930952</v>
      </c>
      <c r="N180" s="274">
        <f ca="1">IF(AND(C180=1,D180&lt;12),0,1)*IF(D180=12,MAX(0,F180-E180-0.003)*0.9*((K180+I180)*(B180/12)+(J180+H180)*(1-B180/12))+MAX(0,F180-0.003)*0.9*N179+N179,IF(AND(C180=ÉV!$I$2,D180=ÉV!$J$2),(M180+N179)*MAX(0,F180-0.003)*0.9*(D180/12)+N179,N179))*IF(OR(C180&gt;ÉV!$I$2,AND(C180=ÉV!$I$2,D180&gt;ÉV!$J$2)),0,1)</f>
        <v>0</v>
      </c>
      <c r="O180" s="313">
        <f ca="1">IF(MAX(AF$2:AF179)=2,      0,IF(OR(AC180=7, AF180=2),    SUM(AE$2:AE180),    O179)   )</f>
        <v>655287.96306784777</v>
      </c>
      <c r="P180" s="271">
        <f ca="1">IF(D180=12,V180+P179+P179*(F180-0.003)*0.9,IF(AND(C180=ÉV!$I$2,D180=ÉV!$J$2),V180+P179+P179*(F180-0.003)*0.9*D180/12,P179))*IF(OR(C180&gt;ÉV!$I$2,AND(C180=ÉV!$I$2,D180&gt;ÉV!$J$2)),0,1)</f>
        <v>0</v>
      </c>
      <c r="Q180" s="275">
        <f ca="1">(N180+P180)*IF(OR(AND(C180=ÉV!$I$2,D180&gt;ÉV!$J$2),C180&gt;ÉV!$I$2),0,1)</f>
        <v>0</v>
      </c>
      <c r="R180" s="271">
        <f ca="1">(MAX(0,F180-E180-0.003)*0.9*((K180+I180)*(1/12)))*IF(OR(C180&gt;ÉV!$I$2,AND(C180=ÉV!$I$2,D180&gt;ÉV!$J$2)),0,1)</f>
        <v>0</v>
      </c>
      <c r="S180" s="271">
        <f ca="1">(MAX(0,F180-0.003)*0.9*((O180)*(1/12)))*IF(OR(C180&gt;ÉV!$I$2,AND(C180=ÉV!$I$2,D180&gt;ÉV!$J$2)),0,1)</f>
        <v>0</v>
      </c>
      <c r="T180" s="271">
        <f ca="1">(MAX(0,F180-0.003)*0.9*((Q179)*(1/12)))*IF(OR(C180&gt;ÉV!$I$2,AND(C180=ÉV!$I$2,D180&gt;ÉV!$J$2)),0,1)</f>
        <v>0</v>
      </c>
      <c r="U180" s="271">
        <f ca="1">IF($D180=1,R180,R180+U179)*IF(OR(C180&gt;ÉV!$I$2,AND(C180=ÉV!$I$2,D180&gt;ÉV!$J$2)),0,1)</f>
        <v>0</v>
      </c>
      <c r="V180" s="271">
        <f ca="1">IF($D180=1,S180,S180+V179)*IF(OR(C180&gt;ÉV!$I$2,AND(C180=ÉV!$I$2,D180&gt;ÉV!$J$2)),0,1)</f>
        <v>0</v>
      </c>
      <c r="W180" s="271">
        <f ca="1">IF($D180=1,T180,T180+W179)*IF(OR(C180&gt;ÉV!$I$2,AND(C180=ÉV!$I$2,D180&gt;ÉV!$J$2)),0,1)</f>
        <v>0</v>
      </c>
      <c r="X180" s="271">
        <f ca="1">IF(OR(D180=12,AND(C180=ÉV!$I$2,D180=ÉV!$J$2)),SUM(U180:W180)+X179,X179)*IF(OR(C180&gt;ÉV!$I$2,AND(C180=ÉV!$I$2,D180&gt;ÉV!$J$2)),0,1)</f>
        <v>0</v>
      </c>
      <c r="Y180" s="271">
        <f t="shared" ca="1" si="24"/>
        <v>0</v>
      </c>
      <c r="Z180" s="265">
        <f t="shared" si="25"/>
        <v>10</v>
      </c>
      <c r="AA180" s="272">
        <f t="shared" ca="1" si="26"/>
        <v>23019.406587267698</v>
      </c>
      <c r="AB180" s="265">
        <f t="shared" ca="1" si="32"/>
        <v>2032</v>
      </c>
      <c r="AC180" s="265">
        <f t="shared" ca="1" si="33"/>
        <v>1</v>
      </c>
      <c r="AD180" s="276">
        <f ca="1">IF(     OR(               AND(MAX(AF$6:AF180)&lt;2,  AC180=12),                 AF180=2),                   SUMIF(AB:AB,AB180,AA:AA),                       0)</f>
        <v>0</v>
      </c>
      <c r="AE180" s="277">
        <f t="shared" ca="1" si="34"/>
        <v>0</v>
      </c>
      <c r="AF180" s="277">
        <f t="shared" ca="1" si="27"/>
        <v>0</v>
      </c>
      <c r="AG180" s="402">
        <f ca="1">IF(  AND(AC180=AdóHó,   MAX(AF$1:AF179)&lt;2),   SUMIF(AB:AB,AB180-1,AE:AE),0  )
+ IF(AND(AC180&lt;AdóHó,                            AF180=2),   SUMIF(AB:AB,AB180-1,AE:AE),0  )
+ IF(                                                                  AF180=2,    SUMIF(AB:AB,AB180,AE:AE   ),0  )</f>
        <v>0</v>
      </c>
      <c r="AH180" s="272">
        <f ca="1">SUM(AG$2:AG180)</f>
        <v>655287.96306784777</v>
      </c>
    </row>
    <row r="181" spans="1:34">
      <c r="A181" s="265">
        <f t="shared" si="28"/>
        <v>15</v>
      </c>
      <c r="B181" s="265">
        <f t="shared" si="29"/>
        <v>11</v>
      </c>
      <c r="C181" s="265">
        <f t="shared" ca="1" si="30"/>
        <v>16</v>
      </c>
      <c r="D181" s="265">
        <f t="shared" ca="1" si="31"/>
        <v>2</v>
      </c>
      <c r="E181" s="266">
        <v>5.0000000000000001E-3</v>
      </c>
      <c r="F181" s="267">
        <f>ÉV!$B$12</f>
        <v>0</v>
      </c>
      <c r="G181" s="271">
        <f ca="1">VLOOKUP(A181,ÉV!$A$18:$B$65,2,0)</f>
        <v>276232.87904721237</v>
      </c>
      <c r="H181" s="271">
        <f ca="1">IF(OR(A181=1,AND(C181=ÉV!$I$2,D181&gt;ÉV!$J$2),C181&gt;ÉV!$I$2),0,INDEX(Pz!$B$2:$AM$48,A181-1,ÉV!$G$2-9)/100000*ÉV!$B$10)</f>
        <v>244710.39251094937</v>
      </c>
      <c r="I181" s="271">
        <f ca="1">INDEX(Pz!$B$2:$AM$48,HÓ!A181,ÉV!$G$2-9)/100000*ÉV!$B$10</f>
        <v>249587.88329860297</v>
      </c>
      <c r="J181" s="273">
        <f ca="1">IF(OR(A181=1,A181=2,AND(C181=ÉV!$I$2,D181&gt;ÉV!$J$2),C181&gt;ÉV!$I$2),0,VLOOKUP(A181-2,ÉV!$A$18:$C$65,3,0))</f>
        <v>2578772.3495152127</v>
      </c>
      <c r="K181" s="273">
        <f ca="1">IF(OR(A181=1,AND(C181=ÉV!$I$2,D181&gt;ÉV!$J$2),C181&gt;ÉV!$I$2),0,VLOOKUP(A181-1,ÉV!$A$18:$C$65,3,0))</f>
        <v>2828947.0730127157</v>
      </c>
      <c r="L181" s="273">
        <f ca="1">VLOOKUP(A181,ÉV!$A$18:$C$65,3,0)*IF(OR(AND(C181=ÉV!$I$2,D181&gt;ÉV!$J$2),C181&gt;ÉV!$I$2),0,1)</f>
        <v>3084271.3827091712</v>
      </c>
      <c r="M181" s="273">
        <f ca="1">(K181*(12-B181)/12+L181*B181/12)*IF(A181&gt;ÉV!$G$2,0,1)+IF(A181&gt;ÉV!$G$2,M180,0)*IF(OR(AND(C181=ÉV!$I$2,D181&gt;ÉV!$J$2),C181&gt;ÉV!$I$2),0,1)</f>
        <v>3062994.3569011334</v>
      </c>
      <c r="N181" s="274">
        <f ca="1">IF(AND(C181=1,D181&lt;12),0,1)*IF(D181=12,MAX(0,F181-E181-0.003)*0.9*((K181+I181)*(B181/12)+(J181+H181)*(1-B181/12))+MAX(0,F181-0.003)*0.9*N180+N180,IF(AND(C181=ÉV!$I$2,D181=ÉV!$J$2),(M181+N180)*MAX(0,F181-0.003)*0.9*(D181/12)+N180,N180))*IF(OR(C181&gt;ÉV!$I$2,AND(C181=ÉV!$I$2,D181&gt;ÉV!$J$2)),0,1)</f>
        <v>0</v>
      </c>
      <c r="O181" s="313">
        <f ca="1">IF(MAX(AF$2:AF180)=2,      0,IF(OR(AC181=7, AF181=2),    SUM(AE$2:AE181),    O180)   )</f>
        <v>655287.96306784777</v>
      </c>
      <c r="P181" s="271">
        <f ca="1">IF(D181=12,V181+P180+P180*(F181-0.003)*0.9,IF(AND(C181=ÉV!$I$2,D181=ÉV!$J$2),V181+P180+P180*(F181-0.003)*0.9*D181/12,P180))*IF(OR(C181&gt;ÉV!$I$2,AND(C181=ÉV!$I$2,D181&gt;ÉV!$J$2)),0,1)</f>
        <v>0</v>
      </c>
      <c r="Q181" s="275">
        <f ca="1">(N181+P181)*IF(OR(AND(C181=ÉV!$I$2,D181&gt;ÉV!$J$2),C181&gt;ÉV!$I$2),0,1)</f>
        <v>0</v>
      </c>
      <c r="R181" s="271">
        <f ca="1">(MAX(0,F181-E181-0.003)*0.9*((K181+I181)*(1/12)))*IF(OR(C181&gt;ÉV!$I$2,AND(C181=ÉV!$I$2,D181&gt;ÉV!$J$2)),0,1)</f>
        <v>0</v>
      </c>
      <c r="S181" s="271">
        <f ca="1">(MAX(0,F181-0.003)*0.9*((O181)*(1/12)))*IF(OR(C181&gt;ÉV!$I$2,AND(C181=ÉV!$I$2,D181&gt;ÉV!$J$2)),0,1)</f>
        <v>0</v>
      </c>
      <c r="T181" s="271">
        <f ca="1">(MAX(0,F181-0.003)*0.9*((Q180)*(1/12)))*IF(OR(C181&gt;ÉV!$I$2,AND(C181=ÉV!$I$2,D181&gt;ÉV!$J$2)),0,1)</f>
        <v>0</v>
      </c>
      <c r="U181" s="271">
        <f ca="1">IF($D181=1,R181,R181+U180)*IF(OR(C181&gt;ÉV!$I$2,AND(C181=ÉV!$I$2,D181&gt;ÉV!$J$2)),0,1)</f>
        <v>0</v>
      </c>
      <c r="V181" s="271">
        <f ca="1">IF($D181=1,S181,S181+V180)*IF(OR(C181&gt;ÉV!$I$2,AND(C181=ÉV!$I$2,D181&gt;ÉV!$J$2)),0,1)</f>
        <v>0</v>
      </c>
      <c r="W181" s="271">
        <f ca="1">IF($D181=1,T181,T181+W180)*IF(OR(C181&gt;ÉV!$I$2,AND(C181=ÉV!$I$2,D181&gt;ÉV!$J$2)),0,1)</f>
        <v>0</v>
      </c>
      <c r="X181" s="271">
        <f ca="1">IF(OR(D181=12,AND(C181=ÉV!$I$2,D181=ÉV!$J$2)),SUM(U181:W181)+X180,X180)*IF(OR(C181&gt;ÉV!$I$2,AND(C181=ÉV!$I$2,D181&gt;ÉV!$J$2)),0,1)</f>
        <v>0</v>
      </c>
      <c r="Y181" s="271">
        <f t="shared" ca="1" si="24"/>
        <v>0</v>
      </c>
      <c r="Z181" s="265">
        <f t="shared" si="25"/>
        <v>11</v>
      </c>
      <c r="AA181" s="272">
        <f t="shared" ca="1" si="26"/>
        <v>23019.406587267698</v>
      </c>
      <c r="AB181" s="265">
        <f t="shared" ca="1" si="32"/>
        <v>2032</v>
      </c>
      <c r="AC181" s="265">
        <f t="shared" ca="1" si="33"/>
        <v>2</v>
      </c>
      <c r="AD181" s="276">
        <f ca="1">IF(     OR(               AND(MAX(AF$6:AF181)&lt;2,  AC181=12),                 AF181=2),                   SUMIF(AB:AB,AB181,AA:AA),                       0)</f>
        <v>0</v>
      </c>
      <c r="AE181" s="277">
        <f t="shared" ca="1" si="34"/>
        <v>0</v>
      </c>
      <c r="AF181" s="277">
        <f t="shared" ca="1" si="27"/>
        <v>0</v>
      </c>
      <c r="AG181" s="402">
        <f ca="1">IF(  AND(AC181=AdóHó,   MAX(AF$1:AF180)&lt;2),   SUMIF(AB:AB,AB181-1,AE:AE),0  )
+ IF(AND(AC181&lt;AdóHó,                            AF181=2),   SUMIF(AB:AB,AB181-1,AE:AE),0  )
+ IF(                                                                  AF181=2,    SUMIF(AB:AB,AB181,AE:AE   ),0  )</f>
        <v>0</v>
      </c>
      <c r="AH181" s="272">
        <f ca="1">SUM(AG$2:AG181)</f>
        <v>655287.96306784777</v>
      </c>
    </row>
    <row r="182" spans="1:34">
      <c r="A182" s="265">
        <f t="shared" si="28"/>
        <v>15</v>
      </c>
      <c r="B182" s="265">
        <f t="shared" si="29"/>
        <v>12</v>
      </c>
      <c r="C182" s="265">
        <f t="shared" ca="1" si="30"/>
        <v>16</v>
      </c>
      <c r="D182" s="265">
        <f t="shared" ca="1" si="31"/>
        <v>3</v>
      </c>
      <c r="E182" s="266">
        <v>5.0000000000000001E-3</v>
      </c>
      <c r="F182" s="267">
        <f>ÉV!$B$12</f>
        <v>0</v>
      </c>
      <c r="G182" s="271">
        <f ca="1">VLOOKUP(A182,ÉV!$A$18:$B$65,2,0)</f>
        <v>276232.87904721237</v>
      </c>
      <c r="H182" s="271">
        <f ca="1">IF(OR(A182=1,AND(C182=ÉV!$I$2,D182&gt;ÉV!$J$2),C182&gt;ÉV!$I$2),0,INDEX(Pz!$B$2:$AM$48,A182-1,ÉV!$G$2-9)/100000*ÉV!$B$10)</f>
        <v>244710.39251094937</v>
      </c>
      <c r="I182" s="271">
        <f ca="1">INDEX(Pz!$B$2:$AM$48,HÓ!A182,ÉV!$G$2-9)/100000*ÉV!$B$10</f>
        <v>249587.88329860297</v>
      </c>
      <c r="J182" s="273">
        <f ca="1">IF(OR(A182=1,A182=2,AND(C182=ÉV!$I$2,D182&gt;ÉV!$J$2),C182&gt;ÉV!$I$2),0,VLOOKUP(A182-2,ÉV!$A$18:$C$65,3,0))</f>
        <v>2578772.3495152127</v>
      </c>
      <c r="K182" s="273">
        <f ca="1">IF(OR(A182=1,AND(C182=ÉV!$I$2,D182&gt;ÉV!$J$2),C182&gt;ÉV!$I$2),0,VLOOKUP(A182-1,ÉV!$A$18:$C$65,3,0))</f>
        <v>2828947.0730127157</v>
      </c>
      <c r="L182" s="273">
        <f ca="1">VLOOKUP(A182,ÉV!$A$18:$C$65,3,0)*IF(OR(AND(C182=ÉV!$I$2,D182&gt;ÉV!$J$2),C182&gt;ÉV!$I$2),0,1)</f>
        <v>3084271.3827091712</v>
      </c>
      <c r="M182" s="273">
        <f ca="1">(K182*(12-B182)/12+L182*B182/12)*IF(A182&gt;ÉV!$G$2,0,1)+IF(A182&gt;ÉV!$G$2,M181,0)*IF(OR(AND(C182=ÉV!$I$2,D182&gt;ÉV!$J$2),C182&gt;ÉV!$I$2),0,1)</f>
        <v>3084271.3827091712</v>
      </c>
      <c r="N182" s="274">
        <f ca="1">IF(AND(C182=1,D182&lt;12),0,1)*IF(D182=12,MAX(0,F182-E182-0.003)*0.9*((K182+I182)*(B182/12)+(J182+H182)*(1-B182/12))+MAX(0,F182-0.003)*0.9*N181+N181,IF(AND(C182=ÉV!$I$2,D182=ÉV!$J$2),(M182+N181)*MAX(0,F182-0.003)*0.9*(D182/12)+N181,N181))*IF(OR(C182&gt;ÉV!$I$2,AND(C182=ÉV!$I$2,D182&gt;ÉV!$J$2)),0,1)</f>
        <v>0</v>
      </c>
      <c r="O182" s="313">
        <f ca="1">IF(MAX(AF$2:AF181)=2,      0,IF(OR(AC182=7, AF182=2),    SUM(AE$2:AE182),    O181)   )</f>
        <v>655287.96306784777</v>
      </c>
      <c r="P182" s="271">
        <f ca="1">IF(D182=12,V182+P181+P181*(F182-0.003)*0.9,IF(AND(C182=ÉV!$I$2,D182=ÉV!$J$2),V182+P181+P181*(F182-0.003)*0.9*D182/12,P181))*IF(OR(C182&gt;ÉV!$I$2,AND(C182=ÉV!$I$2,D182&gt;ÉV!$J$2)),0,1)</f>
        <v>0</v>
      </c>
      <c r="Q182" s="275">
        <f ca="1">(N182+P182)*IF(OR(AND(C182=ÉV!$I$2,D182&gt;ÉV!$J$2),C182&gt;ÉV!$I$2),0,1)</f>
        <v>0</v>
      </c>
      <c r="R182" s="271">
        <f ca="1">(MAX(0,F182-E182-0.003)*0.9*((K182+I182)*(1/12)))*IF(OR(C182&gt;ÉV!$I$2,AND(C182=ÉV!$I$2,D182&gt;ÉV!$J$2)),0,1)</f>
        <v>0</v>
      </c>
      <c r="S182" s="271">
        <f ca="1">(MAX(0,F182-0.003)*0.9*((O182)*(1/12)))*IF(OR(C182&gt;ÉV!$I$2,AND(C182=ÉV!$I$2,D182&gt;ÉV!$J$2)),0,1)</f>
        <v>0</v>
      </c>
      <c r="T182" s="271">
        <f ca="1">(MAX(0,F182-0.003)*0.9*((Q181)*(1/12)))*IF(OR(C182&gt;ÉV!$I$2,AND(C182=ÉV!$I$2,D182&gt;ÉV!$J$2)),0,1)</f>
        <v>0</v>
      </c>
      <c r="U182" s="271">
        <f ca="1">IF($D182=1,R182,R182+U181)*IF(OR(C182&gt;ÉV!$I$2,AND(C182=ÉV!$I$2,D182&gt;ÉV!$J$2)),0,1)</f>
        <v>0</v>
      </c>
      <c r="V182" s="271">
        <f ca="1">IF($D182=1,S182,S182+V181)*IF(OR(C182&gt;ÉV!$I$2,AND(C182=ÉV!$I$2,D182&gt;ÉV!$J$2)),0,1)</f>
        <v>0</v>
      </c>
      <c r="W182" s="271">
        <f ca="1">IF($D182=1,T182,T182+W181)*IF(OR(C182&gt;ÉV!$I$2,AND(C182=ÉV!$I$2,D182&gt;ÉV!$J$2)),0,1)</f>
        <v>0</v>
      </c>
      <c r="X182" s="271">
        <f ca="1">IF(OR(D182=12,AND(C182=ÉV!$I$2,D182=ÉV!$J$2)),SUM(U182:W182)+X181,X181)*IF(OR(C182&gt;ÉV!$I$2,AND(C182=ÉV!$I$2,D182&gt;ÉV!$J$2)),0,1)</f>
        <v>0</v>
      </c>
      <c r="Y182" s="271">
        <f t="shared" ca="1" si="24"/>
        <v>0</v>
      </c>
      <c r="Z182" s="265">
        <f t="shared" si="25"/>
        <v>12</v>
      </c>
      <c r="AA182" s="272">
        <f t="shared" ca="1" si="26"/>
        <v>23019.406587267698</v>
      </c>
      <c r="AB182" s="265">
        <f t="shared" ca="1" si="32"/>
        <v>2032</v>
      </c>
      <c r="AC182" s="265">
        <f t="shared" ca="1" si="33"/>
        <v>3</v>
      </c>
      <c r="AD182" s="276">
        <f ca="1">IF(     OR(               AND(MAX(AF$6:AF182)&lt;2,  AC182=12),                 AF182=2),                   SUMIF(AB:AB,AB182,AA:AA),                       0)</f>
        <v>0</v>
      </c>
      <c r="AE182" s="277">
        <f t="shared" ca="1" si="34"/>
        <v>0</v>
      </c>
      <c r="AF182" s="277">
        <f t="shared" ca="1" si="27"/>
        <v>0</v>
      </c>
      <c r="AG182" s="402">
        <f ca="1">IF(  AND(AC182=AdóHó,   MAX(AF$1:AF181)&lt;2),   SUMIF(AB:AB,AB182-1,AE:AE),0  )
+ IF(AND(AC182&lt;AdóHó,                            AF182=2),   SUMIF(AB:AB,AB182-1,AE:AE),0  )
+ IF(                                                                  AF182=2,    SUMIF(AB:AB,AB182,AE:AE   ),0  )</f>
        <v>0</v>
      </c>
      <c r="AH182" s="272">
        <f ca="1">SUM(AG$2:AG182)</f>
        <v>655287.96306784777</v>
      </c>
    </row>
    <row r="183" spans="1:34">
      <c r="A183" s="265">
        <f t="shared" si="28"/>
        <v>16</v>
      </c>
      <c r="B183" s="265">
        <f t="shared" si="29"/>
        <v>1</v>
      </c>
      <c r="C183" s="265">
        <f t="shared" ca="1" si="30"/>
        <v>16</v>
      </c>
      <c r="D183" s="265">
        <f t="shared" ca="1" si="31"/>
        <v>4</v>
      </c>
      <c r="E183" s="266">
        <v>5.0000000000000001E-3</v>
      </c>
      <c r="F183" s="267">
        <f>ÉV!$B$12</f>
        <v>0</v>
      </c>
      <c r="G183" s="271">
        <f ca="1">VLOOKUP(A183,ÉV!$A$18:$B$65,2,0)</f>
        <v>281757.53662815661</v>
      </c>
      <c r="H183" s="271">
        <f ca="1">IF(OR(A183=1,AND(C183=ÉV!$I$2,D183&gt;ÉV!$J$2),C183&gt;ÉV!$I$2),0,INDEX(Pz!$B$2:$AM$48,A183-1,ÉV!$G$2-9)/100000*ÉV!$B$10)</f>
        <v>249587.88329860297</v>
      </c>
      <c r="I183" s="271">
        <f ca="1">INDEX(Pz!$B$2:$AM$48,HÓ!A183,ÉV!$G$2-9)/100000*ÉV!$B$10</f>
        <v>254562.92390200979</v>
      </c>
      <c r="J183" s="273">
        <f ca="1">IF(OR(A183=1,A183=2,AND(C183=ÉV!$I$2,D183&gt;ÉV!$J$2),C183&gt;ÉV!$I$2),0,VLOOKUP(A183-2,ÉV!$A$18:$C$65,3,0))</f>
        <v>2828947.0730127157</v>
      </c>
      <c r="K183" s="273">
        <f ca="1">IF(OR(A183=1,AND(C183=ÉV!$I$2,D183&gt;ÉV!$J$2),C183&gt;ÉV!$I$2),0,VLOOKUP(A183-1,ÉV!$A$18:$C$65,3,0))</f>
        <v>3084271.3827091712</v>
      </c>
      <c r="L183" s="273">
        <f ca="1">VLOOKUP(A183,ÉV!$A$18:$C$65,3,0)*IF(OR(AND(C183=ÉV!$I$2,D183&gt;ÉV!$J$2),C183&gt;ÉV!$I$2),0,1)</f>
        <v>3344757.9533744366</v>
      </c>
      <c r="M183" s="273">
        <f ca="1">(K183*(12-B183)/12+L183*B183/12)*IF(A183&gt;ÉV!$G$2,0,1)+IF(A183&gt;ÉV!$G$2,M182,0)*IF(OR(AND(C183=ÉV!$I$2,D183&gt;ÉV!$J$2),C183&gt;ÉV!$I$2),0,1)</f>
        <v>3105978.5969312768</v>
      </c>
      <c r="N183" s="274">
        <f ca="1">IF(AND(C183=1,D183&lt;12),0,1)*IF(D183=12,MAX(0,F183-E183-0.003)*0.9*((K183+I183)*(B183/12)+(J183+H183)*(1-B183/12))+MAX(0,F183-0.003)*0.9*N182+N182,IF(AND(C183=ÉV!$I$2,D183=ÉV!$J$2),(M183+N182)*MAX(0,F183-0.003)*0.9*(D183/12)+N182,N182))*IF(OR(C183&gt;ÉV!$I$2,AND(C183=ÉV!$I$2,D183&gt;ÉV!$J$2)),0,1)</f>
        <v>0</v>
      </c>
      <c r="O183" s="313">
        <f ca="1">IF(MAX(AF$2:AF182)=2,      0,IF(OR(AC183=7, AF183=2),    SUM(AE$2:AE183),    O182)   )</f>
        <v>655287.96306784777</v>
      </c>
      <c r="P183" s="271">
        <f ca="1">IF(D183=12,V183+P182+P182*(F183-0.003)*0.9,IF(AND(C183=ÉV!$I$2,D183=ÉV!$J$2),V183+P182+P182*(F183-0.003)*0.9*D183/12,P182))*IF(OR(C183&gt;ÉV!$I$2,AND(C183=ÉV!$I$2,D183&gt;ÉV!$J$2)),0,1)</f>
        <v>0</v>
      </c>
      <c r="Q183" s="275">
        <f ca="1">(N183+P183)*IF(OR(AND(C183=ÉV!$I$2,D183&gt;ÉV!$J$2),C183&gt;ÉV!$I$2),0,1)</f>
        <v>0</v>
      </c>
      <c r="R183" s="271">
        <f ca="1">(MAX(0,F183-E183-0.003)*0.9*((K183+I183)*(1/12)))*IF(OR(C183&gt;ÉV!$I$2,AND(C183=ÉV!$I$2,D183&gt;ÉV!$J$2)),0,1)</f>
        <v>0</v>
      </c>
      <c r="S183" s="271">
        <f ca="1">(MAX(0,F183-0.003)*0.9*((O183)*(1/12)))*IF(OR(C183&gt;ÉV!$I$2,AND(C183=ÉV!$I$2,D183&gt;ÉV!$J$2)),0,1)</f>
        <v>0</v>
      </c>
      <c r="T183" s="271">
        <f ca="1">(MAX(0,F183-0.003)*0.9*((Q182)*(1/12)))*IF(OR(C183&gt;ÉV!$I$2,AND(C183=ÉV!$I$2,D183&gt;ÉV!$J$2)),0,1)</f>
        <v>0</v>
      </c>
      <c r="U183" s="271">
        <f ca="1">IF($D183=1,R183,R183+U182)*IF(OR(C183&gt;ÉV!$I$2,AND(C183=ÉV!$I$2,D183&gt;ÉV!$J$2)),0,1)</f>
        <v>0</v>
      </c>
      <c r="V183" s="271">
        <f ca="1">IF($D183=1,S183,S183+V182)*IF(OR(C183&gt;ÉV!$I$2,AND(C183=ÉV!$I$2,D183&gt;ÉV!$J$2)),0,1)</f>
        <v>0</v>
      </c>
      <c r="W183" s="271">
        <f ca="1">IF($D183=1,T183,T183+W182)*IF(OR(C183&gt;ÉV!$I$2,AND(C183=ÉV!$I$2,D183&gt;ÉV!$J$2)),0,1)</f>
        <v>0</v>
      </c>
      <c r="X183" s="271">
        <f ca="1">IF(OR(D183=12,AND(C183=ÉV!$I$2,D183=ÉV!$J$2)),SUM(U183:W183)+X182,X182)*IF(OR(C183&gt;ÉV!$I$2,AND(C183=ÉV!$I$2,D183&gt;ÉV!$J$2)),0,1)</f>
        <v>0</v>
      </c>
      <c r="Y183" s="271">
        <f t="shared" ca="1" si="24"/>
        <v>0</v>
      </c>
      <c r="Z183" s="265">
        <f t="shared" si="25"/>
        <v>1</v>
      </c>
      <c r="AA183" s="272">
        <f t="shared" ca="1" si="26"/>
        <v>23479.794719013051</v>
      </c>
      <c r="AB183" s="265">
        <f t="shared" ca="1" si="32"/>
        <v>2032</v>
      </c>
      <c r="AC183" s="265">
        <f t="shared" ca="1" si="33"/>
        <v>4</v>
      </c>
      <c r="AD183" s="276">
        <f ca="1">IF(     OR(               AND(MAX(AF$6:AF183)&lt;2,  AC183=12),                 AF183=2),                   SUMIF(AB:AB,AB183,AA:AA),                       0)</f>
        <v>0</v>
      </c>
      <c r="AE183" s="277">
        <f t="shared" ca="1" si="34"/>
        <v>0</v>
      </c>
      <c r="AF183" s="277">
        <f t="shared" ca="1" si="27"/>
        <v>0</v>
      </c>
      <c r="AG183" s="402">
        <f ca="1">IF(  AND(AC183=AdóHó,   MAX(AF$1:AF182)&lt;2),   SUMIF(AB:AB,AB183-1,AE:AE),0  )
+ IF(AND(AC183&lt;AdóHó,                            AF183=2),   SUMIF(AB:AB,AB183-1,AE:AE),0  )
+ IF(                                                                  AF183=2,    SUMIF(AB:AB,AB183,AE:AE   ),0  )</f>
        <v>0</v>
      </c>
      <c r="AH183" s="272">
        <f ca="1">SUM(AG$2:AG183)</f>
        <v>655287.96306784777</v>
      </c>
    </row>
    <row r="184" spans="1:34">
      <c r="A184" s="265">
        <f t="shared" si="28"/>
        <v>16</v>
      </c>
      <c r="B184" s="265">
        <f t="shared" si="29"/>
        <v>2</v>
      </c>
      <c r="C184" s="265">
        <f t="shared" ca="1" si="30"/>
        <v>16</v>
      </c>
      <c r="D184" s="265">
        <f t="shared" ca="1" si="31"/>
        <v>5</v>
      </c>
      <c r="E184" s="266">
        <v>5.0000000000000001E-3</v>
      </c>
      <c r="F184" s="267">
        <f>ÉV!$B$12</f>
        <v>0</v>
      </c>
      <c r="G184" s="271">
        <f ca="1">VLOOKUP(A184,ÉV!$A$18:$B$65,2,0)</f>
        <v>281757.53662815661</v>
      </c>
      <c r="H184" s="271">
        <f ca="1">IF(OR(A184=1,AND(C184=ÉV!$I$2,D184&gt;ÉV!$J$2),C184&gt;ÉV!$I$2),0,INDEX(Pz!$B$2:$AM$48,A184-1,ÉV!$G$2-9)/100000*ÉV!$B$10)</f>
        <v>249587.88329860297</v>
      </c>
      <c r="I184" s="271">
        <f ca="1">INDEX(Pz!$B$2:$AM$48,HÓ!A184,ÉV!$G$2-9)/100000*ÉV!$B$10</f>
        <v>254562.92390200979</v>
      </c>
      <c r="J184" s="273">
        <f ca="1">IF(OR(A184=1,A184=2,AND(C184=ÉV!$I$2,D184&gt;ÉV!$J$2),C184&gt;ÉV!$I$2),0,VLOOKUP(A184-2,ÉV!$A$18:$C$65,3,0))</f>
        <v>2828947.0730127157</v>
      </c>
      <c r="K184" s="273">
        <f ca="1">IF(OR(A184=1,AND(C184=ÉV!$I$2,D184&gt;ÉV!$J$2),C184&gt;ÉV!$I$2),0,VLOOKUP(A184-1,ÉV!$A$18:$C$65,3,0))</f>
        <v>3084271.3827091712</v>
      </c>
      <c r="L184" s="273">
        <f ca="1">VLOOKUP(A184,ÉV!$A$18:$C$65,3,0)*IF(OR(AND(C184=ÉV!$I$2,D184&gt;ÉV!$J$2),C184&gt;ÉV!$I$2),0,1)</f>
        <v>3344757.9533744366</v>
      </c>
      <c r="M184" s="273">
        <f ca="1">(K184*(12-B184)/12+L184*B184/12)*IF(A184&gt;ÉV!$G$2,0,1)+IF(A184&gt;ÉV!$G$2,M183,0)*IF(OR(AND(C184=ÉV!$I$2,D184&gt;ÉV!$J$2),C184&gt;ÉV!$I$2),0,1)</f>
        <v>3127685.8111533821</v>
      </c>
      <c r="N184" s="274">
        <f ca="1">IF(AND(C184=1,D184&lt;12),0,1)*IF(D184=12,MAX(0,F184-E184-0.003)*0.9*((K184+I184)*(B184/12)+(J184+H184)*(1-B184/12))+MAX(0,F184-0.003)*0.9*N183+N183,IF(AND(C184=ÉV!$I$2,D184=ÉV!$J$2),(M184+N183)*MAX(0,F184-0.003)*0.9*(D184/12)+N183,N183))*IF(OR(C184&gt;ÉV!$I$2,AND(C184=ÉV!$I$2,D184&gt;ÉV!$J$2)),0,1)</f>
        <v>0</v>
      </c>
      <c r="O184" s="313">
        <f ca="1">IF(MAX(AF$2:AF183)=2,      0,IF(OR(AC184=7, AF184=2),    SUM(AE$2:AE184),    O183)   )</f>
        <v>655287.96306784777</v>
      </c>
      <c r="P184" s="271">
        <f ca="1">IF(D184=12,V184+P183+P183*(F184-0.003)*0.9,IF(AND(C184=ÉV!$I$2,D184=ÉV!$J$2),V184+P183+P183*(F184-0.003)*0.9*D184/12,P183))*IF(OR(C184&gt;ÉV!$I$2,AND(C184=ÉV!$I$2,D184&gt;ÉV!$J$2)),0,1)</f>
        <v>0</v>
      </c>
      <c r="Q184" s="275">
        <f ca="1">(N184+P184)*IF(OR(AND(C184=ÉV!$I$2,D184&gt;ÉV!$J$2),C184&gt;ÉV!$I$2),0,1)</f>
        <v>0</v>
      </c>
      <c r="R184" s="271">
        <f ca="1">(MAX(0,F184-E184-0.003)*0.9*((K184+I184)*(1/12)))*IF(OR(C184&gt;ÉV!$I$2,AND(C184=ÉV!$I$2,D184&gt;ÉV!$J$2)),0,1)</f>
        <v>0</v>
      </c>
      <c r="S184" s="271">
        <f ca="1">(MAX(0,F184-0.003)*0.9*((O184)*(1/12)))*IF(OR(C184&gt;ÉV!$I$2,AND(C184=ÉV!$I$2,D184&gt;ÉV!$J$2)),0,1)</f>
        <v>0</v>
      </c>
      <c r="T184" s="271">
        <f ca="1">(MAX(0,F184-0.003)*0.9*((Q183)*(1/12)))*IF(OR(C184&gt;ÉV!$I$2,AND(C184=ÉV!$I$2,D184&gt;ÉV!$J$2)),0,1)</f>
        <v>0</v>
      </c>
      <c r="U184" s="271">
        <f ca="1">IF($D184=1,R184,R184+U183)*IF(OR(C184&gt;ÉV!$I$2,AND(C184=ÉV!$I$2,D184&gt;ÉV!$J$2)),0,1)</f>
        <v>0</v>
      </c>
      <c r="V184" s="271">
        <f ca="1">IF($D184=1,S184,S184+V183)*IF(OR(C184&gt;ÉV!$I$2,AND(C184=ÉV!$I$2,D184&gt;ÉV!$J$2)),0,1)</f>
        <v>0</v>
      </c>
      <c r="W184" s="271">
        <f ca="1">IF($D184=1,T184,T184+W183)*IF(OR(C184&gt;ÉV!$I$2,AND(C184=ÉV!$I$2,D184&gt;ÉV!$J$2)),0,1)</f>
        <v>0</v>
      </c>
      <c r="X184" s="271">
        <f ca="1">IF(OR(D184=12,AND(C184=ÉV!$I$2,D184=ÉV!$J$2)),SUM(U184:W184)+X183,X183)*IF(OR(C184&gt;ÉV!$I$2,AND(C184=ÉV!$I$2,D184&gt;ÉV!$J$2)),0,1)</f>
        <v>0</v>
      </c>
      <c r="Y184" s="271">
        <f t="shared" ca="1" si="24"/>
        <v>0</v>
      </c>
      <c r="Z184" s="265">
        <f t="shared" si="25"/>
        <v>2</v>
      </c>
      <c r="AA184" s="272">
        <f t="shared" ca="1" si="26"/>
        <v>23479.794719013051</v>
      </c>
      <c r="AB184" s="265">
        <f t="shared" ca="1" si="32"/>
        <v>2032</v>
      </c>
      <c r="AC184" s="265">
        <f t="shared" ca="1" si="33"/>
        <v>5</v>
      </c>
      <c r="AD184" s="276">
        <f ca="1">IF(     OR(               AND(MAX(AF$6:AF184)&lt;2,  AC184=12),                 AF184=2),                   SUMIF(AB:AB,AB184,AA:AA),                       0)</f>
        <v>0</v>
      </c>
      <c r="AE184" s="277">
        <f t="shared" ca="1" si="34"/>
        <v>0</v>
      </c>
      <c r="AF184" s="277">
        <f t="shared" ca="1" si="27"/>
        <v>0</v>
      </c>
      <c r="AG184" s="402">
        <f ca="1">IF(  AND(AC184=AdóHó,   MAX(AF$1:AF183)&lt;2),   SUMIF(AB:AB,AB184-1,AE:AE),0  )
+ IF(AND(AC184&lt;AdóHó,                            AF184=2),   SUMIF(AB:AB,AB184-1,AE:AE),0  )
+ IF(                                                                  AF184=2,    SUMIF(AB:AB,AB184,AE:AE   ),0  )</f>
        <v>0</v>
      </c>
      <c r="AH184" s="272">
        <f ca="1">SUM(AG$2:AG184)</f>
        <v>655287.96306784777</v>
      </c>
    </row>
    <row r="185" spans="1:34">
      <c r="A185" s="265">
        <f t="shared" si="28"/>
        <v>16</v>
      </c>
      <c r="B185" s="265">
        <f t="shared" si="29"/>
        <v>3</v>
      </c>
      <c r="C185" s="265">
        <f t="shared" ca="1" si="30"/>
        <v>16</v>
      </c>
      <c r="D185" s="265">
        <f t="shared" ca="1" si="31"/>
        <v>6</v>
      </c>
      <c r="E185" s="266">
        <v>5.0000000000000001E-3</v>
      </c>
      <c r="F185" s="267">
        <f>ÉV!$B$12</f>
        <v>0</v>
      </c>
      <c r="G185" s="271">
        <f ca="1">VLOOKUP(A185,ÉV!$A$18:$B$65,2,0)</f>
        <v>281757.53662815661</v>
      </c>
      <c r="H185" s="271">
        <f ca="1">IF(OR(A185=1,AND(C185=ÉV!$I$2,D185&gt;ÉV!$J$2),C185&gt;ÉV!$I$2),0,INDEX(Pz!$B$2:$AM$48,A185-1,ÉV!$G$2-9)/100000*ÉV!$B$10)</f>
        <v>249587.88329860297</v>
      </c>
      <c r="I185" s="271">
        <f ca="1">INDEX(Pz!$B$2:$AM$48,HÓ!A185,ÉV!$G$2-9)/100000*ÉV!$B$10</f>
        <v>254562.92390200979</v>
      </c>
      <c r="J185" s="273">
        <f ca="1">IF(OR(A185=1,A185=2,AND(C185=ÉV!$I$2,D185&gt;ÉV!$J$2),C185&gt;ÉV!$I$2),0,VLOOKUP(A185-2,ÉV!$A$18:$C$65,3,0))</f>
        <v>2828947.0730127157</v>
      </c>
      <c r="K185" s="273">
        <f ca="1">IF(OR(A185=1,AND(C185=ÉV!$I$2,D185&gt;ÉV!$J$2),C185&gt;ÉV!$I$2),0,VLOOKUP(A185-1,ÉV!$A$18:$C$65,3,0))</f>
        <v>3084271.3827091712</v>
      </c>
      <c r="L185" s="273">
        <f ca="1">VLOOKUP(A185,ÉV!$A$18:$C$65,3,0)*IF(OR(AND(C185=ÉV!$I$2,D185&gt;ÉV!$J$2),C185&gt;ÉV!$I$2),0,1)</f>
        <v>3344757.9533744366</v>
      </c>
      <c r="M185" s="273">
        <f ca="1">(K185*(12-B185)/12+L185*B185/12)*IF(A185&gt;ÉV!$G$2,0,1)+IF(A185&gt;ÉV!$G$2,M184,0)*IF(OR(AND(C185=ÉV!$I$2,D185&gt;ÉV!$J$2),C185&gt;ÉV!$I$2),0,1)</f>
        <v>3149393.0253754873</v>
      </c>
      <c r="N185" s="274">
        <f ca="1">IF(AND(C185=1,D185&lt;12),0,1)*IF(D185=12,MAX(0,F185-E185-0.003)*0.9*((K185+I185)*(B185/12)+(J185+H185)*(1-B185/12))+MAX(0,F185-0.003)*0.9*N184+N184,IF(AND(C185=ÉV!$I$2,D185=ÉV!$J$2),(M185+N184)*MAX(0,F185-0.003)*0.9*(D185/12)+N184,N184))*IF(OR(C185&gt;ÉV!$I$2,AND(C185=ÉV!$I$2,D185&gt;ÉV!$J$2)),0,1)</f>
        <v>0</v>
      </c>
      <c r="O185" s="313">
        <f ca="1">IF(MAX(AF$2:AF184)=2,      0,IF(OR(AC185=7, AF185=2),    SUM(AE$2:AE185),    O184)   )</f>
        <v>655287.96306784777</v>
      </c>
      <c r="P185" s="271">
        <f ca="1">IF(D185=12,V185+P184+P184*(F185-0.003)*0.9,IF(AND(C185=ÉV!$I$2,D185=ÉV!$J$2),V185+P184+P184*(F185-0.003)*0.9*D185/12,P184))*IF(OR(C185&gt;ÉV!$I$2,AND(C185=ÉV!$I$2,D185&gt;ÉV!$J$2)),0,1)</f>
        <v>0</v>
      </c>
      <c r="Q185" s="275">
        <f ca="1">(N185+P185)*IF(OR(AND(C185=ÉV!$I$2,D185&gt;ÉV!$J$2),C185&gt;ÉV!$I$2),0,1)</f>
        <v>0</v>
      </c>
      <c r="R185" s="271">
        <f ca="1">(MAX(0,F185-E185-0.003)*0.9*((K185+I185)*(1/12)))*IF(OR(C185&gt;ÉV!$I$2,AND(C185=ÉV!$I$2,D185&gt;ÉV!$J$2)),0,1)</f>
        <v>0</v>
      </c>
      <c r="S185" s="271">
        <f ca="1">(MAX(0,F185-0.003)*0.9*((O185)*(1/12)))*IF(OR(C185&gt;ÉV!$I$2,AND(C185=ÉV!$I$2,D185&gt;ÉV!$J$2)),0,1)</f>
        <v>0</v>
      </c>
      <c r="T185" s="271">
        <f ca="1">(MAX(0,F185-0.003)*0.9*((Q184)*(1/12)))*IF(OR(C185&gt;ÉV!$I$2,AND(C185=ÉV!$I$2,D185&gt;ÉV!$J$2)),0,1)</f>
        <v>0</v>
      </c>
      <c r="U185" s="271">
        <f ca="1">IF($D185=1,R185,R185+U184)*IF(OR(C185&gt;ÉV!$I$2,AND(C185=ÉV!$I$2,D185&gt;ÉV!$J$2)),0,1)</f>
        <v>0</v>
      </c>
      <c r="V185" s="271">
        <f ca="1">IF($D185=1,S185,S185+V184)*IF(OR(C185&gt;ÉV!$I$2,AND(C185=ÉV!$I$2,D185&gt;ÉV!$J$2)),0,1)</f>
        <v>0</v>
      </c>
      <c r="W185" s="271">
        <f ca="1">IF($D185=1,T185,T185+W184)*IF(OR(C185&gt;ÉV!$I$2,AND(C185=ÉV!$I$2,D185&gt;ÉV!$J$2)),0,1)</f>
        <v>0</v>
      </c>
      <c r="X185" s="271">
        <f ca="1">IF(OR(D185=12,AND(C185=ÉV!$I$2,D185=ÉV!$J$2)),SUM(U185:W185)+X184,X184)*IF(OR(C185&gt;ÉV!$I$2,AND(C185=ÉV!$I$2,D185&gt;ÉV!$J$2)),0,1)</f>
        <v>0</v>
      </c>
      <c r="Y185" s="271">
        <f t="shared" ca="1" si="24"/>
        <v>0</v>
      </c>
      <c r="Z185" s="265">
        <f t="shared" si="25"/>
        <v>3</v>
      </c>
      <c r="AA185" s="272">
        <f t="shared" ca="1" si="26"/>
        <v>23479.794719013051</v>
      </c>
      <c r="AB185" s="265">
        <f t="shared" ca="1" si="32"/>
        <v>2032</v>
      </c>
      <c r="AC185" s="265">
        <f t="shared" ca="1" si="33"/>
        <v>6</v>
      </c>
      <c r="AD185" s="276">
        <f ca="1">IF(     OR(               AND(MAX(AF$6:AF185)&lt;2,  AC185=12),                 AF185=2),                   SUMIF(AB:AB,AB185,AA:AA),                       0)</f>
        <v>0</v>
      </c>
      <c r="AE185" s="277">
        <f t="shared" ca="1" si="34"/>
        <v>0</v>
      </c>
      <c r="AF185" s="277">
        <f t="shared" ca="1" si="27"/>
        <v>0</v>
      </c>
      <c r="AG185" s="402">
        <f ca="1">IF(  AND(AC185=AdóHó,   MAX(AF$1:AF184)&lt;2),   SUMIF(AB:AB,AB185-1,AE:AE),0  )
+ IF(AND(AC185&lt;AdóHó,                            AF185=2),   SUMIF(AB:AB,AB185-1,AE:AE),0  )
+ IF(                                                                  AF185=2,    SUMIF(AB:AB,AB185,AE:AE   ),0  )</f>
        <v>0</v>
      </c>
      <c r="AH185" s="272">
        <f ca="1">SUM(AG$2:AG185)</f>
        <v>655287.96306784777</v>
      </c>
    </row>
    <row r="186" spans="1:34">
      <c r="A186" s="265">
        <f t="shared" si="28"/>
        <v>16</v>
      </c>
      <c r="B186" s="265">
        <f t="shared" si="29"/>
        <v>4</v>
      </c>
      <c r="C186" s="265">
        <f t="shared" ca="1" si="30"/>
        <v>16</v>
      </c>
      <c r="D186" s="265">
        <f t="shared" ca="1" si="31"/>
        <v>7</v>
      </c>
      <c r="E186" s="266">
        <v>5.0000000000000001E-3</v>
      </c>
      <c r="F186" s="267">
        <f>ÉV!$B$12</f>
        <v>0</v>
      </c>
      <c r="G186" s="271">
        <f ca="1">VLOOKUP(A186,ÉV!$A$18:$B$65,2,0)</f>
        <v>281757.53662815661</v>
      </c>
      <c r="H186" s="271">
        <f ca="1">IF(OR(A186=1,AND(C186=ÉV!$I$2,D186&gt;ÉV!$J$2),C186&gt;ÉV!$I$2),0,INDEX(Pz!$B$2:$AM$48,A186-1,ÉV!$G$2-9)/100000*ÉV!$B$10)</f>
        <v>249587.88329860297</v>
      </c>
      <c r="I186" s="271">
        <f ca="1">INDEX(Pz!$B$2:$AM$48,HÓ!A186,ÉV!$G$2-9)/100000*ÉV!$B$10</f>
        <v>254562.92390200979</v>
      </c>
      <c r="J186" s="273">
        <f ca="1">IF(OR(A186=1,A186=2,AND(C186=ÉV!$I$2,D186&gt;ÉV!$J$2),C186&gt;ÉV!$I$2),0,VLOOKUP(A186-2,ÉV!$A$18:$C$65,3,0))</f>
        <v>2828947.0730127157</v>
      </c>
      <c r="K186" s="273">
        <f ca="1">IF(OR(A186=1,AND(C186=ÉV!$I$2,D186&gt;ÉV!$J$2),C186&gt;ÉV!$I$2),0,VLOOKUP(A186-1,ÉV!$A$18:$C$65,3,0))</f>
        <v>3084271.3827091712</v>
      </c>
      <c r="L186" s="273">
        <f ca="1">VLOOKUP(A186,ÉV!$A$18:$C$65,3,0)*IF(OR(AND(C186=ÉV!$I$2,D186&gt;ÉV!$J$2),C186&gt;ÉV!$I$2),0,1)</f>
        <v>3344757.9533744366</v>
      </c>
      <c r="M186" s="273">
        <f ca="1">(K186*(12-B186)/12+L186*B186/12)*IF(A186&gt;ÉV!$G$2,0,1)+IF(A186&gt;ÉV!$G$2,M185,0)*IF(OR(AND(C186=ÉV!$I$2,D186&gt;ÉV!$J$2),C186&gt;ÉV!$I$2),0,1)</f>
        <v>3171100.239597593</v>
      </c>
      <c r="N186" s="274">
        <f ca="1">IF(AND(C186=1,D186&lt;12),0,1)*IF(D186=12,MAX(0,F186-E186-0.003)*0.9*((K186+I186)*(B186/12)+(J186+H186)*(1-B186/12))+MAX(0,F186-0.003)*0.9*N185+N185,IF(AND(C186=ÉV!$I$2,D186=ÉV!$J$2),(M186+N185)*MAX(0,F186-0.003)*0.9*(D186/12)+N185,N185))*IF(OR(C186&gt;ÉV!$I$2,AND(C186=ÉV!$I$2,D186&gt;ÉV!$J$2)),0,1)</f>
        <v>0</v>
      </c>
      <c r="O186" s="313">
        <f ca="1">IF(MAX(AF$2:AF185)=2,      0,IF(OR(AC186=7, AF186=2),    SUM(AE$2:AE186),    O185)   )</f>
        <v>710263.72232920479</v>
      </c>
      <c r="P186" s="271">
        <f ca="1">IF(D186=12,V186+P185+P185*(F186-0.003)*0.9,IF(AND(C186=ÉV!$I$2,D186=ÉV!$J$2),V186+P185+P185*(F186-0.003)*0.9*D186/12,P185))*IF(OR(C186&gt;ÉV!$I$2,AND(C186=ÉV!$I$2,D186&gt;ÉV!$J$2)),0,1)</f>
        <v>0</v>
      </c>
      <c r="Q186" s="275">
        <f ca="1">(N186+P186)*IF(OR(AND(C186=ÉV!$I$2,D186&gt;ÉV!$J$2),C186&gt;ÉV!$I$2),0,1)</f>
        <v>0</v>
      </c>
      <c r="R186" s="271">
        <f ca="1">(MAX(0,F186-E186-0.003)*0.9*((K186+I186)*(1/12)))*IF(OR(C186&gt;ÉV!$I$2,AND(C186=ÉV!$I$2,D186&gt;ÉV!$J$2)),0,1)</f>
        <v>0</v>
      </c>
      <c r="S186" s="271">
        <f ca="1">(MAX(0,F186-0.003)*0.9*((O186)*(1/12)))*IF(OR(C186&gt;ÉV!$I$2,AND(C186=ÉV!$I$2,D186&gt;ÉV!$J$2)),0,1)</f>
        <v>0</v>
      </c>
      <c r="T186" s="271">
        <f ca="1">(MAX(0,F186-0.003)*0.9*((Q185)*(1/12)))*IF(OR(C186&gt;ÉV!$I$2,AND(C186=ÉV!$I$2,D186&gt;ÉV!$J$2)),0,1)</f>
        <v>0</v>
      </c>
      <c r="U186" s="271">
        <f ca="1">IF($D186=1,R186,R186+U185)*IF(OR(C186&gt;ÉV!$I$2,AND(C186=ÉV!$I$2,D186&gt;ÉV!$J$2)),0,1)</f>
        <v>0</v>
      </c>
      <c r="V186" s="271">
        <f ca="1">IF($D186=1,S186,S186+V185)*IF(OR(C186&gt;ÉV!$I$2,AND(C186=ÉV!$I$2,D186&gt;ÉV!$J$2)),0,1)</f>
        <v>0</v>
      </c>
      <c r="W186" s="271">
        <f ca="1">IF($D186=1,T186,T186+W185)*IF(OR(C186&gt;ÉV!$I$2,AND(C186=ÉV!$I$2,D186&gt;ÉV!$J$2)),0,1)</f>
        <v>0</v>
      </c>
      <c r="X186" s="271">
        <f ca="1">IF(OR(D186=12,AND(C186=ÉV!$I$2,D186=ÉV!$J$2)),SUM(U186:W186)+X185,X185)*IF(OR(C186&gt;ÉV!$I$2,AND(C186=ÉV!$I$2,D186&gt;ÉV!$J$2)),0,1)</f>
        <v>0</v>
      </c>
      <c r="Y186" s="271">
        <f t="shared" ca="1" si="24"/>
        <v>0</v>
      </c>
      <c r="Z186" s="265">
        <f t="shared" si="25"/>
        <v>4</v>
      </c>
      <c r="AA186" s="272">
        <f t="shared" ca="1" si="26"/>
        <v>23479.794719013051</v>
      </c>
      <c r="AB186" s="265">
        <f t="shared" ca="1" si="32"/>
        <v>2032</v>
      </c>
      <c r="AC186" s="265">
        <f t="shared" ca="1" si="33"/>
        <v>7</v>
      </c>
      <c r="AD186" s="276">
        <f ca="1">IF(     OR(               AND(MAX(AF$6:AF186)&lt;2,  AC186=12),                 AF186=2),                   SUMIF(AB:AB,AB186,AA:AA),                       0)</f>
        <v>0</v>
      </c>
      <c r="AE186" s="277">
        <f t="shared" ca="1" si="34"/>
        <v>0</v>
      </c>
      <c r="AF186" s="277">
        <f t="shared" ca="1" si="27"/>
        <v>0</v>
      </c>
      <c r="AG186" s="402">
        <f ca="1">IF(  AND(AC186=AdóHó,   MAX(AF$1:AF185)&lt;2),   SUMIF(AB:AB,AB186-1,AE:AE),0  )
+ IF(AND(AC186&lt;AdóHó,                            AF186=2),   SUMIF(AB:AB,AB186-1,AE:AE),0  )
+ IF(                                                                  AF186=2,    SUMIF(AB:AB,AB186,AE:AE   ),0  )</f>
        <v>54975.759261356972</v>
      </c>
      <c r="AH186" s="272">
        <f ca="1">SUM(AG$2:AG186)</f>
        <v>710263.72232920479</v>
      </c>
    </row>
    <row r="187" spans="1:34">
      <c r="A187" s="265">
        <f t="shared" si="28"/>
        <v>16</v>
      </c>
      <c r="B187" s="265">
        <f t="shared" si="29"/>
        <v>5</v>
      </c>
      <c r="C187" s="265">
        <f t="shared" ca="1" si="30"/>
        <v>16</v>
      </c>
      <c r="D187" s="265">
        <f t="shared" ca="1" si="31"/>
        <v>8</v>
      </c>
      <c r="E187" s="266">
        <v>5.0000000000000001E-3</v>
      </c>
      <c r="F187" s="267">
        <f>ÉV!$B$12</f>
        <v>0</v>
      </c>
      <c r="G187" s="271">
        <f ca="1">VLOOKUP(A187,ÉV!$A$18:$B$65,2,0)</f>
        <v>281757.53662815661</v>
      </c>
      <c r="H187" s="271">
        <f ca="1">IF(OR(A187=1,AND(C187=ÉV!$I$2,D187&gt;ÉV!$J$2),C187&gt;ÉV!$I$2),0,INDEX(Pz!$B$2:$AM$48,A187-1,ÉV!$G$2-9)/100000*ÉV!$B$10)</f>
        <v>249587.88329860297</v>
      </c>
      <c r="I187" s="271">
        <f ca="1">INDEX(Pz!$B$2:$AM$48,HÓ!A187,ÉV!$G$2-9)/100000*ÉV!$B$10</f>
        <v>254562.92390200979</v>
      </c>
      <c r="J187" s="273">
        <f ca="1">IF(OR(A187=1,A187=2,AND(C187=ÉV!$I$2,D187&gt;ÉV!$J$2),C187&gt;ÉV!$I$2),0,VLOOKUP(A187-2,ÉV!$A$18:$C$65,3,0))</f>
        <v>2828947.0730127157</v>
      </c>
      <c r="K187" s="273">
        <f ca="1">IF(OR(A187=1,AND(C187=ÉV!$I$2,D187&gt;ÉV!$J$2),C187&gt;ÉV!$I$2),0,VLOOKUP(A187-1,ÉV!$A$18:$C$65,3,0))</f>
        <v>3084271.3827091712</v>
      </c>
      <c r="L187" s="273">
        <f ca="1">VLOOKUP(A187,ÉV!$A$18:$C$65,3,0)*IF(OR(AND(C187=ÉV!$I$2,D187&gt;ÉV!$J$2),C187&gt;ÉV!$I$2),0,1)</f>
        <v>3344757.9533744366</v>
      </c>
      <c r="M187" s="273">
        <f ca="1">(K187*(12-B187)/12+L187*B187/12)*IF(A187&gt;ÉV!$G$2,0,1)+IF(A187&gt;ÉV!$G$2,M186,0)*IF(OR(AND(C187=ÉV!$I$2,D187&gt;ÉV!$J$2),C187&gt;ÉV!$I$2),0,1)</f>
        <v>3192807.4538196987</v>
      </c>
      <c r="N187" s="274">
        <f ca="1">IF(AND(C187=1,D187&lt;12),0,1)*IF(D187=12,MAX(0,F187-E187-0.003)*0.9*((K187+I187)*(B187/12)+(J187+H187)*(1-B187/12))+MAX(0,F187-0.003)*0.9*N186+N186,IF(AND(C187=ÉV!$I$2,D187=ÉV!$J$2),(M187+N186)*MAX(0,F187-0.003)*0.9*(D187/12)+N186,N186))*IF(OR(C187&gt;ÉV!$I$2,AND(C187=ÉV!$I$2,D187&gt;ÉV!$J$2)),0,1)</f>
        <v>0</v>
      </c>
      <c r="O187" s="313">
        <f ca="1">IF(MAX(AF$2:AF186)=2,      0,IF(OR(AC187=7, AF187=2),    SUM(AE$2:AE187),    O186)   )</f>
        <v>710263.72232920479</v>
      </c>
      <c r="P187" s="271">
        <f ca="1">IF(D187=12,V187+P186+P186*(F187-0.003)*0.9,IF(AND(C187=ÉV!$I$2,D187=ÉV!$J$2),V187+P186+P186*(F187-0.003)*0.9*D187/12,P186))*IF(OR(C187&gt;ÉV!$I$2,AND(C187=ÉV!$I$2,D187&gt;ÉV!$J$2)),0,1)</f>
        <v>0</v>
      </c>
      <c r="Q187" s="275">
        <f ca="1">(N187+P187)*IF(OR(AND(C187=ÉV!$I$2,D187&gt;ÉV!$J$2),C187&gt;ÉV!$I$2),0,1)</f>
        <v>0</v>
      </c>
      <c r="R187" s="271">
        <f ca="1">(MAX(0,F187-E187-0.003)*0.9*((K187+I187)*(1/12)))*IF(OR(C187&gt;ÉV!$I$2,AND(C187=ÉV!$I$2,D187&gt;ÉV!$J$2)),0,1)</f>
        <v>0</v>
      </c>
      <c r="S187" s="271">
        <f ca="1">(MAX(0,F187-0.003)*0.9*((O187)*(1/12)))*IF(OR(C187&gt;ÉV!$I$2,AND(C187=ÉV!$I$2,D187&gt;ÉV!$J$2)),0,1)</f>
        <v>0</v>
      </c>
      <c r="T187" s="271">
        <f ca="1">(MAX(0,F187-0.003)*0.9*((Q186)*(1/12)))*IF(OR(C187&gt;ÉV!$I$2,AND(C187=ÉV!$I$2,D187&gt;ÉV!$J$2)),0,1)</f>
        <v>0</v>
      </c>
      <c r="U187" s="271">
        <f ca="1">IF($D187=1,R187,R187+U186)*IF(OR(C187&gt;ÉV!$I$2,AND(C187=ÉV!$I$2,D187&gt;ÉV!$J$2)),0,1)</f>
        <v>0</v>
      </c>
      <c r="V187" s="271">
        <f ca="1">IF($D187=1,S187,S187+V186)*IF(OR(C187&gt;ÉV!$I$2,AND(C187=ÉV!$I$2,D187&gt;ÉV!$J$2)),0,1)</f>
        <v>0</v>
      </c>
      <c r="W187" s="271">
        <f ca="1">IF($D187=1,T187,T187+W186)*IF(OR(C187&gt;ÉV!$I$2,AND(C187=ÉV!$I$2,D187&gt;ÉV!$J$2)),0,1)</f>
        <v>0</v>
      </c>
      <c r="X187" s="271">
        <f ca="1">IF(OR(D187=12,AND(C187=ÉV!$I$2,D187=ÉV!$J$2)),SUM(U187:W187)+X186,X186)*IF(OR(C187&gt;ÉV!$I$2,AND(C187=ÉV!$I$2,D187&gt;ÉV!$J$2)),0,1)</f>
        <v>0</v>
      </c>
      <c r="Y187" s="271">
        <f t="shared" ca="1" si="24"/>
        <v>0</v>
      </c>
      <c r="Z187" s="265">
        <f t="shared" si="25"/>
        <v>5</v>
      </c>
      <c r="AA187" s="272">
        <f t="shared" ca="1" si="26"/>
        <v>23479.794719013051</v>
      </c>
      <c r="AB187" s="265">
        <f t="shared" ca="1" si="32"/>
        <v>2032</v>
      </c>
      <c r="AC187" s="265">
        <f t="shared" ca="1" si="33"/>
        <v>8</v>
      </c>
      <c r="AD187" s="276">
        <f ca="1">IF(     OR(               AND(MAX(AF$6:AF187)&lt;2,  AC187=12),                 AF187=2),                   SUMIF(AB:AB,AB187,AA:AA),                       0)</f>
        <v>0</v>
      </c>
      <c r="AE187" s="277">
        <f t="shared" ca="1" si="34"/>
        <v>0</v>
      </c>
      <c r="AF187" s="277">
        <f t="shared" ca="1" si="27"/>
        <v>0</v>
      </c>
      <c r="AG187" s="402">
        <f ca="1">IF(  AND(AC187=AdóHó,   MAX(AF$1:AF186)&lt;2),   SUMIF(AB:AB,AB187-1,AE:AE),0  )
+ IF(AND(AC187&lt;AdóHó,                            AF187=2),   SUMIF(AB:AB,AB187-1,AE:AE),0  )
+ IF(                                                                  AF187=2,    SUMIF(AB:AB,AB187,AE:AE   ),0  )</f>
        <v>0</v>
      </c>
      <c r="AH187" s="272">
        <f ca="1">SUM(AG$2:AG187)</f>
        <v>710263.72232920479</v>
      </c>
    </row>
    <row r="188" spans="1:34">
      <c r="A188" s="265">
        <f t="shared" si="28"/>
        <v>16</v>
      </c>
      <c r="B188" s="265">
        <f t="shared" si="29"/>
        <v>6</v>
      </c>
      <c r="C188" s="265">
        <f t="shared" ca="1" si="30"/>
        <v>16</v>
      </c>
      <c r="D188" s="265">
        <f t="shared" ca="1" si="31"/>
        <v>9</v>
      </c>
      <c r="E188" s="266">
        <v>5.0000000000000001E-3</v>
      </c>
      <c r="F188" s="267">
        <f>ÉV!$B$12</f>
        <v>0</v>
      </c>
      <c r="G188" s="271">
        <f ca="1">VLOOKUP(A188,ÉV!$A$18:$B$65,2,0)</f>
        <v>281757.53662815661</v>
      </c>
      <c r="H188" s="271">
        <f ca="1">IF(OR(A188=1,AND(C188=ÉV!$I$2,D188&gt;ÉV!$J$2),C188&gt;ÉV!$I$2),0,INDEX(Pz!$B$2:$AM$48,A188-1,ÉV!$G$2-9)/100000*ÉV!$B$10)</f>
        <v>249587.88329860297</v>
      </c>
      <c r="I188" s="271">
        <f ca="1">INDEX(Pz!$B$2:$AM$48,HÓ!A188,ÉV!$G$2-9)/100000*ÉV!$B$10</f>
        <v>254562.92390200979</v>
      </c>
      <c r="J188" s="273">
        <f ca="1">IF(OR(A188=1,A188=2,AND(C188=ÉV!$I$2,D188&gt;ÉV!$J$2),C188&gt;ÉV!$I$2),0,VLOOKUP(A188-2,ÉV!$A$18:$C$65,3,0))</f>
        <v>2828947.0730127157</v>
      </c>
      <c r="K188" s="273">
        <f ca="1">IF(OR(A188=1,AND(C188=ÉV!$I$2,D188&gt;ÉV!$J$2),C188&gt;ÉV!$I$2),0,VLOOKUP(A188-1,ÉV!$A$18:$C$65,3,0))</f>
        <v>3084271.3827091712</v>
      </c>
      <c r="L188" s="273">
        <f ca="1">VLOOKUP(A188,ÉV!$A$18:$C$65,3,0)*IF(OR(AND(C188=ÉV!$I$2,D188&gt;ÉV!$J$2),C188&gt;ÉV!$I$2),0,1)</f>
        <v>3344757.9533744366</v>
      </c>
      <c r="M188" s="273">
        <f ca="1">(K188*(12-B188)/12+L188*B188/12)*IF(A188&gt;ÉV!$G$2,0,1)+IF(A188&gt;ÉV!$G$2,M187,0)*IF(OR(AND(C188=ÉV!$I$2,D188&gt;ÉV!$J$2),C188&gt;ÉV!$I$2),0,1)</f>
        <v>3214514.6680418039</v>
      </c>
      <c r="N188" s="274">
        <f ca="1">IF(AND(C188=1,D188&lt;12),0,1)*IF(D188=12,MAX(0,F188-E188-0.003)*0.9*((K188+I188)*(B188/12)+(J188+H188)*(1-B188/12))+MAX(0,F188-0.003)*0.9*N187+N187,IF(AND(C188=ÉV!$I$2,D188=ÉV!$J$2),(M188+N187)*MAX(0,F188-0.003)*0.9*(D188/12)+N187,N187))*IF(OR(C188&gt;ÉV!$I$2,AND(C188=ÉV!$I$2,D188&gt;ÉV!$J$2)),0,1)</f>
        <v>0</v>
      </c>
      <c r="O188" s="313">
        <f ca="1">IF(MAX(AF$2:AF187)=2,      0,IF(OR(AC188=7, AF188=2),    SUM(AE$2:AE188),    O187)   )</f>
        <v>710263.72232920479</v>
      </c>
      <c r="P188" s="271">
        <f ca="1">IF(D188=12,V188+P187+P187*(F188-0.003)*0.9,IF(AND(C188=ÉV!$I$2,D188=ÉV!$J$2),V188+P187+P187*(F188-0.003)*0.9*D188/12,P187))*IF(OR(C188&gt;ÉV!$I$2,AND(C188=ÉV!$I$2,D188&gt;ÉV!$J$2)),0,1)</f>
        <v>0</v>
      </c>
      <c r="Q188" s="275">
        <f ca="1">(N188+P188)*IF(OR(AND(C188=ÉV!$I$2,D188&gt;ÉV!$J$2),C188&gt;ÉV!$I$2),0,1)</f>
        <v>0</v>
      </c>
      <c r="R188" s="271">
        <f ca="1">(MAX(0,F188-E188-0.003)*0.9*((K188+I188)*(1/12)))*IF(OR(C188&gt;ÉV!$I$2,AND(C188=ÉV!$I$2,D188&gt;ÉV!$J$2)),0,1)</f>
        <v>0</v>
      </c>
      <c r="S188" s="271">
        <f ca="1">(MAX(0,F188-0.003)*0.9*((O188)*(1/12)))*IF(OR(C188&gt;ÉV!$I$2,AND(C188=ÉV!$I$2,D188&gt;ÉV!$J$2)),0,1)</f>
        <v>0</v>
      </c>
      <c r="T188" s="271">
        <f ca="1">(MAX(0,F188-0.003)*0.9*((Q187)*(1/12)))*IF(OR(C188&gt;ÉV!$I$2,AND(C188=ÉV!$I$2,D188&gt;ÉV!$J$2)),0,1)</f>
        <v>0</v>
      </c>
      <c r="U188" s="271">
        <f ca="1">IF($D188=1,R188,R188+U187)*IF(OR(C188&gt;ÉV!$I$2,AND(C188=ÉV!$I$2,D188&gt;ÉV!$J$2)),0,1)</f>
        <v>0</v>
      </c>
      <c r="V188" s="271">
        <f ca="1">IF($D188=1,S188,S188+V187)*IF(OR(C188&gt;ÉV!$I$2,AND(C188=ÉV!$I$2,D188&gt;ÉV!$J$2)),0,1)</f>
        <v>0</v>
      </c>
      <c r="W188" s="271">
        <f ca="1">IF($D188=1,T188,T188+W187)*IF(OR(C188&gt;ÉV!$I$2,AND(C188=ÉV!$I$2,D188&gt;ÉV!$J$2)),0,1)</f>
        <v>0</v>
      </c>
      <c r="X188" s="271">
        <f ca="1">IF(OR(D188=12,AND(C188=ÉV!$I$2,D188=ÉV!$J$2)),SUM(U188:W188)+X187,X187)*IF(OR(C188&gt;ÉV!$I$2,AND(C188=ÉV!$I$2,D188&gt;ÉV!$J$2)),0,1)</f>
        <v>0</v>
      </c>
      <c r="Y188" s="271">
        <f t="shared" ca="1" si="24"/>
        <v>0</v>
      </c>
      <c r="Z188" s="265">
        <f t="shared" si="25"/>
        <v>6</v>
      </c>
      <c r="AA188" s="272">
        <f t="shared" ca="1" si="26"/>
        <v>23479.794719013051</v>
      </c>
      <c r="AB188" s="265">
        <f t="shared" ca="1" si="32"/>
        <v>2032</v>
      </c>
      <c r="AC188" s="265">
        <f t="shared" ca="1" si="33"/>
        <v>9</v>
      </c>
      <c r="AD188" s="276">
        <f ca="1">IF(     OR(               AND(MAX(AF$6:AF188)&lt;2,  AC188=12),                 AF188=2),                   SUMIF(AB:AB,AB188,AA:AA),                       0)</f>
        <v>0</v>
      </c>
      <c r="AE188" s="277">
        <f t="shared" ca="1" si="34"/>
        <v>0</v>
      </c>
      <c r="AF188" s="277">
        <f t="shared" ca="1" si="27"/>
        <v>0</v>
      </c>
      <c r="AG188" s="402">
        <f ca="1">IF(  AND(AC188=AdóHó,   MAX(AF$1:AF187)&lt;2),   SUMIF(AB:AB,AB188-1,AE:AE),0  )
+ IF(AND(AC188&lt;AdóHó,                            AF188=2),   SUMIF(AB:AB,AB188-1,AE:AE),0  )
+ IF(                                                                  AF188=2,    SUMIF(AB:AB,AB188,AE:AE   ),0  )</f>
        <v>0</v>
      </c>
      <c r="AH188" s="272">
        <f ca="1">SUM(AG$2:AG188)</f>
        <v>710263.72232920479</v>
      </c>
    </row>
    <row r="189" spans="1:34">
      <c r="A189" s="265">
        <f t="shared" si="28"/>
        <v>16</v>
      </c>
      <c r="B189" s="265">
        <f t="shared" si="29"/>
        <v>7</v>
      </c>
      <c r="C189" s="265">
        <f t="shared" ca="1" si="30"/>
        <v>16</v>
      </c>
      <c r="D189" s="265">
        <f t="shared" ca="1" si="31"/>
        <v>10</v>
      </c>
      <c r="E189" s="266">
        <v>5.0000000000000001E-3</v>
      </c>
      <c r="F189" s="267">
        <f>ÉV!$B$12</f>
        <v>0</v>
      </c>
      <c r="G189" s="271">
        <f ca="1">VLOOKUP(A189,ÉV!$A$18:$B$65,2,0)</f>
        <v>281757.53662815661</v>
      </c>
      <c r="H189" s="271">
        <f ca="1">IF(OR(A189=1,AND(C189=ÉV!$I$2,D189&gt;ÉV!$J$2),C189&gt;ÉV!$I$2),0,INDEX(Pz!$B$2:$AM$48,A189-1,ÉV!$G$2-9)/100000*ÉV!$B$10)</f>
        <v>249587.88329860297</v>
      </c>
      <c r="I189" s="271">
        <f ca="1">INDEX(Pz!$B$2:$AM$48,HÓ!A189,ÉV!$G$2-9)/100000*ÉV!$B$10</f>
        <v>254562.92390200979</v>
      </c>
      <c r="J189" s="273">
        <f ca="1">IF(OR(A189=1,A189=2,AND(C189=ÉV!$I$2,D189&gt;ÉV!$J$2),C189&gt;ÉV!$I$2),0,VLOOKUP(A189-2,ÉV!$A$18:$C$65,3,0))</f>
        <v>2828947.0730127157</v>
      </c>
      <c r="K189" s="273">
        <f ca="1">IF(OR(A189=1,AND(C189=ÉV!$I$2,D189&gt;ÉV!$J$2),C189&gt;ÉV!$I$2),0,VLOOKUP(A189-1,ÉV!$A$18:$C$65,3,0))</f>
        <v>3084271.3827091712</v>
      </c>
      <c r="L189" s="273">
        <f ca="1">VLOOKUP(A189,ÉV!$A$18:$C$65,3,0)*IF(OR(AND(C189=ÉV!$I$2,D189&gt;ÉV!$J$2),C189&gt;ÉV!$I$2),0,1)</f>
        <v>3344757.9533744366</v>
      </c>
      <c r="M189" s="273">
        <f ca="1">(K189*(12-B189)/12+L189*B189/12)*IF(A189&gt;ÉV!$G$2,0,1)+IF(A189&gt;ÉV!$G$2,M188,0)*IF(OR(AND(C189=ÉV!$I$2,D189&gt;ÉV!$J$2),C189&gt;ÉV!$I$2),0,1)</f>
        <v>3236221.8822639091</v>
      </c>
      <c r="N189" s="274">
        <f ca="1">IF(AND(C189=1,D189&lt;12),0,1)*IF(D189=12,MAX(0,F189-E189-0.003)*0.9*((K189+I189)*(B189/12)+(J189+H189)*(1-B189/12))+MAX(0,F189-0.003)*0.9*N188+N188,IF(AND(C189=ÉV!$I$2,D189=ÉV!$J$2),(M189+N188)*MAX(0,F189-0.003)*0.9*(D189/12)+N188,N188))*IF(OR(C189&gt;ÉV!$I$2,AND(C189=ÉV!$I$2,D189&gt;ÉV!$J$2)),0,1)</f>
        <v>0</v>
      </c>
      <c r="O189" s="313">
        <f ca="1">IF(MAX(AF$2:AF188)=2,      0,IF(OR(AC189=7, AF189=2),    SUM(AE$2:AE189),    O188)   )</f>
        <v>710263.72232920479</v>
      </c>
      <c r="P189" s="271">
        <f ca="1">IF(D189=12,V189+P188+P188*(F189-0.003)*0.9,IF(AND(C189=ÉV!$I$2,D189=ÉV!$J$2),V189+P188+P188*(F189-0.003)*0.9*D189/12,P188))*IF(OR(C189&gt;ÉV!$I$2,AND(C189=ÉV!$I$2,D189&gt;ÉV!$J$2)),0,1)</f>
        <v>0</v>
      </c>
      <c r="Q189" s="275">
        <f ca="1">(N189+P189)*IF(OR(AND(C189=ÉV!$I$2,D189&gt;ÉV!$J$2),C189&gt;ÉV!$I$2),0,1)</f>
        <v>0</v>
      </c>
      <c r="R189" s="271">
        <f ca="1">(MAX(0,F189-E189-0.003)*0.9*((K189+I189)*(1/12)))*IF(OR(C189&gt;ÉV!$I$2,AND(C189=ÉV!$I$2,D189&gt;ÉV!$J$2)),0,1)</f>
        <v>0</v>
      </c>
      <c r="S189" s="271">
        <f ca="1">(MAX(0,F189-0.003)*0.9*((O189)*(1/12)))*IF(OR(C189&gt;ÉV!$I$2,AND(C189=ÉV!$I$2,D189&gt;ÉV!$J$2)),0,1)</f>
        <v>0</v>
      </c>
      <c r="T189" s="271">
        <f ca="1">(MAX(0,F189-0.003)*0.9*((Q188)*(1/12)))*IF(OR(C189&gt;ÉV!$I$2,AND(C189=ÉV!$I$2,D189&gt;ÉV!$J$2)),0,1)</f>
        <v>0</v>
      </c>
      <c r="U189" s="271">
        <f ca="1">IF($D189=1,R189,R189+U188)*IF(OR(C189&gt;ÉV!$I$2,AND(C189=ÉV!$I$2,D189&gt;ÉV!$J$2)),0,1)</f>
        <v>0</v>
      </c>
      <c r="V189" s="271">
        <f ca="1">IF($D189=1,S189,S189+V188)*IF(OR(C189&gt;ÉV!$I$2,AND(C189=ÉV!$I$2,D189&gt;ÉV!$J$2)),0,1)</f>
        <v>0</v>
      </c>
      <c r="W189" s="271">
        <f ca="1">IF($D189=1,T189,T189+W188)*IF(OR(C189&gt;ÉV!$I$2,AND(C189=ÉV!$I$2,D189&gt;ÉV!$J$2)),0,1)</f>
        <v>0</v>
      </c>
      <c r="X189" s="271">
        <f ca="1">IF(OR(D189=12,AND(C189=ÉV!$I$2,D189=ÉV!$J$2)),SUM(U189:W189)+X188,X188)*IF(OR(C189&gt;ÉV!$I$2,AND(C189=ÉV!$I$2,D189&gt;ÉV!$J$2)),0,1)</f>
        <v>0</v>
      </c>
      <c r="Y189" s="271">
        <f t="shared" ca="1" si="24"/>
        <v>0</v>
      </c>
      <c r="Z189" s="265">
        <f t="shared" si="25"/>
        <v>7</v>
      </c>
      <c r="AA189" s="272">
        <f t="shared" ca="1" si="26"/>
        <v>23479.794719013051</v>
      </c>
      <c r="AB189" s="265">
        <f t="shared" ca="1" si="32"/>
        <v>2032</v>
      </c>
      <c r="AC189" s="265">
        <f t="shared" ca="1" si="33"/>
        <v>10</v>
      </c>
      <c r="AD189" s="276">
        <f ca="1">IF(     OR(               AND(MAX(AF$6:AF189)&lt;2,  AC189=12),                 AF189=2),                   SUMIF(AB:AB,AB189,AA:AA),                       0)</f>
        <v>0</v>
      </c>
      <c r="AE189" s="277">
        <f t="shared" ca="1" si="34"/>
        <v>0</v>
      </c>
      <c r="AF189" s="277">
        <f t="shared" ca="1" si="27"/>
        <v>0</v>
      </c>
      <c r="AG189" s="402">
        <f ca="1">IF(  AND(AC189=AdóHó,   MAX(AF$1:AF188)&lt;2),   SUMIF(AB:AB,AB189-1,AE:AE),0  )
+ IF(AND(AC189&lt;AdóHó,                            AF189=2),   SUMIF(AB:AB,AB189-1,AE:AE),0  )
+ IF(                                                                  AF189=2,    SUMIF(AB:AB,AB189,AE:AE   ),0  )</f>
        <v>0</v>
      </c>
      <c r="AH189" s="272">
        <f ca="1">SUM(AG$2:AG189)</f>
        <v>710263.72232920479</v>
      </c>
    </row>
    <row r="190" spans="1:34">
      <c r="A190" s="265">
        <f t="shared" si="28"/>
        <v>16</v>
      </c>
      <c r="B190" s="265">
        <f t="shared" si="29"/>
        <v>8</v>
      </c>
      <c r="C190" s="265">
        <f t="shared" ca="1" si="30"/>
        <v>16</v>
      </c>
      <c r="D190" s="265">
        <f t="shared" ca="1" si="31"/>
        <v>11</v>
      </c>
      <c r="E190" s="266">
        <v>5.0000000000000001E-3</v>
      </c>
      <c r="F190" s="267">
        <f>ÉV!$B$12</f>
        <v>0</v>
      </c>
      <c r="G190" s="271">
        <f ca="1">VLOOKUP(A190,ÉV!$A$18:$B$65,2,0)</f>
        <v>281757.53662815661</v>
      </c>
      <c r="H190" s="271">
        <f ca="1">IF(OR(A190=1,AND(C190=ÉV!$I$2,D190&gt;ÉV!$J$2),C190&gt;ÉV!$I$2),0,INDEX(Pz!$B$2:$AM$48,A190-1,ÉV!$G$2-9)/100000*ÉV!$B$10)</f>
        <v>249587.88329860297</v>
      </c>
      <c r="I190" s="271">
        <f ca="1">INDEX(Pz!$B$2:$AM$48,HÓ!A190,ÉV!$G$2-9)/100000*ÉV!$B$10</f>
        <v>254562.92390200979</v>
      </c>
      <c r="J190" s="273">
        <f ca="1">IF(OR(A190=1,A190=2,AND(C190=ÉV!$I$2,D190&gt;ÉV!$J$2),C190&gt;ÉV!$I$2),0,VLOOKUP(A190-2,ÉV!$A$18:$C$65,3,0))</f>
        <v>2828947.0730127157</v>
      </c>
      <c r="K190" s="273">
        <f ca="1">IF(OR(A190=1,AND(C190=ÉV!$I$2,D190&gt;ÉV!$J$2),C190&gt;ÉV!$I$2),0,VLOOKUP(A190-1,ÉV!$A$18:$C$65,3,0))</f>
        <v>3084271.3827091712</v>
      </c>
      <c r="L190" s="273">
        <f ca="1">VLOOKUP(A190,ÉV!$A$18:$C$65,3,0)*IF(OR(AND(C190=ÉV!$I$2,D190&gt;ÉV!$J$2),C190&gt;ÉV!$I$2),0,1)</f>
        <v>3344757.9533744366</v>
      </c>
      <c r="M190" s="273">
        <f ca="1">(K190*(12-B190)/12+L190*B190/12)*IF(A190&gt;ÉV!$G$2,0,1)+IF(A190&gt;ÉV!$G$2,M189,0)*IF(OR(AND(C190=ÉV!$I$2,D190&gt;ÉV!$J$2),C190&gt;ÉV!$I$2),0,1)</f>
        <v>3257929.0964860148</v>
      </c>
      <c r="N190" s="274">
        <f ca="1">IF(AND(C190=1,D190&lt;12),0,1)*IF(D190=12,MAX(0,F190-E190-0.003)*0.9*((K190+I190)*(B190/12)+(J190+H190)*(1-B190/12))+MAX(0,F190-0.003)*0.9*N189+N189,IF(AND(C190=ÉV!$I$2,D190=ÉV!$J$2),(M190+N189)*MAX(0,F190-0.003)*0.9*(D190/12)+N189,N189))*IF(OR(C190&gt;ÉV!$I$2,AND(C190=ÉV!$I$2,D190&gt;ÉV!$J$2)),0,1)</f>
        <v>0</v>
      </c>
      <c r="O190" s="313">
        <f ca="1">IF(MAX(AF$2:AF189)=2,      0,IF(OR(AC190=7, AF190=2),    SUM(AE$2:AE190),    O189)   )</f>
        <v>710263.72232920479</v>
      </c>
      <c r="P190" s="271">
        <f ca="1">IF(D190=12,V190+P189+P189*(F190-0.003)*0.9,IF(AND(C190=ÉV!$I$2,D190=ÉV!$J$2),V190+P189+P189*(F190-0.003)*0.9*D190/12,P189))*IF(OR(C190&gt;ÉV!$I$2,AND(C190=ÉV!$I$2,D190&gt;ÉV!$J$2)),0,1)</f>
        <v>0</v>
      </c>
      <c r="Q190" s="275">
        <f ca="1">(N190+P190)*IF(OR(AND(C190=ÉV!$I$2,D190&gt;ÉV!$J$2),C190&gt;ÉV!$I$2),0,1)</f>
        <v>0</v>
      </c>
      <c r="R190" s="271">
        <f ca="1">(MAX(0,F190-E190-0.003)*0.9*((K190+I190)*(1/12)))*IF(OR(C190&gt;ÉV!$I$2,AND(C190=ÉV!$I$2,D190&gt;ÉV!$J$2)),0,1)</f>
        <v>0</v>
      </c>
      <c r="S190" s="271">
        <f ca="1">(MAX(0,F190-0.003)*0.9*((O190)*(1/12)))*IF(OR(C190&gt;ÉV!$I$2,AND(C190=ÉV!$I$2,D190&gt;ÉV!$J$2)),0,1)</f>
        <v>0</v>
      </c>
      <c r="T190" s="271">
        <f ca="1">(MAX(0,F190-0.003)*0.9*((Q189)*(1/12)))*IF(OR(C190&gt;ÉV!$I$2,AND(C190=ÉV!$I$2,D190&gt;ÉV!$J$2)),0,1)</f>
        <v>0</v>
      </c>
      <c r="U190" s="271">
        <f ca="1">IF($D190=1,R190,R190+U189)*IF(OR(C190&gt;ÉV!$I$2,AND(C190=ÉV!$I$2,D190&gt;ÉV!$J$2)),0,1)</f>
        <v>0</v>
      </c>
      <c r="V190" s="271">
        <f ca="1">IF($D190=1,S190,S190+V189)*IF(OR(C190&gt;ÉV!$I$2,AND(C190=ÉV!$I$2,D190&gt;ÉV!$J$2)),0,1)</f>
        <v>0</v>
      </c>
      <c r="W190" s="271">
        <f ca="1">IF($D190=1,T190,T190+W189)*IF(OR(C190&gt;ÉV!$I$2,AND(C190=ÉV!$I$2,D190&gt;ÉV!$J$2)),0,1)</f>
        <v>0</v>
      </c>
      <c r="X190" s="271">
        <f ca="1">IF(OR(D190=12,AND(C190=ÉV!$I$2,D190=ÉV!$J$2)),SUM(U190:W190)+X189,X189)*IF(OR(C190&gt;ÉV!$I$2,AND(C190=ÉV!$I$2,D190&gt;ÉV!$J$2)),0,1)</f>
        <v>0</v>
      </c>
      <c r="Y190" s="271">
        <f t="shared" ca="1" si="24"/>
        <v>0</v>
      </c>
      <c r="Z190" s="265">
        <f t="shared" si="25"/>
        <v>8</v>
      </c>
      <c r="AA190" s="272">
        <f t="shared" ca="1" si="26"/>
        <v>23479.794719013051</v>
      </c>
      <c r="AB190" s="265">
        <f t="shared" ca="1" si="32"/>
        <v>2032</v>
      </c>
      <c r="AC190" s="265">
        <f t="shared" ca="1" si="33"/>
        <v>11</v>
      </c>
      <c r="AD190" s="276">
        <f ca="1">IF(     OR(               AND(MAX(AF$6:AF190)&lt;2,  AC190=12),                 AF190=2),                   SUMIF(AB:AB,AB190,AA:AA),                       0)</f>
        <v>0</v>
      </c>
      <c r="AE190" s="277">
        <f t="shared" ca="1" si="34"/>
        <v>0</v>
      </c>
      <c r="AF190" s="277">
        <f t="shared" ca="1" si="27"/>
        <v>0</v>
      </c>
      <c r="AG190" s="402">
        <f ca="1">IF(  AND(AC190=AdóHó,   MAX(AF$1:AF189)&lt;2),   SUMIF(AB:AB,AB190-1,AE:AE),0  )
+ IF(AND(AC190&lt;AdóHó,                            AF190=2),   SUMIF(AB:AB,AB190-1,AE:AE),0  )
+ IF(                                                                  AF190=2,    SUMIF(AB:AB,AB190,AE:AE   ),0  )</f>
        <v>0</v>
      </c>
      <c r="AH190" s="272">
        <f ca="1">SUM(AG$2:AG190)</f>
        <v>710263.72232920479</v>
      </c>
    </row>
    <row r="191" spans="1:34">
      <c r="A191" s="265">
        <f t="shared" si="28"/>
        <v>16</v>
      </c>
      <c r="B191" s="265">
        <f t="shared" si="29"/>
        <v>9</v>
      </c>
      <c r="C191" s="265">
        <f t="shared" ca="1" si="30"/>
        <v>16</v>
      </c>
      <c r="D191" s="265">
        <f t="shared" ca="1" si="31"/>
        <v>12</v>
      </c>
      <c r="E191" s="266">
        <v>5.0000000000000001E-3</v>
      </c>
      <c r="F191" s="267">
        <f>ÉV!$B$12</f>
        <v>0</v>
      </c>
      <c r="G191" s="271">
        <f ca="1">VLOOKUP(A191,ÉV!$A$18:$B$65,2,0)</f>
        <v>281757.53662815661</v>
      </c>
      <c r="H191" s="271">
        <f ca="1">IF(OR(A191=1,AND(C191=ÉV!$I$2,D191&gt;ÉV!$J$2),C191&gt;ÉV!$I$2),0,INDEX(Pz!$B$2:$AM$48,A191-1,ÉV!$G$2-9)/100000*ÉV!$B$10)</f>
        <v>249587.88329860297</v>
      </c>
      <c r="I191" s="271">
        <f ca="1">INDEX(Pz!$B$2:$AM$48,HÓ!A191,ÉV!$G$2-9)/100000*ÉV!$B$10</f>
        <v>254562.92390200979</v>
      </c>
      <c r="J191" s="273">
        <f ca="1">IF(OR(A191=1,A191=2,AND(C191=ÉV!$I$2,D191&gt;ÉV!$J$2),C191&gt;ÉV!$I$2),0,VLOOKUP(A191-2,ÉV!$A$18:$C$65,3,0))</f>
        <v>2828947.0730127157</v>
      </c>
      <c r="K191" s="273">
        <f ca="1">IF(OR(A191=1,AND(C191=ÉV!$I$2,D191&gt;ÉV!$J$2),C191&gt;ÉV!$I$2),0,VLOOKUP(A191-1,ÉV!$A$18:$C$65,3,0))</f>
        <v>3084271.3827091712</v>
      </c>
      <c r="L191" s="273">
        <f ca="1">VLOOKUP(A191,ÉV!$A$18:$C$65,3,0)*IF(OR(AND(C191=ÉV!$I$2,D191&gt;ÉV!$J$2),C191&gt;ÉV!$I$2),0,1)</f>
        <v>3344757.9533744366</v>
      </c>
      <c r="M191" s="273">
        <f ca="1">(K191*(12-B191)/12+L191*B191/12)*IF(A191&gt;ÉV!$G$2,0,1)+IF(A191&gt;ÉV!$G$2,M190,0)*IF(OR(AND(C191=ÉV!$I$2,D191&gt;ÉV!$J$2),C191&gt;ÉV!$I$2),0,1)</f>
        <v>3279636.3107081205</v>
      </c>
      <c r="N191" s="274">
        <f ca="1">IF(AND(C191=1,D191&lt;12),0,1)*IF(D191=12,MAX(0,F191-E191-0.003)*0.9*((K191+I191)*(B191/12)+(J191+H191)*(1-B191/12))+MAX(0,F191-0.003)*0.9*N190+N190,IF(AND(C191=ÉV!$I$2,D191=ÉV!$J$2),(M191+N190)*MAX(0,F191-0.003)*0.9*(D191/12)+N190,N190))*IF(OR(C191&gt;ÉV!$I$2,AND(C191=ÉV!$I$2,D191&gt;ÉV!$J$2)),0,1)</f>
        <v>0</v>
      </c>
      <c r="O191" s="313">
        <f ca="1">IF(MAX(AF$2:AF190)=2,      0,IF(OR(AC191=7, AF191=2),    SUM(AE$2:AE191),    O190)   )</f>
        <v>710263.72232920479</v>
      </c>
      <c r="P191" s="271">
        <f ca="1">IF(D191=12,V191+P190+P190*(F191-0.003)*0.9,IF(AND(C191=ÉV!$I$2,D191=ÉV!$J$2),V191+P190+P190*(F191-0.003)*0.9*D191/12,P190))*IF(OR(C191&gt;ÉV!$I$2,AND(C191=ÉV!$I$2,D191&gt;ÉV!$J$2)),0,1)</f>
        <v>0</v>
      </c>
      <c r="Q191" s="275">
        <f ca="1">(N191+P191)*IF(OR(AND(C191=ÉV!$I$2,D191&gt;ÉV!$J$2),C191&gt;ÉV!$I$2),0,1)</f>
        <v>0</v>
      </c>
      <c r="R191" s="271">
        <f ca="1">(MAX(0,F191-E191-0.003)*0.9*((K191+I191)*(1/12)))*IF(OR(C191&gt;ÉV!$I$2,AND(C191=ÉV!$I$2,D191&gt;ÉV!$J$2)),0,1)</f>
        <v>0</v>
      </c>
      <c r="S191" s="271">
        <f ca="1">(MAX(0,F191-0.003)*0.9*((O191)*(1/12)))*IF(OR(C191&gt;ÉV!$I$2,AND(C191=ÉV!$I$2,D191&gt;ÉV!$J$2)),0,1)</f>
        <v>0</v>
      </c>
      <c r="T191" s="271">
        <f ca="1">(MAX(0,F191-0.003)*0.9*((Q190)*(1/12)))*IF(OR(C191&gt;ÉV!$I$2,AND(C191=ÉV!$I$2,D191&gt;ÉV!$J$2)),0,1)</f>
        <v>0</v>
      </c>
      <c r="U191" s="271">
        <f ca="1">IF($D191=1,R191,R191+U190)*IF(OR(C191&gt;ÉV!$I$2,AND(C191=ÉV!$I$2,D191&gt;ÉV!$J$2)),0,1)</f>
        <v>0</v>
      </c>
      <c r="V191" s="271">
        <f ca="1">IF($D191=1,S191,S191+V190)*IF(OR(C191&gt;ÉV!$I$2,AND(C191=ÉV!$I$2,D191&gt;ÉV!$J$2)),0,1)</f>
        <v>0</v>
      </c>
      <c r="W191" s="271">
        <f ca="1">IF($D191=1,T191,T191+W190)*IF(OR(C191&gt;ÉV!$I$2,AND(C191=ÉV!$I$2,D191&gt;ÉV!$J$2)),0,1)</f>
        <v>0</v>
      </c>
      <c r="X191" s="271">
        <f ca="1">IF(OR(D191=12,AND(C191=ÉV!$I$2,D191=ÉV!$J$2)),SUM(U191:W191)+X190,X190)*IF(OR(C191&gt;ÉV!$I$2,AND(C191=ÉV!$I$2,D191&gt;ÉV!$J$2)),0,1)</f>
        <v>0</v>
      </c>
      <c r="Y191" s="271">
        <f t="shared" ca="1" si="24"/>
        <v>0</v>
      </c>
      <c r="Z191" s="265">
        <f t="shared" si="25"/>
        <v>9</v>
      </c>
      <c r="AA191" s="272">
        <f t="shared" ca="1" si="26"/>
        <v>23479.794719013051</v>
      </c>
      <c r="AB191" s="265">
        <f t="shared" ca="1" si="32"/>
        <v>2032</v>
      </c>
      <c r="AC191" s="265">
        <f t="shared" ca="1" si="33"/>
        <v>12</v>
      </c>
      <c r="AD191" s="276">
        <f ca="1">IF(     OR(               AND(MAX(AF$6:AF191)&lt;2,  AC191=12),                 AF191=2),                   SUMIF(AB:AB,AB191,AA:AA),                       0)</f>
        <v>280376.37223292049</v>
      </c>
      <c r="AE191" s="277">
        <f t="shared" ca="1" si="34"/>
        <v>56075.274446584102</v>
      </c>
      <c r="AF191" s="277">
        <f t="shared" ca="1" si="27"/>
        <v>0</v>
      </c>
      <c r="AG191" s="402">
        <f ca="1">IF(  AND(AC191=AdóHó,   MAX(AF$1:AF190)&lt;2),   SUMIF(AB:AB,AB191-1,AE:AE),0  )
+ IF(AND(AC191&lt;AdóHó,                            AF191=2),   SUMIF(AB:AB,AB191-1,AE:AE),0  )
+ IF(                                                                  AF191=2,    SUMIF(AB:AB,AB191,AE:AE   ),0  )</f>
        <v>0</v>
      </c>
      <c r="AH191" s="272">
        <f ca="1">SUM(AG$2:AG191)</f>
        <v>710263.72232920479</v>
      </c>
    </row>
    <row r="192" spans="1:34">
      <c r="A192" s="265">
        <f t="shared" si="28"/>
        <v>16</v>
      </c>
      <c r="B192" s="265">
        <f t="shared" si="29"/>
        <v>10</v>
      </c>
      <c r="C192" s="265">
        <f t="shared" ca="1" si="30"/>
        <v>17</v>
      </c>
      <c r="D192" s="265">
        <f t="shared" ca="1" si="31"/>
        <v>1</v>
      </c>
      <c r="E192" s="266">
        <v>5.0000000000000001E-3</v>
      </c>
      <c r="F192" s="267">
        <f>ÉV!$B$12</f>
        <v>0</v>
      </c>
      <c r="G192" s="271">
        <f ca="1">VLOOKUP(A192,ÉV!$A$18:$B$65,2,0)</f>
        <v>281757.53662815661</v>
      </c>
      <c r="H192" s="271">
        <f ca="1">IF(OR(A192=1,AND(C192=ÉV!$I$2,D192&gt;ÉV!$J$2),C192&gt;ÉV!$I$2),0,INDEX(Pz!$B$2:$AM$48,A192-1,ÉV!$G$2-9)/100000*ÉV!$B$10)</f>
        <v>249587.88329860297</v>
      </c>
      <c r="I192" s="271">
        <f ca="1">INDEX(Pz!$B$2:$AM$48,HÓ!A192,ÉV!$G$2-9)/100000*ÉV!$B$10</f>
        <v>254562.92390200979</v>
      </c>
      <c r="J192" s="273">
        <f ca="1">IF(OR(A192=1,A192=2,AND(C192=ÉV!$I$2,D192&gt;ÉV!$J$2),C192&gt;ÉV!$I$2),0,VLOOKUP(A192-2,ÉV!$A$18:$C$65,3,0))</f>
        <v>2828947.0730127157</v>
      </c>
      <c r="K192" s="273">
        <f ca="1">IF(OR(A192=1,AND(C192=ÉV!$I$2,D192&gt;ÉV!$J$2),C192&gt;ÉV!$I$2),0,VLOOKUP(A192-1,ÉV!$A$18:$C$65,3,0))</f>
        <v>3084271.3827091712</v>
      </c>
      <c r="L192" s="273">
        <f ca="1">VLOOKUP(A192,ÉV!$A$18:$C$65,3,0)*IF(OR(AND(C192=ÉV!$I$2,D192&gt;ÉV!$J$2),C192&gt;ÉV!$I$2),0,1)</f>
        <v>3344757.9533744366</v>
      </c>
      <c r="M192" s="273">
        <f ca="1">(K192*(12-B192)/12+L192*B192/12)*IF(A192&gt;ÉV!$G$2,0,1)+IF(A192&gt;ÉV!$G$2,M191,0)*IF(OR(AND(C192=ÉV!$I$2,D192&gt;ÉV!$J$2),C192&gt;ÉV!$I$2),0,1)</f>
        <v>3301343.5249302257</v>
      </c>
      <c r="N192" s="274">
        <f ca="1">IF(AND(C192=1,D192&lt;12),0,1)*IF(D192=12,MAX(0,F192-E192-0.003)*0.9*((K192+I192)*(B192/12)+(J192+H192)*(1-B192/12))+MAX(0,F192-0.003)*0.9*N191+N191,IF(AND(C192=ÉV!$I$2,D192=ÉV!$J$2),(M192+N191)*MAX(0,F192-0.003)*0.9*(D192/12)+N191,N191))*IF(OR(C192&gt;ÉV!$I$2,AND(C192=ÉV!$I$2,D192&gt;ÉV!$J$2)),0,1)</f>
        <v>0</v>
      </c>
      <c r="O192" s="313">
        <f ca="1">IF(MAX(AF$2:AF191)=2,      0,IF(OR(AC192=7, AF192=2),    SUM(AE$2:AE192),    O191)   )</f>
        <v>710263.72232920479</v>
      </c>
      <c r="P192" s="271">
        <f ca="1">IF(D192=12,V192+P191+P191*(F192-0.003)*0.9,IF(AND(C192=ÉV!$I$2,D192=ÉV!$J$2),V192+P191+P191*(F192-0.003)*0.9*D192/12,P191))*IF(OR(C192&gt;ÉV!$I$2,AND(C192=ÉV!$I$2,D192&gt;ÉV!$J$2)),0,1)</f>
        <v>0</v>
      </c>
      <c r="Q192" s="275">
        <f ca="1">(N192+P192)*IF(OR(AND(C192=ÉV!$I$2,D192&gt;ÉV!$J$2),C192&gt;ÉV!$I$2),0,1)</f>
        <v>0</v>
      </c>
      <c r="R192" s="271">
        <f ca="1">(MAX(0,F192-E192-0.003)*0.9*((K192+I192)*(1/12)))*IF(OR(C192&gt;ÉV!$I$2,AND(C192=ÉV!$I$2,D192&gt;ÉV!$J$2)),0,1)</f>
        <v>0</v>
      </c>
      <c r="S192" s="271">
        <f ca="1">(MAX(0,F192-0.003)*0.9*((O192)*(1/12)))*IF(OR(C192&gt;ÉV!$I$2,AND(C192=ÉV!$I$2,D192&gt;ÉV!$J$2)),0,1)</f>
        <v>0</v>
      </c>
      <c r="T192" s="271">
        <f ca="1">(MAX(0,F192-0.003)*0.9*((Q191)*(1/12)))*IF(OR(C192&gt;ÉV!$I$2,AND(C192=ÉV!$I$2,D192&gt;ÉV!$J$2)),0,1)</f>
        <v>0</v>
      </c>
      <c r="U192" s="271">
        <f ca="1">IF($D192=1,R192,R192+U191)*IF(OR(C192&gt;ÉV!$I$2,AND(C192=ÉV!$I$2,D192&gt;ÉV!$J$2)),0,1)</f>
        <v>0</v>
      </c>
      <c r="V192" s="271">
        <f ca="1">IF($D192=1,S192,S192+V191)*IF(OR(C192&gt;ÉV!$I$2,AND(C192=ÉV!$I$2,D192&gt;ÉV!$J$2)),0,1)</f>
        <v>0</v>
      </c>
      <c r="W192" s="271">
        <f ca="1">IF($D192=1,T192,T192+W191)*IF(OR(C192&gt;ÉV!$I$2,AND(C192=ÉV!$I$2,D192&gt;ÉV!$J$2)),0,1)</f>
        <v>0</v>
      </c>
      <c r="X192" s="271">
        <f ca="1">IF(OR(D192=12,AND(C192=ÉV!$I$2,D192=ÉV!$J$2)),SUM(U192:W192)+X191,X191)*IF(OR(C192&gt;ÉV!$I$2,AND(C192=ÉV!$I$2,D192&gt;ÉV!$J$2)),0,1)</f>
        <v>0</v>
      </c>
      <c r="Y192" s="271">
        <f t="shared" ca="1" si="24"/>
        <v>0</v>
      </c>
      <c r="Z192" s="265">
        <f t="shared" si="25"/>
        <v>10</v>
      </c>
      <c r="AA192" s="272">
        <f t="shared" ca="1" si="26"/>
        <v>23479.794719013051</v>
      </c>
      <c r="AB192" s="265">
        <f t="shared" ca="1" si="32"/>
        <v>2033</v>
      </c>
      <c r="AC192" s="265">
        <f t="shared" ca="1" si="33"/>
        <v>1</v>
      </c>
      <c r="AD192" s="276">
        <f ca="1">IF(     OR(               AND(MAX(AF$6:AF192)&lt;2,  AC192=12),                 AF192=2),                   SUMIF(AB:AB,AB192,AA:AA),                       0)</f>
        <v>0</v>
      </c>
      <c r="AE192" s="277">
        <f t="shared" ca="1" si="34"/>
        <v>0</v>
      </c>
      <c r="AF192" s="277">
        <f t="shared" ca="1" si="27"/>
        <v>0</v>
      </c>
      <c r="AG192" s="402">
        <f ca="1">IF(  AND(AC192=AdóHó,   MAX(AF$1:AF191)&lt;2),   SUMIF(AB:AB,AB192-1,AE:AE),0  )
+ IF(AND(AC192&lt;AdóHó,                            AF192=2),   SUMIF(AB:AB,AB192-1,AE:AE),0  )
+ IF(                                                                  AF192=2,    SUMIF(AB:AB,AB192,AE:AE   ),0  )</f>
        <v>0</v>
      </c>
      <c r="AH192" s="272">
        <f ca="1">SUM(AG$2:AG192)</f>
        <v>710263.72232920479</v>
      </c>
    </row>
    <row r="193" spans="1:34">
      <c r="A193" s="265">
        <f t="shared" si="28"/>
        <v>16</v>
      </c>
      <c r="B193" s="265">
        <f t="shared" si="29"/>
        <v>11</v>
      </c>
      <c r="C193" s="265">
        <f t="shared" ca="1" si="30"/>
        <v>17</v>
      </c>
      <c r="D193" s="265">
        <f t="shared" ca="1" si="31"/>
        <v>2</v>
      </c>
      <c r="E193" s="266">
        <v>5.0000000000000001E-3</v>
      </c>
      <c r="F193" s="267">
        <f>ÉV!$B$12</f>
        <v>0</v>
      </c>
      <c r="G193" s="271">
        <f ca="1">VLOOKUP(A193,ÉV!$A$18:$B$65,2,0)</f>
        <v>281757.53662815661</v>
      </c>
      <c r="H193" s="271">
        <f ca="1">IF(OR(A193=1,AND(C193=ÉV!$I$2,D193&gt;ÉV!$J$2),C193&gt;ÉV!$I$2),0,INDEX(Pz!$B$2:$AM$48,A193-1,ÉV!$G$2-9)/100000*ÉV!$B$10)</f>
        <v>249587.88329860297</v>
      </c>
      <c r="I193" s="271">
        <f ca="1">INDEX(Pz!$B$2:$AM$48,HÓ!A193,ÉV!$G$2-9)/100000*ÉV!$B$10</f>
        <v>254562.92390200979</v>
      </c>
      <c r="J193" s="273">
        <f ca="1">IF(OR(A193=1,A193=2,AND(C193=ÉV!$I$2,D193&gt;ÉV!$J$2),C193&gt;ÉV!$I$2),0,VLOOKUP(A193-2,ÉV!$A$18:$C$65,3,0))</f>
        <v>2828947.0730127157</v>
      </c>
      <c r="K193" s="273">
        <f ca="1">IF(OR(A193=1,AND(C193=ÉV!$I$2,D193&gt;ÉV!$J$2),C193&gt;ÉV!$I$2),0,VLOOKUP(A193-1,ÉV!$A$18:$C$65,3,0))</f>
        <v>3084271.3827091712</v>
      </c>
      <c r="L193" s="273">
        <f ca="1">VLOOKUP(A193,ÉV!$A$18:$C$65,3,0)*IF(OR(AND(C193=ÉV!$I$2,D193&gt;ÉV!$J$2),C193&gt;ÉV!$I$2),0,1)</f>
        <v>3344757.9533744366</v>
      </c>
      <c r="M193" s="273">
        <f ca="1">(K193*(12-B193)/12+L193*B193/12)*IF(A193&gt;ÉV!$G$2,0,1)+IF(A193&gt;ÉV!$G$2,M192,0)*IF(OR(AND(C193=ÉV!$I$2,D193&gt;ÉV!$J$2),C193&gt;ÉV!$I$2),0,1)</f>
        <v>3323050.7391523314</v>
      </c>
      <c r="N193" s="274">
        <f ca="1">IF(AND(C193=1,D193&lt;12),0,1)*IF(D193=12,MAX(0,F193-E193-0.003)*0.9*((K193+I193)*(B193/12)+(J193+H193)*(1-B193/12))+MAX(0,F193-0.003)*0.9*N192+N192,IF(AND(C193=ÉV!$I$2,D193=ÉV!$J$2),(M193+N192)*MAX(0,F193-0.003)*0.9*(D193/12)+N192,N192))*IF(OR(C193&gt;ÉV!$I$2,AND(C193=ÉV!$I$2,D193&gt;ÉV!$J$2)),0,1)</f>
        <v>0</v>
      </c>
      <c r="O193" s="313">
        <f ca="1">IF(MAX(AF$2:AF192)=2,      0,IF(OR(AC193=7, AF193=2),    SUM(AE$2:AE193),    O192)   )</f>
        <v>710263.72232920479</v>
      </c>
      <c r="P193" s="271">
        <f ca="1">IF(D193=12,V193+P192+P192*(F193-0.003)*0.9,IF(AND(C193=ÉV!$I$2,D193=ÉV!$J$2),V193+P192+P192*(F193-0.003)*0.9*D193/12,P192))*IF(OR(C193&gt;ÉV!$I$2,AND(C193=ÉV!$I$2,D193&gt;ÉV!$J$2)),0,1)</f>
        <v>0</v>
      </c>
      <c r="Q193" s="275">
        <f ca="1">(N193+P193)*IF(OR(AND(C193=ÉV!$I$2,D193&gt;ÉV!$J$2),C193&gt;ÉV!$I$2),0,1)</f>
        <v>0</v>
      </c>
      <c r="R193" s="271">
        <f ca="1">(MAX(0,F193-E193-0.003)*0.9*((K193+I193)*(1/12)))*IF(OR(C193&gt;ÉV!$I$2,AND(C193=ÉV!$I$2,D193&gt;ÉV!$J$2)),0,1)</f>
        <v>0</v>
      </c>
      <c r="S193" s="271">
        <f ca="1">(MAX(0,F193-0.003)*0.9*((O193)*(1/12)))*IF(OR(C193&gt;ÉV!$I$2,AND(C193=ÉV!$I$2,D193&gt;ÉV!$J$2)),0,1)</f>
        <v>0</v>
      </c>
      <c r="T193" s="271">
        <f ca="1">(MAX(0,F193-0.003)*0.9*((Q192)*(1/12)))*IF(OR(C193&gt;ÉV!$I$2,AND(C193=ÉV!$I$2,D193&gt;ÉV!$J$2)),0,1)</f>
        <v>0</v>
      </c>
      <c r="U193" s="271">
        <f ca="1">IF($D193=1,R193,R193+U192)*IF(OR(C193&gt;ÉV!$I$2,AND(C193=ÉV!$I$2,D193&gt;ÉV!$J$2)),0,1)</f>
        <v>0</v>
      </c>
      <c r="V193" s="271">
        <f ca="1">IF($D193=1,S193,S193+V192)*IF(OR(C193&gt;ÉV!$I$2,AND(C193=ÉV!$I$2,D193&gt;ÉV!$J$2)),0,1)</f>
        <v>0</v>
      </c>
      <c r="W193" s="271">
        <f ca="1">IF($D193=1,T193,T193+W192)*IF(OR(C193&gt;ÉV!$I$2,AND(C193=ÉV!$I$2,D193&gt;ÉV!$J$2)),0,1)</f>
        <v>0</v>
      </c>
      <c r="X193" s="271">
        <f ca="1">IF(OR(D193=12,AND(C193=ÉV!$I$2,D193=ÉV!$J$2)),SUM(U193:W193)+X192,X192)*IF(OR(C193&gt;ÉV!$I$2,AND(C193=ÉV!$I$2,D193&gt;ÉV!$J$2)),0,1)</f>
        <v>0</v>
      </c>
      <c r="Y193" s="271">
        <f t="shared" ca="1" si="24"/>
        <v>0</v>
      </c>
      <c r="Z193" s="265">
        <f t="shared" si="25"/>
        <v>11</v>
      </c>
      <c r="AA193" s="272">
        <f t="shared" ca="1" si="26"/>
        <v>23479.794719013051</v>
      </c>
      <c r="AB193" s="265">
        <f t="shared" ca="1" si="32"/>
        <v>2033</v>
      </c>
      <c r="AC193" s="265">
        <f t="shared" ca="1" si="33"/>
        <v>2</v>
      </c>
      <c r="AD193" s="276">
        <f ca="1">IF(     OR(               AND(MAX(AF$6:AF193)&lt;2,  AC193=12),                 AF193=2),                   SUMIF(AB:AB,AB193,AA:AA),                       0)</f>
        <v>0</v>
      </c>
      <c r="AE193" s="277">
        <f t="shared" ca="1" si="34"/>
        <v>0</v>
      </c>
      <c r="AF193" s="277">
        <f t="shared" ca="1" si="27"/>
        <v>0</v>
      </c>
      <c r="AG193" s="402">
        <f ca="1">IF(  AND(AC193=AdóHó,   MAX(AF$1:AF192)&lt;2),   SUMIF(AB:AB,AB193-1,AE:AE),0  )
+ IF(AND(AC193&lt;AdóHó,                            AF193=2),   SUMIF(AB:AB,AB193-1,AE:AE),0  )
+ IF(                                                                  AF193=2,    SUMIF(AB:AB,AB193,AE:AE   ),0  )</f>
        <v>0</v>
      </c>
      <c r="AH193" s="272">
        <f ca="1">SUM(AG$2:AG193)</f>
        <v>710263.72232920479</v>
      </c>
    </row>
    <row r="194" spans="1:34">
      <c r="A194" s="265">
        <f t="shared" si="28"/>
        <v>16</v>
      </c>
      <c r="B194" s="265">
        <f t="shared" si="29"/>
        <v>12</v>
      </c>
      <c r="C194" s="265">
        <f t="shared" ca="1" si="30"/>
        <v>17</v>
      </c>
      <c r="D194" s="265">
        <f t="shared" ca="1" si="31"/>
        <v>3</v>
      </c>
      <c r="E194" s="266">
        <v>5.0000000000000001E-3</v>
      </c>
      <c r="F194" s="267">
        <f>ÉV!$B$12</f>
        <v>0</v>
      </c>
      <c r="G194" s="271">
        <f ca="1">VLOOKUP(A194,ÉV!$A$18:$B$65,2,0)</f>
        <v>281757.53662815661</v>
      </c>
      <c r="H194" s="271">
        <f ca="1">IF(OR(A194=1,AND(C194=ÉV!$I$2,D194&gt;ÉV!$J$2),C194&gt;ÉV!$I$2),0,INDEX(Pz!$B$2:$AM$48,A194-1,ÉV!$G$2-9)/100000*ÉV!$B$10)</f>
        <v>249587.88329860297</v>
      </c>
      <c r="I194" s="271">
        <f ca="1">INDEX(Pz!$B$2:$AM$48,HÓ!A194,ÉV!$G$2-9)/100000*ÉV!$B$10</f>
        <v>254562.92390200979</v>
      </c>
      <c r="J194" s="273">
        <f ca="1">IF(OR(A194=1,A194=2,AND(C194=ÉV!$I$2,D194&gt;ÉV!$J$2),C194&gt;ÉV!$I$2),0,VLOOKUP(A194-2,ÉV!$A$18:$C$65,3,0))</f>
        <v>2828947.0730127157</v>
      </c>
      <c r="K194" s="273">
        <f ca="1">IF(OR(A194=1,AND(C194=ÉV!$I$2,D194&gt;ÉV!$J$2),C194&gt;ÉV!$I$2),0,VLOOKUP(A194-1,ÉV!$A$18:$C$65,3,0))</f>
        <v>3084271.3827091712</v>
      </c>
      <c r="L194" s="273">
        <f ca="1">VLOOKUP(A194,ÉV!$A$18:$C$65,3,0)*IF(OR(AND(C194=ÉV!$I$2,D194&gt;ÉV!$J$2),C194&gt;ÉV!$I$2),0,1)</f>
        <v>3344757.9533744366</v>
      </c>
      <c r="M194" s="273">
        <f ca="1">(K194*(12-B194)/12+L194*B194/12)*IF(A194&gt;ÉV!$G$2,0,1)+IF(A194&gt;ÉV!$G$2,M193,0)*IF(OR(AND(C194=ÉV!$I$2,D194&gt;ÉV!$J$2),C194&gt;ÉV!$I$2),0,1)</f>
        <v>3344757.9533744366</v>
      </c>
      <c r="N194" s="274">
        <f ca="1">IF(AND(C194=1,D194&lt;12),0,1)*IF(D194=12,MAX(0,F194-E194-0.003)*0.9*((K194+I194)*(B194/12)+(J194+H194)*(1-B194/12))+MAX(0,F194-0.003)*0.9*N193+N193,IF(AND(C194=ÉV!$I$2,D194=ÉV!$J$2),(M194+N193)*MAX(0,F194-0.003)*0.9*(D194/12)+N193,N193))*IF(OR(C194&gt;ÉV!$I$2,AND(C194=ÉV!$I$2,D194&gt;ÉV!$J$2)),0,1)</f>
        <v>0</v>
      </c>
      <c r="O194" s="313">
        <f ca="1">IF(MAX(AF$2:AF193)=2,      0,IF(OR(AC194=7, AF194=2),    SUM(AE$2:AE194),    O193)   )</f>
        <v>710263.72232920479</v>
      </c>
      <c r="P194" s="271">
        <f ca="1">IF(D194=12,V194+P193+P193*(F194-0.003)*0.9,IF(AND(C194=ÉV!$I$2,D194=ÉV!$J$2),V194+P193+P193*(F194-0.003)*0.9*D194/12,P193))*IF(OR(C194&gt;ÉV!$I$2,AND(C194=ÉV!$I$2,D194&gt;ÉV!$J$2)),0,1)</f>
        <v>0</v>
      </c>
      <c r="Q194" s="275">
        <f ca="1">(N194+P194)*IF(OR(AND(C194=ÉV!$I$2,D194&gt;ÉV!$J$2),C194&gt;ÉV!$I$2),0,1)</f>
        <v>0</v>
      </c>
      <c r="R194" s="271">
        <f ca="1">(MAX(0,F194-E194-0.003)*0.9*((K194+I194)*(1/12)))*IF(OR(C194&gt;ÉV!$I$2,AND(C194=ÉV!$I$2,D194&gt;ÉV!$J$2)),0,1)</f>
        <v>0</v>
      </c>
      <c r="S194" s="271">
        <f ca="1">(MAX(0,F194-0.003)*0.9*((O194)*(1/12)))*IF(OR(C194&gt;ÉV!$I$2,AND(C194=ÉV!$I$2,D194&gt;ÉV!$J$2)),0,1)</f>
        <v>0</v>
      </c>
      <c r="T194" s="271">
        <f ca="1">(MAX(0,F194-0.003)*0.9*((Q193)*(1/12)))*IF(OR(C194&gt;ÉV!$I$2,AND(C194=ÉV!$I$2,D194&gt;ÉV!$J$2)),0,1)</f>
        <v>0</v>
      </c>
      <c r="U194" s="271">
        <f ca="1">IF($D194=1,R194,R194+U193)*IF(OR(C194&gt;ÉV!$I$2,AND(C194=ÉV!$I$2,D194&gt;ÉV!$J$2)),0,1)</f>
        <v>0</v>
      </c>
      <c r="V194" s="271">
        <f ca="1">IF($D194=1,S194,S194+V193)*IF(OR(C194&gt;ÉV!$I$2,AND(C194=ÉV!$I$2,D194&gt;ÉV!$J$2)),0,1)</f>
        <v>0</v>
      </c>
      <c r="W194" s="271">
        <f ca="1">IF($D194=1,T194,T194+W193)*IF(OR(C194&gt;ÉV!$I$2,AND(C194=ÉV!$I$2,D194&gt;ÉV!$J$2)),0,1)</f>
        <v>0</v>
      </c>
      <c r="X194" s="271">
        <f ca="1">IF(OR(D194=12,AND(C194=ÉV!$I$2,D194=ÉV!$J$2)),SUM(U194:W194)+X193,X193)*IF(OR(C194&gt;ÉV!$I$2,AND(C194=ÉV!$I$2,D194&gt;ÉV!$J$2)),0,1)</f>
        <v>0</v>
      </c>
      <c r="Y194" s="271">
        <f t="shared" ca="1" si="24"/>
        <v>0</v>
      </c>
      <c r="Z194" s="265">
        <f t="shared" si="25"/>
        <v>12</v>
      </c>
      <c r="AA194" s="272">
        <f t="shared" ca="1" si="26"/>
        <v>23479.794719013051</v>
      </c>
      <c r="AB194" s="265">
        <f t="shared" ca="1" si="32"/>
        <v>2033</v>
      </c>
      <c r="AC194" s="265">
        <f t="shared" ca="1" si="33"/>
        <v>3</v>
      </c>
      <c r="AD194" s="276">
        <f ca="1">IF(     OR(               AND(MAX(AF$6:AF194)&lt;2,  AC194=12),                 AF194=2),                   SUMIF(AB:AB,AB194,AA:AA),                       0)</f>
        <v>0</v>
      </c>
      <c r="AE194" s="277">
        <f t="shared" ca="1" si="34"/>
        <v>0</v>
      </c>
      <c r="AF194" s="277">
        <f t="shared" ca="1" si="27"/>
        <v>0</v>
      </c>
      <c r="AG194" s="402">
        <f ca="1">IF(  AND(AC194=AdóHó,   MAX(AF$1:AF193)&lt;2),   SUMIF(AB:AB,AB194-1,AE:AE),0  )
+ IF(AND(AC194&lt;AdóHó,                            AF194=2),   SUMIF(AB:AB,AB194-1,AE:AE),0  )
+ IF(                                                                  AF194=2,    SUMIF(AB:AB,AB194,AE:AE   ),0  )</f>
        <v>0</v>
      </c>
      <c r="AH194" s="272">
        <f ca="1">SUM(AG$2:AG194)</f>
        <v>710263.72232920479</v>
      </c>
    </row>
    <row r="195" spans="1:34">
      <c r="A195" s="265">
        <f t="shared" si="28"/>
        <v>17</v>
      </c>
      <c r="B195" s="265">
        <f t="shared" si="29"/>
        <v>1</v>
      </c>
      <c r="C195" s="265">
        <f t="shared" ca="1" si="30"/>
        <v>17</v>
      </c>
      <c r="D195" s="265">
        <f t="shared" ca="1" si="31"/>
        <v>4</v>
      </c>
      <c r="E195" s="266">
        <v>5.0000000000000001E-3</v>
      </c>
      <c r="F195" s="267">
        <f>ÉV!$B$12</f>
        <v>0</v>
      </c>
      <c r="G195" s="271">
        <f ca="1">VLOOKUP(A195,ÉV!$A$18:$B$65,2,0)</f>
        <v>287392.68736071972</v>
      </c>
      <c r="H195" s="271">
        <f ca="1">IF(OR(A195=1,AND(C195=ÉV!$I$2,D195&gt;ÉV!$J$2),C195&gt;ÉV!$I$2),0,INDEX(Pz!$B$2:$AM$48,A195-1,ÉV!$G$2-9)/100000*ÉV!$B$10)</f>
        <v>254562.92390200979</v>
      </c>
      <c r="I195" s="271">
        <f ca="1">INDEX(Pz!$B$2:$AM$48,HÓ!A195,ÉV!$G$2-9)/100000*ÉV!$B$10</f>
        <v>259637.46531748463</v>
      </c>
      <c r="J195" s="273">
        <f ca="1">IF(OR(A195=1,A195=2,AND(C195=ÉV!$I$2,D195&gt;ÉV!$J$2),C195&gt;ÉV!$I$2),0,VLOOKUP(A195-2,ÉV!$A$18:$C$65,3,0))</f>
        <v>3084271.3827091712</v>
      </c>
      <c r="K195" s="273">
        <f ca="1">IF(OR(A195=1,AND(C195=ÉV!$I$2,D195&gt;ÉV!$J$2),C195&gt;ÉV!$I$2),0,VLOOKUP(A195-1,ÉV!$A$18:$C$65,3,0))</f>
        <v>3344757.9533744366</v>
      </c>
      <c r="L195" s="273">
        <f ca="1">VLOOKUP(A195,ÉV!$A$18:$C$65,3,0)*IF(OR(AND(C195=ÉV!$I$2,D195&gt;ÉV!$J$2),C195&gt;ÉV!$I$2),0,1)</f>
        <v>3610423.7462134059</v>
      </c>
      <c r="M195" s="273">
        <f ca="1">(K195*(12-B195)/12+L195*B195/12)*IF(A195&gt;ÉV!$G$2,0,1)+IF(A195&gt;ÉV!$G$2,M194,0)*IF(OR(AND(C195=ÉV!$I$2,D195&gt;ÉV!$J$2),C195&gt;ÉV!$I$2),0,1)</f>
        <v>3366896.7694443506</v>
      </c>
      <c r="N195" s="274">
        <f ca="1">IF(AND(C195=1,D195&lt;12),0,1)*IF(D195=12,MAX(0,F195-E195-0.003)*0.9*((K195+I195)*(B195/12)+(J195+H195)*(1-B195/12))+MAX(0,F195-0.003)*0.9*N194+N194,IF(AND(C195=ÉV!$I$2,D195=ÉV!$J$2),(M195+N194)*MAX(0,F195-0.003)*0.9*(D195/12)+N194,N194))*IF(OR(C195&gt;ÉV!$I$2,AND(C195=ÉV!$I$2,D195&gt;ÉV!$J$2)),0,1)</f>
        <v>0</v>
      </c>
      <c r="O195" s="313">
        <f ca="1">IF(MAX(AF$2:AF194)=2,      0,IF(OR(AC195=7, AF195=2),    SUM(AE$2:AE195),    O194)   )</f>
        <v>710263.72232920479</v>
      </c>
      <c r="P195" s="271">
        <f ca="1">IF(D195=12,V195+P194+P194*(F195-0.003)*0.9,IF(AND(C195=ÉV!$I$2,D195=ÉV!$J$2),V195+P194+P194*(F195-0.003)*0.9*D195/12,P194))*IF(OR(C195&gt;ÉV!$I$2,AND(C195=ÉV!$I$2,D195&gt;ÉV!$J$2)),0,1)</f>
        <v>0</v>
      </c>
      <c r="Q195" s="275">
        <f ca="1">(N195+P195)*IF(OR(AND(C195=ÉV!$I$2,D195&gt;ÉV!$J$2),C195&gt;ÉV!$I$2),0,1)</f>
        <v>0</v>
      </c>
      <c r="R195" s="271">
        <f ca="1">(MAX(0,F195-E195-0.003)*0.9*((K195+I195)*(1/12)))*IF(OR(C195&gt;ÉV!$I$2,AND(C195=ÉV!$I$2,D195&gt;ÉV!$J$2)),0,1)</f>
        <v>0</v>
      </c>
      <c r="S195" s="271">
        <f ca="1">(MAX(0,F195-0.003)*0.9*((O195)*(1/12)))*IF(OR(C195&gt;ÉV!$I$2,AND(C195=ÉV!$I$2,D195&gt;ÉV!$J$2)),0,1)</f>
        <v>0</v>
      </c>
      <c r="T195" s="271">
        <f ca="1">(MAX(0,F195-0.003)*0.9*((Q194)*(1/12)))*IF(OR(C195&gt;ÉV!$I$2,AND(C195=ÉV!$I$2,D195&gt;ÉV!$J$2)),0,1)</f>
        <v>0</v>
      </c>
      <c r="U195" s="271">
        <f ca="1">IF($D195=1,R195,R195+U194)*IF(OR(C195&gt;ÉV!$I$2,AND(C195=ÉV!$I$2,D195&gt;ÉV!$J$2)),0,1)</f>
        <v>0</v>
      </c>
      <c r="V195" s="271">
        <f ca="1">IF($D195=1,S195,S195+V194)*IF(OR(C195&gt;ÉV!$I$2,AND(C195=ÉV!$I$2,D195&gt;ÉV!$J$2)),0,1)</f>
        <v>0</v>
      </c>
      <c r="W195" s="271">
        <f ca="1">IF($D195=1,T195,T195+W194)*IF(OR(C195&gt;ÉV!$I$2,AND(C195=ÉV!$I$2,D195&gt;ÉV!$J$2)),0,1)</f>
        <v>0</v>
      </c>
      <c r="X195" s="271">
        <f ca="1">IF(OR(D195=12,AND(C195=ÉV!$I$2,D195=ÉV!$J$2)),SUM(U195:W195)+X194,X194)*IF(OR(C195&gt;ÉV!$I$2,AND(C195=ÉV!$I$2,D195&gt;ÉV!$J$2)),0,1)</f>
        <v>0</v>
      </c>
      <c r="Y195" s="271">
        <f t="shared" ref="Y195:Y258" ca="1" si="35">X195-Q195</f>
        <v>0</v>
      </c>
      <c r="Z195" s="265">
        <f t="shared" ref="Z195:Z258" si="36">B195</f>
        <v>1</v>
      </c>
      <c r="AA195" s="272">
        <f t="shared" ref="AA195:AA258" ca="1" si="37">IF(OR(FizGyakNr=12, MOD(B195,12/FizGyakNr)=1),  1,0)    *      G195/FizGyakNr</f>
        <v>23949.390613393309</v>
      </c>
      <c r="AB195" s="265">
        <f t="shared" ca="1" si="32"/>
        <v>2033</v>
      </c>
      <c r="AC195" s="265">
        <f t="shared" ca="1" si="33"/>
        <v>4</v>
      </c>
      <c r="AD195" s="276">
        <f ca="1">IF(     OR(               AND(MAX(AF$6:AF195)&lt;2,  AC195=12),                 AF195=2),                   SUMIF(AB:AB,AB195,AA:AA),                       0)</f>
        <v>0</v>
      </c>
      <c r="AE195" s="277">
        <f t="shared" ca="1" si="34"/>
        <v>0</v>
      </c>
      <c r="AF195" s="277">
        <f t="shared" ref="AF195:AF258" ca="1" si="38" xml:space="preserve"> IF(DATE(AB195,AC195,1)=DATE(YEAR(LejáratNyug),MONTH(LejáratNyug),1),     2,   IF(AND(A195=TartamDíjfiz,B195=12),     1,   0)  )</f>
        <v>0</v>
      </c>
      <c r="AG195" s="402">
        <f ca="1">IF(  AND(AC195=AdóHó,   MAX(AF$1:AF194)&lt;2),   SUMIF(AB:AB,AB195-1,AE:AE),0  )
+ IF(AND(AC195&lt;AdóHó,                            AF195=2),   SUMIF(AB:AB,AB195-1,AE:AE),0  )
+ IF(                                                                  AF195=2,    SUMIF(AB:AB,AB195,AE:AE   ),0  )</f>
        <v>0</v>
      </c>
      <c r="AH195" s="272">
        <f ca="1">SUM(AG$2:AG195)</f>
        <v>710263.72232920479</v>
      </c>
    </row>
    <row r="196" spans="1:34">
      <c r="A196" s="265">
        <f t="shared" si="28"/>
        <v>17</v>
      </c>
      <c r="B196" s="265">
        <f t="shared" si="29"/>
        <v>2</v>
      </c>
      <c r="C196" s="265">
        <f t="shared" ca="1" si="30"/>
        <v>17</v>
      </c>
      <c r="D196" s="265">
        <f t="shared" ca="1" si="31"/>
        <v>5</v>
      </c>
      <c r="E196" s="266">
        <v>5.0000000000000001E-3</v>
      </c>
      <c r="F196" s="267">
        <f>ÉV!$B$12</f>
        <v>0</v>
      </c>
      <c r="G196" s="271">
        <f ca="1">VLOOKUP(A196,ÉV!$A$18:$B$65,2,0)</f>
        <v>287392.68736071972</v>
      </c>
      <c r="H196" s="271">
        <f ca="1">IF(OR(A196=1,AND(C196=ÉV!$I$2,D196&gt;ÉV!$J$2),C196&gt;ÉV!$I$2),0,INDEX(Pz!$B$2:$AM$48,A196-1,ÉV!$G$2-9)/100000*ÉV!$B$10)</f>
        <v>254562.92390200979</v>
      </c>
      <c r="I196" s="271">
        <f ca="1">INDEX(Pz!$B$2:$AM$48,HÓ!A196,ÉV!$G$2-9)/100000*ÉV!$B$10</f>
        <v>259637.46531748463</v>
      </c>
      <c r="J196" s="273">
        <f ca="1">IF(OR(A196=1,A196=2,AND(C196=ÉV!$I$2,D196&gt;ÉV!$J$2),C196&gt;ÉV!$I$2),0,VLOOKUP(A196-2,ÉV!$A$18:$C$65,3,0))</f>
        <v>3084271.3827091712</v>
      </c>
      <c r="K196" s="273">
        <f ca="1">IF(OR(A196=1,AND(C196=ÉV!$I$2,D196&gt;ÉV!$J$2),C196&gt;ÉV!$I$2),0,VLOOKUP(A196-1,ÉV!$A$18:$C$65,3,0))</f>
        <v>3344757.9533744366</v>
      </c>
      <c r="L196" s="273">
        <f ca="1">VLOOKUP(A196,ÉV!$A$18:$C$65,3,0)*IF(OR(AND(C196=ÉV!$I$2,D196&gt;ÉV!$J$2),C196&gt;ÉV!$I$2),0,1)</f>
        <v>3610423.7462134059</v>
      </c>
      <c r="M196" s="273">
        <f ca="1">(K196*(12-B196)/12+L196*B196/12)*IF(A196&gt;ÉV!$G$2,0,1)+IF(A196&gt;ÉV!$G$2,M195,0)*IF(OR(AND(C196=ÉV!$I$2,D196&gt;ÉV!$J$2),C196&gt;ÉV!$I$2),0,1)</f>
        <v>3389035.5855142651</v>
      </c>
      <c r="N196" s="274">
        <f ca="1">IF(AND(C196=1,D196&lt;12),0,1)*IF(D196=12,MAX(0,F196-E196-0.003)*0.9*((K196+I196)*(B196/12)+(J196+H196)*(1-B196/12))+MAX(0,F196-0.003)*0.9*N195+N195,IF(AND(C196=ÉV!$I$2,D196=ÉV!$J$2),(M196+N195)*MAX(0,F196-0.003)*0.9*(D196/12)+N195,N195))*IF(OR(C196&gt;ÉV!$I$2,AND(C196=ÉV!$I$2,D196&gt;ÉV!$J$2)),0,1)</f>
        <v>0</v>
      </c>
      <c r="O196" s="313">
        <f ca="1">IF(MAX(AF$2:AF195)=2,      0,IF(OR(AC196=7, AF196=2),    SUM(AE$2:AE196),    O195)   )</f>
        <v>710263.72232920479</v>
      </c>
      <c r="P196" s="271">
        <f ca="1">IF(D196=12,V196+P195+P195*(F196-0.003)*0.9,IF(AND(C196=ÉV!$I$2,D196=ÉV!$J$2),V196+P195+P195*(F196-0.003)*0.9*D196/12,P195))*IF(OR(C196&gt;ÉV!$I$2,AND(C196=ÉV!$I$2,D196&gt;ÉV!$J$2)),0,1)</f>
        <v>0</v>
      </c>
      <c r="Q196" s="275">
        <f ca="1">(N196+P196)*IF(OR(AND(C196=ÉV!$I$2,D196&gt;ÉV!$J$2),C196&gt;ÉV!$I$2),0,1)</f>
        <v>0</v>
      </c>
      <c r="R196" s="271">
        <f ca="1">(MAX(0,F196-E196-0.003)*0.9*((K196+I196)*(1/12)))*IF(OR(C196&gt;ÉV!$I$2,AND(C196=ÉV!$I$2,D196&gt;ÉV!$J$2)),0,1)</f>
        <v>0</v>
      </c>
      <c r="S196" s="271">
        <f ca="1">(MAX(0,F196-0.003)*0.9*((O196)*(1/12)))*IF(OR(C196&gt;ÉV!$I$2,AND(C196=ÉV!$I$2,D196&gt;ÉV!$J$2)),0,1)</f>
        <v>0</v>
      </c>
      <c r="T196" s="271">
        <f ca="1">(MAX(0,F196-0.003)*0.9*((Q195)*(1/12)))*IF(OR(C196&gt;ÉV!$I$2,AND(C196=ÉV!$I$2,D196&gt;ÉV!$J$2)),0,1)</f>
        <v>0</v>
      </c>
      <c r="U196" s="271">
        <f ca="1">IF($D196=1,R196,R196+U195)*IF(OR(C196&gt;ÉV!$I$2,AND(C196=ÉV!$I$2,D196&gt;ÉV!$J$2)),0,1)</f>
        <v>0</v>
      </c>
      <c r="V196" s="271">
        <f ca="1">IF($D196=1,S196,S196+V195)*IF(OR(C196&gt;ÉV!$I$2,AND(C196=ÉV!$I$2,D196&gt;ÉV!$J$2)),0,1)</f>
        <v>0</v>
      </c>
      <c r="W196" s="271">
        <f ca="1">IF($D196=1,T196,T196+W195)*IF(OR(C196&gt;ÉV!$I$2,AND(C196=ÉV!$I$2,D196&gt;ÉV!$J$2)),0,1)</f>
        <v>0</v>
      </c>
      <c r="X196" s="271">
        <f ca="1">IF(OR(D196=12,AND(C196=ÉV!$I$2,D196=ÉV!$J$2)),SUM(U196:W196)+X195,X195)*IF(OR(C196&gt;ÉV!$I$2,AND(C196=ÉV!$I$2,D196&gt;ÉV!$J$2)),0,1)</f>
        <v>0</v>
      </c>
      <c r="Y196" s="271">
        <f t="shared" ca="1" si="35"/>
        <v>0</v>
      </c>
      <c r="Z196" s="265">
        <f t="shared" si="36"/>
        <v>2</v>
      </c>
      <c r="AA196" s="272">
        <f t="shared" ca="1" si="37"/>
        <v>23949.390613393309</v>
      </c>
      <c r="AB196" s="265">
        <f t="shared" ca="1" si="32"/>
        <v>2033</v>
      </c>
      <c r="AC196" s="265">
        <f t="shared" ca="1" si="33"/>
        <v>5</v>
      </c>
      <c r="AD196" s="276">
        <f ca="1">IF(     OR(               AND(MAX(AF$6:AF196)&lt;2,  AC196=12),                 AF196=2),                   SUMIF(AB:AB,AB196,AA:AA),                       0)</f>
        <v>0</v>
      </c>
      <c r="AE196" s="277">
        <f t="shared" ca="1" si="34"/>
        <v>0</v>
      </c>
      <c r="AF196" s="277">
        <f t="shared" ca="1" si="38"/>
        <v>0</v>
      </c>
      <c r="AG196" s="402">
        <f ca="1">IF(  AND(AC196=AdóHó,   MAX(AF$1:AF195)&lt;2),   SUMIF(AB:AB,AB196-1,AE:AE),0  )
+ IF(AND(AC196&lt;AdóHó,                            AF196=2),   SUMIF(AB:AB,AB196-1,AE:AE),0  )
+ IF(                                                                  AF196=2,    SUMIF(AB:AB,AB196,AE:AE   ),0  )</f>
        <v>0</v>
      </c>
      <c r="AH196" s="272">
        <f ca="1">SUM(AG$2:AG196)</f>
        <v>710263.72232920479</v>
      </c>
    </row>
    <row r="197" spans="1:34">
      <c r="A197" s="265">
        <f t="shared" ref="A197:A260" si="39">IF(B196=12,A196+1,A196)</f>
        <v>17</v>
      </c>
      <c r="B197" s="265">
        <f t="shared" ref="B197:B260" si="40">IF(B196=12,1,B196+1)</f>
        <v>3</v>
      </c>
      <c r="C197" s="265">
        <f t="shared" ref="C197:C260" ca="1" si="41">IF(D196=12,C196+1,C196)</f>
        <v>17</v>
      </c>
      <c r="D197" s="265">
        <f t="shared" ref="D197:D260" ca="1" si="42">IF(D196=12,1,D196+1)</f>
        <v>6</v>
      </c>
      <c r="E197" s="266">
        <v>5.0000000000000001E-3</v>
      </c>
      <c r="F197" s="267">
        <f>ÉV!$B$12</f>
        <v>0</v>
      </c>
      <c r="G197" s="271">
        <f ca="1">VLOOKUP(A197,ÉV!$A$18:$B$65,2,0)</f>
        <v>287392.68736071972</v>
      </c>
      <c r="H197" s="271">
        <f ca="1">IF(OR(A197=1,AND(C197=ÉV!$I$2,D197&gt;ÉV!$J$2),C197&gt;ÉV!$I$2),0,INDEX(Pz!$B$2:$AM$48,A197-1,ÉV!$G$2-9)/100000*ÉV!$B$10)</f>
        <v>254562.92390200979</v>
      </c>
      <c r="I197" s="271">
        <f ca="1">INDEX(Pz!$B$2:$AM$48,HÓ!A197,ÉV!$G$2-9)/100000*ÉV!$B$10</f>
        <v>259637.46531748463</v>
      </c>
      <c r="J197" s="273">
        <f ca="1">IF(OR(A197=1,A197=2,AND(C197=ÉV!$I$2,D197&gt;ÉV!$J$2),C197&gt;ÉV!$I$2),0,VLOOKUP(A197-2,ÉV!$A$18:$C$65,3,0))</f>
        <v>3084271.3827091712</v>
      </c>
      <c r="K197" s="273">
        <f ca="1">IF(OR(A197=1,AND(C197=ÉV!$I$2,D197&gt;ÉV!$J$2),C197&gt;ÉV!$I$2),0,VLOOKUP(A197-1,ÉV!$A$18:$C$65,3,0))</f>
        <v>3344757.9533744366</v>
      </c>
      <c r="L197" s="273">
        <f ca="1">VLOOKUP(A197,ÉV!$A$18:$C$65,3,0)*IF(OR(AND(C197=ÉV!$I$2,D197&gt;ÉV!$J$2),C197&gt;ÉV!$I$2),0,1)</f>
        <v>3610423.7462134059</v>
      </c>
      <c r="M197" s="273">
        <f ca="1">(K197*(12-B197)/12+L197*B197/12)*IF(A197&gt;ÉV!$G$2,0,1)+IF(A197&gt;ÉV!$G$2,M196,0)*IF(OR(AND(C197=ÉV!$I$2,D197&gt;ÉV!$J$2),C197&gt;ÉV!$I$2),0,1)</f>
        <v>3411174.4015841791</v>
      </c>
      <c r="N197" s="274">
        <f ca="1">IF(AND(C197=1,D197&lt;12),0,1)*IF(D197=12,MAX(0,F197-E197-0.003)*0.9*((K197+I197)*(B197/12)+(J197+H197)*(1-B197/12))+MAX(0,F197-0.003)*0.9*N196+N196,IF(AND(C197=ÉV!$I$2,D197=ÉV!$J$2),(M197+N196)*MAX(0,F197-0.003)*0.9*(D197/12)+N196,N196))*IF(OR(C197&gt;ÉV!$I$2,AND(C197=ÉV!$I$2,D197&gt;ÉV!$J$2)),0,1)</f>
        <v>0</v>
      </c>
      <c r="O197" s="313">
        <f ca="1">IF(MAX(AF$2:AF196)=2,      0,IF(OR(AC197=7, AF197=2),    SUM(AE$2:AE197),    O196)   )</f>
        <v>710263.72232920479</v>
      </c>
      <c r="P197" s="271">
        <f ca="1">IF(D197=12,V197+P196+P196*(F197-0.003)*0.9,IF(AND(C197=ÉV!$I$2,D197=ÉV!$J$2),V197+P196+P196*(F197-0.003)*0.9*D197/12,P196))*IF(OR(C197&gt;ÉV!$I$2,AND(C197=ÉV!$I$2,D197&gt;ÉV!$J$2)),0,1)</f>
        <v>0</v>
      </c>
      <c r="Q197" s="275">
        <f ca="1">(N197+P197)*IF(OR(AND(C197=ÉV!$I$2,D197&gt;ÉV!$J$2),C197&gt;ÉV!$I$2),0,1)</f>
        <v>0</v>
      </c>
      <c r="R197" s="271">
        <f ca="1">(MAX(0,F197-E197-0.003)*0.9*((K197+I197)*(1/12)))*IF(OR(C197&gt;ÉV!$I$2,AND(C197=ÉV!$I$2,D197&gt;ÉV!$J$2)),0,1)</f>
        <v>0</v>
      </c>
      <c r="S197" s="271">
        <f ca="1">(MAX(0,F197-0.003)*0.9*((O197)*(1/12)))*IF(OR(C197&gt;ÉV!$I$2,AND(C197=ÉV!$I$2,D197&gt;ÉV!$J$2)),0,1)</f>
        <v>0</v>
      </c>
      <c r="T197" s="271">
        <f ca="1">(MAX(0,F197-0.003)*0.9*((Q196)*(1/12)))*IF(OR(C197&gt;ÉV!$I$2,AND(C197=ÉV!$I$2,D197&gt;ÉV!$J$2)),0,1)</f>
        <v>0</v>
      </c>
      <c r="U197" s="271">
        <f ca="1">IF($D197=1,R197,R197+U196)*IF(OR(C197&gt;ÉV!$I$2,AND(C197=ÉV!$I$2,D197&gt;ÉV!$J$2)),0,1)</f>
        <v>0</v>
      </c>
      <c r="V197" s="271">
        <f ca="1">IF($D197=1,S197,S197+V196)*IF(OR(C197&gt;ÉV!$I$2,AND(C197=ÉV!$I$2,D197&gt;ÉV!$J$2)),0,1)</f>
        <v>0</v>
      </c>
      <c r="W197" s="271">
        <f ca="1">IF($D197=1,T197,T197+W196)*IF(OR(C197&gt;ÉV!$I$2,AND(C197=ÉV!$I$2,D197&gt;ÉV!$J$2)),0,1)</f>
        <v>0</v>
      </c>
      <c r="X197" s="271">
        <f ca="1">IF(OR(D197=12,AND(C197=ÉV!$I$2,D197=ÉV!$J$2)),SUM(U197:W197)+X196,X196)*IF(OR(C197&gt;ÉV!$I$2,AND(C197=ÉV!$I$2,D197&gt;ÉV!$J$2)),0,1)</f>
        <v>0</v>
      </c>
      <c r="Y197" s="271">
        <f t="shared" ca="1" si="35"/>
        <v>0</v>
      </c>
      <c r="Z197" s="265">
        <f t="shared" si="36"/>
        <v>3</v>
      </c>
      <c r="AA197" s="272">
        <f t="shared" ca="1" si="37"/>
        <v>23949.390613393309</v>
      </c>
      <c r="AB197" s="265">
        <f t="shared" ref="AB197:AB260" ca="1" si="43">IF(AC196=12,AB196+1,AB196)</f>
        <v>2033</v>
      </c>
      <c r="AC197" s="265">
        <f t="shared" ref="AC197:AC260" ca="1" si="44">IF(AC196=12,1,AC196+1)</f>
        <v>6</v>
      </c>
      <c r="AD197" s="276">
        <f ca="1">IF(     OR(               AND(MAX(AF$6:AF197)&lt;2,  AC197=12),                 AF197=2),                   SUMIF(AB:AB,AB197,AA:AA),                       0)</f>
        <v>0</v>
      </c>
      <c r="AE197" s="277">
        <f t="shared" ca="1" si="34"/>
        <v>0</v>
      </c>
      <c r="AF197" s="277">
        <f t="shared" ca="1" si="38"/>
        <v>0</v>
      </c>
      <c r="AG197" s="402">
        <f ca="1">IF(  AND(AC197=AdóHó,   MAX(AF$1:AF196)&lt;2),   SUMIF(AB:AB,AB197-1,AE:AE),0  )
+ IF(AND(AC197&lt;AdóHó,                            AF197=2),   SUMIF(AB:AB,AB197-1,AE:AE),0  )
+ IF(                                                                  AF197=2,    SUMIF(AB:AB,AB197,AE:AE   ),0  )</f>
        <v>0</v>
      </c>
      <c r="AH197" s="272">
        <f ca="1">SUM(AG$2:AG197)</f>
        <v>710263.72232920479</v>
      </c>
    </row>
    <row r="198" spans="1:34">
      <c r="A198" s="265">
        <f t="shared" si="39"/>
        <v>17</v>
      </c>
      <c r="B198" s="265">
        <f t="shared" si="40"/>
        <v>4</v>
      </c>
      <c r="C198" s="265">
        <f t="shared" ca="1" si="41"/>
        <v>17</v>
      </c>
      <c r="D198" s="265">
        <f t="shared" ca="1" si="42"/>
        <v>7</v>
      </c>
      <c r="E198" s="266">
        <v>5.0000000000000001E-3</v>
      </c>
      <c r="F198" s="267">
        <f>ÉV!$B$12</f>
        <v>0</v>
      </c>
      <c r="G198" s="271">
        <f ca="1">VLOOKUP(A198,ÉV!$A$18:$B$65,2,0)</f>
        <v>287392.68736071972</v>
      </c>
      <c r="H198" s="271">
        <f ca="1">IF(OR(A198=1,AND(C198=ÉV!$I$2,D198&gt;ÉV!$J$2),C198&gt;ÉV!$I$2),0,INDEX(Pz!$B$2:$AM$48,A198-1,ÉV!$G$2-9)/100000*ÉV!$B$10)</f>
        <v>254562.92390200979</v>
      </c>
      <c r="I198" s="271">
        <f ca="1">INDEX(Pz!$B$2:$AM$48,HÓ!A198,ÉV!$G$2-9)/100000*ÉV!$B$10</f>
        <v>259637.46531748463</v>
      </c>
      <c r="J198" s="273">
        <f ca="1">IF(OR(A198=1,A198=2,AND(C198=ÉV!$I$2,D198&gt;ÉV!$J$2),C198&gt;ÉV!$I$2),0,VLOOKUP(A198-2,ÉV!$A$18:$C$65,3,0))</f>
        <v>3084271.3827091712</v>
      </c>
      <c r="K198" s="273">
        <f ca="1">IF(OR(A198=1,AND(C198=ÉV!$I$2,D198&gt;ÉV!$J$2),C198&gt;ÉV!$I$2),0,VLOOKUP(A198-1,ÉV!$A$18:$C$65,3,0))</f>
        <v>3344757.9533744366</v>
      </c>
      <c r="L198" s="273">
        <f ca="1">VLOOKUP(A198,ÉV!$A$18:$C$65,3,0)*IF(OR(AND(C198=ÉV!$I$2,D198&gt;ÉV!$J$2),C198&gt;ÉV!$I$2),0,1)</f>
        <v>3610423.7462134059</v>
      </c>
      <c r="M198" s="273">
        <f ca="1">(K198*(12-B198)/12+L198*B198/12)*IF(A198&gt;ÉV!$G$2,0,1)+IF(A198&gt;ÉV!$G$2,M197,0)*IF(OR(AND(C198=ÉV!$I$2,D198&gt;ÉV!$J$2),C198&gt;ÉV!$I$2),0,1)</f>
        <v>3433313.2176540932</v>
      </c>
      <c r="N198" s="274">
        <f ca="1">IF(AND(C198=1,D198&lt;12),0,1)*IF(D198=12,MAX(0,F198-E198-0.003)*0.9*((K198+I198)*(B198/12)+(J198+H198)*(1-B198/12))+MAX(0,F198-0.003)*0.9*N197+N197,IF(AND(C198=ÉV!$I$2,D198=ÉV!$J$2),(M198+N197)*MAX(0,F198-0.003)*0.9*(D198/12)+N197,N197))*IF(OR(C198&gt;ÉV!$I$2,AND(C198=ÉV!$I$2,D198&gt;ÉV!$J$2)),0,1)</f>
        <v>0</v>
      </c>
      <c r="O198" s="313">
        <f ca="1">IF(MAX(AF$2:AF197)=2,      0,IF(OR(AC198=7, AF198=2),    SUM(AE$2:AE198),    O197)   )</f>
        <v>766338.99677578884</v>
      </c>
      <c r="P198" s="271">
        <f ca="1">IF(D198=12,V198+P197+P197*(F198-0.003)*0.9,IF(AND(C198=ÉV!$I$2,D198=ÉV!$J$2),V198+P197+P197*(F198-0.003)*0.9*D198/12,P197))*IF(OR(C198&gt;ÉV!$I$2,AND(C198=ÉV!$I$2,D198&gt;ÉV!$J$2)),0,1)</f>
        <v>0</v>
      </c>
      <c r="Q198" s="275">
        <f ca="1">(N198+P198)*IF(OR(AND(C198=ÉV!$I$2,D198&gt;ÉV!$J$2),C198&gt;ÉV!$I$2),0,1)</f>
        <v>0</v>
      </c>
      <c r="R198" s="271">
        <f ca="1">(MAX(0,F198-E198-0.003)*0.9*((K198+I198)*(1/12)))*IF(OR(C198&gt;ÉV!$I$2,AND(C198=ÉV!$I$2,D198&gt;ÉV!$J$2)),0,1)</f>
        <v>0</v>
      </c>
      <c r="S198" s="271">
        <f ca="1">(MAX(0,F198-0.003)*0.9*((O198)*(1/12)))*IF(OR(C198&gt;ÉV!$I$2,AND(C198=ÉV!$I$2,D198&gt;ÉV!$J$2)),0,1)</f>
        <v>0</v>
      </c>
      <c r="T198" s="271">
        <f ca="1">(MAX(0,F198-0.003)*0.9*((Q197)*(1/12)))*IF(OR(C198&gt;ÉV!$I$2,AND(C198=ÉV!$I$2,D198&gt;ÉV!$J$2)),0,1)</f>
        <v>0</v>
      </c>
      <c r="U198" s="271">
        <f ca="1">IF($D198=1,R198,R198+U197)*IF(OR(C198&gt;ÉV!$I$2,AND(C198=ÉV!$I$2,D198&gt;ÉV!$J$2)),0,1)</f>
        <v>0</v>
      </c>
      <c r="V198" s="271">
        <f ca="1">IF($D198=1,S198,S198+V197)*IF(OR(C198&gt;ÉV!$I$2,AND(C198=ÉV!$I$2,D198&gt;ÉV!$J$2)),0,1)</f>
        <v>0</v>
      </c>
      <c r="W198" s="271">
        <f ca="1">IF($D198=1,T198,T198+W197)*IF(OR(C198&gt;ÉV!$I$2,AND(C198=ÉV!$I$2,D198&gt;ÉV!$J$2)),0,1)</f>
        <v>0</v>
      </c>
      <c r="X198" s="271">
        <f ca="1">IF(OR(D198=12,AND(C198=ÉV!$I$2,D198=ÉV!$J$2)),SUM(U198:W198)+X197,X197)*IF(OR(C198&gt;ÉV!$I$2,AND(C198=ÉV!$I$2,D198&gt;ÉV!$J$2)),0,1)</f>
        <v>0</v>
      </c>
      <c r="Y198" s="271">
        <f t="shared" ca="1" si="35"/>
        <v>0</v>
      </c>
      <c r="Z198" s="265">
        <f t="shared" si="36"/>
        <v>4</v>
      </c>
      <c r="AA198" s="272">
        <f t="shared" ca="1" si="37"/>
        <v>23949.390613393309</v>
      </c>
      <c r="AB198" s="265">
        <f t="shared" ca="1" si="43"/>
        <v>2033</v>
      </c>
      <c r="AC198" s="265">
        <f t="shared" ca="1" si="44"/>
        <v>7</v>
      </c>
      <c r="AD198" s="276">
        <f ca="1">IF(     OR(               AND(MAX(AF$6:AF198)&lt;2,  AC198=12),                 AF198=2),                   SUMIF(AB:AB,AB198,AA:AA),                       0)</f>
        <v>0</v>
      </c>
      <c r="AE198" s="277">
        <f t="shared" ca="1" si="34"/>
        <v>0</v>
      </c>
      <c r="AF198" s="277">
        <f t="shared" ca="1" si="38"/>
        <v>0</v>
      </c>
      <c r="AG198" s="402">
        <f ca="1">IF(  AND(AC198=AdóHó,   MAX(AF$1:AF197)&lt;2),   SUMIF(AB:AB,AB198-1,AE:AE),0  )
+ IF(AND(AC198&lt;AdóHó,                            AF198=2),   SUMIF(AB:AB,AB198-1,AE:AE),0  )
+ IF(                                                                  AF198=2,    SUMIF(AB:AB,AB198,AE:AE   ),0  )</f>
        <v>56075.274446584102</v>
      </c>
      <c r="AH198" s="272">
        <f ca="1">SUM(AG$2:AG198)</f>
        <v>766338.99677578884</v>
      </c>
    </row>
    <row r="199" spans="1:34">
      <c r="A199" s="265">
        <f t="shared" si="39"/>
        <v>17</v>
      </c>
      <c r="B199" s="265">
        <f t="shared" si="40"/>
        <v>5</v>
      </c>
      <c r="C199" s="265">
        <f t="shared" ca="1" si="41"/>
        <v>17</v>
      </c>
      <c r="D199" s="265">
        <f t="shared" ca="1" si="42"/>
        <v>8</v>
      </c>
      <c r="E199" s="266">
        <v>5.0000000000000001E-3</v>
      </c>
      <c r="F199" s="267">
        <f>ÉV!$B$12</f>
        <v>0</v>
      </c>
      <c r="G199" s="271">
        <f ca="1">VLOOKUP(A199,ÉV!$A$18:$B$65,2,0)</f>
        <v>287392.68736071972</v>
      </c>
      <c r="H199" s="271">
        <f ca="1">IF(OR(A199=1,AND(C199=ÉV!$I$2,D199&gt;ÉV!$J$2),C199&gt;ÉV!$I$2),0,INDEX(Pz!$B$2:$AM$48,A199-1,ÉV!$G$2-9)/100000*ÉV!$B$10)</f>
        <v>254562.92390200979</v>
      </c>
      <c r="I199" s="271">
        <f ca="1">INDEX(Pz!$B$2:$AM$48,HÓ!A199,ÉV!$G$2-9)/100000*ÉV!$B$10</f>
        <v>259637.46531748463</v>
      </c>
      <c r="J199" s="273">
        <f ca="1">IF(OR(A199=1,A199=2,AND(C199=ÉV!$I$2,D199&gt;ÉV!$J$2),C199&gt;ÉV!$I$2),0,VLOOKUP(A199-2,ÉV!$A$18:$C$65,3,0))</f>
        <v>3084271.3827091712</v>
      </c>
      <c r="K199" s="273">
        <f ca="1">IF(OR(A199=1,AND(C199=ÉV!$I$2,D199&gt;ÉV!$J$2),C199&gt;ÉV!$I$2),0,VLOOKUP(A199-1,ÉV!$A$18:$C$65,3,0))</f>
        <v>3344757.9533744366</v>
      </c>
      <c r="L199" s="273">
        <f ca="1">VLOOKUP(A199,ÉV!$A$18:$C$65,3,0)*IF(OR(AND(C199=ÉV!$I$2,D199&gt;ÉV!$J$2),C199&gt;ÉV!$I$2),0,1)</f>
        <v>3610423.7462134059</v>
      </c>
      <c r="M199" s="273">
        <f ca="1">(K199*(12-B199)/12+L199*B199/12)*IF(A199&gt;ÉV!$G$2,0,1)+IF(A199&gt;ÉV!$G$2,M198,0)*IF(OR(AND(C199=ÉV!$I$2,D199&gt;ÉV!$J$2),C199&gt;ÉV!$I$2),0,1)</f>
        <v>3455452.0337240072</v>
      </c>
      <c r="N199" s="274">
        <f ca="1">IF(AND(C199=1,D199&lt;12),0,1)*IF(D199=12,MAX(0,F199-E199-0.003)*0.9*((K199+I199)*(B199/12)+(J199+H199)*(1-B199/12))+MAX(0,F199-0.003)*0.9*N198+N198,IF(AND(C199=ÉV!$I$2,D199=ÉV!$J$2),(M199+N198)*MAX(0,F199-0.003)*0.9*(D199/12)+N198,N198))*IF(OR(C199&gt;ÉV!$I$2,AND(C199=ÉV!$I$2,D199&gt;ÉV!$J$2)),0,1)</f>
        <v>0</v>
      </c>
      <c r="O199" s="313">
        <f ca="1">IF(MAX(AF$2:AF198)=2,      0,IF(OR(AC199=7, AF199=2),    SUM(AE$2:AE199),    O198)   )</f>
        <v>766338.99677578884</v>
      </c>
      <c r="P199" s="271">
        <f ca="1">IF(D199=12,V199+P198+P198*(F199-0.003)*0.9,IF(AND(C199=ÉV!$I$2,D199=ÉV!$J$2),V199+P198+P198*(F199-0.003)*0.9*D199/12,P198))*IF(OR(C199&gt;ÉV!$I$2,AND(C199=ÉV!$I$2,D199&gt;ÉV!$J$2)),0,1)</f>
        <v>0</v>
      </c>
      <c r="Q199" s="275">
        <f ca="1">(N199+P199)*IF(OR(AND(C199=ÉV!$I$2,D199&gt;ÉV!$J$2),C199&gt;ÉV!$I$2),0,1)</f>
        <v>0</v>
      </c>
      <c r="R199" s="271">
        <f ca="1">(MAX(0,F199-E199-0.003)*0.9*((K199+I199)*(1/12)))*IF(OR(C199&gt;ÉV!$I$2,AND(C199=ÉV!$I$2,D199&gt;ÉV!$J$2)),0,1)</f>
        <v>0</v>
      </c>
      <c r="S199" s="271">
        <f ca="1">(MAX(0,F199-0.003)*0.9*((O199)*(1/12)))*IF(OR(C199&gt;ÉV!$I$2,AND(C199=ÉV!$I$2,D199&gt;ÉV!$J$2)),0,1)</f>
        <v>0</v>
      </c>
      <c r="T199" s="271">
        <f ca="1">(MAX(0,F199-0.003)*0.9*((Q198)*(1/12)))*IF(OR(C199&gt;ÉV!$I$2,AND(C199=ÉV!$I$2,D199&gt;ÉV!$J$2)),0,1)</f>
        <v>0</v>
      </c>
      <c r="U199" s="271">
        <f ca="1">IF($D199=1,R199,R199+U198)*IF(OR(C199&gt;ÉV!$I$2,AND(C199=ÉV!$I$2,D199&gt;ÉV!$J$2)),0,1)</f>
        <v>0</v>
      </c>
      <c r="V199" s="271">
        <f ca="1">IF($D199=1,S199,S199+V198)*IF(OR(C199&gt;ÉV!$I$2,AND(C199=ÉV!$I$2,D199&gt;ÉV!$J$2)),0,1)</f>
        <v>0</v>
      </c>
      <c r="W199" s="271">
        <f ca="1">IF($D199=1,T199,T199+W198)*IF(OR(C199&gt;ÉV!$I$2,AND(C199=ÉV!$I$2,D199&gt;ÉV!$J$2)),0,1)</f>
        <v>0</v>
      </c>
      <c r="X199" s="271">
        <f ca="1">IF(OR(D199=12,AND(C199=ÉV!$I$2,D199=ÉV!$J$2)),SUM(U199:W199)+X198,X198)*IF(OR(C199&gt;ÉV!$I$2,AND(C199=ÉV!$I$2,D199&gt;ÉV!$J$2)),0,1)</f>
        <v>0</v>
      </c>
      <c r="Y199" s="271">
        <f t="shared" ca="1" si="35"/>
        <v>0</v>
      </c>
      <c r="Z199" s="265">
        <f t="shared" si="36"/>
        <v>5</v>
      </c>
      <c r="AA199" s="272">
        <f t="shared" ca="1" si="37"/>
        <v>23949.390613393309</v>
      </c>
      <c r="AB199" s="265">
        <f t="shared" ca="1" si="43"/>
        <v>2033</v>
      </c>
      <c r="AC199" s="265">
        <f t="shared" ca="1" si="44"/>
        <v>8</v>
      </c>
      <c r="AD199" s="276">
        <f ca="1">IF(     OR(               AND(MAX(AF$6:AF199)&lt;2,  AC199=12),                 AF199=2),                   SUMIF(AB:AB,AB199,AA:AA),                       0)</f>
        <v>0</v>
      </c>
      <c r="AE199" s="277">
        <f t="shared" ca="1" si="34"/>
        <v>0</v>
      </c>
      <c r="AF199" s="277">
        <f t="shared" ca="1" si="38"/>
        <v>0</v>
      </c>
      <c r="AG199" s="402">
        <f ca="1">IF(  AND(AC199=AdóHó,   MAX(AF$1:AF198)&lt;2),   SUMIF(AB:AB,AB199-1,AE:AE),0  )
+ IF(AND(AC199&lt;AdóHó,                            AF199=2),   SUMIF(AB:AB,AB199-1,AE:AE),0  )
+ IF(                                                                  AF199=2,    SUMIF(AB:AB,AB199,AE:AE   ),0  )</f>
        <v>0</v>
      </c>
      <c r="AH199" s="272">
        <f ca="1">SUM(AG$2:AG199)</f>
        <v>766338.99677578884</v>
      </c>
    </row>
    <row r="200" spans="1:34">
      <c r="A200" s="265">
        <f t="shared" si="39"/>
        <v>17</v>
      </c>
      <c r="B200" s="265">
        <f t="shared" si="40"/>
        <v>6</v>
      </c>
      <c r="C200" s="265">
        <f t="shared" ca="1" si="41"/>
        <v>17</v>
      </c>
      <c r="D200" s="265">
        <f t="shared" ca="1" si="42"/>
        <v>9</v>
      </c>
      <c r="E200" s="266">
        <v>5.0000000000000001E-3</v>
      </c>
      <c r="F200" s="267">
        <f>ÉV!$B$12</f>
        <v>0</v>
      </c>
      <c r="G200" s="271">
        <f ca="1">VLOOKUP(A200,ÉV!$A$18:$B$65,2,0)</f>
        <v>287392.68736071972</v>
      </c>
      <c r="H200" s="271">
        <f ca="1">IF(OR(A200=1,AND(C200=ÉV!$I$2,D200&gt;ÉV!$J$2),C200&gt;ÉV!$I$2),0,INDEX(Pz!$B$2:$AM$48,A200-1,ÉV!$G$2-9)/100000*ÉV!$B$10)</f>
        <v>254562.92390200979</v>
      </c>
      <c r="I200" s="271">
        <f ca="1">INDEX(Pz!$B$2:$AM$48,HÓ!A200,ÉV!$G$2-9)/100000*ÉV!$B$10</f>
        <v>259637.46531748463</v>
      </c>
      <c r="J200" s="273">
        <f ca="1">IF(OR(A200=1,A200=2,AND(C200=ÉV!$I$2,D200&gt;ÉV!$J$2),C200&gt;ÉV!$I$2),0,VLOOKUP(A200-2,ÉV!$A$18:$C$65,3,0))</f>
        <v>3084271.3827091712</v>
      </c>
      <c r="K200" s="273">
        <f ca="1">IF(OR(A200=1,AND(C200=ÉV!$I$2,D200&gt;ÉV!$J$2),C200&gt;ÉV!$I$2),0,VLOOKUP(A200-1,ÉV!$A$18:$C$65,3,0))</f>
        <v>3344757.9533744366</v>
      </c>
      <c r="L200" s="273">
        <f ca="1">VLOOKUP(A200,ÉV!$A$18:$C$65,3,0)*IF(OR(AND(C200=ÉV!$I$2,D200&gt;ÉV!$J$2),C200&gt;ÉV!$I$2),0,1)</f>
        <v>3610423.7462134059</v>
      </c>
      <c r="M200" s="273">
        <f ca="1">(K200*(12-B200)/12+L200*B200/12)*IF(A200&gt;ÉV!$G$2,0,1)+IF(A200&gt;ÉV!$G$2,M199,0)*IF(OR(AND(C200=ÉV!$I$2,D200&gt;ÉV!$J$2),C200&gt;ÉV!$I$2),0,1)</f>
        <v>3477590.8497939212</v>
      </c>
      <c r="N200" s="274">
        <f ca="1">IF(AND(C200=1,D200&lt;12),0,1)*IF(D200=12,MAX(0,F200-E200-0.003)*0.9*((K200+I200)*(B200/12)+(J200+H200)*(1-B200/12))+MAX(0,F200-0.003)*0.9*N199+N199,IF(AND(C200=ÉV!$I$2,D200=ÉV!$J$2),(M200+N199)*MAX(0,F200-0.003)*0.9*(D200/12)+N199,N199))*IF(OR(C200&gt;ÉV!$I$2,AND(C200=ÉV!$I$2,D200&gt;ÉV!$J$2)),0,1)</f>
        <v>0</v>
      </c>
      <c r="O200" s="313">
        <f ca="1">IF(MAX(AF$2:AF199)=2,      0,IF(OR(AC200=7, AF200=2),    SUM(AE$2:AE200),    O199)   )</f>
        <v>766338.99677578884</v>
      </c>
      <c r="P200" s="271">
        <f ca="1">IF(D200=12,V200+P199+P199*(F200-0.003)*0.9,IF(AND(C200=ÉV!$I$2,D200=ÉV!$J$2),V200+P199+P199*(F200-0.003)*0.9*D200/12,P199))*IF(OR(C200&gt;ÉV!$I$2,AND(C200=ÉV!$I$2,D200&gt;ÉV!$J$2)),0,1)</f>
        <v>0</v>
      </c>
      <c r="Q200" s="275">
        <f ca="1">(N200+P200)*IF(OR(AND(C200=ÉV!$I$2,D200&gt;ÉV!$J$2),C200&gt;ÉV!$I$2),0,1)</f>
        <v>0</v>
      </c>
      <c r="R200" s="271">
        <f ca="1">(MAX(0,F200-E200-0.003)*0.9*((K200+I200)*(1/12)))*IF(OR(C200&gt;ÉV!$I$2,AND(C200=ÉV!$I$2,D200&gt;ÉV!$J$2)),0,1)</f>
        <v>0</v>
      </c>
      <c r="S200" s="271">
        <f ca="1">(MAX(0,F200-0.003)*0.9*((O200)*(1/12)))*IF(OR(C200&gt;ÉV!$I$2,AND(C200=ÉV!$I$2,D200&gt;ÉV!$J$2)),0,1)</f>
        <v>0</v>
      </c>
      <c r="T200" s="271">
        <f ca="1">(MAX(0,F200-0.003)*0.9*((Q199)*(1/12)))*IF(OR(C200&gt;ÉV!$I$2,AND(C200=ÉV!$I$2,D200&gt;ÉV!$J$2)),0,1)</f>
        <v>0</v>
      </c>
      <c r="U200" s="271">
        <f ca="1">IF($D200=1,R200,R200+U199)*IF(OR(C200&gt;ÉV!$I$2,AND(C200=ÉV!$I$2,D200&gt;ÉV!$J$2)),0,1)</f>
        <v>0</v>
      </c>
      <c r="V200" s="271">
        <f ca="1">IF($D200=1,S200,S200+V199)*IF(OR(C200&gt;ÉV!$I$2,AND(C200=ÉV!$I$2,D200&gt;ÉV!$J$2)),0,1)</f>
        <v>0</v>
      </c>
      <c r="W200" s="271">
        <f ca="1">IF($D200=1,T200,T200+W199)*IF(OR(C200&gt;ÉV!$I$2,AND(C200=ÉV!$I$2,D200&gt;ÉV!$J$2)),0,1)</f>
        <v>0</v>
      </c>
      <c r="X200" s="271">
        <f ca="1">IF(OR(D200=12,AND(C200=ÉV!$I$2,D200=ÉV!$J$2)),SUM(U200:W200)+X199,X199)*IF(OR(C200&gt;ÉV!$I$2,AND(C200=ÉV!$I$2,D200&gt;ÉV!$J$2)),0,1)</f>
        <v>0</v>
      </c>
      <c r="Y200" s="271">
        <f t="shared" ca="1" si="35"/>
        <v>0</v>
      </c>
      <c r="Z200" s="265">
        <f t="shared" si="36"/>
        <v>6</v>
      </c>
      <c r="AA200" s="272">
        <f t="shared" ca="1" si="37"/>
        <v>23949.390613393309</v>
      </c>
      <c r="AB200" s="265">
        <f t="shared" ca="1" si="43"/>
        <v>2033</v>
      </c>
      <c r="AC200" s="265">
        <f t="shared" ca="1" si="44"/>
        <v>9</v>
      </c>
      <c r="AD200" s="276">
        <f ca="1">IF(     OR(               AND(MAX(AF$6:AF200)&lt;2,  AC200=12),                 AF200=2),                   SUMIF(AB:AB,AB200,AA:AA),                       0)</f>
        <v>0</v>
      </c>
      <c r="AE200" s="277">
        <f t="shared" ca="1" si="34"/>
        <v>0</v>
      </c>
      <c r="AF200" s="277">
        <f t="shared" ca="1" si="38"/>
        <v>0</v>
      </c>
      <c r="AG200" s="402">
        <f ca="1">IF(  AND(AC200=AdóHó,   MAX(AF$1:AF199)&lt;2),   SUMIF(AB:AB,AB200-1,AE:AE),0  )
+ IF(AND(AC200&lt;AdóHó,                            AF200=2),   SUMIF(AB:AB,AB200-1,AE:AE),0  )
+ IF(                                                                  AF200=2,    SUMIF(AB:AB,AB200,AE:AE   ),0  )</f>
        <v>0</v>
      </c>
      <c r="AH200" s="272">
        <f ca="1">SUM(AG$2:AG200)</f>
        <v>766338.99677578884</v>
      </c>
    </row>
    <row r="201" spans="1:34">
      <c r="A201" s="265">
        <f t="shared" si="39"/>
        <v>17</v>
      </c>
      <c r="B201" s="265">
        <f t="shared" si="40"/>
        <v>7</v>
      </c>
      <c r="C201" s="265">
        <f t="shared" ca="1" si="41"/>
        <v>17</v>
      </c>
      <c r="D201" s="265">
        <f t="shared" ca="1" si="42"/>
        <v>10</v>
      </c>
      <c r="E201" s="266">
        <v>5.0000000000000001E-3</v>
      </c>
      <c r="F201" s="267">
        <f>ÉV!$B$12</f>
        <v>0</v>
      </c>
      <c r="G201" s="271">
        <f ca="1">VLOOKUP(A201,ÉV!$A$18:$B$65,2,0)</f>
        <v>287392.68736071972</v>
      </c>
      <c r="H201" s="271">
        <f ca="1">IF(OR(A201=1,AND(C201=ÉV!$I$2,D201&gt;ÉV!$J$2),C201&gt;ÉV!$I$2),0,INDEX(Pz!$B$2:$AM$48,A201-1,ÉV!$G$2-9)/100000*ÉV!$B$10)</f>
        <v>254562.92390200979</v>
      </c>
      <c r="I201" s="271">
        <f ca="1">INDEX(Pz!$B$2:$AM$48,HÓ!A201,ÉV!$G$2-9)/100000*ÉV!$B$10</f>
        <v>259637.46531748463</v>
      </c>
      <c r="J201" s="273">
        <f ca="1">IF(OR(A201=1,A201=2,AND(C201=ÉV!$I$2,D201&gt;ÉV!$J$2),C201&gt;ÉV!$I$2),0,VLOOKUP(A201-2,ÉV!$A$18:$C$65,3,0))</f>
        <v>3084271.3827091712</v>
      </c>
      <c r="K201" s="273">
        <f ca="1">IF(OR(A201=1,AND(C201=ÉV!$I$2,D201&gt;ÉV!$J$2),C201&gt;ÉV!$I$2),0,VLOOKUP(A201-1,ÉV!$A$18:$C$65,3,0))</f>
        <v>3344757.9533744366</v>
      </c>
      <c r="L201" s="273">
        <f ca="1">VLOOKUP(A201,ÉV!$A$18:$C$65,3,0)*IF(OR(AND(C201=ÉV!$I$2,D201&gt;ÉV!$J$2),C201&gt;ÉV!$I$2),0,1)</f>
        <v>3610423.7462134059</v>
      </c>
      <c r="M201" s="273">
        <f ca="1">(K201*(12-B201)/12+L201*B201/12)*IF(A201&gt;ÉV!$G$2,0,1)+IF(A201&gt;ÉV!$G$2,M200,0)*IF(OR(AND(C201=ÉV!$I$2,D201&gt;ÉV!$J$2),C201&gt;ÉV!$I$2),0,1)</f>
        <v>3499729.6658638353</v>
      </c>
      <c r="N201" s="274">
        <f ca="1">IF(AND(C201=1,D201&lt;12),0,1)*IF(D201=12,MAX(0,F201-E201-0.003)*0.9*((K201+I201)*(B201/12)+(J201+H201)*(1-B201/12))+MAX(0,F201-0.003)*0.9*N200+N200,IF(AND(C201=ÉV!$I$2,D201=ÉV!$J$2),(M201+N200)*MAX(0,F201-0.003)*0.9*(D201/12)+N200,N200))*IF(OR(C201&gt;ÉV!$I$2,AND(C201=ÉV!$I$2,D201&gt;ÉV!$J$2)),0,1)</f>
        <v>0</v>
      </c>
      <c r="O201" s="313">
        <f ca="1">IF(MAX(AF$2:AF200)=2,      0,IF(OR(AC201=7, AF201=2),    SUM(AE$2:AE201),    O200)   )</f>
        <v>766338.99677578884</v>
      </c>
      <c r="P201" s="271">
        <f ca="1">IF(D201=12,V201+P200+P200*(F201-0.003)*0.9,IF(AND(C201=ÉV!$I$2,D201=ÉV!$J$2),V201+P200+P200*(F201-0.003)*0.9*D201/12,P200))*IF(OR(C201&gt;ÉV!$I$2,AND(C201=ÉV!$I$2,D201&gt;ÉV!$J$2)),0,1)</f>
        <v>0</v>
      </c>
      <c r="Q201" s="275">
        <f ca="1">(N201+P201)*IF(OR(AND(C201=ÉV!$I$2,D201&gt;ÉV!$J$2),C201&gt;ÉV!$I$2),0,1)</f>
        <v>0</v>
      </c>
      <c r="R201" s="271">
        <f ca="1">(MAX(0,F201-E201-0.003)*0.9*((K201+I201)*(1/12)))*IF(OR(C201&gt;ÉV!$I$2,AND(C201=ÉV!$I$2,D201&gt;ÉV!$J$2)),0,1)</f>
        <v>0</v>
      </c>
      <c r="S201" s="271">
        <f ca="1">(MAX(0,F201-0.003)*0.9*((O201)*(1/12)))*IF(OR(C201&gt;ÉV!$I$2,AND(C201=ÉV!$I$2,D201&gt;ÉV!$J$2)),0,1)</f>
        <v>0</v>
      </c>
      <c r="T201" s="271">
        <f ca="1">(MAX(0,F201-0.003)*0.9*((Q200)*(1/12)))*IF(OR(C201&gt;ÉV!$I$2,AND(C201=ÉV!$I$2,D201&gt;ÉV!$J$2)),0,1)</f>
        <v>0</v>
      </c>
      <c r="U201" s="271">
        <f ca="1">IF($D201=1,R201,R201+U200)*IF(OR(C201&gt;ÉV!$I$2,AND(C201=ÉV!$I$2,D201&gt;ÉV!$J$2)),0,1)</f>
        <v>0</v>
      </c>
      <c r="V201" s="271">
        <f ca="1">IF($D201=1,S201,S201+V200)*IF(OR(C201&gt;ÉV!$I$2,AND(C201=ÉV!$I$2,D201&gt;ÉV!$J$2)),0,1)</f>
        <v>0</v>
      </c>
      <c r="W201" s="271">
        <f ca="1">IF($D201=1,T201,T201+W200)*IF(OR(C201&gt;ÉV!$I$2,AND(C201=ÉV!$I$2,D201&gt;ÉV!$J$2)),0,1)</f>
        <v>0</v>
      </c>
      <c r="X201" s="271">
        <f ca="1">IF(OR(D201=12,AND(C201=ÉV!$I$2,D201=ÉV!$J$2)),SUM(U201:W201)+X200,X200)*IF(OR(C201&gt;ÉV!$I$2,AND(C201=ÉV!$I$2,D201&gt;ÉV!$J$2)),0,1)</f>
        <v>0</v>
      </c>
      <c r="Y201" s="271">
        <f t="shared" ca="1" si="35"/>
        <v>0</v>
      </c>
      <c r="Z201" s="265">
        <f t="shared" si="36"/>
        <v>7</v>
      </c>
      <c r="AA201" s="272">
        <f t="shared" ca="1" si="37"/>
        <v>23949.390613393309</v>
      </c>
      <c r="AB201" s="265">
        <f t="shared" ca="1" si="43"/>
        <v>2033</v>
      </c>
      <c r="AC201" s="265">
        <f t="shared" ca="1" si="44"/>
        <v>10</v>
      </c>
      <c r="AD201" s="276">
        <f ca="1">IF(     OR(               AND(MAX(AF$6:AF201)&lt;2,  AC201=12),                 AF201=2),                   SUMIF(AB:AB,AB201,AA:AA),                       0)</f>
        <v>0</v>
      </c>
      <c r="AE201" s="277">
        <f t="shared" ca="1" si="34"/>
        <v>0</v>
      </c>
      <c r="AF201" s="277">
        <f t="shared" ca="1" si="38"/>
        <v>0</v>
      </c>
      <c r="AG201" s="402">
        <f ca="1">IF(  AND(AC201=AdóHó,   MAX(AF$1:AF200)&lt;2),   SUMIF(AB:AB,AB201-1,AE:AE),0  )
+ IF(AND(AC201&lt;AdóHó,                            AF201=2),   SUMIF(AB:AB,AB201-1,AE:AE),0  )
+ IF(                                                                  AF201=2,    SUMIF(AB:AB,AB201,AE:AE   ),0  )</f>
        <v>0</v>
      </c>
      <c r="AH201" s="272">
        <f ca="1">SUM(AG$2:AG201)</f>
        <v>766338.99677578884</v>
      </c>
    </row>
    <row r="202" spans="1:34">
      <c r="A202" s="265">
        <f t="shared" si="39"/>
        <v>17</v>
      </c>
      <c r="B202" s="265">
        <f t="shared" si="40"/>
        <v>8</v>
      </c>
      <c r="C202" s="265">
        <f t="shared" ca="1" si="41"/>
        <v>17</v>
      </c>
      <c r="D202" s="265">
        <f t="shared" ca="1" si="42"/>
        <v>11</v>
      </c>
      <c r="E202" s="266">
        <v>5.0000000000000001E-3</v>
      </c>
      <c r="F202" s="267">
        <f>ÉV!$B$12</f>
        <v>0</v>
      </c>
      <c r="G202" s="271">
        <f ca="1">VLOOKUP(A202,ÉV!$A$18:$B$65,2,0)</f>
        <v>287392.68736071972</v>
      </c>
      <c r="H202" s="271">
        <f ca="1">IF(OR(A202=1,AND(C202=ÉV!$I$2,D202&gt;ÉV!$J$2),C202&gt;ÉV!$I$2),0,INDEX(Pz!$B$2:$AM$48,A202-1,ÉV!$G$2-9)/100000*ÉV!$B$10)</f>
        <v>254562.92390200979</v>
      </c>
      <c r="I202" s="271">
        <f ca="1">INDEX(Pz!$B$2:$AM$48,HÓ!A202,ÉV!$G$2-9)/100000*ÉV!$B$10</f>
        <v>259637.46531748463</v>
      </c>
      <c r="J202" s="273">
        <f ca="1">IF(OR(A202=1,A202=2,AND(C202=ÉV!$I$2,D202&gt;ÉV!$J$2),C202&gt;ÉV!$I$2),0,VLOOKUP(A202-2,ÉV!$A$18:$C$65,3,0))</f>
        <v>3084271.3827091712</v>
      </c>
      <c r="K202" s="273">
        <f ca="1">IF(OR(A202=1,AND(C202=ÉV!$I$2,D202&gt;ÉV!$J$2),C202&gt;ÉV!$I$2),0,VLOOKUP(A202-1,ÉV!$A$18:$C$65,3,0))</f>
        <v>3344757.9533744366</v>
      </c>
      <c r="L202" s="273">
        <f ca="1">VLOOKUP(A202,ÉV!$A$18:$C$65,3,0)*IF(OR(AND(C202=ÉV!$I$2,D202&gt;ÉV!$J$2),C202&gt;ÉV!$I$2),0,1)</f>
        <v>3610423.7462134059</v>
      </c>
      <c r="M202" s="273">
        <f ca="1">(K202*(12-B202)/12+L202*B202/12)*IF(A202&gt;ÉV!$G$2,0,1)+IF(A202&gt;ÉV!$G$2,M201,0)*IF(OR(AND(C202=ÉV!$I$2,D202&gt;ÉV!$J$2),C202&gt;ÉV!$I$2),0,1)</f>
        <v>3521868.4819337493</v>
      </c>
      <c r="N202" s="274">
        <f ca="1">IF(AND(C202=1,D202&lt;12),0,1)*IF(D202=12,MAX(0,F202-E202-0.003)*0.9*((K202+I202)*(B202/12)+(J202+H202)*(1-B202/12))+MAX(0,F202-0.003)*0.9*N201+N201,IF(AND(C202=ÉV!$I$2,D202=ÉV!$J$2),(M202+N201)*MAX(0,F202-0.003)*0.9*(D202/12)+N201,N201))*IF(OR(C202&gt;ÉV!$I$2,AND(C202=ÉV!$I$2,D202&gt;ÉV!$J$2)),0,1)</f>
        <v>0</v>
      </c>
      <c r="O202" s="313">
        <f ca="1">IF(MAX(AF$2:AF201)=2,      0,IF(OR(AC202=7, AF202=2),    SUM(AE$2:AE202),    O201)   )</f>
        <v>766338.99677578884</v>
      </c>
      <c r="P202" s="271">
        <f ca="1">IF(D202=12,V202+P201+P201*(F202-0.003)*0.9,IF(AND(C202=ÉV!$I$2,D202=ÉV!$J$2),V202+P201+P201*(F202-0.003)*0.9*D202/12,P201))*IF(OR(C202&gt;ÉV!$I$2,AND(C202=ÉV!$I$2,D202&gt;ÉV!$J$2)),0,1)</f>
        <v>0</v>
      </c>
      <c r="Q202" s="275">
        <f ca="1">(N202+P202)*IF(OR(AND(C202=ÉV!$I$2,D202&gt;ÉV!$J$2),C202&gt;ÉV!$I$2),0,1)</f>
        <v>0</v>
      </c>
      <c r="R202" s="271">
        <f ca="1">(MAX(0,F202-E202-0.003)*0.9*((K202+I202)*(1/12)))*IF(OR(C202&gt;ÉV!$I$2,AND(C202=ÉV!$I$2,D202&gt;ÉV!$J$2)),0,1)</f>
        <v>0</v>
      </c>
      <c r="S202" s="271">
        <f ca="1">(MAX(0,F202-0.003)*0.9*((O202)*(1/12)))*IF(OR(C202&gt;ÉV!$I$2,AND(C202=ÉV!$I$2,D202&gt;ÉV!$J$2)),0,1)</f>
        <v>0</v>
      </c>
      <c r="T202" s="271">
        <f ca="1">(MAX(0,F202-0.003)*0.9*((Q201)*(1/12)))*IF(OR(C202&gt;ÉV!$I$2,AND(C202=ÉV!$I$2,D202&gt;ÉV!$J$2)),0,1)</f>
        <v>0</v>
      </c>
      <c r="U202" s="271">
        <f ca="1">IF($D202=1,R202,R202+U201)*IF(OR(C202&gt;ÉV!$I$2,AND(C202=ÉV!$I$2,D202&gt;ÉV!$J$2)),0,1)</f>
        <v>0</v>
      </c>
      <c r="V202" s="271">
        <f ca="1">IF($D202=1,S202,S202+V201)*IF(OR(C202&gt;ÉV!$I$2,AND(C202=ÉV!$I$2,D202&gt;ÉV!$J$2)),0,1)</f>
        <v>0</v>
      </c>
      <c r="W202" s="271">
        <f ca="1">IF($D202=1,T202,T202+W201)*IF(OR(C202&gt;ÉV!$I$2,AND(C202=ÉV!$I$2,D202&gt;ÉV!$J$2)),0,1)</f>
        <v>0</v>
      </c>
      <c r="X202" s="271">
        <f ca="1">IF(OR(D202=12,AND(C202=ÉV!$I$2,D202=ÉV!$J$2)),SUM(U202:W202)+X201,X201)*IF(OR(C202&gt;ÉV!$I$2,AND(C202=ÉV!$I$2,D202&gt;ÉV!$J$2)),0,1)</f>
        <v>0</v>
      </c>
      <c r="Y202" s="271">
        <f t="shared" ca="1" si="35"/>
        <v>0</v>
      </c>
      <c r="Z202" s="265">
        <f t="shared" si="36"/>
        <v>8</v>
      </c>
      <c r="AA202" s="272">
        <f t="shared" ca="1" si="37"/>
        <v>23949.390613393309</v>
      </c>
      <c r="AB202" s="265">
        <f t="shared" ca="1" si="43"/>
        <v>2033</v>
      </c>
      <c r="AC202" s="265">
        <f t="shared" ca="1" si="44"/>
        <v>11</v>
      </c>
      <c r="AD202" s="276">
        <f ca="1">IF(     OR(               AND(MAX(AF$6:AF202)&lt;2,  AC202=12),                 AF202=2),                   SUMIF(AB:AB,AB202,AA:AA),                       0)</f>
        <v>0</v>
      </c>
      <c r="AE202" s="277">
        <f t="shared" ca="1" si="34"/>
        <v>0</v>
      </c>
      <c r="AF202" s="277">
        <f t="shared" ca="1" si="38"/>
        <v>0</v>
      </c>
      <c r="AG202" s="402">
        <f ca="1">IF(  AND(AC202=AdóHó,   MAX(AF$1:AF201)&lt;2),   SUMIF(AB:AB,AB202-1,AE:AE),0  )
+ IF(AND(AC202&lt;AdóHó,                            AF202=2),   SUMIF(AB:AB,AB202-1,AE:AE),0  )
+ IF(                                                                  AF202=2,    SUMIF(AB:AB,AB202,AE:AE   ),0  )</f>
        <v>0</v>
      </c>
      <c r="AH202" s="272">
        <f ca="1">SUM(AG$2:AG202)</f>
        <v>766338.99677578884</v>
      </c>
    </row>
    <row r="203" spans="1:34">
      <c r="A203" s="265">
        <f t="shared" si="39"/>
        <v>17</v>
      </c>
      <c r="B203" s="265">
        <f t="shared" si="40"/>
        <v>9</v>
      </c>
      <c r="C203" s="265">
        <f t="shared" ca="1" si="41"/>
        <v>17</v>
      </c>
      <c r="D203" s="265">
        <f t="shared" ca="1" si="42"/>
        <v>12</v>
      </c>
      <c r="E203" s="266">
        <v>5.0000000000000001E-3</v>
      </c>
      <c r="F203" s="267">
        <f>ÉV!$B$12</f>
        <v>0</v>
      </c>
      <c r="G203" s="271">
        <f ca="1">VLOOKUP(A203,ÉV!$A$18:$B$65,2,0)</f>
        <v>287392.68736071972</v>
      </c>
      <c r="H203" s="271">
        <f ca="1">IF(OR(A203=1,AND(C203=ÉV!$I$2,D203&gt;ÉV!$J$2),C203&gt;ÉV!$I$2),0,INDEX(Pz!$B$2:$AM$48,A203-1,ÉV!$G$2-9)/100000*ÉV!$B$10)</f>
        <v>254562.92390200979</v>
      </c>
      <c r="I203" s="271">
        <f ca="1">INDEX(Pz!$B$2:$AM$48,HÓ!A203,ÉV!$G$2-9)/100000*ÉV!$B$10</f>
        <v>259637.46531748463</v>
      </c>
      <c r="J203" s="273">
        <f ca="1">IF(OR(A203=1,A203=2,AND(C203=ÉV!$I$2,D203&gt;ÉV!$J$2),C203&gt;ÉV!$I$2),0,VLOOKUP(A203-2,ÉV!$A$18:$C$65,3,0))</f>
        <v>3084271.3827091712</v>
      </c>
      <c r="K203" s="273">
        <f ca="1">IF(OR(A203=1,AND(C203=ÉV!$I$2,D203&gt;ÉV!$J$2),C203&gt;ÉV!$I$2),0,VLOOKUP(A203-1,ÉV!$A$18:$C$65,3,0))</f>
        <v>3344757.9533744366</v>
      </c>
      <c r="L203" s="273">
        <f ca="1">VLOOKUP(A203,ÉV!$A$18:$C$65,3,0)*IF(OR(AND(C203=ÉV!$I$2,D203&gt;ÉV!$J$2),C203&gt;ÉV!$I$2),0,1)</f>
        <v>3610423.7462134059</v>
      </c>
      <c r="M203" s="273">
        <f ca="1">(K203*(12-B203)/12+L203*B203/12)*IF(A203&gt;ÉV!$G$2,0,1)+IF(A203&gt;ÉV!$G$2,M202,0)*IF(OR(AND(C203=ÉV!$I$2,D203&gt;ÉV!$J$2),C203&gt;ÉV!$I$2),0,1)</f>
        <v>3544007.2980036633</v>
      </c>
      <c r="N203" s="274">
        <f ca="1">IF(AND(C203=1,D203&lt;12),0,1)*IF(D203=12,MAX(0,F203-E203-0.003)*0.9*((K203+I203)*(B203/12)+(J203+H203)*(1-B203/12))+MAX(0,F203-0.003)*0.9*N202+N202,IF(AND(C203=ÉV!$I$2,D203=ÉV!$J$2),(M203+N202)*MAX(0,F203-0.003)*0.9*(D203/12)+N202,N202))*IF(OR(C203&gt;ÉV!$I$2,AND(C203=ÉV!$I$2,D203&gt;ÉV!$J$2)),0,1)</f>
        <v>0</v>
      </c>
      <c r="O203" s="313">
        <f ca="1">IF(MAX(AF$2:AF202)=2,      0,IF(OR(AC203=7, AF203=2),    SUM(AE$2:AE203),    O202)   )</f>
        <v>766338.99677578884</v>
      </c>
      <c r="P203" s="271">
        <f ca="1">IF(D203=12,V203+P202+P202*(F203-0.003)*0.9,IF(AND(C203=ÉV!$I$2,D203=ÉV!$J$2),V203+P202+P202*(F203-0.003)*0.9*D203/12,P202))*IF(OR(C203&gt;ÉV!$I$2,AND(C203=ÉV!$I$2,D203&gt;ÉV!$J$2)),0,1)</f>
        <v>0</v>
      </c>
      <c r="Q203" s="275">
        <f ca="1">(N203+P203)*IF(OR(AND(C203=ÉV!$I$2,D203&gt;ÉV!$J$2),C203&gt;ÉV!$I$2),0,1)</f>
        <v>0</v>
      </c>
      <c r="R203" s="271">
        <f ca="1">(MAX(0,F203-E203-0.003)*0.9*((K203+I203)*(1/12)))*IF(OR(C203&gt;ÉV!$I$2,AND(C203=ÉV!$I$2,D203&gt;ÉV!$J$2)),0,1)</f>
        <v>0</v>
      </c>
      <c r="S203" s="271">
        <f ca="1">(MAX(0,F203-0.003)*0.9*((O203)*(1/12)))*IF(OR(C203&gt;ÉV!$I$2,AND(C203=ÉV!$I$2,D203&gt;ÉV!$J$2)),0,1)</f>
        <v>0</v>
      </c>
      <c r="T203" s="271">
        <f ca="1">(MAX(0,F203-0.003)*0.9*((Q202)*(1/12)))*IF(OR(C203&gt;ÉV!$I$2,AND(C203=ÉV!$I$2,D203&gt;ÉV!$J$2)),0,1)</f>
        <v>0</v>
      </c>
      <c r="U203" s="271">
        <f ca="1">IF($D203=1,R203,R203+U202)*IF(OR(C203&gt;ÉV!$I$2,AND(C203=ÉV!$I$2,D203&gt;ÉV!$J$2)),0,1)</f>
        <v>0</v>
      </c>
      <c r="V203" s="271">
        <f ca="1">IF($D203=1,S203,S203+V202)*IF(OR(C203&gt;ÉV!$I$2,AND(C203=ÉV!$I$2,D203&gt;ÉV!$J$2)),0,1)</f>
        <v>0</v>
      </c>
      <c r="W203" s="271">
        <f ca="1">IF($D203=1,T203,T203+W202)*IF(OR(C203&gt;ÉV!$I$2,AND(C203=ÉV!$I$2,D203&gt;ÉV!$J$2)),0,1)</f>
        <v>0</v>
      </c>
      <c r="X203" s="271">
        <f ca="1">IF(OR(D203=12,AND(C203=ÉV!$I$2,D203=ÉV!$J$2)),SUM(U203:W203)+X202,X202)*IF(OR(C203&gt;ÉV!$I$2,AND(C203=ÉV!$I$2,D203&gt;ÉV!$J$2)),0,1)</f>
        <v>0</v>
      </c>
      <c r="Y203" s="271">
        <f t="shared" ca="1" si="35"/>
        <v>0</v>
      </c>
      <c r="Z203" s="265">
        <f t="shared" si="36"/>
        <v>9</v>
      </c>
      <c r="AA203" s="272">
        <f t="shared" ca="1" si="37"/>
        <v>23949.390613393309</v>
      </c>
      <c r="AB203" s="265">
        <f t="shared" ca="1" si="43"/>
        <v>2033</v>
      </c>
      <c r="AC203" s="265">
        <f t="shared" ca="1" si="44"/>
        <v>12</v>
      </c>
      <c r="AD203" s="276">
        <f ca="1">IF(     OR(               AND(MAX(AF$6:AF203)&lt;2,  AC203=12),                 AF203=2),                   SUMIF(AB:AB,AB203,AA:AA),                       0)</f>
        <v>285983.89967757894</v>
      </c>
      <c r="AE203" s="277">
        <f t="shared" ca="1" si="34"/>
        <v>57196.779935515791</v>
      </c>
      <c r="AF203" s="277">
        <f t="shared" ca="1" si="38"/>
        <v>0</v>
      </c>
      <c r="AG203" s="402">
        <f ca="1">IF(  AND(AC203=AdóHó,   MAX(AF$1:AF202)&lt;2),   SUMIF(AB:AB,AB203-1,AE:AE),0  )
+ IF(AND(AC203&lt;AdóHó,                            AF203=2),   SUMIF(AB:AB,AB203-1,AE:AE),0  )
+ IF(                                                                  AF203=2,    SUMIF(AB:AB,AB203,AE:AE   ),0  )</f>
        <v>0</v>
      </c>
      <c r="AH203" s="272">
        <f ca="1">SUM(AG$2:AG203)</f>
        <v>766338.99677578884</v>
      </c>
    </row>
    <row r="204" spans="1:34">
      <c r="A204" s="265">
        <f t="shared" si="39"/>
        <v>17</v>
      </c>
      <c r="B204" s="265">
        <f t="shared" si="40"/>
        <v>10</v>
      </c>
      <c r="C204" s="265">
        <f t="shared" ca="1" si="41"/>
        <v>18</v>
      </c>
      <c r="D204" s="265">
        <f t="shared" ca="1" si="42"/>
        <v>1</v>
      </c>
      <c r="E204" s="266">
        <v>5.0000000000000001E-3</v>
      </c>
      <c r="F204" s="267">
        <f>ÉV!$B$12</f>
        <v>0</v>
      </c>
      <c r="G204" s="271">
        <f ca="1">VLOOKUP(A204,ÉV!$A$18:$B$65,2,0)</f>
        <v>287392.68736071972</v>
      </c>
      <c r="H204" s="271">
        <f ca="1">IF(OR(A204=1,AND(C204=ÉV!$I$2,D204&gt;ÉV!$J$2),C204&gt;ÉV!$I$2),0,INDEX(Pz!$B$2:$AM$48,A204-1,ÉV!$G$2-9)/100000*ÉV!$B$10)</f>
        <v>254562.92390200979</v>
      </c>
      <c r="I204" s="271">
        <f ca="1">INDEX(Pz!$B$2:$AM$48,HÓ!A204,ÉV!$G$2-9)/100000*ÉV!$B$10</f>
        <v>259637.46531748463</v>
      </c>
      <c r="J204" s="273">
        <f ca="1">IF(OR(A204=1,A204=2,AND(C204=ÉV!$I$2,D204&gt;ÉV!$J$2),C204&gt;ÉV!$I$2),0,VLOOKUP(A204-2,ÉV!$A$18:$C$65,3,0))</f>
        <v>3084271.3827091712</v>
      </c>
      <c r="K204" s="273">
        <f ca="1">IF(OR(A204=1,AND(C204=ÉV!$I$2,D204&gt;ÉV!$J$2),C204&gt;ÉV!$I$2),0,VLOOKUP(A204-1,ÉV!$A$18:$C$65,3,0))</f>
        <v>3344757.9533744366</v>
      </c>
      <c r="L204" s="273">
        <f ca="1">VLOOKUP(A204,ÉV!$A$18:$C$65,3,0)*IF(OR(AND(C204=ÉV!$I$2,D204&gt;ÉV!$J$2),C204&gt;ÉV!$I$2),0,1)</f>
        <v>3610423.7462134059</v>
      </c>
      <c r="M204" s="273">
        <f ca="1">(K204*(12-B204)/12+L204*B204/12)*IF(A204&gt;ÉV!$G$2,0,1)+IF(A204&gt;ÉV!$G$2,M203,0)*IF(OR(AND(C204=ÉV!$I$2,D204&gt;ÉV!$J$2),C204&gt;ÉV!$I$2),0,1)</f>
        <v>3566146.1140735773</v>
      </c>
      <c r="N204" s="274">
        <f ca="1">IF(AND(C204=1,D204&lt;12),0,1)*IF(D204=12,MAX(0,F204-E204-0.003)*0.9*((K204+I204)*(B204/12)+(J204+H204)*(1-B204/12))+MAX(0,F204-0.003)*0.9*N203+N203,IF(AND(C204=ÉV!$I$2,D204=ÉV!$J$2),(M204+N203)*MAX(0,F204-0.003)*0.9*(D204/12)+N203,N203))*IF(OR(C204&gt;ÉV!$I$2,AND(C204=ÉV!$I$2,D204&gt;ÉV!$J$2)),0,1)</f>
        <v>0</v>
      </c>
      <c r="O204" s="313">
        <f ca="1">IF(MAX(AF$2:AF203)=2,      0,IF(OR(AC204=7, AF204=2),    SUM(AE$2:AE204),    O203)   )</f>
        <v>766338.99677578884</v>
      </c>
      <c r="P204" s="271">
        <f ca="1">IF(D204=12,V204+P203+P203*(F204-0.003)*0.9,IF(AND(C204=ÉV!$I$2,D204=ÉV!$J$2),V204+P203+P203*(F204-0.003)*0.9*D204/12,P203))*IF(OR(C204&gt;ÉV!$I$2,AND(C204=ÉV!$I$2,D204&gt;ÉV!$J$2)),0,1)</f>
        <v>0</v>
      </c>
      <c r="Q204" s="275">
        <f ca="1">(N204+P204)*IF(OR(AND(C204=ÉV!$I$2,D204&gt;ÉV!$J$2),C204&gt;ÉV!$I$2),0,1)</f>
        <v>0</v>
      </c>
      <c r="R204" s="271">
        <f ca="1">(MAX(0,F204-E204-0.003)*0.9*((K204+I204)*(1/12)))*IF(OR(C204&gt;ÉV!$I$2,AND(C204=ÉV!$I$2,D204&gt;ÉV!$J$2)),0,1)</f>
        <v>0</v>
      </c>
      <c r="S204" s="271">
        <f ca="1">(MAX(0,F204-0.003)*0.9*((O204)*(1/12)))*IF(OR(C204&gt;ÉV!$I$2,AND(C204=ÉV!$I$2,D204&gt;ÉV!$J$2)),0,1)</f>
        <v>0</v>
      </c>
      <c r="T204" s="271">
        <f ca="1">(MAX(0,F204-0.003)*0.9*((Q203)*(1/12)))*IF(OR(C204&gt;ÉV!$I$2,AND(C204=ÉV!$I$2,D204&gt;ÉV!$J$2)),0,1)</f>
        <v>0</v>
      </c>
      <c r="U204" s="271">
        <f ca="1">IF($D204=1,R204,R204+U203)*IF(OR(C204&gt;ÉV!$I$2,AND(C204=ÉV!$I$2,D204&gt;ÉV!$J$2)),0,1)</f>
        <v>0</v>
      </c>
      <c r="V204" s="271">
        <f ca="1">IF($D204=1,S204,S204+V203)*IF(OR(C204&gt;ÉV!$I$2,AND(C204=ÉV!$I$2,D204&gt;ÉV!$J$2)),0,1)</f>
        <v>0</v>
      </c>
      <c r="W204" s="271">
        <f ca="1">IF($D204=1,T204,T204+W203)*IF(OR(C204&gt;ÉV!$I$2,AND(C204=ÉV!$I$2,D204&gt;ÉV!$J$2)),0,1)</f>
        <v>0</v>
      </c>
      <c r="X204" s="271">
        <f ca="1">IF(OR(D204=12,AND(C204=ÉV!$I$2,D204=ÉV!$J$2)),SUM(U204:W204)+X203,X203)*IF(OR(C204&gt;ÉV!$I$2,AND(C204=ÉV!$I$2,D204&gt;ÉV!$J$2)),0,1)</f>
        <v>0</v>
      </c>
      <c r="Y204" s="271">
        <f t="shared" ca="1" si="35"/>
        <v>0</v>
      </c>
      <c r="Z204" s="265">
        <f t="shared" si="36"/>
        <v>10</v>
      </c>
      <c r="AA204" s="272">
        <f t="shared" ca="1" si="37"/>
        <v>23949.390613393309</v>
      </c>
      <c r="AB204" s="265">
        <f t="shared" ca="1" si="43"/>
        <v>2034</v>
      </c>
      <c r="AC204" s="265">
        <f t="shared" ca="1" si="44"/>
        <v>1</v>
      </c>
      <c r="AD204" s="276">
        <f ca="1">IF(     OR(               AND(MAX(AF$6:AF204)&lt;2,  AC204=12),                 AF204=2),                   SUMIF(AB:AB,AB204,AA:AA),                       0)</f>
        <v>0</v>
      </c>
      <c r="AE204" s="277">
        <f t="shared" ca="1" si="34"/>
        <v>0</v>
      </c>
      <c r="AF204" s="277">
        <f t="shared" ca="1" si="38"/>
        <v>0</v>
      </c>
      <c r="AG204" s="402">
        <f ca="1">IF(  AND(AC204=AdóHó,   MAX(AF$1:AF203)&lt;2),   SUMIF(AB:AB,AB204-1,AE:AE),0  )
+ IF(AND(AC204&lt;AdóHó,                            AF204=2),   SUMIF(AB:AB,AB204-1,AE:AE),0  )
+ IF(                                                                  AF204=2,    SUMIF(AB:AB,AB204,AE:AE   ),0  )</f>
        <v>0</v>
      </c>
      <c r="AH204" s="272">
        <f ca="1">SUM(AG$2:AG204)</f>
        <v>766338.99677578884</v>
      </c>
    </row>
    <row r="205" spans="1:34">
      <c r="A205" s="265">
        <f t="shared" si="39"/>
        <v>17</v>
      </c>
      <c r="B205" s="265">
        <f t="shared" si="40"/>
        <v>11</v>
      </c>
      <c r="C205" s="265">
        <f t="shared" ca="1" si="41"/>
        <v>18</v>
      </c>
      <c r="D205" s="265">
        <f t="shared" ca="1" si="42"/>
        <v>2</v>
      </c>
      <c r="E205" s="266">
        <v>5.0000000000000001E-3</v>
      </c>
      <c r="F205" s="267">
        <f>ÉV!$B$12</f>
        <v>0</v>
      </c>
      <c r="G205" s="271">
        <f ca="1">VLOOKUP(A205,ÉV!$A$18:$B$65,2,0)</f>
        <v>287392.68736071972</v>
      </c>
      <c r="H205" s="271">
        <f ca="1">IF(OR(A205=1,AND(C205=ÉV!$I$2,D205&gt;ÉV!$J$2),C205&gt;ÉV!$I$2),0,INDEX(Pz!$B$2:$AM$48,A205-1,ÉV!$G$2-9)/100000*ÉV!$B$10)</f>
        <v>254562.92390200979</v>
      </c>
      <c r="I205" s="271">
        <f ca="1">INDEX(Pz!$B$2:$AM$48,HÓ!A205,ÉV!$G$2-9)/100000*ÉV!$B$10</f>
        <v>259637.46531748463</v>
      </c>
      <c r="J205" s="273">
        <f ca="1">IF(OR(A205=1,A205=2,AND(C205=ÉV!$I$2,D205&gt;ÉV!$J$2),C205&gt;ÉV!$I$2),0,VLOOKUP(A205-2,ÉV!$A$18:$C$65,3,0))</f>
        <v>3084271.3827091712</v>
      </c>
      <c r="K205" s="273">
        <f ca="1">IF(OR(A205=1,AND(C205=ÉV!$I$2,D205&gt;ÉV!$J$2),C205&gt;ÉV!$I$2),0,VLOOKUP(A205-1,ÉV!$A$18:$C$65,3,0))</f>
        <v>3344757.9533744366</v>
      </c>
      <c r="L205" s="273">
        <f ca="1">VLOOKUP(A205,ÉV!$A$18:$C$65,3,0)*IF(OR(AND(C205=ÉV!$I$2,D205&gt;ÉV!$J$2),C205&gt;ÉV!$I$2),0,1)</f>
        <v>3610423.7462134059</v>
      </c>
      <c r="M205" s="273">
        <f ca="1">(K205*(12-B205)/12+L205*B205/12)*IF(A205&gt;ÉV!$G$2,0,1)+IF(A205&gt;ÉV!$G$2,M204,0)*IF(OR(AND(C205=ÉV!$I$2,D205&gt;ÉV!$J$2),C205&gt;ÉV!$I$2),0,1)</f>
        <v>3588284.9301434914</v>
      </c>
      <c r="N205" s="274">
        <f ca="1">IF(AND(C205=1,D205&lt;12),0,1)*IF(D205=12,MAX(0,F205-E205-0.003)*0.9*((K205+I205)*(B205/12)+(J205+H205)*(1-B205/12))+MAX(0,F205-0.003)*0.9*N204+N204,IF(AND(C205=ÉV!$I$2,D205=ÉV!$J$2),(M205+N204)*MAX(0,F205-0.003)*0.9*(D205/12)+N204,N204))*IF(OR(C205&gt;ÉV!$I$2,AND(C205=ÉV!$I$2,D205&gt;ÉV!$J$2)),0,1)</f>
        <v>0</v>
      </c>
      <c r="O205" s="313">
        <f ca="1">IF(MAX(AF$2:AF204)=2,      0,IF(OR(AC205=7, AF205=2),    SUM(AE$2:AE205),    O204)   )</f>
        <v>766338.99677578884</v>
      </c>
      <c r="P205" s="271">
        <f ca="1">IF(D205=12,V205+P204+P204*(F205-0.003)*0.9,IF(AND(C205=ÉV!$I$2,D205=ÉV!$J$2),V205+P204+P204*(F205-0.003)*0.9*D205/12,P204))*IF(OR(C205&gt;ÉV!$I$2,AND(C205=ÉV!$I$2,D205&gt;ÉV!$J$2)),0,1)</f>
        <v>0</v>
      </c>
      <c r="Q205" s="275">
        <f ca="1">(N205+P205)*IF(OR(AND(C205=ÉV!$I$2,D205&gt;ÉV!$J$2),C205&gt;ÉV!$I$2),0,1)</f>
        <v>0</v>
      </c>
      <c r="R205" s="271">
        <f ca="1">(MAX(0,F205-E205-0.003)*0.9*((K205+I205)*(1/12)))*IF(OR(C205&gt;ÉV!$I$2,AND(C205=ÉV!$I$2,D205&gt;ÉV!$J$2)),0,1)</f>
        <v>0</v>
      </c>
      <c r="S205" s="271">
        <f ca="1">(MAX(0,F205-0.003)*0.9*((O205)*(1/12)))*IF(OR(C205&gt;ÉV!$I$2,AND(C205=ÉV!$I$2,D205&gt;ÉV!$J$2)),0,1)</f>
        <v>0</v>
      </c>
      <c r="T205" s="271">
        <f ca="1">(MAX(0,F205-0.003)*0.9*((Q204)*(1/12)))*IF(OR(C205&gt;ÉV!$I$2,AND(C205=ÉV!$I$2,D205&gt;ÉV!$J$2)),0,1)</f>
        <v>0</v>
      </c>
      <c r="U205" s="271">
        <f ca="1">IF($D205=1,R205,R205+U204)*IF(OR(C205&gt;ÉV!$I$2,AND(C205=ÉV!$I$2,D205&gt;ÉV!$J$2)),0,1)</f>
        <v>0</v>
      </c>
      <c r="V205" s="271">
        <f ca="1">IF($D205=1,S205,S205+V204)*IF(OR(C205&gt;ÉV!$I$2,AND(C205=ÉV!$I$2,D205&gt;ÉV!$J$2)),0,1)</f>
        <v>0</v>
      </c>
      <c r="W205" s="271">
        <f ca="1">IF($D205=1,T205,T205+W204)*IF(OR(C205&gt;ÉV!$I$2,AND(C205=ÉV!$I$2,D205&gt;ÉV!$J$2)),0,1)</f>
        <v>0</v>
      </c>
      <c r="X205" s="271">
        <f ca="1">IF(OR(D205=12,AND(C205=ÉV!$I$2,D205=ÉV!$J$2)),SUM(U205:W205)+X204,X204)*IF(OR(C205&gt;ÉV!$I$2,AND(C205=ÉV!$I$2,D205&gt;ÉV!$J$2)),0,1)</f>
        <v>0</v>
      </c>
      <c r="Y205" s="271">
        <f t="shared" ca="1" si="35"/>
        <v>0</v>
      </c>
      <c r="Z205" s="265">
        <f t="shared" si="36"/>
        <v>11</v>
      </c>
      <c r="AA205" s="272">
        <f t="shared" ca="1" si="37"/>
        <v>23949.390613393309</v>
      </c>
      <c r="AB205" s="265">
        <f t="shared" ca="1" si="43"/>
        <v>2034</v>
      </c>
      <c r="AC205" s="265">
        <f t="shared" ca="1" si="44"/>
        <v>2</v>
      </c>
      <c r="AD205" s="276">
        <f ca="1">IF(     OR(               AND(MAX(AF$6:AF205)&lt;2,  AC205=12),                 AF205=2),                   SUMIF(AB:AB,AB205,AA:AA),                       0)</f>
        <v>0</v>
      </c>
      <c r="AE205" s="277">
        <f t="shared" ca="1" si="34"/>
        <v>0</v>
      </c>
      <c r="AF205" s="277">
        <f t="shared" ca="1" si="38"/>
        <v>0</v>
      </c>
      <c r="AG205" s="402">
        <f ca="1">IF(  AND(AC205=AdóHó,   MAX(AF$1:AF204)&lt;2),   SUMIF(AB:AB,AB205-1,AE:AE),0  )
+ IF(AND(AC205&lt;AdóHó,                            AF205=2),   SUMIF(AB:AB,AB205-1,AE:AE),0  )
+ IF(                                                                  AF205=2,    SUMIF(AB:AB,AB205,AE:AE   ),0  )</f>
        <v>0</v>
      </c>
      <c r="AH205" s="272">
        <f ca="1">SUM(AG$2:AG205)</f>
        <v>766338.99677578884</v>
      </c>
    </row>
    <row r="206" spans="1:34">
      <c r="A206" s="265">
        <f t="shared" si="39"/>
        <v>17</v>
      </c>
      <c r="B206" s="265">
        <f t="shared" si="40"/>
        <v>12</v>
      </c>
      <c r="C206" s="265">
        <f t="shared" ca="1" si="41"/>
        <v>18</v>
      </c>
      <c r="D206" s="265">
        <f t="shared" ca="1" si="42"/>
        <v>3</v>
      </c>
      <c r="E206" s="266">
        <v>5.0000000000000001E-3</v>
      </c>
      <c r="F206" s="267">
        <f>ÉV!$B$12</f>
        <v>0</v>
      </c>
      <c r="G206" s="271">
        <f ca="1">VLOOKUP(A206,ÉV!$A$18:$B$65,2,0)</f>
        <v>287392.68736071972</v>
      </c>
      <c r="H206" s="271">
        <f ca="1">IF(OR(A206=1,AND(C206=ÉV!$I$2,D206&gt;ÉV!$J$2),C206&gt;ÉV!$I$2),0,INDEX(Pz!$B$2:$AM$48,A206-1,ÉV!$G$2-9)/100000*ÉV!$B$10)</f>
        <v>254562.92390200979</v>
      </c>
      <c r="I206" s="271">
        <f ca="1">INDEX(Pz!$B$2:$AM$48,HÓ!A206,ÉV!$G$2-9)/100000*ÉV!$B$10</f>
        <v>259637.46531748463</v>
      </c>
      <c r="J206" s="273">
        <f ca="1">IF(OR(A206=1,A206=2,AND(C206=ÉV!$I$2,D206&gt;ÉV!$J$2),C206&gt;ÉV!$I$2),0,VLOOKUP(A206-2,ÉV!$A$18:$C$65,3,0))</f>
        <v>3084271.3827091712</v>
      </c>
      <c r="K206" s="273">
        <f ca="1">IF(OR(A206=1,AND(C206=ÉV!$I$2,D206&gt;ÉV!$J$2),C206&gt;ÉV!$I$2),0,VLOOKUP(A206-1,ÉV!$A$18:$C$65,3,0))</f>
        <v>3344757.9533744366</v>
      </c>
      <c r="L206" s="273">
        <f ca="1">VLOOKUP(A206,ÉV!$A$18:$C$65,3,0)*IF(OR(AND(C206=ÉV!$I$2,D206&gt;ÉV!$J$2),C206&gt;ÉV!$I$2),0,1)</f>
        <v>3610423.7462134059</v>
      </c>
      <c r="M206" s="273">
        <f ca="1">(K206*(12-B206)/12+L206*B206/12)*IF(A206&gt;ÉV!$G$2,0,1)+IF(A206&gt;ÉV!$G$2,M205,0)*IF(OR(AND(C206=ÉV!$I$2,D206&gt;ÉV!$J$2),C206&gt;ÉV!$I$2),0,1)</f>
        <v>3610423.7462134059</v>
      </c>
      <c r="N206" s="274">
        <f ca="1">IF(AND(C206=1,D206&lt;12),0,1)*IF(D206=12,MAX(0,F206-E206-0.003)*0.9*((K206+I206)*(B206/12)+(J206+H206)*(1-B206/12))+MAX(0,F206-0.003)*0.9*N205+N205,IF(AND(C206=ÉV!$I$2,D206=ÉV!$J$2),(M206+N205)*MAX(0,F206-0.003)*0.9*(D206/12)+N205,N205))*IF(OR(C206&gt;ÉV!$I$2,AND(C206=ÉV!$I$2,D206&gt;ÉV!$J$2)),0,1)</f>
        <v>0</v>
      </c>
      <c r="O206" s="313">
        <f ca="1">IF(MAX(AF$2:AF205)=2,      0,IF(OR(AC206=7, AF206=2),    SUM(AE$2:AE206),    O205)   )</f>
        <v>766338.99677578884</v>
      </c>
      <c r="P206" s="271">
        <f ca="1">IF(D206=12,V206+P205+P205*(F206-0.003)*0.9,IF(AND(C206=ÉV!$I$2,D206=ÉV!$J$2),V206+P205+P205*(F206-0.003)*0.9*D206/12,P205))*IF(OR(C206&gt;ÉV!$I$2,AND(C206=ÉV!$I$2,D206&gt;ÉV!$J$2)),0,1)</f>
        <v>0</v>
      </c>
      <c r="Q206" s="275">
        <f ca="1">(N206+P206)*IF(OR(AND(C206=ÉV!$I$2,D206&gt;ÉV!$J$2),C206&gt;ÉV!$I$2),0,1)</f>
        <v>0</v>
      </c>
      <c r="R206" s="271">
        <f ca="1">(MAX(0,F206-E206-0.003)*0.9*((K206+I206)*(1/12)))*IF(OR(C206&gt;ÉV!$I$2,AND(C206=ÉV!$I$2,D206&gt;ÉV!$J$2)),0,1)</f>
        <v>0</v>
      </c>
      <c r="S206" s="271">
        <f ca="1">(MAX(0,F206-0.003)*0.9*((O206)*(1/12)))*IF(OR(C206&gt;ÉV!$I$2,AND(C206=ÉV!$I$2,D206&gt;ÉV!$J$2)),0,1)</f>
        <v>0</v>
      </c>
      <c r="T206" s="271">
        <f ca="1">(MAX(0,F206-0.003)*0.9*((Q205)*(1/12)))*IF(OR(C206&gt;ÉV!$I$2,AND(C206=ÉV!$I$2,D206&gt;ÉV!$J$2)),0,1)</f>
        <v>0</v>
      </c>
      <c r="U206" s="271">
        <f ca="1">IF($D206=1,R206,R206+U205)*IF(OR(C206&gt;ÉV!$I$2,AND(C206=ÉV!$I$2,D206&gt;ÉV!$J$2)),0,1)</f>
        <v>0</v>
      </c>
      <c r="V206" s="271">
        <f ca="1">IF($D206=1,S206,S206+V205)*IF(OR(C206&gt;ÉV!$I$2,AND(C206=ÉV!$I$2,D206&gt;ÉV!$J$2)),0,1)</f>
        <v>0</v>
      </c>
      <c r="W206" s="271">
        <f ca="1">IF($D206=1,T206,T206+W205)*IF(OR(C206&gt;ÉV!$I$2,AND(C206=ÉV!$I$2,D206&gt;ÉV!$J$2)),0,1)</f>
        <v>0</v>
      </c>
      <c r="X206" s="271">
        <f ca="1">IF(OR(D206=12,AND(C206=ÉV!$I$2,D206=ÉV!$J$2)),SUM(U206:W206)+X205,X205)*IF(OR(C206&gt;ÉV!$I$2,AND(C206=ÉV!$I$2,D206&gt;ÉV!$J$2)),0,1)</f>
        <v>0</v>
      </c>
      <c r="Y206" s="271">
        <f t="shared" ca="1" si="35"/>
        <v>0</v>
      </c>
      <c r="Z206" s="265">
        <f t="shared" si="36"/>
        <v>12</v>
      </c>
      <c r="AA206" s="272">
        <f t="shared" ca="1" si="37"/>
        <v>23949.390613393309</v>
      </c>
      <c r="AB206" s="265">
        <f t="shared" ca="1" si="43"/>
        <v>2034</v>
      </c>
      <c r="AC206" s="265">
        <f t="shared" ca="1" si="44"/>
        <v>3</v>
      </c>
      <c r="AD206" s="276">
        <f ca="1">IF(     OR(               AND(MAX(AF$6:AF206)&lt;2,  AC206=12),                 AF206=2),                   SUMIF(AB:AB,AB206,AA:AA),                       0)</f>
        <v>0</v>
      </c>
      <c r="AE206" s="277">
        <f t="shared" ref="AE206:AE269" ca="1" si="45">MIN(AD206*0.2,130000)</f>
        <v>0</v>
      </c>
      <c r="AF206" s="277">
        <f t="shared" ca="1" si="38"/>
        <v>0</v>
      </c>
      <c r="AG206" s="402">
        <f ca="1">IF(  AND(AC206=AdóHó,   MAX(AF$1:AF205)&lt;2),   SUMIF(AB:AB,AB206-1,AE:AE),0  )
+ IF(AND(AC206&lt;AdóHó,                            AF206=2),   SUMIF(AB:AB,AB206-1,AE:AE),0  )
+ IF(                                                                  AF206=2,    SUMIF(AB:AB,AB206,AE:AE   ),0  )</f>
        <v>0</v>
      </c>
      <c r="AH206" s="272">
        <f ca="1">SUM(AG$2:AG206)</f>
        <v>766338.99677578884</v>
      </c>
    </row>
    <row r="207" spans="1:34">
      <c r="A207" s="265">
        <f t="shared" si="39"/>
        <v>18</v>
      </c>
      <c r="B207" s="265">
        <f t="shared" si="40"/>
        <v>1</v>
      </c>
      <c r="C207" s="265">
        <f t="shared" ca="1" si="41"/>
        <v>18</v>
      </c>
      <c r="D207" s="265">
        <f t="shared" ca="1" si="42"/>
        <v>4</v>
      </c>
      <c r="E207" s="266">
        <v>5.0000000000000001E-3</v>
      </c>
      <c r="F207" s="267">
        <f>ÉV!$B$12</f>
        <v>0</v>
      </c>
      <c r="G207" s="271">
        <f ca="1">VLOOKUP(A207,ÉV!$A$18:$B$65,2,0)</f>
        <v>293140.54110793414</v>
      </c>
      <c r="H207" s="271">
        <f ca="1">IF(OR(A207=1,AND(C207=ÉV!$I$2,D207&gt;ÉV!$J$2),C207&gt;ÉV!$I$2),0,INDEX(Pz!$B$2:$AM$48,A207-1,ÉV!$G$2-9)/100000*ÉV!$B$10)</f>
        <v>259637.46531748463</v>
      </c>
      <c r="I207" s="271">
        <f ca="1">INDEX(Pz!$B$2:$AM$48,HÓ!A207,ÉV!$G$2-9)/100000*ÉV!$B$10</f>
        <v>264813.49756126903</v>
      </c>
      <c r="J207" s="273">
        <f ca="1">IF(OR(A207=1,A207=2,AND(C207=ÉV!$I$2,D207&gt;ÉV!$J$2),C207&gt;ÉV!$I$2),0,VLOOKUP(A207-2,ÉV!$A$18:$C$65,3,0))</f>
        <v>3344757.9533744366</v>
      </c>
      <c r="K207" s="273">
        <f ca="1">IF(OR(A207=1,AND(C207=ÉV!$I$2,D207&gt;ÉV!$J$2),C207&gt;ÉV!$I$2),0,VLOOKUP(A207-1,ÉV!$A$18:$C$65,3,0))</f>
        <v>3610423.7462134059</v>
      </c>
      <c r="L207" s="273">
        <f ca="1">VLOOKUP(A207,ÉV!$A$18:$C$65,3,0)*IF(OR(AND(C207=ÉV!$I$2,D207&gt;ÉV!$J$2),C207&gt;ÉV!$I$2),0,1)</f>
        <v>3881267.5064132973</v>
      </c>
      <c r="M207" s="273">
        <f ca="1">(K207*(12-B207)/12+L207*B207/12)*IF(A207&gt;ÉV!$G$2,0,1)+IF(A207&gt;ÉV!$G$2,M206,0)*IF(OR(AND(C207=ÉV!$I$2,D207&gt;ÉV!$J$2),C207&gt;ÉV!$I$2),0,1)</f>
        <v>3632994.0595633965</v>
      </c>
      <c r="N207" s="274">
        <f ca="1">IF(AND(C207=1,D207&lt;12),0,1)*IF(D207=12,MAX(0,F207-E207-0.003)*0.9*((K207+I207)*(B207/12)+(J207+H207)*(1-B207/12))+MAX(0,F207-0.003)*0.9*N206+N206,IF(AND(C207=ÉV!$I$2,D207=ÉV!$J$2),(M207+N206)*MAX(0,F207-0.003)*0.9*(D207/12)+N206,N206))*IF(OR(C207&gt;ÉV!$I$2,AND(C207=ÉV!$I$2,D207&gt;ÉV!$J$2)),0,1)</f>
        <v>0</v>
      </c>
      <c r="O207" s="313">
        <f ca="1">IF(MAX(AF$2:AF206)=2,      0,IF(OR(AC207=7, AF207=2),    SUM(AE$2:AE207),    O206)   )</f>
        <v>766338.99677578884</v>
      </c>
      <c r="P207" s="271">
        <f ca="1">IF(D207=12,V207+P206+P206*(F207-0.003)*0.9,IF(AND(C207=ÉV!$I$2,D207=ÉV!$J$2),V207+P206+P206*(F207-0.003)*0.9*D207/12,P206))*IF(OR(C207&gt;ÉV!$I$2,AND(C207=ÉV!$I$2,D207&gt;ÉV!$J$2)),0,1)</f>
        <v>0</v>
      </c>
      <c r="Q207" s="275">
        <f ca="1">(N207+P207)*IF(OR(AND(C207=ÉV!$I$2,D207&gt;ÉV!$J$2),C207&gt;ÉV!$I$2),0,1)</f>
        <v>0</v>
      </c>
      <c r="R207" s="271">
        <f ca="1">(MAX(0,F207-E207-0.003)*0.9*((K207+I207)*(1/12)))*IF(OR(C207&gt;ÉV!$I$2,AND(C207=ÉV!$I$2,D207&gt;ÉV!$J$2)),0,1)</f>
        <v>0</v>
      </c>
      <c r="S207" s="271">
        <f ca="1">(MAX(0,F207-0.003)*0.9*((O207)*(1/12)))*IF(OR(C207&gt;ÉV!$I$2,AND(C207=ÉV!$I$2,D207&gt;ÉV!$J$2)),0,1)</f>
        <v>0</v>
      </c>
      <c r="T207" s="271">
        <f ca="1">(MAX(0,F207-0.003)*0.9*((Q206)*(1/12)))*IF(OR(C207&gt;ÉV!$I$2,AND(C207=ÉV!$I$2,D207&gt;ÉV!$J$2)),0,1)</f>
        <v>0</v>
      </c>
      <c r="U207" s="271">
        <f ca="1">IF($D207=1,R207,R207+U206)*IF(OR(C207&gt;ÉV!$I$2,AND(C207=ÉV!$I$2,D207&gt;ÉV!$J$2)),0,1)</f>
        <v>0</v>
      </c>
      <c r="V207" s="271">
        <f ca="1">IF($D207=1,S207,S207+V206)*IF(OR(C207&gt;ÉV!$I$2,AND(C207=ÉV!$I$2,D207&gt;ÉV!$J$2)),0,1)</f>
        <v>0</v>
      </c>
      <c r="W207" s="271">
        <f ca="1">IF($D207=1,T207,T207+W206)*IF(OR(C207&gt;ÉV!$I$2,AND(C207=ÉV!$I$2,D207&gt;ÉV!$J$2)),0,1)</f>
        <v>0</v>
      </c>
      <c r="X207" s="271">
        <f ca="1">IF(OR(D207=12,AND(C207=ÉV!$I$2,D207=ÉV!$J$2)),SUM(U207:W207)+X206,X206)*IF(OR(C207&gt;ÉV!$I$2,AND(C207=ÉV!$I$2,D207&gt;ÉV!$J$2)),0,1)</f>
        <v>0</v>
      </c>
      <c r="Y207" s="271">
        <f t="shared" ca="1" si="35"/>
        <v>0</v>
      </c>
      <c r="Z207" s="265">
        <f t="shared" si="36"/>
        <v>1</v>
      </c>
      <c r="AA207" s="272">
        <f t="shared" ca="1" si="37"/>
        <v>24428.37842566118</v>
      </c>
      <c r="AB207" s="265">
        <f t="shared" ca="1" si="43"/>
        <v>2034</v>
      </c>
      <c r="AC207" s="265">
        <f t="shared" ca="1" si="44"/>
        <v>4</v>
      </c>
      <c r="AD207" s="276">
        <f ca="1">IF(     OR(               AND(MAX(AF$6:AF207)&lt;2,  AC207=12),                 AF207=2),                   SUMIF(AB:AB,AB207,AA:AA),                       0)</f>
        <v>0</v>
      </c>
      <c r="AE207" s="277">
        <f t="shared" ca="1" si="45"/>
        <v>0</v>
      </c>
      <c r="AF207" s="277">
        <f t="shared" ca="1" si="38"/>
        <v>0</v>
      </c>
      <c r="AG207" s="402">
        <f ca="1">IF(  AND(AC207=AdóHó,   MAX(AF$1:AF206)&lt;2),   SUMIF(AB:AB,AB207-1,AE:AE),0  )
+ IF(AND(AC207&lt;AdóHó,                            AF207=2),   SUMIF(AB:AB,AB207-1,AE:AE),0  )
+ IF(                                                                  AF207=2,    SUMIF(AB:AB,AB207,AE:AE   ),0  )</f>
        <v>0</v>
      </c>
      <c r="AH207" s="272">
        <f ca="1">SUM(AG$2:AG207)</f>
        <v>766338.99677578884</v>
      </c>
    </row>
    <row r="208" spans="1:34">
      <c r="A208" s="265">
        <f t="shared" si="39"/>
        <v>18</v>
      </c>
      <c r="B208" s="265">
        <f t="shared" si="40"/>
        <v>2</v>
      </c>
      <c r="C208" s="265">
        <f t="shared" ca="1" si="41"/>
        <v>18</v>
      </c>
      <c r="D208" s="265">
        <f t="shared" ca="1" si="42"/>
        <v>5</v>
      </c>
      <c r="E208" s="266">
        <v>5.0000000000000001E-3</v>
      </c>
      <c r="F208" s="267">
        <f>ÉV!$B$12</f>
        <v>0</v>
      </c>
      <c r="G208" s="271">
        <f ca="1">VLOOKUP(A208,ÉV!$A$18:$B$65,2,0)</f>
        <v>293140.54110793414</v>
      </c>
      <c r="H208" s="271">
        <f ca="1">IF(OR(A208=1,AND(C208=ÉV!$I$2,D208&gt;ÉV!$J$2),C208&gt;ÉV!$I$2),0,INDEX(Pz!$B$2:$AM$48,A208-1,ÉV!$G$2-9)/100000*ÉV!$B$10)</f>
        <v>259637.46531748463</v>
      </c>
      <c r="I208" s="271">
        <f ca="1">INDEX(Pz!$B$2:$AM$48,HÓ!A208,ÉV!$G$2-9)/100000*ÉV!$B$10</f>
        <v>264813.49756126903</v>
      </c>
      <c r="J208" s="273">
        <f ca="1">IF(OR(A208=1,A208=2,AND(C208=ÉV!$I$2,D208&gt;ÉV!$J$2),C208&gt;ÉV!$I$2),0,VLOOKUP(A208-2,ÉV!$A$18:$C$65,3,0))</f>
        <v>3344757.9533744366</v>
      </c>
      <c r="K208" s="273">
        <f ca="1">IF(OR(A208=1,AND(C208=ÉV!$I$2,D208&gt;ÉV!$J$2),C208&gt;ÉV!$I$2),0,VLOOKUP(A208-1,ÉV!$A$18:$C$65,3,0))</f>
        <v>3610423.7462134059</v>
      </c>
      <c r="L208" s="273">
        <f ca="1">VLOOKUP(A208,ÉV!$A$18:$C$65,3,0)*IF(OR(AND(C208=ÉV!$I$2,D208&gt;ÉV!$J$2),C208&gt;ÉV!$I$2),0,1)</f>
        <v>3881267.5064132973</v>
      </c>
      <c r="M208" s="273">
        <f ca="1">(K208*(12-B208)/12+L208*B208/12)*IF(A208&gt;ÉV!$G$2,0,1)+IF(A208&gt;ÉV!$G$2,M207,0)*IF(OR(AND(C208=ÉV!$I$2,D208&gt;ÉV!$J$2),C208&gt;ÉV!$I$2),0,1)</f>
        <v>3655564.3729133876</v>
      </c>
      <c r="N208" s="274">
        <f ca="1">IF(AND(C208=1,D208&lt;12),0,1)*IF(D208=12,MAX(0,F208-E208-0.003)*0.9*((K208+I208)*(B208/12)+(J208+H208)*(1-B208/12))+MAX(0,F208-0.003)*0.9*N207+N207,IF(AND(C208=ÉV!$I$2,D208=ÉV!$J$2),(M208+N207)*MAX(0,F208-0.003)*0.9*(D208/12)+N207,N207))*IF(OR(C208&gt;ÉV!$I$2,AND(C208=ÉV!$I$2,D208&gt;ÉV!$J$2)),0,1)</f>
        <v>0</v>
      </c>
      <c r="O208" s="313">
        <f ca="1">IF(MAX(AF$2:AF207)=2,      0,IF(OR(AC208=7, AF208=2),    SUM(AE$2:AE208),    O207)   )</f>
        <v>766338.99677578884</v>
      </c>
      <c r="P208" s="271">
        <f ca="1">IF(D208=12,V208+P207+P207*(F208-0.003)*0.9,IF(AND(C208=ÉV!$I$2,D208=ÉV!$J$2),V208+P207+P207*(F208-0.003)*0.9*D208/12,P207))*IF(OR(C208&gt;ÉV!$I$2,AND(C208=ÉV!$I$2,D208&gt;ÉV!$J$2)),0,1)</f>
        <v>0</v>
      </c>
      <c r="Q208" s="275">
        <f ca="1">(N208+P208)*IF(OR(AND(C208=ÉV!$I$2,D208&gt;ÉV!$J$2),C208&gt;ÉV!$I$2),0,1)</f>
        <v>0</v>
      </c>
      <c r="R208" s="271">
        <f ca="1">(MAX(0,F208-E208-0.003)*0.9*((K208+I208)*(1/12)))*IF(OR(C208&gt;ÉV!$I$2,AND(C208=ÉV!$I$2,D208&gt;ÉV!$J$2)),0,1)</f>
        <v>0</v>
      </c>
      <c r="S208" s="271">
        <f ca="1">(MAX(0,F208-0.003)*0.9*((O208)*(1/12)))*IF(OR(C208&gt;ÉV!$I$2,AND(C208=ÉV!$I$2,D208&gt;ÉV!$J$2)),0,1)</f>
        <v>0</v>
      </c>
      <c r="T208" s="271">
        <f ca="1">(MAX(0,F208-0.003)*0.9*((Q207)*(1/12)))*IF(OR(C208&gt;ÉV!$I$2,AND(C208=ÉV!$I$2,D208&gt;ÉV!$J$2)),0,1)</f>
        <v>0</v>
      </c>
      <c r="U208" s="271">
        <f ca="1">IF($D208=1,R208,R208+U207)*IF(OR(C208&gt;ÉV!$I$2,AND(C208=ÉV!$I$2,D208&gt;ÉV!$J$2)),0,1)</f>
        <v>0</v>
      </c>
      <c r="V208" s="271">
        <f ca="1">IF($D208=1,S208,S208+V207)*IF(OR(C208&gt;ÉV!$I$2,AND(C208=ÉV!$I$2,D208&gt;ÉV!$J$2)),0,1)</f>
        <v>0</v>
      </c>
      <c r="W208" s="271">
        <f ca="1">IF($D208=1,T208,T208+W207)*IF(OR(C208&gt;ÉV!$I$2,AND(C208=ÉV!$I$2,D208&gt;ÉV!$J$2)),0,1)</f>
        <v>0</v>
      </c>
      <c r="X208" s="271">
        <f ca="1">IF(OR(D208=12,AND(C208=ÉV!$I$2,D208=ÉV!$J$2)),SUM(U208:W208)+X207,X207)*IF(OR(C208&gt;ÉV!$I$2,AND(C208=ÉV!$I$2,D208&gt;ÉV!$J$2)),0,1)</f>
        <v>0</v>
      </c>
      <c r="Y208" s="271">
        <f t="shared" ca="1" si="35"/>
        <v>0</v>
      </c>
      <c r="Z208" s="265">
        <f t="shared" si="36"/>
        <v>2</v>
      </c>
      <c r="AA208" s="272">
        <f t="shared" ca="1" si="37"/>
        <v>24428.37842566118</v>
      </c>
      <c r="AB208" s="265">
        <f t="shared" ca="1" si="43"/>
        <v>2034</v>
      </c>
      <c r="AC208" s="265">
        <f t="shared" ca="1" si="44"/>
        <v>5</v>
      </c>
      <c r="AD208" s="276">
        <f ca="1">IF(     OR(               AND(MAX(AF$6:AF208)&lt;2,  AC208=12),                 AF208=2),                   SUMIF(AB:AB,AB208,AA:AA),                       0)</f>
        <v>0</v>
      </c>
      <c r="AE208" s="277">
        <f t="shared" ca="1" si="45"/>
        <v>0</v>
      </c>
      <c r="AF208" s="277">
        <f t="shared" ca="1" si="38"/>
        <v>0</v>
      </c>
      <c r="AG208" s="402">
        <f ca="1">IF(  AND(AC208=AdóHó,   MAX(AF$1:AF207)&lt;2),   SUMIF(AB:AB,AB208-1,AE:AE),0  )
+ IF(AND(AC208&lt;AdóHó,                            AF208=2),   SUMIF(AB:AB,AB208-1,AE:AE),0  )
+ IF(                                                                  AF208=2,    SUMIF(AB:AB,AB208,AE:AE   ),0  )</f>
        <v>0</v>
      </c>
      <c r="AH208" s="272">
        <f ca="1">SUM(AG$2:AG208)</f>
        <v>766338.99677578884</v>
      </c>
    </row>
    <row r="209" spans="1:34">
      <c r="A209" s="265">
        <f t="shared" si="39"/>
        <v>18</v>
      </c>
      <c r="B209" s="265">
        <f t="shared" si="40"/>
        <v>3</v>
      </c>
      <c r="C209" s="265">
        <f t="shared" ca="1" si="41"/>
        <v>18</v>
      </c>
      <c r="D209" s="265">
        <f t="shared" ca="1" si="42"/>
        <v>6</v>
      </c>
      <c r="E209" s="266">
        <v>5.0000000000000001E-3</v>
      </c>
      <c r="F209" s="267">
        <f>ÉV!$B$12</f>
        <v>0</v>
      </c>
      <c r="G209" s="271">
        <f ca="1">VLOOKUP(A209,ÉV!$A$18:$B$65,2,0)</f>
        <v>293140.54110793414</v>
      </c>
      <c r="H209" s="271">
        <f ca="1">IF(OR(A209=1,AND(C209=ÉV!$I$2,D209&gt;ÉV!$J$2),C209&gt;ÉV!$I$2),0,INDEX(Pz!$B$2:$AM$48,A209-1,ÉV!$G$2-9)/100000*ÉV!$B$10)</f>
        <v>259637.46531748463</v>
      </c>
      <c r="I209" s="271">
        <f ca="1">INDEX(Pz!$B$2:$AM$48,HÓ!A209,ÉV!$G$2-9)/100000*ÉV!$B$10</f>
        <v>264813.49756126903</v>
      </c>
      <c r="J209" s="273">
        <f ca="1">IF(OR(A209=1,A209=2,AND(C209=ÉV!$I$2,D209&gt;ÉV!$J$2),C209&gt;ÉV!$I$2),0,VLOOKUP(A209-2,ÉV!$A$18:$C$65,3,0))</f>
        <v>3344757.9533744366</v>
      </c>
      <c r="K209" s="273">
        <f ca="1">IF(OR(A209=1,AND(C209=ÉV!$I$2,D209&gt;ÉV!$J$2),C209&gt;ÉV!$I$2),0,VLOOKUP(A209-1,ÉV!$A$18:$C$65,3,0))</f>
        <v>3610423.7462134059</v>
      </c>
      <c r="L209" s="273">
        <f ca="1">VLOOKUP(A209,ÉV!$A$18:$C$65,3,0)*IF(OR(AND(C209=ÉV!$I$2,D209&gt;ÉV!$J$2),C209&gt;ÉV!$I$2),0,1)</f>
        <v>3881267.5064132973</v>
      </c>
      <c r="M209" s="273">
        <f ca="1">(K209*(12-B209)/12+L209*B209/12)*IF(A209&gt;ÉV!$G$2,0,1)+IF(A209&gt;ÉV!$G$2,M208,0)*IF(OR(AND(C209=ÉV!$I$2,D209&gt;ÉV!$J$2),C209&gt;ÉV!$I$2),0,1)</f>
        <v>3678134.6862633787</v>
      </c>
      <c r="N209" s="274">
        <f ca="1">IF(AND(C209=1,D209&lt;12),0,1)*IF(D209=12,MAX(0,F209-E209-0.003)*0.9*((K209+I209)*(B209/12)+(J209+H209)*(1-B209/12))+MAX(0,F209-0.003)*0.9*N208+N208,IF(AND(C209=ÉV!$I$2,D209=ÉV!$J$2),(M209+N208)*MAX(0,F209-0.003)*0.9*(D209/12)+N208,N208))*IF(OR(C209&gt;ÉV!$I$2,AND(C209=ÉV!$I$2,D209&gt;ÉV!$J$2)),0,1)</f>
        <v>0</v>
      </c>
      <c r="O209" s="313">
        <f ca="1">IF(MAX(AF$2:AF208)=2,      0,IF(OR(AC209=7, AF209=2),    SUM(AE$2:AE209),    O208)   )</f>
        <v>766338.99677578884</v>
      </c>
      <c r="P209" s="271">
        <f ca="1">IF(D209=12,V209+P208+P208*(F209-0.003)*0.9,IF(AND(C209=ÉV!$I$2,D209=ÉV!$J$2),V209+P208+P208*(F209-0.003)*0.9*D209/12,P208))*IF(OR(C209&gt;ÉV!$I$2,AND(C209=ÉV!$I$2,D209&gt;ÉV!$J$2)),0,1)</f>
        <v>0</v>
      </c>
      <c r="Q209" s="275">
        <f ca="1">(N209+P209)*IF(OR(AND(C209=ÉV!$I$2,D209&gt;ÉV!$J$2),C209&gt;ÉV!$I$2),0,1)</f>
        <v>0</v>
      </c>
      <c r="R209" s="271">
        <f ca="1">(MAX(0,F209-E209-0.003)*0.9*((K209+I209)*(1/12)))*IF(OR(C209&gt;ÉV!$I$2,AND(C209=ÉV!$I$2,D209&gt;ÉV!$J$2)),0,1)</f>
        <v>0</v>
      </c>
      <c r="S209" s="271">
        <f ca="1">(MAX(0,F209-0.003)*0.9*((O209)*(1/12)))*IF(OR(C209&gt;ÉV!$I$2,AND(C209=ÉV!$I$2,D209&gt;ÉV!$J$2)),0,1)</f>
        <v>0</v>
      </c>
      <c r="T209" s="271">
        <f ca="1">(MAX(0,F209-0.003)*0.9*((Q208)*(1/12)))*IF(OR(C209&gt;ÉV!$I$2,AND(C209=ÉV!$I$2,D209&gt;ÉV!$J$2)),0,1)</f>
        <v>0</v>
      </c>
      <c r="U209" s="271">
        <f ca="1">IF($D209=1,R209,R209+U208)*IF(OR(C209&gt;ÉV!$I$2,AND(C209=ÉV!$I$2,D209&gt;ÉV!$J$2)),0,1)</f>
        <v>0</v>
      </c>
      <c r="V209" s="271">
        <f ca="1">IF($D209=1,S209,S209+V208)*IF(OR(C209&gt;ÉV!$I$2,AND(C209=ÉV!$I$2,D209&gt;ÉV!$J$2)),0,1)</f>
        <v>0</v>
      </c>
      <c r="W209" s="271">
        <f ca="1">IF($D209=1,T209,T209+W208)*IF(OR(C209&gt;ÉV!$I$2,AND(C209=ÉV!$I$2,D209&gt;ÉV!$J$2)),0,1)</f>
        <v>0</v>
      </c>
      <c r="X209" s="271">
        <f ca="1">IF(OR(D209=12,AND(C209=ÉV!$I$2,D209=ÉV!$J$2)),SUM(U209:W209)+X208,X208)*IF(OR(C209&gt;ÉV!$I$2,AND(C209=ÉV!$I$2,D209&gt;ÉV!$J$2)),0,1)</f>
        <v>0</v>
      </c>
      <c r="Y209" s="271">
        <f t="shared" ca="1" si="35"/>
        <v>0</v>
      </c>
      <c r="Z209" s="265">
        <f t="shared" si="36"/>
        <v>3</v>
      </c>
      <c r="AA209" s="272">
        <f t="shared" ca="1" si="37"/>
        <v>24428.37842566118</v>
      </c>
      <c r="AB209" s="265">
        <f t="shared" ca="1" si="43"/>
        <v>2034</v>
      </c>
      <c r="AC209" s="265">
        <f t="shared" ca="1" si="44"/>
        <v>6</v>
      </c>
      <c r="AD209" s="276">
        <f ca="1">IF(     OR(               AND(MAX(AF$6:AF209)&lt;2,  AC209=12),                 AF209=2),                   SUMIF(AB:AB,AB209,AA:AA),                       0)</f>
        <v>0</v>
      </c>
      <c r="AE209" s="277">
        <f t="shared" ca="1" si="45"/>
        <v>0</v>
      </c>
      <c r="AF209" s="277">
        <f t="shared" ca="1" si="38"/>
        <v>0</v>
      </c>
      <c r="AG209" s="402">
        <f ca="1">IF(  AND(AC209=AdóHó,   MAX(AF$1:AF208)&lt;2),   SUMIF(AB:AB,AB209-1,AE:AE),0  )
+ IF(AND(AC209&lt;AdóHó,                            AF209=2),   SUMIF(AB:AB,AB209-1,AE:AE),0  )
+ IF(                                                                  AF209=2,    SUMIF(AB:AB,AB209,AE:AE   ),0  )</f>
        <v>0</v>
      </c>
      <c r="AH209" s="272">
        <f ca="1">SUM(AG$2:AG209)</f>
        <v>766338.99677578884</v>
      </c>
    </row>
    <row r="210" spans="1:34">
      <c r="A210" s="265">
        <f t="shared" si="39"/>
        <v>18</v>
      </c>
      <c r="B210" s="265">
        <f t="shared" si="40"/>
        <v>4</v>
      </c>
      <c r="C210" s="265">
        <f t="shared" ca="1" si="41"/>
        <v>18</v>
      </c>
      <c r="D210" s="265">
        <f t="shared" ca="1" si="42"/>
        <v>7</v>
      </c>
      <c r="E210" s="266">
        <v>5.0000000000000001E-3</v>
      </c>
      <c r="F210" s="267">
        <f>ÉV!$B$12</f>
        <v>0</v>
      </c>
      <c r="G210" s="271">
        <f ca="1">VLOOKUP(A210,ÉV!$A$18:$B$65,2,0)</f>
        <v>293140.54110793414</v>
      </c>
      <c r="H210" s="271">
        <f ca="1">IF(OR(A210=1,AND(C210=ÉV!$I$2,D210&gt;ÉV!$J$2),C210&gt;ÉV!$I$2),0,INDEX(Pz!$B$2:$AM$48,A210-1,ÉV!$G$2-9)/100000*ÉV!$B$10)</f>
        <v>259637.46531748463</v>
      </c>
      <c r="I210" s="271">
        <f ca="1">INDEX(Pz!$B$2:$AM$48,HÓ!A210,ÉV!$G$2-9)/100000*ÉV!$B$10</f>
        <v>264813.49756126903</v>
      </c>
      <c r="J210" s="273">
        <f ca="1">IF(OR(A210=1,A210=2,AND(C210=ÉV!$I$2,D210&gt;ÉV!$J$2),C210&gt;ÉV!$I$2),0,VLOOKUP(A210-2,ÉV!$A$18:$C$65,3,0))</f>
        <v>3344757.9533744366</v>
      </c>
      <c r="K210" s="273">
        <f ca="1">IF(OR(A210=1,AND(C210=ÉV!$I$2,D210&gt;ÉV!$J$2),C210&gt;ÉV!$I$2),0,VLOOKUP(A210-1,ÉV!$A$18:$C$65,3,0))</f>
        <v>3610423.7462134059</v>
      </c>
      <c r="L210" s="273">
        <f ca="1">VLOOKUP(A210,ÉV!$A$18:$C$65,3,0)*IF(OR(AND(C210=ÉV!$I$2,D210&gt;ÉV!$J$2),C210&gt;ÉV!$I$2),0,1)</f>
        <v>3881267.5064132973</v>
      </c>
      <c r="M210" s="273">
        <f ca="1">(K210*(12-B210)/12+L210*B210/12)*IF(A210&gt;ÉV!$G$2,0,1)+IF(A210&gt;ÉV!$G$2,M209,0)*IF(OR(AND(C210=ÉV!$I$2,D210&gt;ÉV!$J$2),C210&gt;ÉV!$I$2),0,1)</f>
        <v>3700704.9996133698</v>
      </c>
      <c r="N210" s="274">
        <f ca="1">IF(AND(C210=1,D210&lt;12),0,1)*IF(D210=12,MAX(0,F210-E210-0.003)*0.9*((K210+I210)*(B210/12)+(J210+H210)*(1-B210/12))+MAX(0,F210-0.003)*0.9*N209+N209,IF(AND(C210=ÉV!$I$2,D210=ÉV!$J$2),(M210+N209)*MAX(0,F210-0.003)*0.9*(D210/12)+N209,N209))*IF(OR(C210&gt;ÉV!$I$2,AND(C210=ÉV!$I$2,D210&gt;ÉV!$J$2)),0,1)</f>
        <v>0</v>
      </c>
      <c r="O210" s="313">
        <f ca="1">IF(MAX(AF$2:AF209)=2,      0,IF(OR(AC210=7, AF210=2),    SUM(AE$2:AE210),    O209)   )</f>
        <v>823535.77671130467</v>
      </c>
      <c r="P210" s="271">
        <f ca="1">IF(D210=12,V210+P209+P209*(F210-0.003)*0.9,IF(AND(C210=ÉV!$I$2,D210=ÉV!$J$2),V210+P209+P209*(F210-0.003)*0.9*D210/12,P209))*IF(OR(C210&gt;ÉV!$I$2,AND(C210=ÉV!$I$2,D210&gt;ÉV!$J$2)),0,1)</f>
        <v>0</v>
      </c>
      <c r="Q210" s="275">
        <f ca="1">(N210+P210)*IF(OR(AND(C210=ÉV!$I$2,D210&gt;ÉV!$J$2),C210&gt;ÉV!$I$2),0,1)</f>
        <v>0</v>
      </c>
      <c r="R210" s="271">
        <f ca="1">(MAX(0,F210-E210-0.003)*0.9*((K210+I210)*(1/12)))*IF(OR(C210&gt;ÉV!$I$2,AND(C210=ÉV!$I$2,D210&gt;ÉV!$J$2)),0,1)</f>
        <v>0</v>
      </c>
      <c r="S210" s="271">
        <f ca="1">(MAX(0,F210-0.003)*0.9*((O210)*(1/12)))*IF(OR(C210&gt;ÉV!$I$2,AND(C210=ÉV!$I$2,D210&gt;ÉV!$J$2)),0,1)</f>
        <v>0</v>
      </c>
      <c r="T210" s="271">
        <f ca="1">(MAX(0,F210-0.003)*0.9*((Q209)*(1/12)))*IF(OR(C210&gt;ÉV!$I$2,AND(C210=ÉV!$I$2,D210&gt;ÉV!$J$2)),0,1)</f>
        <v>0</v>
      </c>
      <c r="U210" s="271">
        <f ca="1">IF($D210=1,R210,R210+U209)*IF(OR(C210&gt;ÉV!$I$2,AND(C210=ÉV!$I$2,D210&gt;ÉV!$J$2)),0,1)</f>
        <v>0</v>
      </c>
      <c r="V210" s="271">
        <f ca="1">IF($D210=1,S210,S210+V209)*IF(OR(C210&gt;ÉV!$I$2,AND(C210=ÉV!$I$2,D210&gt;ÉV!$J$2)),0,1)</f>
        <v>0</v>
      </c>
      <c r="W210" s="271">
        <f ca="1">IF($D210=1,T210,T210+W209)*IF(OR(C210&gt;ÉV!$I$2,AND(C210=ÉV!$I$2,D210&gt;ÉV!$J$2)),0,1)</f>
        <v>0</v>
      </c>
      <c r="X210" s="271">
        <f ca="1">IF(OR(D210=12,AND(C210=ÉV!$I$2,D210=ÉV!$J$2)),SUM(U210:W210)+X209,X209)*IF(OR(C210&gt;ÉV!$I$2,AND(C210=ÉV!$I$2,D210&gt;ÉV!$J$2)),0,1)</f>
        <v>0</v>
      </c>
      <c r="Y210" s="271">
        <f t="shared" ca="1" si="35"/>
        <v>0</v>
      </c>
      <c r="Z210" s="265">
        <f t="shared" si="36"/>
        <v>4</v>
      </c>
      <c r="AA210" s="272">
        <f t="shared" ca="1" si="37"/>
        <v>24428.37842566118</v>
      </c>
      <c r="AB210" s="265">
        <f t="shared" ca="1" si="43"/>
        <v>2034</v>
      </c>
      <c r="AC210" s="265">
        <f t="shared" ca="1" si="44"/>
        <v>7</v>
      </c>
      <c r="AD210" s="276">
        <f ca="1">IF(     OR(               AND(MAX(AF$6:AF210)&lt;2,  AC210=12),                 AF210=2),                   SUMIF(AB:AB,AB210,AA:AA),                       0)</f>
        <v>0</v>
      </c>
      <c r="AE210" s="277">
        <f t="shared" ca="1" si="45"/>
        <v>0</v>
      </c>
      <c r="AF210" s="277">
        <f t="shared" ca="1" si="38"/>
        <v>0</v>
      </c>
      <c r="AG210" s="402">
        <f ca="1">IF(  AND(AC210=AdóHó,   MAX(AF$1:AF209)&lt;2),   SUMIF(AB:AB,AB210-1,AE:AE),0  )
+ IF(AND(AC210&lt;AdóHó,                            AF210=2),   SUMIF(AB:AB,AB210-1,AE:AE),0  )
+ IF(                                                                  AF210=2,    SUMIF(AB:AB,AB210,AE:AE   ),0  )</f>
        <v>57196.779935515791</v>
      </c>
      <c r="AH210" s="272">
        <f ca="1">SUM(AG$2:AG210)</f>
        <v>823535.77671130467</v>
      </c>
    </row>
    <row r="211" spans="1:34">
      <c r="A211" s="265">
        <f t="shared" si="39"/>
        <v>18</v>
      </c>
      <c r="B211" s="265">
        <f t="shared" si="40"/>
        <v>5</v>
      </c>
      <c r="C211" s="265">
        <f t="shared" ca="1" si="41"/>
        <v>18</v>
      </c>
      <c r="D211" s="265">
        <f t="shared" ca="1" si="42"/>
        <v>8</v>
      </c>
      <c r="E211" s="266">
        <v>5.0000000000000001E-3</v>
      </c>
      <c r="F211" s="267">
        <f>ÉV!$B$12</f>
        <v>0</v>
      </c>
      <c r="G211" s="271">
        <f ca="1">VLOOKUP(A211,ÉV!$A$18:$B$65,2,0)</f>
        <v>293140.54110793414</v>
      </c>
      <c r="H211" s="271">
        <f ca="1">IF(OR(A211=1,AND(C211=ÉV!$I$2,D211&gt;ÉV!$J$2),C211&gt;ÉV!$I$2),0,INDEX(Pz!$B$2:$AM$48,A211-1,ÉV!$G$2-9)/100000*ÉV!$B$10)</f>
        <v>259637.46531748463</v>
      </c>
      <c r="I211" s="271">
        <f ca="1">INDEX(Pz!$B$2:$AM$48,HÓ!A211,ÉV!$G$2-9)/100000*ÉV!$B$10</f>
        <v>264813.49756126903</v>
      </c>
      <c r="J211" s="273">
        <f ca="1">IF(OR(A211=1,A211=2,AND(C211=ÉV!$I$2,D211&gt;ÉV!$J$2),C211&gt;ÉV!$I$2),0,VLOOKUP(A211-2,ÉV!$A$18:$C$65,3,0))</f>
        <v>3344757.9533744366</v>
      </c>
      <c r="K211" s="273">
        <f ca="1">IF(OR(A211=1,AND(C211=ÉV!$I$2,D211&gt;ÉV!$J$2),C211&gt;ÉV!$I$2),0,VLOOKUP(A211-1,ÉV!$A$18:$C$65,3,0))</f>
        <v>3610423.7462134059</v>
      </c>
      <c r="L211" s="273">
        <f ca="1">VLOOKUP(A211,ÉV!$A$18:$C$65,3,0)*IF(OR(AND(C211=ÉV!$I$2,D211&gt;ÉV!$J$2),C211&gt;ÉV!$I$2),0,1)</f>
        <v>3881267.5064132973</v>
      </c>
      <c r="M211" s="273">
        <f ca="1">(K211*(12-B211)/12+L211*B211/12)*IF(A211&gt;ÉV!$G$2,0,1)+IF(A211&gt;ÉV!$G$2,M210,0)*IF(OR(AND(C211=ÉV!$I$2,D211&gt;ÉV!$J$2),C211&gt;ÉV!$I$2),0,1)</f>
        <v>3723275.3129633609</v>
      </c>
      <c r="N211" s="274">
        <f ca="1">IF(AND(C211=1,D211&lt;12),0,1)*IF(D211=12,MAX(0,F211-E211-0.003)*0.9*((K211+I211)*(B211/12)+(J211+H211)*(1-B211/12))+MAX(0,F211-0.003)*0.9*N210+N210,IF(AND(C211=ÉV!$I$2,D211=ÉV!$J$2),(M211+N210)*MAX(0,F211-0.003)*0.9*(D211/12)+N210,N210))*IF(OR(C211&gt;ÉV!$I$2,AND(C211=ÉV!$I$2,D211&gt;ÉV!$J$2)),0,1)</f>
        <v>0</v>
      </c>
      <c r="O211" s="313">
        <f ca="1">IF(MAX(AF$2:AF210)=2,      0,IF(OR(AC211=7, AF211=2),    SUM(AE$2:AE211),    O210)   )</f>
        <v>823535.77671130467</v>
      </c>
      <c r="P211" s="271">
        <f ca="1">IF(D211=12,V211+P210+P210*(F211-0.003)*0.9,IF(AND(C211=ÉV!$I$2,D211=ÉV!$J$2),V211+P210+P210*(F211-0.003)*0.9*D211/12,P210))*IF(OR(C211&gt;ÉV!$I$2,AND(C211=ÉV!$I$2,D211&gt;ÉV!$J$2)),0,1)</f>
        <v>0</v>
      </c>
      <c r="Q211" s="275">
        <f ca="1">(N211+P211)*IF(OR(AND(C211=ÉV!$I$2,D211&gt;ÉV!$J$2),C211&gt;ÉV!$I$2),0,1)</f>
        <v>0</v>
      </c>
      <c r="R211" s="271">
        <f ca="1">(MAX(0,F211-E211-0.003)*0.9*((K211+I211)*(1/12)))*IF(OR(C211&gt;ÉV!$I$2,AND(C211=ÉV!$I$2,D211&gt;ÉV!$J$2)),0,1)</f>
        <v>0</v>
      </c>
      <c r="S211" s="271">
        <f ca="1">(MAX(0,F211-0.003)*0.9*((O211)*(1/12)))*IF(OR(C211&gt;ÉV!$I$2,AND(C211=ÉV!$I$2,D211&gt;ÉV!$J$2)),0,1)</f>
        <v>0</v>
      </c>
      <c r="T211" s="271">
        <f ca="1">(MAX(0,F211-0.003)*0.9*((Q210)*(1/12)))*IF(OR(C211&gt;ÉV!$I$2,AND(C211=ÉV!$I$2,D211&gt;ÉV!$J$2)),0,1)</f>
        <v>0</v>
      </c>
      <c r="U211" s="271">
        <f ca="1">IF($D211=1,R211,R211+U210)*IF(OR(C211&gt;ÉV!$I$2,AND(C211=ÉV!$I$2,D211&gt;ÉV!$J$2)),0,1)</f>
        <v>0</v>
      </c>
      <c r="V211" s="271">
        <f ca="1">IF($D211=1,S211,S211+V210)*IF(OR(C211&gt;ÉV!$I$2,AND(C211=ÉV!$I$2,D211&gt;ÉV!$J$2)),0,1)</f>
        <v>0</v>
      </c>
      <c r="W211" s="271">
        <f ca="1">IF($D211=1,T211,T211+W210)*IF(OR(C211&gt;ÉV!$I$2,AND(C211=ÉV!$I$2,D211&gt;ÉV!$J$2)),0,1)</f>
        <v>0</v>
      </c>
      <c r="X211" s="271">
        <f ca="1">IF(OR(D211=12,AND(C211=ÉV!$I$2,D211=ÉV!$J$2)),SUM(U211:W211)+X210,X210)*IF(OR(C211&gt;ÉV!$I$2,AND(C211=ÉV!$I$2,D211&gt;ÉV!$J$2)),0,1)</f>
        <v>0</v>
      </c>
      <c r="Y211" s="271">
        <f t="shared" ca="1" si="35"/>
        <v>0</v>
      </c>
      <c r="Z211" s="265">
        <f t="shared" si="36"/>
        <v>5</v>
      </c>
      <c r="AA211" s="272">
        <f t="shared" ca="1" si="37"/>
        <v>24428.37842566118</v>
      </c>
      <c r="AB211" s="265">
        <f t="shared" ca="1" si="43"/>
        <v>2034</v>
      </c>
      <c r="AC211" s="265">
        <f t="shared" ca="1" si="44"/>
        <v>8</v>
      </c>
      <c r="AD211" s="276">
        <f ca="1">IF(     OR(               AND(MAX(AF$6:AF211)&lt;2,  AC211=12),                 AF211=2),                   SUMIF(AB:AB,AB211,AA:AA),                       0)</f>
        <v>0</v>
      </c>
      <c r="AE211" s="277">
        <f t="shared" ca="1" si="45"/>
        <v>0</v>
      </c>
      <c r="AF211" s="277">
        <f t="shared" ca="1" si="38"/>
        <v>0</v>
      </c>
      <c r="AG211" s="402">
        <f ca="1">IF(  AND(AC211=AdóHó,   MAX(AF$1:AF210)&lt;2),   SUMIF(AB:AB,AB211-1,AE:AE),0  )
+ IF(AND(AC211&lt;AdóHó,                            AF211=2),   SUMIF(AB:AB,AB211-1,AE:AE),0  )
+ IF(                                                                  AF211=2,    SUMIF(AB:AB,AB211,AE:AE   ),0  )</f>
        <v>0</v>
      </c>
      <c r="AH211" s="272">
        <f ca="1">SUM(AG$2:AG211)</f>
        <v>823535.77671130467</v>
      </c>
    </row>
    <row r="212" spans="1:34">
      <c r="A212" s="265">
        <f t="shared" si="39"/>
        <v>18</v>
      </c>
      <c r="B212" s="265">
        <f t="shared" si="40"/>
        <v>6</v>
      </c>
      <c r="C212" s="265">
        <f t="shared" ca="1" si="41"/>
        <v>18</v>
      </c>
      <c r="D212" s="265">
        <f t="shared" ca="1" si="42"/>
        <v>9</v>
      </c>
      <c r="E212" s="266">
        <v>5.0000000000000001E-3</v>
      </c>
      <c r="F212" s="267">
        <f>ÉV!$B$12</f>
        <v>0</v>
      </c>
      <c r="G212" s="271">
        <f ca="1">VLOOKUP(A212,ÉV!$A$18:$B$65,2,0)</f>
        <v>293140.54110793414</v>
      </c>
      <c r="H212" s="271">
        <f ca="1">IF(OR(A212=1,AND(C212=ÉV!$I$2,D212&gt;ÉV!$J$2),C212&gt;ÉV!$I$2),0,INDEX(Pz!$B$2:$AM$48,A212-1,ÉV!$G$2-9)/100000*ÉV!$B$10)</f>
        <v>259637.46531748463</v>
      </c>
      <c r="I212" s="271">
        <f ca="1">INDEX(Pz!$B$2:$AM$48,HÓ!A212,ÉV!$G$2-9)/100000*ÉV!$B$10</f>
        <v>264813.49756126903</v>
      </c>
      <c r="J212" s="273">
        <f ca="1">IF(OR(A212=1,A212=2,AND(C212=ÉV!$I$2,D212&gt;ÉV!$J$2),C212&gt;ÉV!$I$2),0,VLOOKUP(A212-2,ÉV!$A$18:$C$65,3,0))</f>
        <v>3344757.9533744366</v>
      </c>
      <c r="K212" s="273">
        <f ca="1">IF(OR(A212=1,AND(C212=ÉV!$I$2,D212&gt;ÉV!$J$2),C212&gt;ÉV!$I$2),0,VLOOKUP(A212-1,ÉV!$A$18:$C$65,3,0))</f>
        <v>3610423.7462134059</v>
      </c>
      <c r="L212" s="273">
        <f ca="1">VLOOKUP(A212,ÉV!$A$18:$C$65,3,0)*IF(OR(AND(C212=ÉV!$I$2,D212&gt;ÉV!$J$2),C212&gt;ÉV!$I$2),0,1)</f>
        <v>3881267.5064132973</v>
      </c>
      <c r="M212" s="273">
        <f ca="1">(K212*(12-B212)/12+L212*B212/12)*IF(A212&gt;ÉV!$G$2,0,1)+IF(A212&gt;ÉV!$G$2,M211,0)*IF(OR(AND(C212=ÉV!$I$2,D212&gt;ÉV!$J$2),C212&gt;ÉV!$I$2),0,1)</f>
        <v>3745845.6263133516</v>
      </c>
      <c r="N212" s="274">
        <f ca="1">IF(AND(C212=1,D212&lt;12),0,1)*IF(D212=12,MAX(0,F212-E212-0.003)*0.9*((K212+I212)*(B212/12)+(J212+H212)*(1-B212/12))+MAX(0,F212-0.003)*0.9*N211+N211,IF(AND(C212=ÉV!$I$2,D212=ÉV!$J$2),(M212+N211)*MAX(0,F212-0.003)*0.9*(D212/12)+N211,N211))*IF(OR(C212&gt;ÉV!$I$2,AND(C212=ÉV!$I$2,D212&gt;ÉV!$J$2)),0,1)</f>
        <v>0</v>
      </c>
      <c r="O212" s="313">
        <f ca="1">IF(MAX(AF$2:AF211)=2,      0,IF(OR(AC212=7, AF212=2),    SUM(AE$2:AE212),    O211)   )</f>
        <v>823535.77671130467</v>
      </c>
      <c r="P212" s="271">
        <f ca="1">IF(D212=12,V212+P211+P211*(F212-0.003)*0.9,IF(AND(C212=ÉV!$I$2,D212=ÉV!$J$2),V212+P211+P211*(F212-0.003)*0.9*D212/12,P211))*IF(OR(C212&gt;ÉV!$I$2,AND(C212=ÉV!$I$2,D212&gt;ÉV!$J$2)),0,1)</f>
        <v>0</v>
      </c>
      <c r="Q212" s="275">
        <f ca="1">(N212+P212)*IF(OR(AND(C212=ÉV!$I$2,D212&gt;ÉV!$J$2),C212&gt;ÉV!$I$2),0,1)</f>
        <v>0</v>
      </c>
      <c r="R212" s="271">
        <f ca="1">(MAX(0,F212-E212-0.003)*0.9*((K212+I212)*(1/12)))*IF(OR(C212&gt;ÉV!$I$2,AND(C212=ÉV!$I$2,D212&gt;ÉV!$J$2)),0,1)</f>
        <v>0</v>
      </c>
      <c r="S212" s="271">
        <f ca="1">(MAX(0,F212-0.003)*0.9*((O212)*(1/12)))*IF(OR(C212&gt;ÉV!$I$2,AND(C212=ÉV!$I$2,D212&gt;ÉV!$J$2)),0,1)</f>
        <v>0</v>
      </c>
      <c r="T212" s="271">
        <f ca="1">(MAX(0,F212-0.003)*0.9*((Q211)*(1/12)))*IF(OR(C212&gt;ÉV!$I$2,AND(C212=ÉV!$I$2,D212&gt;ÉV!$J$2)),0,1)</f>
        <v>0</v>
      </c>
      <c r="U212" s="271">
        <f ca="1">IF($D212=1,R212,R212+U211)*IF(OR(C212&gt;ÉV!$I$2,AND(C212=ÉV!$I$2,D212&gt;ÉV!$J$2)),0,1)</f>
        <v>0</v>
      </c>
      <c r="V212" s="271">
        <f ca="1">IF($D212=1,S212,S212+V211)*IF(OR(C212&gt;ÉV!$I$2,AND(C212=ÉV!$I$2,D212&gt;ÉV!$J$2)),0,1)</f>
        <v>0</v>
      </c>
      <c r="W212" s="271">
        <f ca="1">IF($D212=1,T212,T212+W211)*IF(OR(C212&gt;ÉV!$I$2,AND(C212=ÉV!$I$2,D212&gt;ÉV!$J$2)),0,1)</f>
        <v>0</v>
      </c>
      <c r="X212" s="271">
        <f ca="1">IF(OR(D212=12,AND(C212=ÉV!$I$2,D212=ÉV!$J$2)),SUM(U212:W212)+X211,X211)*IF(OR(C212&gt;ÉV!$I$2,AND(C212=ÉV!$I$2,D212&gt;ÉV!$J$2)),0,1)</f>
        <v>0</v>
      </c>
      <c r="Y212" s="271">
        <f t="shared" ca="1" si="35"/>
        <v>0</v>
      </c>
      <c r="Z212" s="265">
        <f t="shared" si="36"/>
        <v>6</v>
      </c>
      <c r="AA212" s="272">
        <f t="shared" ca="1" si="37"/>
        <v>24428.37842566118</v>
      </c>
      <c r="AB212" s="265">
        <f t="shared" ca="1" si="43"/>
        <v>2034</v>
      </c>
      <c r="AC212" s="265">
        <f t="shared" ca="1" si="44"/>
        <v>9</v>
      </c>
      <c r="AD212" s="276">
        <f ca="1">IF(     OR(               AND(MAX(AF$6:AF212)&lt;2,  AC212=12),                 AF212=2),                   SUMIF(AB:AB,AB212,AA:AA),                       0)</f>
        <v>0</v>
      </c>
      <c r="AE212" s="277">
        <f t="shared" ca="1" si="45"/>
        <v>0</v>
      </c>
      <c r="AF212" s="277">
        <f t="shared" ca="1" si="38"/>
        <v>0</v>
      </c>
      <c r="AG212" s="402">
        <f ca="1">IF(  AND(AC212=AdóHó,   MAX(AF$1:AF211)&lt;2),   SUMIF(AB:AB,AB212-1,AE:AE),0  )
+ IF(AND(AC212&lt;AdóHó,                            AF212=2),   SUMIF(AB:AB,AB212-1,AE:AE),0  )
+ IF(                                                                  AF212=2,    SUMIF(AB:AB,AB212,AE:AE   ),0  )</f>
        <v>0</v>
      </c>
      <c r="AH212" s="272">
        <f ca="1">SUM(AG$2:AG212)</f>
        <v>823535.77671130467</v>
      </c>
    </row>
    <row r="213" spans="1:34">
      <c r="A213" s="265">
        <f t="shared" si="39"/>
        <v>18</v>
      </c>
      <c r="B213" s="265">
        <f t="shared" si="40"/>
        <v>7</v>
      </c>
      <c r="C213" s="265">
        <f t="shared" ca="1" si="41"/>
        <v>18</v>
      </c>
      <c r="D213" s="265">
        <f t="shared" ca="1" si="42"/>
        <v>10</v>
      </c>
      <c r="E213" s="266">
        <v>5.0000000000000001E-3</v>
      </c>
      <c r="F213" s="267">
        <f>ÉV!$B$12</f>
        <v>0</v>
      </c>
      <c r="G213" s="271">
        <f ca="1">VLOOKUP(A213,ÉV!$A$18:$B$65,2,0)</f>
        <v>293140.54110793414</v>
      </c>
      <c r="H213" s="271">
        <f ca="1">IF(OR(A213=1,AND(C213=ÉV!$I$2,D213&gt;ÉV!$J$2),C213&gt;ÉV!$I$2),0,INDEX(Pz!$B$2:$AM$48,A213-1,ÉV!$G$2-9)/100000*ÉV!$B$10)</f>
        <v>259637.46531748463</v>
      </c>
      <c r="I213" s="271">
        <f ca="1">INDEX(Pz!$B$2:$AM$48,HÓ!A213,ÉV!$G$2-9)/100000*ÉV!$B$10</f>
        <v>264813.49756126903</v>
      </c>
      <c r="J213" s="273">
        <f ca="1">IF(OR(A213=1,A213=2,AND(C213=ÉV!$I$2,D213&gt;ÉV!$J$2),C213&gt;ÉV!$I$2),0,VLOOKUP(A213-2,ÉV!$A$18:$C$65,3,0))</f>
        <v>3344757.9533744366</v>
      </c>
      <c r="K213" s="273">
        <f ca="1">IF(OR(A213=1,AND(C213=ÉV!$I$2,D213&gt;ÉV!$J$2),C213&gt;ÉV!$I$2),0,VLOOKUP(A213-1,ÉV!$A$18:$C$65,3,0))</f>
        <v>3610423.7462134059</v>
      </c>
      <c r="L213" s="273">
        <f ca="1">VLOOKUP(A213,ÉV!$A$18:$C$65,3,0)*IF(OR(AND(C213=ÉV!$I$2,D213&gt;ÉV!$J$2),C213&gt;ÉV!$I$2),0,1)</f>
        <v>3881267.5064132973</v>
      </c>
      <c r="M213" s="273">
        <f ca="1">(K213*(12-B213)/12+L213*B213/12)*IF(A213&gt;ÉV!$G$2,0,1)+IF(A213&gt;ÉV!$G$2,M212,0)*IF(OR(AND(C213=ÉV!$I$2,D213&gt;ÉV!$J$2),C213&gt;ÉV!$I$2),0,1)</f>
        <v>3768415.9396633427</v>
      </c>
      <c r="N213" s="274">
        <f ca="1">IF(AND(C213=1,D213&lt;12),0,1)*IF(D213=12,MAX(0,F213-E213-0.003)*0.9*((K213+I213)*(B213/12)+(J213+H213)*(1-B213/12))+MAX(0,F213-0.003)*0.9*N212+N212,IF(AND(C213=ÉV!$I$2,D213=ÉV!$J$2),(M213+N212)*MAX(0,F213-0.003)*0.9*(D213/12)+N212,N212))*IF(OR(C213&gt;ÉV!$I$2,AND(C213=ÉV!$I$2,D213&gt;ÉV!$J$2)),0,1)</f>
        <v>0</v>
      </c>
      <c r="O213" s="313">
        <f ca="1">IF(MAX(AF$2:AF212)=2,      0,IF(OR(AC213=7, AF213=2),    SUM(AE$2:AE213),    O212)   )</f>
        <v>823535.77671130467</v>
      </c>
      <c r="P213" s="271">
        <f ca="1">IF(D213=12,V213+P212+P212*(F213-0.003)*0.9,IF(AND(C213=ÉV!$I$2,D213=ÉV!$J$2),V213+P212+P212*(F213-0.003)*0.9*D213/12,P212))*IF(OR(C213&gt;ÉV!$I$2,AND(C213=ÉV!$I$2,D213&gt;ÉV!$J$2)),0,1)</f>
        <v>0</v>
      </c>
      <c r="Q213" s="275">
        <f ca="1">(N213+P213)*IF(OR(AND(C213=ÉV!$I$2,D213&gt;ÉV!$J$2),C213&gt;ÉV!$I$2),0,1)</f>
        <v>0</v>
      </c>
      <c r="R213" s="271">
        <f ca="1">(MAX(0,F213-E213-0.003)*0.9*((K213+I213)*(1/12)))*IF(OR(C213&gt;ÉV!$I$2,AND(C213=ÉV!$I$2,D213&gt;ÉV!$J$2)),0,1)</f>
        <v>0</v>
      </c>
      <c r="S213" s="271">
        <f ca="1">(MAX(0,F213-0.003)*0.9*((O213)*(1/12)))*IF(OR(C213&gt;ÉV!$I$2,AND(C213=ÉV!$I$2,D213&gt;ÉV!$J$2)),0,1)</f>
        <v>0</v>
      </c>
      <c r="T213" s="271">
        <f ca="1">(MAX(0,F213-0.003)*0.9*((Q212)*(1/12)))*IF(OR(C213&gt;ÉV!$I$2,AND(C213=ÉV!$I$2,D213&gt;ÉV!$J$2)),0,1)</f>
        <v>0</v>
      </c>
      <c r="U213" s="271">
        <f ca="1">IF($D213=1,R213,R213+U212)*IF(OR(C213&gt;ÉV!$I$2,AND(C213=ÉV!$I$2,D213&gt;ÉV!$J$2)),0,1)</f>
        <v>0</v>
      </c>
      <c r="V213" s="271">
        <f ca="1">IF($D213=1,S213,S213+V212)*IF(OR(C213&gt;ÉV!$I$2,AND(C213=ÉV!$I$2,D213&gt;ÉV!$J$2)),0,1)</f>
        <v>0</v>
      </c>
      <c r="W213" s="271">
        <f ca="1">IF($D213=1,T213,T213+W212)*IF(OR(C213&gt;ÉV!$I$2,AND(C213=ÉV!$I$2,D213&gt;ÉV!$J$2)),0,1)</f>
        <v>0</v>
      </c>
      <c r="X213" s="271">
        <f ca="1">IF(OR(D213=12,AND(C213=ÉV!$I$2,D213=ÉV!$J$2)),SUM(U213:W213)+X212,X212)*IF(OR(C213&gt;ÉV!$I$2,AND(C213=ÉV!$I$2,D213&gt;ÉV!$J$2)),0,1)</f>
        <v>0</v>
      </c>
      <c r="Y213" s="271">
        <f t="shared" ca="1" si="35"/>
        <v>0</v>
      </c>
      <c r="Z213" s="265">
        <f t="shared" si="36"/>
        <v>7</v>
      </c>
      <c r="AA213" s="272">
        <f t="shared" ca="1" si="37"/>
        <v>24428.37842566118</v>
      </c>
      <c r="AB213" s="265">
        <f t="shared" ca="1" si="43"/>
        <v>2034</v>
      </c>
      <c r="AC213" s="265">
        <f t="shared" ca="1" si="44"/>
        <v>10</v>
      </c>
      <c r="AD213" s="276">
        <f ca="1">IF(     OR(               AND(MAX(AF$6:AF213)&lt;2,  AC213=12),                 AF213=2),                   SUMIF(AB:AB,AB213,AA:AA),                       0)</f>
        <v>0</v>
      </c>
      <c r="AE213" s="277">
        <f t="shared" ca="1" si="45"/>
        <v>0</v>
      </c>
      <c r="AF213" s="277">
        <f t="shared" ca="1" si="38"/>
        <v>0</v>
      </c>
      <c r="AG213" s="402">
        <f ca="1">IF(  AND(AC213=AdóHó,   MAX(AF$1:AF212)&lt;2),   SUMIF(AB:AB,AB213-1,AE:AE),0  )
+ IF(AND(AC213&lt;AdóHó,                            AF213=2),   SUMIF(AB:AB,AB213-1,AE:AE),0  )
+ IF(                                                                  AF213=2,    SUMIF(AB:AB,AB213,AE:AE   ),0  )</f>
        <v>0</v>
      </c>
      <c r="AH213" s="272">
        <f ca="1">SUM(AG$2:AG213)</f>
        <v>823535.77671130467</v>
      </c>
    </row>
    <row r="214" spans="1:34">
      <c r="A214" s="265">
        <f t="shared" si="39"/>
        <v>18</v>
      </c>
      <c r="B214" s="265">
        <f t="shared" si="40"/>
        <v>8</v>
      </c>
      <c r="C214" s="265">
        <f t="shared" ca="1" si="41"/>
        <v>18</v>
      </c>
      <c r="D214" s="265">
        <f t="shared" ca="1" si="42"/>
        <v>11</v>
      </c>
      <c r="E214" s="266">
        <v>5.0000000000000001E-3</v>
      </c>
      <c r="F214" s="267">
        <f>ÉV!$B$12</f>
        <v>0</v>
      </c>
      <c r="G214" s="271">
        <f ca="1">VLOOKUP(A214,ÉV!$A$18:$B$65,2,0)</f>
        <v>293140.54110793414</v>
      </c>
      <c r="H214" s="271">
        <f ca="1">IF(OR(A214=1,AND(C214=ÉV!$I$2,D214&gt;ÉV!$J$2),C214&gt;ÉV!$I$2),0,INDEX(Pz!$B$2:$AM$48,A214-1,ÉV!$G$2-9)/100000*ÉV!$B$10)</f>
        <v>259637.46531748463</v>
      </c>
      <c r="I214" s="271">
        <f ca="1">INDEX(Pz!$B$2:$AM$48,HÓ!A214,ÉV!$G$2-9)/100000*ÉV!$B$10</f>
        <v>264813.49756126903</v>
      </c>
      <c r="J214" s="273">
        <f ca="1">IF(OR(A214=1,A214=2,AND(C214=ÉV!$I$2,D214&gt;ÉV!$J$2),C214&gt;ÉV!$I$2),0,VLOOKUP(A214-2,ÉV!$A$18:$C$65,3,0))</f>
        <v>3344757.9533744366</v>
      </c>
      <c r="K214" s="273">
        <f ca="1">IF(OR(A214=1,AND(C214=ÉV!$I$2,D214&gt;ÉV!$J$2),C214&gt;ÉV!$I$2),0,VLOOKUP(A214-1,ÉV!$A$18:$C$65,3,0))</f>
        <v>3610423.7462134059</v>
      </c>
      <c r="L214" s="273">
        <f ca="1">VLOOKUP(A214,ÉV!$A$18:$C$65,3,0)*IF(OR(AND(C214=ÉV!$I$2,D214&gt;ÉV!$J$2),C214&gt;ÉV!$I$2),0,1)</f>
        <v>3881267.5064132973</v>
      </c>
      <c r="M214" s="273">
        <f ca="1">(K214*(12-B214)/12+L214*B214/12)*IF(A214&gt;ÉV!$G$2,0,1)+IF(A214&gt;ÉV!$G$2,M213,0)*IF(OR(AND(C214=ÉV!$I$2,D214&gt;ÉV!$J$2),C214&gt;ÉV!$I$2),0,1)</f>
        <v>3790986.2530133333</v>
      </c>
      <c r="N214" s="274">
        <f ca="1">IF(AND(C214=1,D214&lt;12),0,1)*IF(D214=12,MAX(0,F214-E214-0.003)*0.9*((K214+I214)*(B214/12)+(J214+H214)*(1-B214/12))+MAX(0,F214-0.003)*0.9*N213+N213,IF(AND(C214=ÉV!$I$2,D214=ÉV!$J$2),(M214+N213)*MAX(0,F214-0.003)*0.9*(D214/12)+N213,N213))*IF(OR(C214&gt;ÉV!$I$2,AND(C214=ÉV!$I$2,D214&gt;ÉV!$J$2)),0,1)</f>
        <v>0</v>
      </c>
      <c r="O214" s="313">
        <f ca="1">IF(MAX(AF$2:AF213)=2,      0,IF(OR(AC214=7, AF214=2),    SUM(AE$2:AE214),    O213)   )</f>
        <v>823535.77671130467</v>
      </c>
      <c r="P214" s="271">
        <f ca="1">IF(D214=12,V214+P213+P213*(F214-0.003)*0.9,IF(AND(C214=ÉV!$I$2,D214=ÉV!$J$2),V214+P213+P213*(F214-0.003)*0.9*D214/12,P213))*IF(OR(C214&gt;ÉV!$I$2,AND(C214=ÉV!$I$2,D214&gt;ÉV!$J$2)),0,1)</f>
        <v>0</v>
      </c>
      <c r="Q214" s="275">
        <f ca="1">(N214+P214)*IF(OR(AND(C214=ÉV!$I$2,D214&gt;ÉV!$J$2),C214&gt;ÉV!$I$2),0,1)</f>
        <v>0</v>
      </c>
      <c r="R214" s="271">
        <f ca="1">(MAX(0,F214-E214-0.003)*0.9*((K214+I214)*(1/12)))*IF(OR(C214&gt;ÉV!$I$2,AND(C214=ÉV!$I$2,D214&gt;ÉV!$J$2)),0,1)</f>
        <v>0</v>
      </c>
      <c r="S214" s="271">
        <f ca="1">(MAX(0,F214-0.003)*0.9*((O214)*(1/12)))*IF(OR(C214&gt;ÉV!$I$2,AND(C214=ÉV!$I$2,D214&gt;ÉV!$J$2)),0,1)</f>
        <v>0</v>
      </c>
      <c r="T214" s="271">
        <f ca="1">(MAX(0,F214-0.003)*0.9*((Q213)*(1/12)))*IF(OR(C214&gt;ÉV!$I$2,AND(C214=ÉV!$I$2,D214&gt;ÉV!$J$2)),0,1)</f>
        <v>0</v>
      </c>
      <c r="U214" s="271">
        <f ca="1">IF($D214=1,R214,R214+U213)*IF(OR(C214&gt;ÉV!$I$2,AND(C214=ÉV!$I$2,D214&gt;ÉV!$J$2)),0,1)</f>
        <v>0</v>
      </c>
      <c r="V214" s="271">
        <f ca="1">IF($D214=1,S214,S214+V213)*IF(OR(C214&gt;ÉV!$I$2,AND(C214=ÉV!$I$2,D214&gt;ÉV!$J$2)),0,1)</f>
        <v>0</v>
      </c>
      <c r="W214" s="271">
        <f ca="1">IF($D214=1,T214,T214+W213)*IF(OR(C214&gt;ÉV!$I$2,AND(C214=ÉV!$I$2,D214&gt;ÉV!$J$2)),0,1)</f>
        <v>0</v>
      </c>
      <c r="X214" s="271">
        <f ca="1">IF(OR(D214=12,AND(C214=ÉV!$I$2,D214=ÉV!$J$2)),SUM(U214:W214)+X213,X213)*IF(OR(C214&gt;ÉV!$I$2,AND(C214=ÉV!$I$2,D214&gt;ÉV!$J$2)),0,1)</f>
        <v>0</v>
      </c>
      <c r="Y214" s="271">
        <f t="shared" ca="1" si="35"/>
        <v>0</v>
      </c>
      <c r="Z214" s="265">
        <f t="shared" si="36"/>
        <v>8</v>
      </c>
      <c r="AA214" s="272">
        <f t="shared" ca="1" si="37"/>
        <v>24428.37842566118</v>
      </c>
      <c r="AB214" s="265">
        <f t="shared" ca="1" si="43"/>
        <v>2034</v>
      </c>
      <c r="AC214" s="265">
        <f t="shared" ca="1" si="44"/>
        <v>11</v>
      </c>
      <c r="AD214" s="276">
        <f ca="1">IF(     OR(               AND(MAX(AF$6:AF214)&lt;2,  AC214=12),                 AF214=2),                   SUMIF(AB:AB,AB214,AA:AA),                       0)</f>
        <v>0</v>
      </c>
      <c r="AE214" s="277">
        <f t="shared" ca="1" si="45"/>
        <v>0</v>
      </c>
      <c r="AF214" s="277">
        <f t="shared" ca="1" si="38"/>
        <v>0</v>
      </c>
      <c r="AG214" s="402">
        <f ca="1">IF(  AND(AC214=AdóHó,   MAX(AF$1:AF213)&lt;2),   SUMIF(AB:AB,AB214-1,AE:AE),0  )
+ IF(AND(AC214&lt;AdóHó,                            AF214=2),   SUMIF(AB:AB,AB214-1,AE:AE),0  )
+ IF(                                                                  AF214=2,    SUMIF(AB:AB,AB214,AE:AE   ),0  )</f>
        <v>0</v>
      </c>
      <c r="AH214" s="272">
        <f ca="1">SUM(AG$2:AG214)</f>
        <v>823535.77671130467</v>
      </c>
    </row>
    <row r="215" spans="1:34">
      <c r="A215" s="265">
        <f t="shared" si="39"/>
        <v>18</v>
      </c>
      <c r="B215" s="265">
        <f t="shared" si="40"/>
        <v>9</v>
      </c>
      <c r="C215" s="265">
        <f t="shared" ca="1" si="41"/>
        <v>18</v>
      </c>
      <c r="D215" s="265">
        <f t="shared" ca="1" si="42"/>
        <v>12</v>
      </c>
      <c r="E215" s="266">
        <v>5.0000000000000001E-3</v>
      </c>
      <c r="F215" s="267">
        <f>ÉV!$B$12</f>
        <v>0</v>
      </c>
      <c r="G215" s="271">
        <f ca="1">VLOOKUP(A215,ÉV!$A$18:$B$65,2,0)</f>
        <v>293140.54110793414</v>
      </c>
      <c r="H215" s="271">
        <f ca="1">IF(OR(A215=1,AND(C215=ÉV!$I$2,D215&gt;ÉV!$J$2),C215&gt;ÉV!$I$2),0,INDEX(Pz!$B$2:$AM$48,A215-1,ÉV!$G$2-9)/100000*ÉV!$B$10)</f>
        <v>259637.46531748463</v>
      </c>
      <c r="I215" s="271">
        <f ca="1">INDEX(Pz!$B$2:$AM$48,HÓ!A215,ÉV!$G$2-9)/100000*ÉV!$B$10</f>
        <v>264813.49756126903</v>
      </c>
      <c r="J215" s="273">
        <f ca="1">IF(OR(A215=1,A215=2,AND(C215=ÉV!$I$2,D215&gt;ÉV!$J$2),C215&gt;ÉV!$I$2),0,VLOOKUP(A215-2,ÉV!$A$18:$C$65,3,0))</f>
        <v>3344757.9533744366</v>
      </c>
      <c r="K215" s="273">
        <f ca="1">IF(OR(A215=1,AND(C215=ÉV!$I$2,D215&gt;ÉV!$J$2),C215&gt;ÉV!$I$2),0,VLOOKUP(A215-1,ÉV!$A$18:$C$65,3,0))</f>
        <v>3610423.7462134059</v>
      </c>
      <c r="L215" s="273">
        <f ca="1">VLOOKUP(A215,ÉV!$A$18:$C$65,3,0)*IF(OR(AND(C215=ÉV!$I$2,D215&gt;ÉV!$J$2),C215&gt;ÉV!$I$2),0,1)</f>
        <v>3881267.5064132973</v>
      </c>
      <c r="M215" s="273">
        <f ca="1">(K215*(12-B215)/12+L215*B215/12)*IF(A215&gt;ÉV!$G$2,0,1)+IF(A215&gt;ÉV!$G$2,M214,0)*IF(OR(AND(C215=ÉV!$I$2,D215&gt;ÉV!$J$2),C215&gt;ÉV!$I$2),0,1)</f>
        <v>3813556.5663633249</v>
      </c>
      <c r="N215" s="274">
        <f ca="1">IF(AND(C215=1,D215&lt;12),0,1)*IF(D215=12,MAX(0,F215-E215-0.003)*0.9*((K215+I215)*(B215/12)+(J215+H215)*(1-B215/12))+MAX(0,F215-0.003)*0.9*N214+N214,IF(AND(C215=ÉV!$I$2,D215=ÉV!$J$2),(M215+N214)*MAX(0,F215-0.003)*0.9*(D215/12)+N214,N214))*IF(OR(C215&gt;ÉV!$I$2,AND(C215=ÉV!$I$2,D215&gt;ÉV!$J$2)),0,1)</f>
        <v>0</v>
      </c>
      <c r="O215" s="313">
        <f ca="1">IF(MAX(AF$2:AF214)=2,      0,IF(OR(AC215=7, AF215=2),    SUM(AE$2:AE215),    O214)   )</f>
        <v>823535.77671130467</v>
      </c>
      <c r="P215" s="271">
        <f ca="1">IF(D215=12,V215+P214+P214*(F215-0.003)*0.9,IF(AND(C215=ÉV!$I$2,D215=ÉV!$J$2),V215+P214+P214*(F215-0.003)*0.9*D215/12,P214))*IF(OR(C215&gt;ÉV!$I$2,AND(C215=ÉV!$I$2,D215&gt;ÉV!$J$2)),0,1)</f>
        <v>0</v>
      </c>
      <c r="Q215" s="275">
        <f ca="1">(N215+P215)*IF(OR(AND(C215=ÉV!$I$2,D215&gt;ÉV!$J$2),C215&gt;ÉV!$I$2),0,1)</f>
        <v>0</v>
      </c>
      <c r="R215" s="271">
        <f ca="1">(MAX(0,F215-E215-0.003)*0.9*((K215+I215)*(1/12)))*IF(OR(C215&gt;ÉV!$I$2,AND(C215=ÉV!$I$2,D215&gt;ÉV!$J$2)),0,1)</f>
        <v>0</v>
      </c>
      <c r="S215" s="271">
        <f ca="1">(MAX(0,F215-0.003)*0.9*((O215)*(1/12)))*IF(OR(C215&gt;ÉV!$I$2,AND(C215=ÉV!$I$2,D215&gt;ÉV!$J$2)),0,1)</f>
        <v>0</v>
      </c>
      <c r="T215" s="271">
        <f ca="1">(MAX(0,F215-0.003)*0.9*((Q214)*(1/12)))*IF(OR(C215&gt;ÉV!$I$2,AND(C215=ÉV!$I$2,D215&gt;ÉV!$J$2)),0,1)</f>
        <v>0</v>
      </c>
      <c r="U215" s="271">
        <f ca="1">IF($D215=1,R215,R215+U214)*IF(OR(C215&gt;ÉV!$I$2,AND(C215=ÉV!$I$2,D215&gt;ÉV!$J$2)),0,1)</f>
        <v>0</v>
      </c>
      <c r="V215" s="271">
        <f ca="1">IF($D215=1,S215,S215+V214)*IF(OR(C215&gt;ÉV!$I$2,AND(C215=ÉV!$I$2,D215&gt;ÉV!$J$2)),0,1)</f>
        <v>0</v>
      </c>
      <c r="W215" s="271">
        <f ca="1">IF($D215=1,T215,T215+W214)*IF(OR(C215&gt;ÉV!$I$2,AND(C215=ÉV!$I$2,D215&gt;ÉV!$J$2)),0,1)</f>
        <v>0</v>
      </c>
      <c r="X215" s="271">
        <f ca="1">IF(OR(D215=12,AND(C215=ÉV!$I$2,D215=ÉV!$J$2)),SUM(U215:W215)+X214,X214)*IF(OR(C215&gt;ÉV!$I$2,AND(C215=ÉV!$I$2,D215&gt;ÉV!$J$2)),0,1)</f>
        <v>0</v>
      </c>
      <c r="Y215" s="271">
        <f t="shared" ca="1" si="35"/>
        <v>0</v>
      </c>
      <c r="Z215" s="265">
        <f t="shared" si="36"/>
        <v>9</v>
      </c>
      <c r="AA215" s="272">
        <f t="shared" ca="1" si="37"/>
        <v>24428.37842566118</v>
      </c>
      <c r="AB215" s="265">
        <f t="shared" ca="1" si="43"/>
        <v>2034</v>
      </c>
      <c r="AC215" s="265">
        <f t="shared" ca="1" si="44"/>
        <v>12</v>
      </c>
      <c r="AD215" s="276">
        <f ca="1">IF(     OR(               AND(MAX(AF$6:AF215)&lt;2,  AC215=12),                 AF215=2),                   SUMIF(AB:AB,AB215,AA:AA),                       0)</f>
        <v>291703.57767113054</v>
      </c>
      <c r="AE215" s="277">
        <f t="shared" ca="1" si="45"/>
        <v>58340.71553422611</v>
      </c>
      <c r="AF215" s="277">
        <f t="shared" ca="1" si="38"/>
        <v>0</v>
      </c>
      <c r="AG215" s="402">
        <f ca="1">IF(  AND(AC215=AdóHó,   MAX(AF$1:AF214)&lt;2),   SUMIF(AB:AB,AB215-1,AE:AE),0  )
+ IF(AND(AC215&lt;AdóHó,                            AF215=2),   SUMIF(AB:AB,AB215-1,AE:AE),0  )
+ IF(                                                                  AF215=2,    SUMIF(AB:AB,AB215,AE:AE   ),0  )</f>
        <v>0</v>
      </c>
      <c r="AH215" s="272">
        <f ca="1">SUM(AG$2:AG215)</f>
        <v>823535.77671130467</v>
      </c>
    </row>
    <row r="216" spans="1:34">
      <c r="A216" s="265">
        <f t="shared" si="39"/>
        <v>18</v>
      </c>
      <c r="B216" s="265">
        <f t="shared" si="40"/>
        <v>10</v>
      </c>
      <c r="C216" s="265">
        <f t="shared" ca="1" si="41"/>
        <v>19</v>
      </c>
      <c r="D216" s="265">
        <f t="shared" ca="1" si="42"/>
        <v>1</v>
      </c>
      <c r="E216" s="266">
        <v>5.0000000000000001E-3</v>
      </c>
      <c r="F216" s="267">
        <f>ÉV!$B$12</f>
        <v>0</v>
      </c>
      <c r="G216" s="271">
        <f ca="1">VLOOKUP(A216,ÉV!$A$18:$B$65,2,0)</f>
        <v>293140.54110793414</v>
      </c>
      <c r="H216" s="271">
        <f ca="1">IF(OR(A216=1,AND(C216=ÉV!$I$2,D216&gt;ÉV!$J$2),C216&gt;ÉV!$I$2),0,INDEX(Pz!$B$2:$AM$48,A216-1,ÉV!$G$2-9)/100000*ÉV!$B$10)</f>
        <v>259637.46531748463</v>
      </c>
      <c r="I216" s="271">
        <f ca="1">INDEX(Pz!$B$2:$AM$48,HÓ!A216,ÉV!$G$2-9)/100000*ÉV!$B$10</f>
        <v>264813.49756126903</v>
      </c>
      <c r="J216" s="273">
        <f ca="1">IF(OR(A216=1,A216=2,AND(C216=ÉV!$I$2,D216&gt;ÉV!$J$2),C216&gt;ÉV!$I$2),0,VLOOKUP(A216-2,ÉV!$A$18:$C$65,3,0))</f>
        <v>3344757.9533744366</v>
      </c>
      <c r="K216" s="273">
        <f ca="1">IF(OR(A216=1,AND(C216=ÉV!$I$2,D216&gt;ÉV!$J$2),C216&gt;ÉV!$I$2),0,VLOOKUP(A216-1,ÉV!$A$18:$C$65,3,0))</f>
        <v>3610423.7462134059</v>
      </c>
      <c r="L216" s="273">
        <f ca="1">VLOOKUP(A216,ÉV!$A$18:$C$65,3,0)*IF(OR(AND(C216=ÉV!$I$2,D216&gt;ÉV!$J$2),C216&gt;ÉV!$I$2),0,1)</f>
        <v>3881267.5064132973</v>
      </c>
      <c r="M216" s="273">
        <f ca="1">(K216*(12-B216)/12+L216*B216/12)*IF(A216&gt;ÉV!$G$2,0,1)+IF(A216&gt;ÉV!$G$2,M215,0)*IF(OR(AND(C216=ÉV!$I$2,D216&gt;ÉV!$J$2),C216&gt;ÉV!$I$2),0,1)</f>
        <v>3836126.8797133155</v>
      </c>
      <c r="N216" s="274">
        <f ca="1">IF(AND(C216=1,D216&lt;12),0,1)*IF(D216=12,MAX(0,F216-E216-0.003)*0.9*((K216+I216)*(B216/12)+(J216+H216)*(1-B216/12))+MAX(0,F216-0.003)*0.9*N215+N215,IF(AND(C216=ÉV!$I$2,D216=ÉV!$J$2),(M216+N215)*MAX(0,F216-0.003)*0.9*(D216/12)+N215,N215))*IF(OR(C216&gt;ÉV!$I$2,AND(C216=ÉV!$I$2,D216&gt;ÉV!$J$2)),0,1)</f>
        <v>0</v>
      </c>
      <c r="O216" s="313">
        <f ca="1">IF(MAX(AF$2:AF215)=2,      0,IF(OR(AC216=7, AF216=2),    SUM(AE$2:AE216),    O215)   )</f>
        <v>823535.77671130467</v>
      </c>
      <c r="P216" s="271">
        <f ca="1">IF(D216=12,V216+P215+P215*(F216-0.003)*0.9,IF(AND(C216=ÉV!$I$2,D216=ÉV!$J$2),V216+P215+P215*(F216-0.003)*0.9*D216/12,P215))*IF(OR(C216&gt;ÉV!$I$2,AND(C216=ÉV!$I$2,D216&gt;ÉV!$J$2)),0,1)</f>
        <v>0</v>
      </c>
      <c r="Q216" s="275">
        <f ca="1">(N216+P216)*IF(OR(AND(C216=ÉV!$I$2,D216&gt;ÉV!$J$2),C216&gt;ÉV!$I$2),0,1)</f>
        <v>0</v>
      </c>
      <c r="R216" s="271">
        <f ca="1">(MAX(0,F216-E216-0.003)*0.9*((K216+I216)*(1/12)))*IF(OR(C216&gt;ÉV!$I$2,AND(C216=ÉV!$I$2,D216&gt;ÉV!$J$2)),0,1)</f>
        <v>0</v>
      </c>
      <c r="S216" s="271">
        <f ca="1">(MAX(0,F216-0.003)*0.9*((O216)*(1/12)))*IF(OR(C216&gt;ÉV!$I$2,AND(C216=ÉV!$I$2,D216&gt;ÉV!$J$2)),0,1)</f>
        <v>0</v>
      </c>
      <c r="T216" s="271">
        <f ca="1">(MAX(0,F216-0.003)*0.9*((Q215)*(1/12)))*IF(OR(C216&gt;ÉV!$I$2,AND(C216=ÉV!$I$2,D216&gt;ÉV!$J$2)),0,1)</f>
        <v>0</v>
      </c>
      <c r="U216" s="271">
        <f ca="1">IF($D216=1,R216,R216+U215)*IF(OR(C216&gt;ÉV!$I$2,AND(C216=ÉV!$I$2,D216&gt;ÉV!$J$2)),0,1)</f>
        <v>0</v>
      </c>
      <c r="V216" s="271">
        <f ca="1">IF($D216=1,S216,S216+V215)*IF(OR(C216&gt;ÉV!$I$2,AND(C216=ÉV!$I$2,D216&gt;ÉV!$J$2)),0,1)</f>
        <v>0</v>
      </c>
      <c r="W216" s="271">
        <f ca="1">IF($D216=1,T216,T216+W215)*IF(OR(C216&gt;ÉV!$I$2,AND(C216=ÉV!$I$2,D216&gt;ÉV!$J$2)),0,1)</f>
        <v>0</v>
      </c>
      <c r="X216" s="271">
        <f ca="1">IF(OR(D216=12,AND(C216=ÉV!$I$2,D216=ÉV!$J$2)),SUM(U216:W216)+X215,X215)*IF(OR(C216&gt;ÉV!$I$2,AND(C216=ÉV!$I$2,D216&gt;ÉV!$J$2)),0,1)</f>
        <v>0</v>
      </c>
      <c r="Y216" s="271">
        <f t="shared" ca="1" si="35"/>
        <v>0</v>
      </c>
      <c r="Z216" s="265">
        <f t="shared" si="36"/>
        <v>10</v>
      </c>
      <c r="AA216" s="272">
        <f t="shared" ca="1" si="37"/>
        <v>24428.37842566118</v>
      </c>
      <c r="AB216" s="265">
        <f t="shared" ca="1" si="43"/>
        <v>2035</v>
      </c>
      <c r="AC216" s="265">
        <f t="shared" ca="1" si="44"/>
        <v>1</v>
      </c>
      <c r="AD216" s="276">
        <f ca="1">IF(     OR(               AND(MAX(AF$6:AF216)&lt;2,  AC216=12),                 AF216=2),                   SUMIF(AB:AB,AB216,AA:AA),                       0)</f>
        <v>0</v>
      </c>
      <c r="AE216" s="277">
        <f t="shared" ca="1" si="45"/>
        <v>0</v>
      </c>
      <c r="AF216" s="277">
        <f t="shared" ca="1" si="38"/>
        <v>0</v>
      </c>
      <c r="AG216" s="402">
        <f ca="1">IF(  AND(AC216=AdóHó,   MAX(AF$1:AF215)&lt;2),   SUMIF(AB:AB,AB216-1,AE:AE),0  )
+ IF(AND(AC216&lt;AdóHó,                            AF216=2),   SUMIF(AB:AB,AB216-1,AE:AE),0  )
+ IF(                                                                  AF216=2,    SUMIF(AB:AB,AB216,AE:AE   ),0  )</f>
        <v>0</v>
      </c>
      <c r="AH216" s="272">
        <f ca="1">SUM(AG$2:AG216)</f>
        <v>823535.77671130467</v>
      </c>
    </row>
    <row r="217" spans="1:34">
      <c r="A217" s="265">
        <f t="shared" si="39"/>
        <v>18</v>
      </c>
      <c r="B217" s="265">
        <f t="shared" si="40"/>
        <v>11</v>
      </c>
      <c r="C217" s="265">
        <f t="shared" ca="1" si="41"/>
        <v>19</v>
      </c>
      <c r="D217" s="265">
        <f t="shared" ca="1" si="42"/>
        <v>2</v>
      </c>
      <c r="E217" s="266">
        <v>5.0000000000000001E-3</v>
      </c>
      <c r="F217" s="267">
        <f>ÉV!$B$12</f>
        <v>0</v>
      </c>
      <c r="G217" s="271">
        <f ca="1">VLOOKUP(A217,ÉV!$A$18:$B$65,2,0)</f>
        <v>293140.54110793414</v>
      </c>
      <c r="H217" s="271">
        <f ca="1">IF(OR(A217=1,AND(C217=ÉV!$I$2,D217&gt;ÉV!$J$2),C217&gt;ÉV!$I$2),0,INDEX(Pz!$B$2:$AM$48,A217-1,ÉV!$G$2-9)/100000*ÉV!$B$10)</f>
        <v>259637.46531748463</v>
      </c>
      <c r="I217" s="271">
        <f ca="1">INDEX(Pz!$B$2:$AM$48,HÓ!A217,ÉV!$G$2-9)/100000*ÉV!$B$10</f>
        <v>264813.49756126903</v>
      </c>
      <c r="J217" s="273">
        <f ca="1">IF(OR(A217=1,A217=2,AND(C217=ÉV!$I$2,D217&gt;ÉV!$J$2),C217&gt;ÉV!$I$2),0,VLOOKUP(A217-2,ÉV!$A$18:$C$65,3,0))</f>
        <v>3344757.9533744366</v>
      </c>
      <c r="K217" s="273">
        <f ca="1">IF(OR(A217=1,AND(C217=ÉV!$I$2,D217&gt;ÉV!$J$2),C217&gt;ÉV!$I$2),0,VLOOKUP(A217-1,ÉV!$A$18:$C$65,3,0))</f>
        <v>3610423.7462134059</v>
      </c>
      <c r="L217" s="273">
        <f ca="1">VLOOKUP(A217,ÉV!$A$18:$C$65,3,0)*IF(OR(AND(C217=ÉV!$I$2,D217&gt;ÉV!$J$2),C217&gt;ÉV!$I$2),0,1)</f>
        <v>3881267.5064132973</v>
      </c>
      <c r="M217" s="273">
        <f ca="1">(K217*(12-B217)/12+L217*B217/12)*IF(A217&gt;ÉV!$G$2,0,1)+IF(A217&gt;ÉV!$G$2,M216,0)*IF(OR(AND(C217=ÉV!$I$2,D217&gt;ÉV!$J$2),C217&gt;ÉV!$I$2),0,1)</f>
        <v>3858697.1930633062</v>
      </c>
      <c r="N217" s="274">
        <f ca="1">IF(AND(C217=1,D217&lt;12),0,1)*IF(D217=12,MAX(0,F217-E217-0.003)*0.9*((K217+I217)*(B217/12)+(J217+H217)*(1-B217/12))+MAX(0,F217-0.003)*0.9*N216+N216,IF(AND(C217=ÉV!$I$2,D217=ÉV!$J$2),(M217+N216)*MAX(0,F217-0.003)*0.9*(D217/12)+N216,N216))*IF(OR(C217&gt;ÉV!$I$2,AND(C217=ÉV!$I$2,D217&gt;ÉV!$J$2)),0,1)</f>
        <v>0</v>
      </c>
      <c r="O217" s="313">
        <f ca="1">IF(MAX(AF$2:AF216)=2,      0,IF(OR(AC217=7, AF217=2),    SUM(AE$2:AE217),    O216)   )</f>
        <v>823535.77671130467</v>
      </c>
      <c r="P217" s="271">
        <f ca="1">IF(D217=12,V217+P216+P216*(F217-0.003)*0.9,IF(AND(C217=ÉV!$I$2,D217=ÉV!$J$2),V217+P216+P216*(F217-0.003)*0.9*D217/12,P216))*IF(OR(C217&gt;ÉV!$I$2,AND(C217=ÉV!$I$2,D217&gt;ÉV!$J$2)),0,1)</f>
        <v>0</v>
      </c>
      <c r="Q217" s="275">
        <f ca="1">(N217+P217)*IF(OR(AND(C217=ÉV!$I$2,D217&gt;ÉV!$J$2),C217&gt;ÉV!$I$2),0,1)</f>
        <v>0</v>
      </c>
      <c r="R217" s="271">
        <f ca="1">(MAX(0,F217-E217-0.003)*0.9*((K217+I217)*(1/12)))*IF(OR(C217&gt;ÉV!$I$2,AND(C217=ÉV!$I$2,D217&gt;ÉV!$J$2)),0,1)</f>
        <v>0</v>
      </c>
      <c r="S217" s="271">
        <f ca="1">(MAX(0,F217-0.003)*0.9*((O217)*(1/12)))*IF(OR(C217&gt;ÉV!$I$2,AND(C217=ÉV!$I$2,D217&gt;ÉV!$J$2)),0,1)</f>
        <v>0</v>
      </c>
      <c r="T217" s="271">
        <f ca="1">(MAX(0,F217-0.003)*0.9*((Q216)*(1/12)))*IF(OR(C217&gt;ÉV!$I$2,AND(C217=ÉV!$I$2,D217&gt;ÉV!$J$2)),0,1)</f>
        <v>0</v>
      </c>
      <c r="U217" s="271">
        <f ca="1">IF($D217=1,R217,R217+U216)*IF(OR(C217&gt;ÉV!$I$2,AND(C217=ÉV!$I$2,D217&gt;ÉV!$J$2)),0,1)</f>
        <v>0</v>
      </c>
      <c r="V217" s="271">
        <f ca="1">IF($D217=1,S217,S217+V216)*IF(OR(C217&gt;ÉV!$I$2,AND(C217=ÉV!$I$2,D217&gt;ÉV!$J$2)),0,1)</f>
        <v>0</v>
      </c>
      <c r="W217" s="271">
        <f ca="1">IF($D217=1,T217,T217+W216)*IF(OR(C217&gt;ÉV!$I$2,AND(C217=ÉV!$I$2,D217&gt;ÉV!$J$2)),0,1)</f>
        <v>0</v>
      </c>
      <c r="X217" s="271">
        <f ca="1">IF(OR(D217=12,AND(C217=ÉV!$I$2,D217=ÉV!$J$2)),SUM(U217:W217)+X216,X216)*IF(OR(C217&gt;ÉV!$I$2,AND(C217=ÉV!$I$2,D217&gt;ÉV!$J$2)),0,1)</f>
        <v>0</v>
      </c>
      <c r="Y217" s="271">
        <f t="shared" ca="1" si="35"/>
        <v>0</v>
      </c>
      <c r="Z217" s="265">
        <f t="shared" si="36"/>
        <v>11</v>
      </c>
      <c r="AA217" s="272">
        <f t="shared" ca="1" si="37"/>
        <v>24428.37842566118</v>
      </c>
      <c r="AB217" s="265">
        <f t="shared" ca="1" si="43"/>
        <v>2035</v>
      </c>
      <c r="AC217" s="265">
        <f t="shared" ca="1" si="44"/>
        <v>2</v>
      </c>
      <c r="AD217" s="276">
        <f ca="1">IF(     OR(               AND(MAX(AF$6:AF217)&lt;2,  AC217=12),                 AF217=2),                   SUMIF(AB:AB,AB217,AA:AA),                       0)</f>
        <v>0</v>
      </c>
      <c r="AE217" s="277">
        <f t="shared" ca="1" si="45"/>
        <v>0</v>
      </c>
      <c r="AF217" s="277">
        <f t="shared" ca="1" si="38"/>
        <v>0</v>
      </c>
      <c r="AG217" s="402">
        <f ca="1">IF(  AND(AC217=AdóHó,   MAX(AF$1:AF216)&lt;2),   SUMIF(AB:AB,AB217-1,AE:AE),0  )
+ IF(AND(AC217&lt;AdóHó,                            AF217=2),   SUMIF(AB:AB,AB217-1,AE:AE),0  )
+ IF(                                                                  AF217=2,    SUMIF(AB:AB,AB217,AE:AE   ),0  )</f>
        <v>0</v>
      </c>
      <c r="AH217" s="272">
        <f ca="1">SUM(AG$2:AG217)</f>
        <v>823535.77671130467</v>
      </c>
    </row>
    <row r="218" spans="1:34">
      <c r="A218" s="265">
        <f t="shared" si="39"/>
        <v>18</v>
      </c>
      <c r="B218" s="265">
        <f t="shared" si="40"/>
        <v>12</v>
      </c>
      <c r="C218" s="265">
        <f t="shared" ca="1" si="41"/>
        <v>19</v>
      </c>
      <c r="D218" s="265">
        <f t="shared" ca="1" si="42"/>
        <v>3</v>
      </c>
      <c r="E218" s="266">
        <v>5.0000000000000001E-3</v>
      </c>
      <c r="F218" s="267">
        <f>ÉV!$B$12</f>
        <v>0</v>
      </c>
      <c r="G218" s="271">
        <f ca="1">VLOOKUP(A218,ÉV!$A$18:$B$65,2,0)</f>
        <v>293140.54110793414</v>
      </c>
      <c r="H218" s="271">
        <f ca="1">IF(OR(A218=1,AND(C218=ÉV!$I$2,D218&gt;ÉV!$J$2),C218&gt;ÉV!$I$2),0,INDEX(Pz!$B$2:$AM$48,A218-1,ÉV!$G$2-9)/100000*ÉV!$B$10)</f>
        <v>259637.46531748463</v>
      </c>
      <c r="I218" s="271">
        <f ca="1">INDEX(Pz!$B$2:$AM$48,HÓ!A218,ÉV!$G$2-9)/100000*ÉV!$B$10</f>
        <v>264813.49756126903</v>
      </c>
      <c r="J218" s="273">
        <f ca="1">IF(OR(A218=1,A218=2,AND(C218=ÉV!$I$2,D218&gt;ÉV!$J$2),C218&gt;ÉV!$I$2),0,VLOOKUP(A218-2,ÉV!$A$18:$C$65,3,0))</f>
        <v>3344757.9533744366</v>
      </c>
      <c r="K218" s="273">
        <f ca="1">IF(OR(A218=1,AND(C218=ÉV!$I$2,D218&gt;ÉV!$J$2),C218&gt;ÉV!$I$2),0,VLOOKUP(A218-1,ÉV!$A$18:$C$65,3,0))</f>
        <v>3610423.7462134059</v>
      </c>
      <c r="L218" s="273">
        <f ca="1">VLOOKUP(A218,ÉV!$A$18:$C$65,3,0)*IF(OR(AND(C218=ÉV!$I$2,D218&gt;ÉV!$J$2),C218&gt;ÉV!$I$2),0,1)</f>
        <v>3881267.5064132973</v>
      </c>
      <c r="M218" s="273">
        <f ca="1">(K218*(12-B218)/12+L218*B218/12)*IF(A218&gt;ÉV!$G$2,0,1)+IF(A218&gt;ÉV!$G$2,M217,0)*IF(OR(AND(C218=ÉV!$I$2,D218&gt;ÉV!$J$2),C218&gt;ÉV!$I$2),0,1)</f>
        <v>3881267.5064132973</v>
      </c>
      <c r="N218" s="274">
        <f ca="1">IF(AND(C218=1,D218&lt;12),0,1)*IF(D218=12,MAX(0,F218-E218-0.003)*0.9*((K218+I218)*(B218/12)+(J218+H218)*(1-B218/12))+MAX(0,F218-0.003)*0.9*N217+N217,IF(AND(C218=ÉV!$I$2,D218=ÉV!$J$2),(M218+N217)*MAX(0,F218-0.003)*0.9*(D218/12)+N217,N217))*IF(OR(C218&gt;ÉV!$I$2,AND(C218=ÉV!$I$2,D218&gt;ÉV!$J$2)),0,1)</f>
        <v>0</v>
      </c>
      <c r="O218" s="313">
        <f ca="1">IF(MAX(AF$2:AF217)=2,      0,IF(OR(AC218=7, AF218=2),    SUM(AE$2:AE218),    O217)   )</f>
        <v>823535.77671130467</v>
      </c>
      <c r="P218" s="271">
        <f ca="1">IF(D218=12,V218+P217+P217*(F218-0.003)*0.9,IF(AND(C218=ÉV!$I$2,D218=ÉV!$J$2),V218+P217+P217*(F218-0.003)*0.9*D218/12,P217))*IF(OR(C218&gt;ÉV!$I$2,AND(C218=ÉV!$I$2,D218&gt;ÉV!$J$2)),0,1)</f>
        <v>0</v>
      </c>
      <c r="Q218" s="275">
        <f ca="1">(N218+P218)*IF(OR(AND(C218=ÉV!$I$2,D218&gt;ÉV!$J$2),C218&gt;ÉV!$I$2),0,1)</f>
        <v>0</v>
      </c>
      <c r="R218" s="271">
        <f ca="1">(MAX(0,F218-E218-0.003)*0.9*((K218+I218)*(1/12)))*IF(OR(C218&gt;ÉV!$I$2,AND(C218=ÉV!$I$2,D218&gt;ÉV!$J$2)),0,1)</f>
        <v>0</v>
      </c>
      <c r="S218" s="271">
        <f ca="1">(MAX(0,F218-0.003)*0.9*((O218)*(1/12)))*IF(OR(C218&gt;ÉV!$I$2,AND(C218=ÉV!$I$2,D218&gt;ÉV!$J$2)),0,1)</f>
        <v>0</v>
      </c>
      <c r="T218" s="271">
        <f ca="1">(MAX(0,F218-0.003)*0.9*((Q217)*(1/12)))*IF(OR(C218&gt;ÉV!$I$2,AND(C218=ÉV!$I$2,D218&gt;ÉV!$J$2)),0,1)</f>
        <v>0</v>
      </c>
      <c r="U218" s="271">
        <f ca="1">IF($D218=1,R218,R218+U217)*IF(OR(C218&gt;ÉV!$I$2,AND(C218=ÉV!$I$2,D218&gt;ÉV!$J$2)),0,1)</f>
        <v>0</v>
      </c>
      <c r="V218" s="271">
        <f ca="1">IF($D218=1,S218,S218+V217)*IF(OR(C218&gt;ÉV!$I$2,AND(C218=ÉV!$I$2,D218&gt;ÉV!$J$2)),0,1)</f>
        <v>0</v>
      </c>
      <c r="W218" s="271">
        <f ca="1">IF($D218=1,T218,T218+W217)*IF(OR(C218&gt;ÉV!$I$2,AND(C218=ÉV!$I$2,D218&gt;ÉV!$J$2)),0,1)</f>
        <v>0</v>
      </c>
      <c r="X218" s="271">
        <f ca="1">IF(OR(D218=12,AND(C218=ÉV!$I$2,D218=ÉV!$J$2)),SUM(U218:W218)+X217,X217)*IF(OR(C218&gt;ÉV!$I$2,AND(C218=ÉV!$I$2,D218&gt;ÉV!$J$2)),0,1)</f>
        <v>0</v>
      </c>
      <c r="Y218" s="271">
        <f t="shared" ca="1" si="35"/>
        <v>0</v>
      </c>
      <c r="Z218" s="265">
        <f t="shared" si="36"/>
        <v>12</v>
      </c>
      <c r="AA218" s="272">
        <f t="shared" ca="1" si="37"/>
        <v>24428.37842566118</v>
      </c>
      <c r="AB218" s="265">
        <f t="shared" ca="1" si="43"/>
        <v>2035</v>
      </c>
      <c r="AC218" s="265">
        <f t="shared" ca="1" si="44"/>
        <v>3</v>
      </c>
      <c r="AD218" s="276">
        <f ca="1">IF(     OR(               AND(MAX(AF$6:AF218)&lt;2,  AC218=12),                 AF218=2),                   SUMIF(AB:AB,AB218,AA:AA),                       0)</f>
        <v>0</v>
      </c>
      <c r="AE218" s="277">
        <f t="shared" ca="1" si="45"/>
        <v>0</v>
      </c>
      <c r="AF218" s="277">
        <f t="shared" ca="1" si="38"/>
        <v>0</v>
      </c>
      <c r="AG218" s="402">
        <f ca="1">IF(  AND(AC218=AdóHó,   MAX(AF$1:AF217)&lt;2),   SUMIF(AB:AB,AB218-1,AE:AE),0  )
+ IF(AND(AC218&lt;AdóHó,                            AF218=2),   SUMIF(AB:AB,AB218-1,AE:AE),0  )
+ IF(                                                                  AF218=2,    SUMIF(AB:AB,AB218,AE:AE   ),0  )</f>
        <v>0</v>
      </c>
      <c r="AH218" s="272">
        <f ca="1">SUM(AG$2:AG218)</f>
        <v>823535.77671130467</v>
      </c>
    </row>
    <row r="219" spans="1:34">
      <c r="A219" s="265">
        <f t="shared" si="39"/>
        <v>19</v>
      </c>
      <c r="B219" s="265">
        <f t="shared" si="40"/>
        <v>1</v>
      </c>
      <c r="C219" s="265">
        <f t="shared" ca="1" si="41"/>
        <v>19</v>
      </c>
      <c r="D219" s="265">
        <f t="shared" ca="1" si="42"/>
        <v>4</v>
      </c>
      <c r="E219" s="266">
        <v>5.0000000000000001E-3</v>
      </c>
      <c r="F219" s="267">
        <f>ÉV!$B$12</f>
        <v>0</v>
      </c>
      <c r="G219" s="271">
        <f ca="1">VLOOKUP(A219,ÉV!$A$18:$B$65,2,0)</f>
        <v>299003.35193009285</v>
      </c>
      <c r="H219" s="271">
        <f ca="1">IF(OR(A219=1,AND(C219=ÉV!$I$2,D219&gt;ÉV!$J$2),C219&gt;ÉV!$I$2),0,INDEX(Pz!$B$2:$AM$48,A219-1,ÉV!$G$2-9)/100000*ÉV!$B$10)</f>
        <v>264813.49756126903</v>
      </c>
      <c r="I219" s="271">
        <f ca="1">INDEX(Pz!$B$2:$AM$48,HÓ!A219,ÉV!$G$2-9)/100000*ÉV!$B$10</f>
        <v>270093.05044992914</v>
      </c>
      <c r="J219" s="273">
        <f ca="1">IF(OR(A219=1,A219=2,AND(C219=ÉV!$I$2,D219&gt;ÉV!$J$2),C219&gt;ÉV!$I$2),0,VLOOKUP(A219-2,ÉV!$A$18:$C$65,3,0))</f>
        <v>3610423.7462134059</v>
      </c>
      <c r="K219" s="273">
        <f ca="1">IF(OR(A219=1,AND(C219=ÉV!$I$2,D219&gt;ÉV!$J$2),C219&gt;ÉV!$I$2),0,VLOOKUP(A219-1,ÉV!$A$18:$C$65,3,0))</f>
        <v>3881267.5064132973</v>
      </c>
      <c r="L219" s="273">
        <f ca="1">VLOOKUP(A219,ÉV!$A$18:$C$65,3,0)*IF(OR(AND(C219=ÉV!$I$2,D219&gt;ÉV!$J$2),C219&gt;ÉV!$I$2),0,1)</f>
        <v>4157320.2717885966</v>
      </c>
      <c r="M219" s="273">
        <f ca="1">(K219*(12-B219)/12+L219*B219/12)*IF(A219&gt;ÉV!$G$2,0,1)+IF(A219&gt;ÉV!$G$2,M218,0)*IF(OR(AND(C219=ÉV!$I$2,D219&gt;ÉV!$J$2),C219&gt;ÉV!$I$2),0,1)</f>
        <v>3904271.9035279057</v>
      </c>
      <c r="N219" s="274">
        <f ca="1">IF(AND(C219=1,D219&lt;12),0,1)*IF(D219=12,MAX(0,F219-E219-0.003)*0.9*((K219+I219)*(B219/12)+(J219+H219)*(1-B219/12))+MAX(0,F219-0.003)*0.9*N218+N218,IF(AND(C219=ÉV!$I$2,D219=ÉV!$J$2),(M219+N218)*MAX(0,F219-0.003)*0.9*(D219/12)+N218,N218))*IF(OR(C219&gt;ÉV!$I$2,AND(C219=ÉV!$I$2,D219&gt;ÉV!$J$2)),0,1)</f>
        <v>0</v>
      </c>
      <c r="O219" s="313">
        <f ca="1">IF(MAX(AF$2:AF218)=2,      0,IF(OR(AC219=7, AF219=2),    SUM(AE$2:AE219),    O218)   )</f>
        <v>823535.77671130467</v>
      </c>
      <c r="P219" s="271">
        <f ca="1">IF(D219=12,V219+P218+P218*(F219-0.003)*0.9,IF(AND(C219=ÉV!$I$2,D219=ÉV!$J$2),V219+P218+P218*(F219-0.003)*0.9*D219/12,P218))*IF(OR(C219&gt;ÉV!$I$2,AND(C219=ÉV!$I$2,D219&gt;ÉV!$J$2)),0,1)</f>
        <v>0</v>
      </c>
      <c r="Q219" s="275">
        <f ca="1">(N219+P219)*IF(OR(AND(C219=ÉV!$I$2,D219&gt;ÉV!$J$2),C219&gt;ÉV!$I$2),0,1)</f>
        <v>0</v>
      </c>
      <c r="R219" s="271">
        <f ca="1">(MAX(0,F219-E219-0.003)*0.9*((K219+I219)*(1/12)))*IF(OR(C219&gt;ÉV!$I$2,AND(C219=ÉV!$I$2,D219&gt;ÉV!$J$2)),0,1)</f>
        <v>0</v>
      </c>
      <c r="S219" s="271">
        <f ca="1">(MAX(0,F219-0.003)*0.9*((O219)*(1/12)))*IF(OR(C219&gt;ÉV!$I$2,AND(C219=ÉV!$I$2,D219&gt;ÉV!$J$2)),0,1)</f>
        <v>0</v>
      </c>
      <c r="T219" s="271">
        <f ca="1">(MAX(0,F219-0.003)*0.9*((Q218)*(1/12)))*IF(OR(C219&gt;ÉV!$I$2,AND(C219=ÉV!$I$2,D219&gt;ÉV!$J$2)),0,1)</f>
        <v>0</v>
      </c>
      <c r="U219" s="271">
        <f ca="1">IF($D219=1,R219,R219+U218)*IF(OR(C219&gt;ÉV!$I$2,AND(C219=ÉV!$I$2,D219&gt;ÉV!$J$2)),0,1)</f>
        <v>0</v>
      </c>
      <c r="V219" s="271">
        <f ca="1">IF($D219=1,S219,S219+V218)*IF(OR(C219&gt;ÉV!$I$2,AND(C219=ÉV!$I$2,D219&gt;ÉV!$J$2)),0,1)</f>
        <v>0</v>
      </c>
      <c r="W219" s="271">
        <f ca="1">IF($D219=1,T219,T219+W218)*IF(OR(C219&gt;ÉV!$I$2,AND(C219=ÉV!$I$2,D219&gt;ÉV!$J$2)),0,1)</f>
        <v>0</v>
      </c>
      <c r="X219" s="271">
        <f ca="1">IF(OR(D219=12,AND(C219=ÉV!$I$2,D219=ÉV!$J$2)),SUM(U219:W219)+X218,X218)*IF(OR(C219&gt;ÉV!$I$2,AND(C219=ÉV!$I$2,D219&gt;ÉV!$J$2)),0,1)</f>
        <v>0</v>
      </c>
      <c r="Y219" s="271">
        <f t="shared" ca="1" si="35"/>
        <v>0</v>
      </c>
      <c r="Z219" s="265">
        <f t="shared" si="36"/>
        <v>1</v>
      </c>
      <c r="AA219" s="272">
        <f t="shared" ca="1" si="37"/>
        <v>24916.945994174403</v>
      </c>
      <c r="AB219" s="265">
        <f t="shared" ca="1" si="43"/>
        <v>2035</v>
      </c>
      <c r="AC219" s="265">
        <f t="shared" ca="1" si="44"/>
        <v>4</v>
      </c>
      <c r="AD219" s="276">
        <f ca="1">IF(     OR(               AND(MAX(AF$6:AF219)&lt;2,  AC219=12),                 AF219=2),                   SUMIF(AB:AB,AB219,AA:AA),                       0)</f>
        <v>0</v>
      </c>
      <c r="AE219" s="277">
        <f t="shared" ca="1" si="45"/>
        <v>0</v>
      </c>
      <c r="AF219" s="277">
        <f t="shared" ca="1" si="38"/>
        <v>0</v>
      </c>
      <c r="AG219" s="402">
        <f ca="1">IF(  AND(AC219=AdóHó,   MAX(AF$1:AF218)&lt;2),   SUMIF(AB:AB,AB219-1,AE:AE),0  )
+ IF(AND(AC219&lt;AdóHó,                            AF219=2),   SUMIF(AB:AB,AB219-1,AE:AE),0  )
+ IF(                                                                  AF219=2,    SUMIF(AB:AB,AB219,AE:AE   ),0  )</f>
        <v>0</v>
      </c>
      <c r="AH219" s="272">
        <f ca="1">SUM(AG$2:AG219)</f>
        <v>823535.77671130467</v>
      </c>
    </row>
    <row r="220" spans="1:34">
      <c r="A220" s="265">
        <f t="shared" si="39"/>
        <v>19</v>
      </c>
      <c r="B220" s="265">
        <f t="shared" si="40"/>
        <v>2</v>
      </c>
      <c r="C220" s="265">
        <f t="shared" ca="1" si="41"/>
        <v>19</v>
      </c>
      <c r="D220" s="265">
        <f t="shared" ca="1" si="42"/>
        <v>5</v>
      </c>
      <c r="E220" s="266">
        <v>5.0000000000000001E-3</v>
      </c>
      <c r="F220" s="267">
        <f>ÉV!$B$12</f>
        <v>0</v>
      </c>
      <c r="G220" s="271">
        <f ca="1">VLOOKUP(A220,ÉV!$A$18:$B$65,2,0)</f>
        <v>299003.35193009285</v>
      </c>
      <c r="H220" s="271">
        <f ca="1">IF(OR(A220=1,AND(C220=ÉV!$I$2,D220&gt;ÉV!$J$2),C220&gt;ÉV!$I$2),0,INDEX(Pz!$B$2:$AM$48,A220-1,ÉV!$G$2-9)/100000*ÉV!$B$10)</f>
        <v>264813.49756126903</v>
      </c>
      <c r="I220" s="271">
        <f ca="1">INDEX(Pz!$B$2:$AM$48,HÓ!A220,ÉV!$G$2-9)/100000*ÉV!$B$10</f>
        <v>270093.05044992914</v>
      </c>
      <c r="J220" s="273">
        <f ca="1">IF(OR(A220=1,A220=2,AND(C220=ÉV!$I$2,D220&gt;ÉV!$J$2),C220&gt;ÉV!$I$2),0,VLOOKUP(A220-2,ÉV!$A$18:$C$65,3,0))</f>
        <v>3610423.7462134059</v>
      </c>
      <c r="K220" s="273">
        <f ca="1">IF(OR(A220=1,AND(C220=ÉV!$I$2,D220&gt;ÉV!$J$2),C220&gt;ÉV!$I$2),0,VLOOKUP(A220-1,ÉV!$A$18:$C$65,3,0))</f>
        <v>3881267.5064132973</v>
      </c>
      <c r="L220" s="273">
        <f ca="1">VLOOKUP(A220,ÉV!$A$18:$C$65,3,0)*IF(OR(AND(C220=ÉV!$I$2,D220&gt;ÉV!$J$2),C220&gt;ÉV!$I$2),0,1)</f>
        <v>4157320.2717885966</v>
      </c>
      <c r="M220" s="273">
        <f ca="1">(K220*(12-B220)/12+L220*B220/12)*IF(A220&gt;ÉV!$G$2,0,1)+IF(A220&gt;ÉV!$G$2,M219,0)*IF(OR(AND(C220=ÉV!$I$2,D220&gt;ÉV!$J$2),C220&gt;ÉV!$I$2),0,1)</f>
        <v>3927276.3006425137</v>
      </c>
      <c r="N220" s="274">
        <f ca="1">IF(AND(C220=1,D220&lt;12),0,1)*IF(D220=12,MAX(0,F220-E220-0.003)*0.9*((K220+I220)*(B220/12)+(J220+H220)*(1-B220/12))+MAX(0,F220-0.003)*0.9*N219+N219,IF(AND(C220=ÉV!$I$2,D220=ÉV!$J$2),(M220+N219)*MAX(0,F220-0.003)*0.9*(D220/12)+N219,N219))*IF(OR(C220&gt;ÉV!$I$2,AND(C220=ÉV!$I$2,D220&gt;ÉV!$J$2)),0,1)</f>
        <v>0</v>
      </c>
      <c r="O220" s="313">
        <f ca="1">IF(MAX(AF$2:AF219)=2,      0,IF(OR(AC220=7, AF220=2),    SUM(AE$2:AE220),    O219)   )</f>
        <v>823535.77671130467</v>
      </c>
      <c r="P220" s="271">
        <f ca="1">IF(D220=12,V220+P219+P219*(F220-0.003)*0.9,IF(AND(C220=ÉV!$I$2,D220=ÉV!$J$2),V220+P219+P219*(F220-0.003)*0.9*D220/12,P219))*IF(OR(C220&gt;ÉV!$I$2,AND(C220=ÉV!$I$2,D220&gt;ÉV!$J$2)),0,1)</f>
        <v>0</v>
      </c>
      <c r="Q220" s="275">
        <f ca="1">(N220+P220)*IF(OR(AND(C220=ÉV!$I$2,D220&gt;ÉV!$J$2),C220&gt;ÉV!$I$2),0,1)</f>
        <v>0</v>
      </c>
      <c r="R220" s="271">
        <f ca="1">(MAX(0,F220-E220-0.003)*0.9*((K220+I220)*(1/12)))*IF(OR(C220&gt;ÉV!$I$2,AND(C220=ÉV!$I$2,D220&gt;ÉV!$J$2)),0,1)</f>
        <v>0</v>
      </c>
      <c r="S220" s="271">
        <f ca="1">(MAX(0,F220-0.003)*0.9*((O220)*(1/12)))*IF(OR(C220&gt;ÉV!$I$2,AND(C220=ÉV!$I$2,D220&gt;ÉV!$J$2)),0,1)</f>
        <v>0</v>
      </c>
      <c r="T220" s="271">
        <f ca="1">(MAX(0,F220-0.003)*0.9*((Q219)*(1/12)))*IF(OR(C220&gt;ÉV!$I$2,AND(C220=ÉV!$I$2,D220&gt;ÉV!$J$2)),0,1)</f>
        <v>0</v>
      </c>
      <c r="U220" s="271">
        <f ca="1">IF($D220=1,R220,R220+U219)*IF(OR(C220&gt;ÉV!$I$2,AND(C220=ÉV!$I$2,D220&gt;ÉV!$J$2)),0,1)</f>
        <v>0</v>
      </c>
      <c r="V220" s="271">
        <f ca="1">IF($D220=1,S220,S220+V219)*IF(OR(C220&gt;ÉV!$I$2,AND(C220=ÉV!$I$2,D220&gt;ÉV!$J$2)),0,1)</f>
        <v>0</v>
      </c>
      <c r="W220" s="271">
        <f ca="1">IF($D220=1,T220,T220+W219)*IF(OR(C220&gt;ÉV!$I$2,AND(C220=ÉV!$I$2,D220&gt;ÉV!$J$2)),0,1)</f>
        <v>0</v>
      </c>
      <c r="X220" s="271">
        <f ca="1">IF(OR(D220=12,AND(C220=ÉV!$I$2,D220=ÉV!$J$2)),SUM(U220:W220)+X219,X219)*IF(OR(C220&gt;ÉV!$I$2,AND(C220=ÉV!$I$2,D220&gt;ÉV!$J$2)),0,1)</f>
        <v>0</v>
      </c>
      <c r="Y220" s="271">
        <f t="shared" ca="1" si="35"/>
        <v>0</v>
      </c>
      <c r="Z220" s="265">
        <f t="shared" si="36"/>
        <v>2</v>
      </c>
      <c r="AA220" s="272">
        <f t="shared" ca="1" si="37"/>
        <v>24916.945994174403</v>
      </c>
      <c r="AB220" s="265">
        <f t="shared" ca="1" si="43"/>
        <v>2035</v>
      </c>
      <c r="AC220" s="265">
        <f t="shared" ca="1" si="44"/>
        <v>5</v>
      </c>
      <c r="AD220" s="276">
        <f ca="1">IF(     OR(               AND(MAX(AF$6:AF220)&lt;2,  AC220=12),                 AF220=2),                   SUMIF(AB:AB,AB220,AA:AA),                       0)</f>
        <v>0</v>
      </c>
      <c r="AE220" s="277">
        <f t="shared" ca="1" si="45"/>
        <v>0</v>
      </c>
      <c r="AF220" s="277">
        <f t="shared" ca="1" si="38"/>
        <v>0</v>
      </c>
      <c r="AG220" s="402">
        <f ca="1">IF(  AND(AC220=AdóHó,   MAX(AF$1:AF219)&lt;2),   SUMIF(AB:AB,AB220-1,AE:AE),0  )
+ IF(AND(AC220&lt;AdóHó,                            AF220=2),   SUMIF(AB:AB,AB220-1,AE:AE),0  )
+ IF(                                                                  AF220=2,    SUMIF(AB:AB,AB220,AE:AE   ),0  )</f>
        <v>0</v>
      </c>
      <c r="AH220" s="272">
        <f ca="1">SUM(AG$2:AG220)</f>
        <v>823535.77671130467</v>
      </c>
    </row>
    <row r="221" spans="1:34">
      <c r="A221" s="265">
        <f t="shared" si="39"/>
        <v>19</v>
      </c>
      <c r="B221" s="265">
        <f t="shared" si="40"/>
        <v>3</v>
      </c>
      <c r="C221" s="265">
        <f t="shared" ca="1" si="41"/>
        <v>19</v>
      </c>
      <c r="D221" s="265">
        <f t="shared" ca="1" si="42"/>
        <v>6</v>
      </c>
      <c r="E221" s="266">
        <v>5.0000000000000001E-3</v>
      </c>
      <c r="F221" s="267">
        <f>ÉV!$B$12</f>
        <v>0</v>
      </c>
      <c r="G221" s="271">
        <f ca="1">VLOOKUP(A221,ÉV!$A$18:$B$65,2,0)</f>
        <v>299003.35193009285</v>
      </c>
      <c r="H221" s="271">
        <f ca="1">IF(OR(A221=1,AND(C221=ÉV!$I$2,D221&gt;ÉV!$J$2),C221&gt;ÉV!$I$2),0,INDEX(Pz!$B$2:$AM$48,A221-1,ÉV!$G$2-9)/100000*ÉV!$B$10)</f>
        <v>264813.49756126903</v>
      </c>
      <c r="I221" s="271">
        <f ca="1">INDEX(Pz!$B$2:$AM$48,HÓ!A221,ÉV!$G$2-9)/100000*ÉV!$B$10</f>
        <v>270093.05044992914</v>
      </c>
      <c r="J221" s="273">
        <f ca="1">IF(OR(A221=1,A221=2,AND(C221=ÉV!$I$2,D221&gt;ÉV!$J$2),C221&gt;ÉV!$I$2),0,VLOOKUP(A221-2,ÉV!$A$18:$C$65,3,0))</f>
        <v>3610423.7462134059</v>
      </c>
      <c r="K221" s="273">
        <f ca="1">IF(OR(A221=1,AND(C221=ÉV!$I$2,D221&gt;ÉV!$J$2),C221&gt;ÉV!$I$2),0,VLOOKUP(A221-1,ÉV!$A$18:$C$65,3,0))</f>
        <v>3881267.5064132973</v>
      </c>
      <c r="L221" s="273">
        <f ca="1">VLOOKUP(A221,ÉV!$A$18:$C$65,3,0)*IF(OR(AND(C221=ÉV!$I$2,D221&gt;ÉV!$J$2),C221&gt;ÉV!$I$2),0,1)</f>
        <v>4157320.2717885966</v>
      </c>
      <c r="M221" s="273">
        <f ca="1">(K221*(12-B221)/12+L221*B221/12)*IF(A221&gt;ÉV!$G$2,0,1)+IF(A221&gt;ÉV!$G$2,M220,0)*IF(OR(AND(C221=ÉV!$I$2,D221&gt;ÉV!$J$2),C221&gt;ÉV!$I$2),0,1)</f>
        <v>3950280.6977571226</v>
      </c>
      <c r="N221" s="274">
        <f ca="1">IF(AND(C221=1,D221&lt;12),0,1)*IF(D221=12,MAX(0,F221-E221-0.003)*0.9*((K221+I221)*(B221/12)+(J221+H221)*(1-B221/12))+MAX(0,F221-0.003)*0.9*N220+N220,IF(AND(C221=ÉV!$I$2,D221=ÉV!$J$2),(M221+N220)*MAX(0,F221-0.003)*0.9*(D221/12)+N220,N220))*IF(OR(C221&gt;ÉV!$I$2,AND(C221=ÉV!$I$2,D221&gt;ÉV!$J$2)),0,1)</f>
        <v>0</v>
      </c>
      <c r="O221" s="313">
        <f ca="1">IF(MAX(AF$2:AF220)=2,      0,IF(OR(AC221=7, AF221=2),    SUM(AE$2:AE221),    O220)   )</f>
        <v>823535.77671130467</v>
      </c>
      <c r="P221" s="271">
        <f ca="1">IF(D221=12,V221+P220+P220*(F221-0.003)*0.9,IF(AND(C221=ÉV!$I$2,D221=ÉV!$J$2),V221+P220+P220*(F221-0.003)*0.9*D221/12,P220))*IF(OR(C221&gt;ÉV!$I$2,AND(C221=ÉV!$I$2,D221&gt;ÉV!$J$2)),0,1)</f>
        <v>0</v>
      </c>
      <c r="Q221" s="275">
        <f ca="1">(N221+P221)*IF(OR(AND(C221=ÉV!$I$2,D221&gt;ÉV!$J$2),C221&gt;ÉV!$I$2),0,1)</f>
        <v>0</v>
      </c>
      <c r="R221" s="271">
        <f ca="1">(MAX(0,F221-E221-0.003)*0.9*((K221+I221)*(1/12)))*IF(OR(C221&gt;ÉV!$I$2,AND(C221=ÉV!$I$2,D221&gt;ÉV!$J$2)),0,1)</f>
        <v>0</v>
      </c>
      <c r="S221" s="271">
        <f ca="1">(MAX(0,F221-0.003)*0.9*((O221)*(1/12)))*IF(OR(C221&gt;ÉV!$I$2,AND(C221=ÉV!$I$2,D221&gt;ÉV!$J$2)),0,1)</f>
        <v>0</v>
      </c>
      <c r="T221" s="271">
        <f ca="1">(MAX(0,F221-0.003)*0.9*((Q220)*(1/12)))*IF(OR(C221&gt;ÉV!$I$2,AND(C221=ÉV!$I$2,D221&gt;ÉV!$J$2)),0,1)</f>
        <v>0</v>
      </c>
      <c r="U221" s="271">
        <f ca="1">IF($D221=1,R221,R221+U220)*IF(OR(C221&gt;ÉV!$I$2,AND(C221=ÉV!$I$2,D221&gt;ÉV!$J$2)),0,1)</f>
        <v>0</v>
      </c>
      <c r="V221" s="271">
        <f ca="1">IF($D221=1,S221,S221+V220)*IF(OR(C221&gt;ÉV!$I$2,AND(C221=ÉV!$I$2,D221&gt;ÉV!$J$2)),0,1)</f>
        <v>0</v>
      </c>
      <c r="W221" s="271">
        <f ca="1">IF($D221=1,T221,T221+W220)*IF(OR(C221&gt;ÉV!$I$2,AND(C221=ÉV!$I$2,D221&gt;ÉV!$J$2)),0,1)</f>
        <v>0</v>
      </c>
      <c r="X221" s="271">
        <f ca="1">IF(OR(D221=12,AND(C221=ÉV!$I$2,D221=ÉV!$J$2)),SUM(U221:W221)+X220,X220)*IF(OR(C221&gt;ÉV!$I$2,AND(C221=ÉV!$I$2,D221&gt;ÉV!$J$2)),0,1)</f>
        <v>0</v>
      </c>
      <c r="Y221" s="271">
        <f t="shared" ca="1" si="35"/>
        <v>0</v>
      </c>
      <c r="Z221" s="265">
        <f t="shared" si="36"/>
        <v>3</v>
      </c>
      <c r="AA221" s="272">
        <f t="shared" ca="1" si="37"/>
        <v>24916.945994174403</v>
      </c>
      <c r="AB221" s="265">
        <f t="shared" ca="1" si="43"/>
        <v>2035</v>
      </c>
      <c r="AC221" s="265">
        <f t="shared" ca="1" si="44"/>
        <v>6</v>
      </c>
      <c r="AD221" s="276">
        <f ca="1">IF(     OR(               AND(MAX(AF$6:AF221)&lt;2,  AC221=12),                 AF221=2),                   SUMIF(AB:AB,AB221,AA:AA),                       0)</f>
        <v>0</v>
      </c>
      <c r="AE221" s="277">
        <f t="shared" ca="1" si="45"/>
        <v>0</v>
      </c>
      <c r="AF221" s="277">
        <f t="shared" ca="1" si="38"/>
        <v>0</v>
      </c>
      <c r="AG221" s="402">
        <f ca="1">IF(  AND(AC221=AdóHó,   MAX(AF$1:AF220)&lt;2),   SUMIF(AB:AB,AB221-1,AE:AE),0  )
+ IF(AND(AC221&lt;AdóHó,                            AF221=2),   SUMIF(AB:AB,AB221-1,AE:AE),0  )
+ IF(                                                                  AF221=2,    SUMIF(AB:AB,AB221,AE:AE   ),0  )</f>
        <v>0</v>
      </c>
      <c r="AH221" s="272">
        <f ca="1">SUM(AG$2:AG221)</f>
        <v>823535.77671130467</v>
      </c>
    </row>
    <row r="222" spans="1:34">
      <c r="A222" s="265">
        <f t="shared" si="39"/>
        <v>19</v>
      </c>
      <c r="B222" s="265">
        <f t="shared" si="40"/>
        <v>4</v>
      </c>
      <c r="C222" s="265">
        <f t="shared" ca="1" si="41"/>
        <v>19</v>
      </c>
      <c r="D222" s="265">
        <f t="shared" ca="1" si="42"/>
        <v>7</v>
      </c>
      <c r="E222" s="266">
        <v>5.0000000000000001E-3</v>
      </c>
      <c r="F222" s="267">
        <f>ÉV!$B$12</f>
        <v>0</v>
      </c>
      <c r="G222" s="271">
        <f ca="1">VLOOKUP(A222,ÉV!$A$18:$B$65,2,0)</f>
        <v>299003.35193009285</v>
      </c>
      <c r="H222" s="271">
        <f ca="1">IF(OR(A222=1,AND(C222=ÉV!$I$2,D222&gt;ÉV!$J$2),C222&gt;ÉV!$I$2),0,INDEX(Pz!$B$2:$AM$48,A222-1,ÉV!$G$2-9)/100000*ÉV!$B$10)</f>
        <v>264813.49756126903</v>
      </c>
      <c r="I222" s="271">
        <f ca="1">INDEX(Pz!$B$2:$AM$48,HÓ!A222,ÉV!$G$2-9)/100000*ÉV!$B$10</f>
        <v>270093.05044992914</v>
      </c>
      <c r="J222" s="273">
        <f ca="1">IF(OR(A222=1,A222=2,AND(C222=ÉV!$I$2,D222&gt;ÉV!$J$2),C222&gt;ÉV!$I$2),0,VLOOKUP(A222-2,ÉV!$A$18:$C$65,3,0))</f>
        <v>3610423.7462134059</v>
      </c>
      <c r="K222" s="273">
        <f ca="1">IF(OR(A222=1,AND(C222=ÉV!$I$2,D222&gt;ÉV!$J$2),C222&gt;ÉV!$I$2),0,VLOOKUP(A222-1,ÉV!$A$18:$C$65,3,0))</f>
        <v>3881267.5064132973</v>
      </c>
      <c r="L222" s="273">
        <f ca="1">VLOOKUP(A222,ÉV!$A$18:$C$65,3,0)*IF(OR(AND(C222=ÉV!$I$2,D222&gt;ÉV!$J$2),C222&gt;ÉV!$I$2),0,1)</f>
        <v>4157320.2717885966</v>
      </c>
      <c r="M222" s="273">
        <f ca="1">(K222*(12-B222)/12+L222*B222/12)*IF(A222&gt;ÉV!$G$2,0,1)+IF(A222&gt;ÉV!$G$2,M221,0)*IF(OR(AND(C222=ÉV!$I$2,D222&gt;ÉV!$J$2),C222&gt;ÉV!$I$2),0,1)</f>
        <v>3973285.0948717305</v>
      </c>
      <c r="N222" s="274">
        <f ca="1">IF(AND(C222=1,D222&lt;12),0,1)*IF(D222=12,MAX(0,F222-E222-0.003)*0.9*((K222+I222)*(B222/12)+(J222+H222)*(1-B222/12))+MAX(0,F222-0.003)*0.9*N221+N221,IF(AND(C222=ÉV!$I$2,D222=ÉV!$J$2),(M222+N221)*MAX(0,F222-0.003)*0.9*(D222/12)+N221,N221))*IF(OR(C222&gt;ÉV!$I$2,AND(C222=ÉV!$I$2,D222&gt;ÉV!$J$2)),0,1)</f>
        <v>0</v>
      </c>
      <c r="O222" s="313">
        <f ca="1">IF(MAX(AF$2:AF221)=2,      0,IF(OR(AC222=7, AF222=2),    SUM(AE$2:AE222),    O221)   )</f>
        <v>881876.49224553083</v>
      </c>
      <c r="P222" s="271">
        <f ca="1">IF(D222=12,V222+P221+P221*(F222-0.003)*0.9,IF(AND(C222=ÉV!$I$2,D222=ÉV!$J$2),V222+P221+P221*(F222-0.003)*0.9*D222/12,P221))*IF(OR(C222&gt;ÉV!$I$2,AND(C222=ÉV!$I$2,D222&gt;ÉV!$J$2)),0,1)</f>
        <v>0</v>
      </c>
      <c r="Q222" s="275">
        <f ca="1">(N222+P222)*IF(OR(AND(C222=ÉV!$I$2,D222&gt;ÉV!$J$2),C222&gt;ÉV!$I$2),0,1)</f>
        <v>0</v>
      </c>
      <c r="R222" s="271">
        <f ca="1">(MAX(0,F222-E222-0.003)*0.9*((K222+I222)*(1/12)))*IF(OR(C222&gt;ÉV!$I$2,AND(C222=ÉV!$I$2,D222&gt;ÉV!$J$2)),0,1)</f>
        <v>0</v>
      </c>
      <c r="S222" s="271">
        <f ca="1">(MAX(0,F222-0.003)*0.9*((O222)*(1/12)))*IF(OR(C222&gt;ÉV!$I$2,AND(C222=ÉV!$I$2,D222&gt;ÉV!$J$2)),0,1)</f>
        <v>0</v>
      </c>
      <c r="T222" s="271">
        <f ca="1">(MAX(0,F222-0.003)*0.9*((Q221)*(1/12)))*IF(OR(C222&gt;ÉV!$I$2,AND(C222=ÉV!$I$2,D222&gt;ÉV!$J$2)),0,1)</f>
        <v>0</v>
      </c>
      <c r="U222" s="271">
        <f ca="1">IF($D222=1,R222,R222+U221)*IF(OR(C222&gt;ÉV!$I$2,AND(C222=ÉV!$I$2,D222&gt;ÉV!$J$2)),0,1)</f>
        <v>0</v>
      </c>
      <c r="V222" s="271">
        <f ca="1">IF($D222=1,S222,S222+V221)*IF(OR(C222&gt;ÉV!$I$2,AND(C222=ÉV!$I$2,D222&gt;ÉV!$J$2)),0,1)</f>
        <v>0</v>
      </c>
      <c r="W222" s="271">
        <f ca="1">IF($D222=1,T222,T222+W221)*IF(OR(C222&gt;ÉV!$I$2,AND(C222=ÉV!$I$2,D222&gt;ÉV!$J$2)),0,1)</f>
        <v>0</v>
      </c>
      <c r="X222" s="271">
        <f ca="1">IF(OR(D222=12,AND(C222=ÉV!$I$2,D222=ÉV!$J$2)),SUM(U222:W222)+X221,X221)*IF(OR(C222&gt;ÉV!$I$2,AND(C222=ÉV!$I$2,D222&gt;ÉV!$J$2)),0,1)</f>
        <v>0</v>
      </c>
      <c r="Y222" s="271">
        <f t="shared" ca="1" si="35"/>
        <v>0</v>
      </c>
      <c r="Z222" s="265">
        <f t="shared" si="36"/>
        <v>4</v>
      </c>
      <c r="AA222" s="272">
        <f t="shared" ca="1" si="37"/>
        <v>24916.945994174403</v>
      </c>
      <c r="AB222" s="265">
        <f t="shared" ca="1" si="43"/>
        <v>2035</v>
      </c>
      <c r="AC222" s="265">
        <f t="shared" ca="1" si="44"/>
        <v>7</v>
      </c>
      <c r="AD222" s="276">
        <f ca="1">IF(     OR(               AND(MAX(AF$6:AF222)&lt;2,  AC222=12),                 AF222=2),                   SUMIF(AB:AB,AB222,AA:AA),                       0)</f>
        <v>0</v>
      </c>
      <c r="AE222" s="277">
        <f t="shared" ca="1" si="45"/>
        <v>0</v>
      </c>
      <c r="AF222" s="277">
        <f t="shared" ca="1" si="38"/>
        <v>0</v>
      </c>
      <c r="AG222" s="402">
        <f ca="1">IF(  AND(AC222=AdóHó,   MAX(AF$1:AF221)&lt;2),   SUMIF(AB:AB,AB222-1,AE:AE),0  )
+ IF(AND(AC222&lt;AdóHó,                            AF222=2),   SUMIF(AB:AB,AB222-1,AE:AE),0  )
+ IF(                                                                  AF222=2,    SUMIF(AB:AB,AB222,AE:AE   ),0  )</f>
        <v>58340.71553422611</v>
      </c>
      <c r="AH222" s="272">
        <f ca="1">SUM(AG$2:AG222)</f>
        <v>881876.49224553083</v>
      </c>
    </row>
    <row r="223" spans="1:34">
      <c r="A223" s="265">
        <f t="shared" si="39"/>
        <v>19</v>
      </c>
      <c r="B223" s="265">
        <f t="shared" si="40"/>
        <v>5</v>
      </c>
      <c r="C223" s="265">
        <f t="shared" ca="1" si="41"/>
        <v>19</v>
      </c>
      <c r="D223" s="265">
        <f t="shared" ca="1" si="42"/>
        <v>8</v>
      </c>
      <c r="E223" s="266">
        <v>5.0000000000000001E-3</v>
      </c>
      <c r="F223" s="267">
        <f>ÉV!$B$12</f>
        <v>0</v>
      </c>
      <c r="G223" s="271">
        <f ca="1">VLOOKUP(A223,ÉV!$A$18:$B$65,2,0)</f>
        <v>299003.35193009285</v>
      </c>
      <c r="H223" s="271">
        <f ca="1">IF(OR(A223=1,AND(C223=ÉV!$I$2,D223&gt;ÉV!$J$2),C223&gt;ÉV!$I$2),0,INDEX(Pz!$B$2:$AM$48,A223-1,ÉV!$G$2-9)/100000*ÉV!$B$10)</f>
        <v>264813.49756126903</v>
      </c>
      <c r="I223" s="271">
        <f ca="1">INDEX(Pz!$B$2:$AM$48,HÓ!A223,ÉV!$G$2-9)/100000*ÉV!$B$10</f>
        <v>270093.05044992914</v>
      </c>
      <c r="J223" s="273">
        <f ca="1">IF(OR(A223=1,A223=2,AND(C223=ÉV!$I$2,D223&gt;ÉV!$J$2),C223&gt;ÉV!$I$2),0,VLOOKUP(A223-2,ÉV!$A$18:$C$65,3,0))</f>
        <v>3610423.7462134059</v>
      </c>
      <c r="K223" s="273">
        <f ca="1">IF(OR(A223=1,AND(C223=ÉV!$I$2,D223&gt;ÉV!$J$2),C223&gt;ÉV!$I$2),0,VLOOKUP(A223-1,ÉV!$A$18:$C$65,3,0))</f>
        <v>3881267.5064132973</v>
      </c>
      <c r="L223" s="273">
        <f ca="1">VLOOKUP(A223,ÉV!$A$18:$C$65,3,0)*IF(OR(AND(C223=ÉV!$I$2,D223&gt;ÉV!$J$2),C223&gt;ÉV!$I$2),0,1)</f>
        <v>4157320.2717885966</v>
      </c>
      <c r="M223" s="273">
        <f ca="1">(K223*(12-B223)/12+L223*B223/12)*IF(A223&gt;ÉV!$G$2,0,1)+IF(A223&gt;ÉV!$G$2,M222,0)*IF(OR(AND(C223=ÉV!$I$2,D223&gt;ÉV!$J$2),C223&gt;ÉV!$I$2),0,1)</f>
        <v>3996289.491986339</v>
      </c>
      <c r="N223" s="274">
        <f ca="1">IF(AND(C223=1,D223&lt;12),0,1)*IF(D223=12,MAX(0,F223-E223-0.003)*0.9*((K223+I223)*(B223/12)+(J223+H223)*(1-B223/12))+MAX(0,F223-0.003)*0.9*N222+N222,IF(AND(C223=ÉV!$I$2,D223=ÉV!$J$2),(M223+N222)*MAX(0,F223-0.003)*0.9*(D223/12)+N222,N222))*IF(OR(C223&gt;ÉV!$I$2,AND(C223=ÉV!$I$2,D223&gt;ÉV!$J$2)),0,1)</f>
        <v>0</v>
      </c>
      <c r="O223" s="313">
        <f ca="1">IF(MAX(AF$2:AF222)=2,      0,IF(OR(AC223=7, AF223=2),    SUM(AE$2:AE223),    O222)   )</f>
        <v>881876.49224553083</v>
      </c>
      <c r="P223" s="271">
        <f ca="1">IF(D223=12,V223+P222+P222*(F223-0.003)*0.9,IF(AND(C223=ÉV!$I$2,D223=ÉV!$J$2),V223+P222+P222*(F223-0.003)*0.9*D223/12,P222))*IF(OR(C223&gt;ÉV!$I$2,AND(C223=ÉV!$I$2,D223&gt;ÉV!$J$2)),0,1)</f>
        <v>0</v>
      </c>
      <c r="Q223" s="275">
        <f ca="1">(N223+P223)*IF(OR(AND(C223=ÉV!$I$2,D223&gt;ÉV!$J$2),C223&gt;ÉV!$I$2),0,1)</f>
        <v>0</v>
      </c>
      <c r="R223" s="271">
        <f ca="1">(MAX(0,F223-E223-0.003)*0.9*((K223+I223)*(1/12)))*IF(OR(C223&gt;ÉV!$I$2,AND(C223=ÉV!$I$2,D223&gt;ÉV!$J$2)),0,1)</f>
        <v>0</v>
      </c>
      <c r="S223" s="271">
        <f ca="1">(MAX(0,F223-0.003)*0.9*((O223)*(1/12)))*IF(OR(C223&gt;ÉV!$I$2,AND(C223=ÉV!$I$2,D223&gt;ÉV!$J$2)),0,1)</f>
        <v>0</v>
      </c>
      <c r="T223" s="271">
        <f ca="1">(MAX(0,F223-0.003)*0.9*((Q222)*(1/12)))*IF(OR(C223&gt;ÉV!$I$2,AND(C223=ÉV!$I$2,D223&gt;ÉV!$J$2)),0,1)</f>
        <v>0</v>
      </c>
      <c r="U223" s="271">
        <f ca="1">IF($D223=1,R223,R223+U222)*IF(OR(C223&gt;ÉV!$I$2,AND(C223=ÉV!$I$2,D223&gt;ÉV!$J$2)),0,1)</f>
        <v>0</v>
      </c>
      <c r="V223" s="271">
        <f ca="1">IF($D223=1,S223,S223+V222)*IF(OR(C223&gt;ÉV!$I$2,AND(C223=ÉV!$I$2,D223&gt;ÉV!$J$2)),0,1)</f>
        <v>0</v>
      </c>
      <c r="W223" s="271">
        <f ca="1">IF($D223=1,T223,T223+W222)*IF(OR(C223&gt;ÉV!$I$2,AND(C223=ÉV!$I$2,D223&gt;ÉV!$J$2)),0,1)</f>
        <v>0</v>
      </c>
      <c r="X223" s="271">
        <f ca="1">IF(OR(D223=12,AND(C223=ÉV!$I$2,D223=ÉV!$J$2)),SUM(U223:W223)+X222,X222)*IF(OR(C223&gt;ÉV!$I$2,AND(C223=ÉV!$I$2,D223&gt;ÉV!$J$2)),0,1)</f>
        <v>0</v>
      </c>
      <c r="Y223" s="271">
        <f t="shared" ca="1" si="35"/>
        <v>0</v>
      </c>
      <c r="Z223" s="265">
        <f t="shared" si="36"/>
        <v>5</v>
      </c>
      <c r="AA223" s="272">
        <f t="shared" ca="1" si="37"/>
        <v>24916.945994174403</v>
      </c>
      <c r="AB223" s="265">
        <f t="shared" ca="1" si="43"/>
        <v>2035</v>
      </c>
      <c r="AC223" s="265">
        <f t="shared" ca="1" si="44"/>
        <v>8</v>
      </c>
      <c r="AD223" s="276">
        <f ca="1">IF(     OR(               AND(MAX(AF$6:AF223)&lt;2,  AC223=12),                 AF223=2),                   SUMIF(AB:AB,AB223,AA:AA),                       0)</f>
        <v>0</v>
      </c>
      <c r="AE223" s="277">
        <f t="shared" ca="1" si="45"/>
        <v>0</v>
      </c>
      <c r="AF223" s="277">
        <f t="shared" ca="1" si="38"/>
        <v>0</v>
      </c>
      <c r="AG223" s="402">
        <f ca="1">IF(  AND(AC223=AdóHó,   MAX(AF$1:AF222)&lt;2),   SUMIF(AB:AB,AB223-1,AE:AE),0  )
+ IF(AND(AC223&lt;AdóHó,                            AF223=2),   SUMIF(AB:AB,AB223-1,AE:AE),0  )
+ IF(                                                                  AF223=2,    SUMIF(AB:AB,AB223,AE:AE   ),0  )</f>
        <v>0</v>
      </c>
      <c r="AH223" s="272">
        <f ca="1">SUM(AG$2:AG223)</f>
        <v>881876.49224553083</v>
      </c>
    </row>
    <row r="224" spans="1:34">
      <c r="A224" s="265">
        <f t="shared" si="39"/>
        <v>19</v>
      </c>
      <c r="B224" s="265">
        <f t="shared" si="40"/>
        <v>6</v>
      </c>
      <c r="C224" s="265">
        <f t="shared" ca="1" si="41"/>
        <v>19</v>
      </c>
      <c r="D224" s="265">
        <f t="shared" ca="1" si="42"/>
        <v>9</v>
      </c>
      <c r="E224" s="266">
        <v>5.0000000000000001E-3</v>
      </c>
      <c r="F224" s="267">
        <f>ÉV!$B$12</f>
        <v>0</v>
      </c>
      <c r="G224" s="271">
        <f ca="1">VLOOKUP(A224,ÉV!$A$18:$B$65,2,0)</f>
        <v>299003.35193009285</v>
      </c>
      <c r="H224" s="271">
        <f ca="1">IF(OR(A224=1,AND(C224=ÉV!$I$2,D224&gt;ÉV!$J$2),C224&gt;ÉV!$I$2),0,INDEX(Pz!$B$2:$AM$48,A224-1,ÉV!$G$2-9)/100000*ÉV!$B$10)</f>
        <v>264813.49756126903</v>
      </c>
      <c r="I224" s="271">
        <f ca="1">INDEX(Pz!$B$2:$AM$48,HÓ!A224,ÉV!$G$2-9)/100000*ÉV!$B$10</f>
        <v>270093.05044992914</v>
      </c>
      <c r="J224" s="273">
        <f ca="1">IF(OR(A224=1,A224=2,AND(C224=ÉV!$I$2,D224&gt;ÉV!$J$2),C224&gt;ÉV!$I$2),0,VLOOKUP(A224-2,ÉV!$A$18:$C$65,3,0))</f>
        <v>3610423.7462134059</v>
      </c>
      <c r="K224" s="273">
        <f ca="1">IF(OR(A224=1,AND(C224=ÉV!$I$2,D224&gt;ÉV!$J$2),C224&gt;ÉV!$I$2),0,VLOOKUP(A224-1,ÉV!$A$18:$C$65,3,0))</f>
        <v>3881267.5064132973</v>
      </c>
      <c r="L224" s="273">
        <f ca="1">VLOOKUP(A224,ÉV!$A$18:$C$65,3,0)*IF(OR(AND(C224=ÉV!$I$2,D224&gt;ÉV!$J$2),C224&gt;ÉV!$I$2),0,1)</f>
        <v>4157320.2717885966</v>
      </c>
      <c r="M224" s="273">
        <f ca="1">(K224*(12-B224)/12+L224*B224/12)*IF(A224&gt;ÉV!$G$2,0,1)+IF(A224&gt;ÉV!$G$2,M223,0)*IF(OR(AND(C224=ÉV!$I$2,D224&gt;ÉV!$J$2),C224&gt;ÉV!$I$2),0,1)</f>
        <v>4019293.889100947</v>
      </c>
      <c r="N224" s="274">
        <f ca="1">IF(AND(C224=1,D224&lt;12),0,1)*IF(D224=12,MAX(0,F224-E224-0.003)*0.9*((K224+I224)*(B224/12)+(J224+H224)*(1-B224/12))+MAX(0,F224-0.003)*0.9*N223+N223,IF(AND(C224=ÉV!$I$2,D224=ÉV!$J$2),(M224+N223)*MAX(0,F224-0.003)*0.9*(D224/12)+N223,N223))*IF(OR(C224&gt;ÉV!$I$2,AND(C224=ÉV!$I$2,D224&gt;ÉV!$J$2)),0,1)</f>
        <v>0</v>
      </c>
      <c r="O224" s="313">
        <f ca="1">IF(MAX(AF$2:AF223)=2,      0,IF(OR(AC224=7, AF224=2),    SUM(AE$2:AE224),    O223)   )</f>
        <v>881876.49224553083</v>
      </c>
      <c r="P224" s="271">
        <f ca="1">IF(D224=12,V224+P223+P223*(F224-0.003)*0.9,IF(AND(C224=ÉV!$I$2,D224=ÉV!$J$2),V224+P223+P223*(F224-0.003)*0.9*D224/12,P223))*IF(OR(C224&gt;ÉV!$I$2,AND(C224=ÉV!$I$2,D224&gt;ÉV!$J$2)),0,1)</f>
        <v>0</v>
      </c>
      <c r="Q224" s="275">
        <f ca="1">(N224+P224)*IF(OR(AND(C224=ÉV!$I$2,D224&gt;ÉV!$J$2),C224&gt;ÉV!$I$2),0,1)</f>
        <v>0</v>
      </c>
      <c r="R224" s="271">
        <f ca="1">(MAX(0,F224-E224-0.003)*0.9*((K224+I224)*(1/12)))*IF(OR(C224&gt;ÉV!$I$2,AND(C224=ÉV!$I$2,D224&gt;ÉV!$J$2)),0,1)</f>
        <v>0</v>
      </c>
      <c r="S224" s="271">
        <f ca="1">(MAX(0,F224-0.003)*0.9*((O224)*(1/12)))*IF(OR(C224&gt;ÉV!$I$2,AND(C224=ÉV!$I$2,D224&gt;ÉV!$J$2)),0,1)</f>
        <v>0</v>
      </c>
      <c r="T224" s="271">
        <f ca="1">(MAX(0,F224-0.003)*0.9*((Q223)*(1/12)))*IF(OR(C224&gt;ÉV!$I$2,AND(C224=ÉV!$I$2,D224&gt;ÉV!$J$2)),0,1)</f>
        <v>0</v>
      </c>
      <c r="U224" s="271">
        <f ca="1">IF($D224=1,R224,R224+U223)*IF(OR(C224&gt;ÉV!$I$2,AND(C224=ÉV!$I$2,D224&gt;ÉV!$J$2)),0,1)</f>
        <v>0</v>
      </c>
      <c r="V224" s="271">
        <f ca="1">IF($D224=1,S224,S224+V223)*IF(OR(C224&gt;ÉV!$I$2,AND(C224=ÉV!$I$2,D224&gt;ÉV!$J$2)),0,1)</f>
        <v>0</v>
      </c>
      <c r="W224" s="271">
        <f ca="1">IF($D224=1,T224,T224+W223)*IF(OR(C224&gt;ÉV!$I$2,AND(C224=ÉV!$I$2,D224&gt;ÉV!$J$2)),0,1)</f>
        <v>0</v>
      </c>
      <c r="X224" s="271">
        <f ca="1">IF(OR(D224=12,AND(C224=ÉV!$I$2,D224=ÉV!$J$2)),SUM(U224:W224)+X223,X223)*IF(OR(C224&gt;ÉV!$I$2,AND(C224=ÉV!$I$2,D224&gt;ÉV!$J$2)),0,1)</f>
        <v>0</v>
      </c>
      <c r="Y224" s="271">
        <f t="shared" ca="1" si="35"/>
        <v>0</v>
      </c>
      <c r="Z224" s="265">
        <f t="shared" si="36"/>
        <v>6</v>
      </c>
      <c r="AA224" s="272">
        <f t="shared" ca="1" si="37"/>
        <v>24916.945994174403</v>
      </c>
      <c r="AB224" s="265">
        <f t="shared" ca="1" si="43"/>
        <v>2035</v>
      </c>
      <c r="AC224" s="265">
        <f t="shared" ca="1" si="44"/>
        <v>9</v>
      </c>
      <c r="AD224" s="276">
        <f ca="1">IF(     OR(               AND(MAX(AF$6:AF224)&lt;2,  AC224=12),                 AF224=2),                   SUMIF(AB:AB,AB224,AA:AA),                       0)</f>
        <v>0</v>
      </c>
      <c r="AE224" s="277">
        <f t="shared" ca="1" si="45"/>
        <v>0</v>
      </c>
      <c r="AF224" s="277">
        <f t="shared" ca="1" si="38"/>
        <v>0</v>
      </c>
      <c r="AG224" s="402">
        <f ca="1">IF(  AND(AC224=AdóHó,   MAX(AF$1:AF223)&lt;2),   SUMIF(AB:AB,AB224-1,AE:AE),0  )
+ IF(AND(AC224&lt;AdóHó,                            AF224=2),   SUMIF(AB:AB,AB224-1,AE:AE),0  )
+ IF(                                                                  AF224=2,    SUMIF(AB:AB,AB224,AE:AE   ),0  )</f>
        <v>0</v>
      </c>
      <c r="AH224" s="272">
        <f ca="1">SUM(AG$2:AG224)</f>
        <v>881876.49224553083</v>
      </c>
    </row>
    <row r="225" spans="1:34">
      <c r="A225" s="265">
        <f t="shared" si="39"/>
        <v>19</v>
      </c>
      <c r="B225" s="265">
        <f t="shared" si="40"/>
        <v>7</v>
      </c>
      <c r="C225" s="265">
        <f t="shared" ca="1" si="41"/>
        <v>19</v>
      </c>
      <c r="D225" s="265">
        <f t="shared" ca="1" si="42"/>
        <v>10</v>
      </c>
      <c r="E225" s="266">
        <v>5.0000000000000001E-3</v>
      </c>
      <c r="F225" s="267">
        <f>ÉV!$B$12</f>
        <v>0</v>
      </c>
      <c r="G225" s="271">
        <f ca="1">VLOOKUP(A225,ÉV!$A$18:$B$65,2,0)</f>
        <v>299003.35193009285</v>
      </c>
      <c r="H225" s="271">
        <f ca="1">IF(OR(A225=1,AND(C225=ÉV!$I$2,D225&gt;ÉV!$J$2),C225&gt;ÉV!$I$2),0,INDEX(Pz!$B$2:$AM$48,A225-1,ÉV!$G$2-9)/100000*ÉV!$B$10)</f>
        <v>264813.49756126903</v>
      </c>
      <c r="I225" s="271">
        <f ca="1">INDEX(Pz!$B$2:$AM$48,HÓ!A225,ÉV!$G$2-9)/100000*ÉV!$B$10</f>
        <v>270093.05044992914</v>
      </c>
      <c r="J225" s="273">
        <f ca="1">IF(OR(A225=1,A225=2,AND(C225=ÉV!$I$2,D225&gt;ÉV!$J$2),C225&gt;ÉV!$I$2),0,VLOOKUP(A225-2,ÉV!$A$18:$C$65,3,0))</f>
        <v>3610423.7462134059</v>
      </c>
      <c r="K225" s="273">
        <f ca="1">IF(OR(A225=1,AND(C225=ÉV!$I$2,D225&gt;ÉV!$J$2),C225&gt;ÉV!$I$2),0,VLOOKUP(A225-1,ÉV!$A$18:$C$65,3,0))</f>
        <v>3881267.5064132973</v>
      </c>
      <c r="L225" s="273">
        <f ca="1">VLOOKUP(A225,ÉV!$A$18:$C$65,3,0)*IF(OR(AND(C225=ÉV!$I$2,D225&gt;ÉV!$J$2),C225&gt;ÉV!$I$2),0,1)</f>
        <v>4157320.2717885966</v>
      </c>
      <c r="M225" s="273">
        <f ca="1">(K225*(12-B225)/12+L225*B225/12)*IF(A225&gt;ÉV!$G$2,0,1)+IF(A225&gt;ÉV!$G$2,M224,0)*IF(OR(AND(C225=ÉV!$I$2,D225&gt;ÉV!$J$2),C225&gt;ÉV!$I$2),0,1)</f>
        <v>4042298.2862155549</v>
      </c>
      <c r="N225" s="274">
        <f ca="1">IF(AND(C225=1,D225&lt;12),0,1)*IF(D225=12,MAX(0,F225-E225-0.003)*0.9*((K225+I225)*(B225/12)+(J225+H225)*(1-B225/12))+MAX(0,F225-0.003)*0.9*N224+N224,IF(AND(C225=ÉV!$I$2,D225=ÉV!$J$2),(M225+N224)*MAX(0,F225-0.003)*0.9*(D225/12)+N224,N224))*IF(OR(C225&gt;ÉV!$I$2,AND(C225=ÉV!$I$2,D225&gt;ÉV!$J$2)),0,1)</f>
        <v>0</v>
      </c>
      <c r="O225" s="313">
        <f ca="1">IF(MAX(AF$2:AF224)=2,      0,IF(OR(AC225=7, AF225=2),    SUM(AE$2:AE225),    O224)   )</f>
        <v>881876.49224553083</v>
      </c>
      <c r="P225" s="271">
        <f ca="1">IF(D225=12,V225+P224+P224*(F225-0.003)*0.9,IF(AND(C225=ÉV!$I$2,D225=ÉV!$J$2),V225+P224+P224*(F225-0.003)*0.9*D225/12,P224))*IF(OR(C225&gt;ÉV!$I$2,AND(C225=ÉV!$I$2,D225&gt;ÉV!$J$2)),0,1)</f>
        <v>0</v>
      </c>
      <c r="Q225" s="275">
        <f ca="1">(N225+P225)*IF(OR(AND(C225=ÉV!$I$2,D225&gt;ÉV!$J$2),C225&gt;ÉV!$I$2),0,1)</f>
        <v>0</v>
      </c>
      <c r="R225" s="271">
        <f ca="1">(MAX(0,F225-E225-0.003)*0.9*((K225+I225)*(1/12)))*IF(OR(C225&gt;ÉV!$I$2,AND(C225=ÉV!$I$2,D225&gt;ÉV!$J$2)),0,1)</f>
        <v>0</v>
      </c>
      <c r="S225" s="271">
        <f ca="1">(MAX(0,F225-0.003)*0.9*((O225)*(1/12)))*IF(OR(C225&gt;ÉV!$I$2,AND(C225=ÉV!$I$2,D225&gt;ÉV!$J$2)),0,1)</f>
        <v>0</v>
      </c>
      <c r="T225" s="271">
        <f ca="1">(MAX(0,F225-0.003)*0.9*((Q224)*(1/12)))*IF(OR(C225&gt;ÉV!$I$2,AND(C225=ÉV!$I$2,D225&gt;ÉV!$J$2)),0,1)</f>
        <v>0</v>
      </c>
      <c r="U225" s="271">
        <f ca="1">IF($D225=1,R225,R225+U224)*IF(OR(C225&gt;ÉV!$I$2,AND(C225=ÉV!$I$2,D225&gt;ÉV!$J$2)),0,1)</f>
        <v>0</v>
      </c>
      <c r="V225" s="271">
        <f ca="1">IF($D225=1,S225,S225+V224)*IF(OR(C225&gt;ÉV!$I$2,AND(C225=ÉV!$I$2,D225&gt;ÉV!$J$2)),0,1)</f>
        <v>0</v>
      </c>
      <c r="W225" s="271">
        <f ca="1">IF($D225=1,T225,T225+W224)*IF(OR(C225&gt;ÉV!$I$2,AND(C225=ÉV!$I$2,D225&gt;ÉV!$J$2)),0,1)</f>
        <v>0</v>
      </c>
      <c r="X225" s="271">
        <f ca="1">IF(OR(D225=12,AND(C225=ÉV!$I$2,D225=ÉV!$J$2)),SUM(U225:W225)+X224,X224)*IF(OR(C225&gt;ÉV!$I$2,AND(C225=ÉV!$I$2,D225&gt;ÉV!$J$2)),0,1)</f>
        <v>0</v>
      </c>
      <c r="Y225" s="271">
        <f t="shared" ca="1" si="35"/>
        <v>0</v>
      </c>
      <c r="Z225" s="265">
        <f t="shared" si="36"/>
        <v>7</v>
      </c>
      <c r="AA225" s="272">
        <f t="shared" ca="1" si="37"/>
        <v>24916.945994174403</v>
      </c>
      <c r="AB225" s="265">
        <f t="shared" ca="1" si="43"/>
        <v>2035</v>
      </c>
      <c r="AC225" s="265">
        <f t="shared" ca="1" si="44"/>
        <v>10</v>
      </c>
      <c r="AD225" s="276">
        <f ca="1">IF(     OR(               AND(MAX(AF$6:AF225)&lt;2,  AC225=12),                 AF225=2),                   SUMIF(AB:AB,AB225,AA:AA),                       0)</f>
        <v>0</v>
      </c>
      <c r="AE225" s="277">
        <f t="shared" ca="1" si="45"/>
        <v>0</v>
      </c>
      <c r="AF225" s="277">
        <f t="shared" ca="1" si="38"/>
        <v>0</v>
      </c>
      <c r="AG225" s="402">
        <f ca="1">IF(  AND(AC225=AdóHó,   MAX(AF$1:AF224)&lt;2),   SUMIF(AB:AB,AB225-1,AE:AE),0  )
+ IF(AND(AC225&lt;AdóHó,                            AF225=2),   SUMIF(AB:AB,AB225-1,AE:AE),0  )
+ IF(                                                                  AF225=2,    SUMIF(AB:AB,AB225,AE:AE   ),0  )</f>
        <v>0</v>
      </c>
      <c r="AH225" s="272">
        <f ca="1">SUM(AG$2:AG225)</f>
        <v>881876.49224553083</v>
      </c>
    </row>
    <row r="226" spans="1:34">
      <c r="A226" s="265">
        <f t="shared" si="39"/>
        <v>19</v>
      </c>
      <c r="B226" s="265">
        <f t="shared" si="40"/>
        <v>8</v>
      </c>
      <c r="C226" s="265">
        <f t="shared" ca="1" si="41"/>
        <v>19</v>
      </c>
      <c r="D226" s="265">
        <f t="shared" ca="1" si="42"/>
        <v>11</v>
      </c>
      <c r="E226" s="266">
        <v>5.0000000000000001E-3</v>
      </c>
      <c r="F226" s="267">
        <f>ÉV!$B$12</f>
        <v>0</v>
      </c>
      <c r="G226" s="271">
        <f ca="1">VLOOKUP(A226,ÉV!$A$18:$B$65,2,0)</f>
        <v>299003.35193009285</v>
      </c>
      <c r="H226" s="271">
        <f ca="1">IF(OR(A226=1,AND(C226=ÉV!$I$2,D226&gt;ÉV!$J$2),C226&gt;ÉV!$I$2),0,INDEX(Pz!$B$2:$AM$48,A226-1,ÉV!$G$2-9)/100000*ÉV!$B$10)</f>
        <v>264813.49756126903</v>
      </c>
      <c r="I226" s="271">
        <f ca="1">INDEX(Pz!$B$2:$AM$48,HÓ!A226,ÉV!$G$2-9)/100000*ÉV!$B$10</f>
        <v>270093.05044992914</v>
      </c>
      <c r="J226" s="273">
        <f ca="1">IF(OR(A226=1,A226=2,AND(C226=ÉV!$I$2,D226&gt;ÉV!$J$2),C226&gt;ÉV!$I$2),0,VLOOKUP(A226-2,ÉV!$A$18:$C$65,3,0))</f>
        <v>3610423.7462134059</v>
      </c>
      <c r="K226" s="273">
        <f ca="1">IF(OR(A226=1,AND(C226=ÉV!$I$2,D226&gt;ÉV!$J$2),C226&gt;ÉV!$I$2),0,VLOOKUP(A226-1,ÉV!$A$18:$C$65,3,0))</f>
        <v>3881267.5064132973</v>
      </c>
      <c r="L226" s="273">
        <f ca="1">VLOOKUP(A226,ÉV!$A$18:$C$65,3,0)*IF(OR(AND(C226=ÉV!$I$2,D226&gt;ÉV!$J$2),C226&gt;ÉV!$I$2),0,1)</f>
        <v>4157320.2717885966</v>
      </c>
      <c r="M226" s="273">
        <f ca="1">(K226*(12-B226)/12+L226*B226/12)*IF(A226&gt;ÉV!$G$2,0,1)+IF(A226&gt;ÉV!$G$2,M225,0)*IF(OR(AND(C226=ÉV!$I$2,D226&gt;ÉV!$J$2),C226&gt;ÉV!$I$2),0,1)</f>
        <v>4065302.6833301634</v>
      </c>
      <c r="N226" s="274">
        <f ca="1">IF(AND(C226=1,D226&lt;12),0,1)*IF(D226=12,MAX(0,F226-E226-0.003)*0.9*((K226+I226)*(B226/12)+(J226+H226)*(1-B226/12))+MAX(0,F226-0.003)*0.9*N225+N225,IF(AND(C226=ÉV!$I$2,D226=ÉV!$J$2),(M226+N225)*MAX(0,F226-0.003)*0.9*(D226/12)+N225,N225))*IF(OR(C226&gt;ÉV!$I$2,AND(C226=ÉV!$I$2,D226&gt;ÉV!$J$2)),0,1)</f>
        <v>0</v>
      </c>
      <c r="O226" s="313">
        <f ca="1">IF(MAX(AF$2:AF225)=2,      0,IF(OR(AC226=7, AF226=2),    SUM(AE$2:AE226),    O225)   )</f>
        <v>881876.49224553083</v>
      </c>
      <c r="P226" s="271">
        <f ca="1">IF(D226=12,V226+P225+P225*(F226-0.003)*0.9,IF(AND(C226=ÉV!$I$2,D226=ÉV!$J$2),V226+P225+P225*(F226-0.003)*0.9*D226/12,P225))*IF(OR(C226&gt;ÉV!$I$2,AND(C226=ÉV!$I$2,D226&gt;ÉV!$J$2)),0,1)</f>
        <v>0</v>
      </c>
      <c r="Q226" s="275">
        <f ca="1">(N226+P226)*IF(OR(AND(C226=ÉV!$I$2,D226&gt;ÉV!$J$2),C226&gt;ÉV!$I$2),0,1)</f>
        <v>0</v>
      </c>
      <c r="R226" s="271">
        <f ca="1">(MAX(0,F226-E226-0.003)*0.9*((K226+I226)*(1/12)))*IF(OR(C226&gt;ÉV!$I$2,AND(C226=ÉV!$I$2,D226&gt;ÉV!$J$2)),0,1)</f>
        <v>0</v>
      </c>
      <c r="S226" s="271">
        <f ca="1">(MAX(0,F226-0.003)*0.9*((O226)*(1/12)))*IF(OR(C226&gt;ÉV!$I$2,AND(C226=ÉV!$I$2,D226&gt;ÉV!$J$2)),0,1)</f>
        <v>0</v>
      </c>
      <c r="T226" s="271">
        <f ca="1">(MAX(0,F226-0.003)*0.9*((Q225)*(1/12)))*IF(OR(C226&gt;ÉV!$I$2,AND(C226=ÉV!$I$2,D226&gt;ÉV!$J$2)),0,1)</f>
        <v>0</v>
      </c>
      <c r="U226" s="271">
        <f ca="1">IF($D226=1,R226,R226+U225)*IF(OR(C226&gt;ÉV!$I$2,AND(C226=ÉV!$I$2,D226&gt;ÉV!$J$2)),0,1)</f>
        <v>0</v>
      </c>
      <c r="V226" s="271">
        <f ca="1">IF($D226=1,S226,S226+V225)*IF(OR(C226&gt;ÉV!$I$2,AND(C226=ÉV!$I$2,D226&gt;ÉV!$J$2)),0,1)</f>
        <v>0</v>
      </c>
      <c r="W226" s="271">
        <f ca="1">IF($D226=1,T226,T226+W225)*IF(OR(C226&gt;ÉV!$I$2,AND(C226=ÉV!$I$2,D226&gt;ÉV!$J$2)),0,1)</f>
        <v>0</v>
      </c>
      <c r="X226" s="271">
        <f ca="1">IF(OR(D226=12,AND(C226=ÉV!$I$2,D226=ÉV!$J$2)),SUM(U226:W226)+X225,X225)*IF(OR(C226&gt;ÉV!$I$2,AND(C226=ÉV!$I$2,D226&gt;ÉV!$J$2)),0,1)</f>
        <v>0</v>
      </c>
      <c r="Y226" s="271">
        <f t="shared" ca="1" si="35"/>
        <v>0</v>
      </c>
      <c r="Z226" s="265">
        <f t="shared" si="36"/>
        <v>8</v>
      </c>
      <c r="AA226" s="272">
        <f t="shared" ca="1" si="37"/>
        <v>24916.945994174403</v>
      </c>
      <c r="AB226" s="265">
        <f t="shared" ca="1" si="43"/>
        <v>2035</v>
      </c>
      <c r="AC226" s="265">
        <f t="shared" ca="1" si="44"/>
        <v>11</v>
      </c>
      <c r="AD226" s="276">
        <f ca="1">IF(     OR(               AND(MAX(AF$6:AF226)&lt;2,  AC226=12),                 AF226=2),                   SUMIF(AB:AB,AB226,AA:AA),                       0)</f>
        <v>0</v>
      </c>
      <c r="AE226" s="277">
        <f t="shared" ca="1" si="45"/>
        <v>0</v>
      </c>
      <c r="AF226" s="277">
        <f t="shared" ca="1" si="38"/>
        <v>0</v>
      </c>
      <c r="AG226" s="402">
        <f ca="1">IF(  AND(AC226=AdóHó,   MAX(AF$1:AF225)&lt;2),   SUMIF(AB:AB,AB226-1,AE:AE),0  )
+ IF(AND(AC226&lt;AdóHó,                            AF226=2),   SUMIF(AB:AB,AB226-1,AE:AE),0  )
+ IF(                                                                  AF226=2,    SUMIF(AB:AB,AB226,AE:AE   ),0  )</f>
        <v>0</v>
      </c>
      <c r="AH226" s="272">
        <f ca="1">SUM(AG$2:AG226)</f>
        <v>881876.49224553083</v>
      </c>
    </row>
    <row r="227" spans="1:34">
      <c r="A227" s="265">
        <f t="shared" si="39"/>
        <v>19</v>
      </c>
      <c r="B227" s="265">
        <f t="shared" si="40"/>
        <v>9</v>
      </c>
      <c r="C227" s="265">
        <f t="shared" ca="1" si="41"/>
        <v>19</v>
      </c>
      <c r="D227" s="265">
        <f t="shared" ca="1" si="42"/>
        <v>12</v>
      </c>
      <c r="E227" s="266">
        <v>5.0000000000000001E-3</v>
      </c>
      <c r="F227" s="267">
        <f>ÉV!$B$12</f>
        <v>0</v>
      </c>
      <c r="G227" s="271">
        <f ca="1">VLOOKUP(A227,ÉV!$A$18:$B$65,2,0)</f>
        <v>299003.35193009285</v>
      </c>
      <c r="H227" s="271">
        <f ca="1">IF(OR(A227=1,AND(C227=ÉV!$I$2,D227&gt;ÉV!$J$2),C227&gt;ÉV!$I$2),0,INDEX(Pz!$B$2:$AM$48,A227-1,ÉV!$G$2-9)/100000*ÉV!$B$10)</f>
        <v>264813.49756126903</v>
      </c>
      <c r="I227" s="271">
        <f ca="1">INDEX(Pz!$B$2:$AM$48,HÓ!A227,ÉV!$G$2-9)/100000*ÉV!$B$10</f>
        <v>270093.05044992914</v>
      </c>
      <c r="J227" s="273">
        <f ca="1">IF(OR(A227=1,A227=2,AND(C227=ÉV!$I$2,D227&gt;ÉV!$J$2),C227&gt;ÉV!$I$2),0,VLOOKUP(A227-2,ÉV!$A$18:$C$65,3,0))</f>
        <v>3610423.7462134059</v>
      </c>
      <c r="K227" s="273">
        <f ca="1">IF(OR(A227=1,AND(C227=ÉV!$I$2,D227&gt;ÉV!$J$2),C227&gt;ÉV!$I$2),0,VLOOKUP(A227-1,ÉV!$A$18:$C$65,3,0))</f>
        <v>3881267.5064132973</v>
      </c>
      <c r="L227" s="273">
        <f ca="1">VLOOKUP(A227,ÉV!$A$18:$C$65,3,0)*IF(OR(AND(C227=ÉV!$I$2,D227&gt;ÉV!$J$2),C227&gt;ÉV!$I$2),0,1)</f>
        <v>4157320.2717885966</v>
      </c>
      <c r="M227" s="273">
        <f ca="1">(K227*(12-B227)/12+L227*B227/12)*IF(A227&gt;ÉV!$G$2,0,1)+IF(A227&gt;ÉV!$G$2,M226,0)*IF(OR(AND(C227=ÉV!$I$2,D227&gt;ÉV!$J$2),C227&gt;ÉV!$I$2),0,1)</f>
        <v>4088307.0804447718</v>
      </c>
      <c r="N227" s="274">
        <f ca="1">IF(AND(C227=1,D227&lt;12),0,1)*IF(D227=12,MAX(0,F227-E227-0.003)*0.9*((K227+I227)*(B227/12)+(J227+H227)*(1-B227/12))+MAX(0,F227-0.003)*0.9*N226+N226,IF(AND(C227=ÉV!$I$2,D227=ÉV!$J$2),(M227+N226)*MAX(0,F227-0.003)*0.9*(D227/12)+N226,N226))*IF(OR(C227&gt;ÉV!$I$2,AND(C227=ÉV!$I$2,D227&gt;ÉV!$J$2)),0,1)</f>
        <v>0</v>
      </c>
      <c r="O227" s="313">
        <f ca="1">IF(MAX(AF$2:AF226)=2,      0,IF(OR(AC227=7, AF227=2),    SUM(AE$2:AE227),    O226)   )</f>
        <v>881876.49224553083</v>
      </c>
      <c r="P227" s="271">
        <f ca="1">IF(D227=12,V227+P226+P226*(F227-0.003)*0.9,IF(AND(C227=ÉV!$I$2,D227=ÉV!$J$2),V227+P226+P226*(F227-0.003)*0.9*D227/12,P226))*IF(OR(C227&gt;ÉV!$I$2,AND(C227=ÉV!$I$2,D227&gt;ÉV!$J$2)),0,1)</f>
        <v>0</v>
      </c>
      <c r="Q227" s="275">
        <f ca="1">(N227+P227)*IF(OR(AND(C227=ÉV!$I$2,D227&gt;ÉV!$J$2),C227&gt;ÉV!$I$2),0,1)</f>
        <v>0</v>
      </c>
      <c r="R227" s="271">
        <f ca="1">(MAX(0,F227-E227-0.003)*0.9*((K227+I227)*(1/12)))*IF(OR(C227&gt;ÉV!$I$2,AND(C227=ÉV!$I$2,D227&gt;ÉV!$J$2)),0,1)</f>
        <v>0</v>
      </c>
      <c r="S227" s="271">
        <f ca="1">(MAX(0,F227-0.003)*0.9*((O227)*(1/12)))*IF(OR(C227&gt;ÉV!$I$2,AND(C227=ÉV!$I$2,D227&gt;ÉV!$J$2)),0,1)</f>
        <v>0</v>
      </c>
      <c r="T227" s="271">
        <f ca="1">(MAX(0,F227-0.003)*0.9*((Q226)*(1/12)))*IF(OR(C227&gt;ÉV!$I$2,AND(C227=ÉV!$I$2,D227&gt;ÉV!$J$2)),0,1)</f>
        <v>0</v>
      </c>
      <c r="U227" s="271">
        <f ca="1">IF($D227=1,R227,R227+U226)*IF(OR(C227&gt;ÉV!$I$2,AND(C227=ÉV!$I$2,D227&gt;ÉV!$J$2)),0,1)</f>
        <v>0</v>
      </c>
      <c r="V227" s="271">
        <f ca="1">IF($D227=1,S227,S227+V226)*IF(OR(C227&gt;ÉV!$I$2,AND(C227=ÉV!$I$2,D227&gt;ÉV!$J$2)),0,1)</f>
        <v>0</v>
      </c>
      <c r="W227" s="271">
        <f ca="1">IF($D227=1,T227,T227+W226)*IF(OR(C227&gt;ÉV!$I$2,AND(C227=ÉV!$I$2,D227&gt;ÉV!$J$2)),0,1)</f>
        <v>0</v>
      </c>
      <c r="X227" s="271">
        <f ca="1">IF(OR(D227=12,AND(C227=ÉV!$I$2,D227=ÉV!$J$2)),SUM(U227:W227)+X226,X226)*IF(OR(C227&gt;ÉV!$I$2,AND(C227=ÉV!$I$2,D227&gt;ÉV!$J$2)),0,1)</f>
        <v>0</v>
      </c>
      <c r="Y227" s="271">
        <f t="shared" ca="1" si="35"/>
        <v>0</v>
      </c>
      <c r="Z227" s="265">
        <f t="shared" si="36"/>
        <v>9</v>
      </c>
      <c r="AA227" s="272">
        <f t="shared" ca="1" si="37"/>
        <v>24916.945994174403</v>
      </c>
      <c r="AB227" s="265">
        <f t="shared" ca="1" si="43"/>
        <v>2035</v>
      </c>
      <c r="AC227" s="265">
        <f t="shared" ca="1" si="44"/>
        <v>12</v>
      </c>
      <c r="AD227" s="276">
        <f ca="1">IF(     OR(               AND(MAX(AF$6:AF227)&lt;2,  AC227=12),                 AF227=2),                   SUMIF(AB:AB,AB227,AA:AA),                       0)</f>
        <v>297537.64922455314</v>
      </c>
      <c r="AE227" s="277">
        <f t="shared" ca="1" si="45"/>
        <v>59507.529844910634</v>
      </c>
      <c r="AF227" s="277">
        <f t="shared" ca="1" si="38"/>
        <v>0</v>
      </c>
      <c r="AG227" s="402">
        <f ca="1">IF(  AND(AC227=AdóHó,   MAX(AF$1:AF226)&lt;2),   SUMIF(AB:AB,AB227-1,AE:AE),0  )
+ IF(AND(AC227&lt;AdóHó,                            AF227=2),   SUMIF(AB:AB,AB227-1,AE:AE),0  )
+ IF(                                                                  AF227=2,    SUMIF(AB:AB,AB227,AE:AE   ),0  )</f>
        <v>0</v>
      </c>
      <c r="AH227" s="272">
        <f ca="1">SUM(AG$2:AG227)</f>
        <v>881876.49224553083</v>
      </c>
    </row>
    <row r="228" spans="1:34">
      <c r="A228" s="265">
        <f t="shared" si="39"/>
        <v>19</v>
      </c>
      <c r="B228" s="265">
        <f t="shared" si="40"/>
        <v>10</v>
      </c>
      <c r="C228" s="265">
        <f t="shared" ca="1" si="41"/>
        <v>20</v>
      </c>
      <c r="D228" s="265">
        <f t="shared" ca="1" si="42"/>
        <v>1</v>
      </c>
      <c r="E228" s="266">
        <v>5.0000000000000001E-3</v>
      </c>
      <c r="F228" s="267">
        <f>ÉV!$B$12</f>
        <v>0</v>
      </c>
      <c r="G228" s="271">
        <f ca="1">VLOOKUP(A228,ÉV!$A$18:$B$65,2,0)</f>
        <v>299003.35193009285</v>
      </c>
      <c r="H228" s="271">
        <f ca="1">IF(OR(A228=1,AND(C228=ÉV!$I$2,D228&gt;ÉV!$J$2),C228&gt;ÉV!$I$2),0,INDEX(Pz!$B$2:$AM$48,A228-1,ÉV!$G$2-9)/100000*ÉV!$B$10)</f>
        <v>264813.49756126903</v>
      </c>
      <c r="I228" s="271">
        <f ca="1">INDEX(Pz!$B$2:$AM$48,HÓ!A228,ÉV!$G$2-9)/100000*ÉV!$B$10</f>
        <v>270093.05044992914</v>
      </c>
      <c r="J228" s="273">
        <f ca="1">IF(OR(A228=1,A228=2,AND(C228=ÉV!$I$2,D228&gt;ÉV!$J$2),C228&gt;ÉV!$I$2),0,VLOOKUP(A228-2,ÉV!$A$18:$C$65,3,0))</f>
        <v>3610423.7462134059</v>
      </c>
      <c r="K228" s="273">
        <f ca="1">IF(OR(A228=1,AND(C228=ÉV!$I$2,D228&gt;ÉV!$J$2),C228&gt;ÉV!$I$2),0,VLOOKUP(A228-1,ÉV!$A$18:$C$65,3,0))</f>
        <v>3881267.5064132973</v>
      </c>
      <c r="L228" s="273">
        <f ca="1">VLOOKUP(A228,ÉV!$A$18:$C$65,3,0)*IF(OR(AND(C228=ÉV!$I$2,D228&gt;ÉV!$J$2),C228&gt;ÉV!$I$2),0,1)</f>
        <v>4157320.2717885966</v>
      </c>
      <c r="M228" s="273">
        <f ca="1">(K228*(12-B228)/12+L228*B228/12)*IF(A228&gt;ÉV!$G$2,0,1)+IF(A228&gt;ÉV!$G$2,M227,0)*IF(OR(AND(C228=ÉV!$I$2,D228&gt;ÉV!$J$2),C228&gt;ÉV!$I$2),0,1)</f>
        <v>4111311.4775593798</v>
      </c>
      <c r="N228" s="274">
        <f ca="1">IF(AND(C228=1,D228&lt;12),0,1)*IF(D228=12,MAX(0,F228-E228-0.003)*0.9*((K228+I228)*(B228/12)+(J228+H228)*(1-B228/12))+MAX(0,F228-0.003)*0.9*N227+N227,IF(AND(C228=ÉV!$I$2,D228=ÉV!$J$2),(M228+N227)*MAX(0,F228-0.003)*0.9*(D228/12)+N227,N227))*IF(OR(C228&gt;ÉV!$I$2,AND(C228=ÉV!$I$2,D228&gt;ÉV!$J$2)),0,1)</f>
        <v>0</v>
      </c>
      <c r="O228" s="313">
        <f ca="1">IF(MAX(AF$2:AF227)=2,      0,IF(OR(AC228=7, AF228=2),    SUM(AE$2:AE228),    O227)   )</f>
        <v>881876.49224553083</v>
      </c>
      <c r="P228" s="271">
        <f ca="1">IF(D228=12,V228+P227+P227*(F228-0.003)*0.9,IF(AND(C228=ÉV!$I$2,D228=ÉV!$J$2),V228+P227+P227*(F228-0.003)*0.9*D228/12,P227))*IF(OR(C228&gt;ÉV!$I$2,AND(C228=ÉV!$I$2,D228&gt;ÉV!$J$2)),0,1)</f>
        <v>0</v>
      </c>
      <c r="Q228" s="275">
        <f ca="1">(N228+P228)*IF(OR(AND(C228=ÉV!$I$2,D228&gt;ÉV!$J$2),C228&gt;ÉV!$I$2),0,1)</f>
        <v>0</v>
      </c>
      <c r="R228" s="271">
        <f ca="1">(MAX(0,F228-E228-0.003)*0.9*((K228+I228)*(1/12)))*IF(OR(C228&gt;ÉV!$I$2,AND(C228=ÉV!$I$2,D228&gt;ÉV!$J$2)),0,1)</f>
        <v>0</v>
      </c>
      <c r="S228" s="271">
        <f ca="1">(MAX(0,F228-0.003)*0.9*((O228)*(1/12)))*IF(OR(C228&gt;ÉV!$I$2,AND(C228=ÉV!$I$2,D228&gt;ÉV!$J$2)),0,1)</f>
        <v>0</v>
      </c>
      <c r="T228" s="271">
        <f ca="1">(MAX(0,F228-0.003)*0.9*((Q227)*(1/12)))*IF(OR(C228&gt;ÉV!$I$2,AND(C228=ÉV!$I$2,D228&gt;ÉV!$J$2)),0,1)</f>
        <v>0</v>
      </c>
      <c r="U228" s="271">
        <f ca="1">IF($D228=1,R228,R228+U227)*IF(OR(C228&gt;ÉV!$I$2,AND(C228=ÉV!$I$2,D228&gt;ÉV!$J$2)),0,1)</f>
        <v>0</v>
      </c>
      <c r="V228" s="271">
        <f ca="1">IF($D228=1,S228,S228+V227)*IF(OR(C228&gt;ÉV!$I$2,AND(C228=ÉV!$I$2,D228&gt;ÉV!$J$2)),0,1)</f>
        <v>0</v>
      </c>
      <c r="W228" s="271">
        <f ca="1">IF($D228=1,T228,T228+W227)*IF(OR(C228&gt;ÉV!$I$2,AND(C228=ÉV!$I$2,D228&gt;ÉV!$J$2)),0,1)</f>
        <v>0</v>
      </c>
      <c r="X228" s="271">
        <f ca="1">IF(OR(D228=12,AND(C228=ÉV!$I$2,D228=ÉV!$J$2)),SUM(U228:W228)+X227,X227)*IF(OR(C228&gt;ÉV!$I$2,AND(C228=ÉV!$I$2,D228&gt;ÉV!$J$2)),0,1)</f>
        <v>0</v>
      </c>
      <c r="Y228" s="271">
        <f t="shared" ca="1" si="35"/>
        <v>0</v>
      </c>
      <c r="Z228" s="265">
        <f t="shared" si="36"/>
        <v>10</v>
      </c>
      <c r="AA228" s="272">
        <f t="shared" ca="1" si="37"/>
        <v>24916.945994174403</v>
      </c>
      <c r="AB228" s="265">
        <f t="shared" ca="1" si="43"/>
        <v>2036</v>
      </c>
      <c r="AC228" s="265">
        <f t="shared" ca="1" si="44"/>
        <v>1</v>
      </c>
      <c r="AD228" s="276">
        <f ca="1">IF(     OR(               AND(MAX(AF$6:AF228)&lt;2,  AC228=12),                 AF228=2),                   SUMIF(AB:AB,AB228,AA:AA),                       0)</f>
        <v>0</v>
      </c>
      <c r="AE228" s="277">
        <f t="shared" ca="1" si="45"/>
        <v>0</v>
      </c>
      <c r="AF228" s="277">
        <f t="shared" ca="1" si="38"/>
        <v>0</v>
      </c>
      <c r="AG228" s="402">
        <f ca="1">IF(  AND(AC228=AdóHó,   MAX(AF$1:AF227)&lt;2),   SUMIF(AB:AB,AB228-1,AE:AE),0  )
+ IF(AND(AC228&lt;AdóHó,                            AF228=2),   SUMIF(AB:AB,AB228-1,AE:AE),0  )
+ IF(                                                                  AF228=2,    SUMIF(AB:AB,AB228,AE:AE   ),0  )</f>
        <v>0</v>
      </c>
      <c r="AH228" s="272">
        <f ca="1">SUM(AG$2:AG228)</f>
        <v>881876.49224553083</v>
      </c>
    </row>
    <row r="229" spans="1:34">
      <c r="A229" s="265">
        <f t="shared" si="39"/>
        <v>19</v>
      </c>
      <c r="B229" s="265">
        <f t="shared" si="40"/>
        <v>11</v>
      </c>
      <c r="C229" s="265">
        <f t="shared" ca="1" si="41"/>
        <v>20</v>
      </c>
      <c r="D229" s="265">
        <f t="shared" ca="1" si="42"/>
        <v>2</v>
      </c>
      <c r="E229" s="266">
        <v>5.0000000000000001E-3</v>
      </c>
      <c r="F229" s="267">
        <f>ÉV!$B$12</f>
        <v>0</v>
      </c>
      <c r="G229" s="271">
        <f ca="1">VLOOKUP(A229,ÉV!$A$18:$B$65,2,0)</f>
        <v>299003.35193009285</v>
      </c>
      <c r="H229" s="271">
        <f ca="1">IF(OR(A229=1,AND(C229=ÉV!$I$2,D229&gt;ÉV!$J$2),C229&gt;ÉV!$I$2),0,INDEX(Pz!$B$2:$AM$48,A229-1,ÉV!$G$2-9)/100000*ÉV!$B$10)</f>
        <v>264813.49756126903</v>
      </c>
      <c r="I229" s="271">
        <f ca="1">INDEX(Pz!$B$2:$AM$48,HÓ!A229,ÉV!$G$2-9)/100000*ÉV!$B$10</f>
        <v>270093.05044992914</v>
      </c>
      <c r="J229" s="273">
        <f ca="1">IF(OR(A229=1,A229=2,AND(C229=ÉV!$I$2,D229&gt;ÉV!$J$2),C229&gt;ÉV!$I$2),0,VLOOKUP(A229-2,ÉV!$A$18:$C$65,3,0))</f>
        <v>3610423.7462134059</v>
      </c>
      <c r="K229" s="273">
        <f ca="1">IF(OR(A229=1,AND(C229=ÉV!$I$2,D229&gt;ÉV!$J$2),C229&gt;ÉV!$I$2),0,VLOOKUP(A229-1,ÉV!$A$18:$C$65,3,0))</f>
        <v>3881267.5064132973</v>
      </c>
      <c r="L229" s="273">
        <f ca="1">VLOOKUP(A229,ÉV!$A$18:$C$65,3,0)*IF(OR(AND(C229=ÉV!$I$2,D229&gt;ÉV!$J$2),C229&gt;ÉV!$I$2),0,1)</f>
        <v>4157320.2717885966</v>
      </c>
      <c r="M229" s="273">
        <f ca="1">(K229*(12-B229)/12+L229*B229/12)*IF(A229&gt;ÉV!$G$2,0,1)+IF(A229&gt;ÉV!$G$2,M228,0)*IF(OR(AND(C229=ÉV!$I$2,D229&gt;ÉV!$J$2),C229&gt;ÉV!$I$2),0,1)</f>
        <v>4134315.8746739882</v>
      </c>
      <c r="N229" s="274">
        <f ca="1">IF(AND(C229=1,D229&lt;12),0,1)*IF(D229=12,MAX(0,F229-E229-0.003)*0.9*((K229+I229)*(B229/12)+(J229+H229)*(1-B229/12))+MAX(0,F229-0.003)*0.9*N228+N228,IF(AND(C229=ÉV!$I$2,D229=ÉV!$J$2),(M229+N228)*MAX(0,F229-0.003)*0.9*(D229/12)+N228,N228))*IF(OR(C229&gt;ÉV!$I$2,AND(C229=ÉV!$I$2,D229&gt;ÉV!$J$2)),0,1)</f>
        <v>0</v>
      </c>
      <c r="O229" s="313">
        <f ca="1">IF(MAX(AF$2:AF228)=2,      0,IF(OR(AC229=7, AF229=2),    SUM(AE$2:AE229),    O228)   )</f>
        <v>881876.49224553083</v>
      </c>
      <c r="P229" s="271">
        <f ca="1">IF(D229=12,V229+P228+P228*(F229-0.003)*0.9,IF(AND(C229=ÉV!$I$2,D229=ÉV!$J$2),V229+P228+P228*(F229-0.003)*0.9*D229/12,P228))*IF(OR(C229&gt;ÉV!$I$2,AND(C229=ÉV!$I$2,D229&gt;ÉV!$J$2)),0,1)</f>
        <v>0</v>
      </c>
      <c r="Q229" s="275">
        <f ca="1">(N229+P229)*IF(OR(AND(C229=ÉV!$I$2,D229&gt;ÉV!$J$2),C229&gt;ÉV!$I$2),0,1)</f>
        <v>0</v>
      </c>
      <c r="R229" s="271">
        <f ca="1">(MAX(0,F229-E229-0.003)*0.9*((K229+I229)*(1/12)))*IF(OR(C229&gt;ÉV!$I$2,AND(C229=ÉV!$I$2,D229&gt;ÉV!$J$2)),0,1)</f>
        <v>0</v>
      </c>
      <c r="S229" s="271">
        <f ca="1">(MAX(0,F229-0.003)*0.9*((O229)*(1/12)))*IF(OR(C229&gt;ÉV!$I$2,AND(C229=ÉV!$I$2,D229&gt;ÉV!$J$2)),0,1)</f>
        <v>0</v>
      </c>
      <c r="T229" s="271">
        <f ca="1">(MAX(0,F229-0.003)*0.9*((Q228)*(1/12)))*IF(OR(C229&gt;ÉV!$I$2,AND(C229=ÉV!$I$2,D229&gt;ÉV!$J$2)),0,1)</f>
        <v>0</v>
      </c>
      <c r="U229" s="271">
        <f ca="1">IF($D229=1,R229,R229+U228)*IF(OR(C229&gt;ÉV!$I$2,AND(C229=ÉV!$I$2,D229&gt;ÉV!$J$2)),0,1)</f>
        <v>0</v>
      </c>
      <c r="V229" s="271">
        <f ca="1">IF($D229=1,S229,S229+V228)*IF(OR(C229&gt;ÉV!$I$2,AND(C229=ÉV!$I$2,D229&gt;ÉV!$J$2)),0,1)</f>
        <v>0</v>
      </c>
      <c r="W229" s="271">
        <f ca="1">IF($D229=1,T229,T229+W228)*IF(OR(C229&gt;ÉV!$I$2,AND(C229=ÉV!$I$2,D229&gt;ÉV!$J$2)),0,1)</f>
        <v>0</v>
      </c>
      <c r="X229" s="271">
        <f ca="1">IF(OR(D229=12,AND(C229=ÉV!$I$2,D229=ÉV!$J$2)),SUM(U229:W229)+X228,X228)*IF(OR(C229&gt;ÉV!$I$2,AND(C229=ÉV!$I$2,D229&gt;ÉV!$J$2)),0,1)</f>
        <v>0</v>
      </c>
      <c r="Y229" s="271">
        <f t="shared" ca="1" si="35"/>
        <v>0</v>
      </c>
      <c r="Z229" s="265">
        <f t="shared" si="36"/>
        <v>11</v>
      </c>
      <c r="AA229" s="272">
        <f t="shared" ca="1" si="37"/>
        <v>24916.945994174403</v>
      </c>
      <c r="AB229" s="265">
        <f t="shared" ca="1" si="43"/>
        <v>2036</v>
      </c>
      <c r="AC229" s="265">
        <f t="shared" ca="1" si="44"/>
        <v>2</v>
      </c>
      <c r="AD229" s="276">
        <f ca="1">IF(     OR(               AND(MAX(AF$6:AF229)&lt;2,  AC229=12),                 AF229=2),                   SUMIF(AB:AB,AB229,AA:AA),                       0)</f>
        <v>0</v>
      </c>
      <c r="AE229" s="277">
        <f t="shared" ca="1" si="45"/>
        <v>0</v>
      </c>
      <c r="AF229" s="277">
        <f t="shared" ca="1" si="38"/>
        <v>0</v>
      </c>
      <c r="AG229" s="402">
        <f ca="1">IF(  AND(AC229=AdóHó,   MAX(AF$1:AF228)&lt;2),   SUMIF(AB:AB,AB229-1,AE:AE),0  )
+ IF(AND(AC229&lt;AdóHó,                            AF229=2),   SUMIF(AB:AB,AB229-1,AE:AE),0  )
+ IF(                                                                  AF229=2,    SUMIF(AB:AB,AB229,AE:AE   ),0  )</f>
        <v>0</v>
      </c>
      <c r="AH229" s="272">
        <f ca="1">SUM(AG$2:AG229)</f>
        <v>881876.49224553083</v>
      </c>
    </row>
    <row r="230" spans="1:34">
      <c r="A230" s="265">
        <f t="shared" si="39"/>
        <v>19</v>
      </c>
      <c r="B230" s="265">
        <f t="shared" si="40"/>
        <v>12</v>
      </c>
      <c r="C230" s="265">
        <f t="shared" ca="1" si="41"/>
        <v>20</v>
      </c>
      <c r="D230" s="265">
        <f t="shared" ca="1" si="42"/>
        <v>3</v>
      </c>
      <c r="E230" s="266">
        <v>5.0000000000000001E-3</v>
      </c>
      <c r="F230" s="267">
        <f>ÉV!$B$12</f>
        <v>0</v>
      </c>
      <c r="G230" s="271">
        <f ca="1">VLOOKUP(A230,ÉV!$A$18:$B$65,2,0)</f>
        <v>299003.35193009285</v>
      </c>
      <c r="H230" s="271">
        <f ca="1">IF(OR(A230=1,AND(C230=ÉV!$I$2,D230&gt;ÉV!$J$2),C230&gt;ÉV!$I$2),0,INDEX(Pz!$B$2:$AM$48,A230-1,ÉV!$G$2-9)/100000*ÉV!$B$10)</f>
        <v>264813.49756126903</v>
      </c>
      <c r="I230" s="271">
        <f ca="1">INDEX(Pz!$B$2:$AM$48,HÓ!A230,ÉV!$G$2-9)/100000*ÉV!$B$10</f>
        <v>270093.05044992914</v>
      </c>
      <c r="J230" s="273">
        <f ca="1">IF(OR(A230=1,A230=2,AND(C230=ÉV!$I$2,D230&gt;ÉV!$J$2),C230&gt;ÉV!$I$2),0,VLOOKUP(A230-2,ÉV!$A$18:$C$65,3,0))</f>
        <v>3610423.7462134059</v>
      </c>
      <c r="K230" s="273">
        <f ca="1">IF(OR(A230=1,AND(C230=ÉV!$I$2,D230&gt;ÉV!$J$2),C230&gt;ÉV!$I$2),0,VLOOKUP(A230-1,ÉV!$A$18:$C$65,3,0))</f>
        <v>3881267.5064132973</v>
      </c>
      <c r="L230" s="273">
        <f ca="1">VLOOKUP(A230,ÉV!$A$18:$C$65,3,0)*IF(OR(AND(C230=ÉV!$I$2,D230&gt;ÉV!$J$2),C230&gt;ÉV!$I$2),0,1)</f>
        <v>4157320.2717885966</v>
      </c>
      <c r="M230" s="273">
        <f ca="1">(K230*(12-B230)/12+L230*B230/12)*IF(A230&gt;ÉV!$G$2,0,1)+IF(A230&gt;ÉV!$G$2,M229,0)*IF(OR(AND(C230=ÉV!$I$2,D230&gt;ÉV!$J$2),C230&gt;ÉV!$I$2),0,1)</f>
        <v>4157320.2717885966</v>
      </c>
      <c r="N230" s="274">
        <f ca="1">IF(AND(C230=1,D230&lt;12),0,1)*IF(D230=12,MAX(0,F230-E230-0.003)*0.9*((K230+I230)*(B230/12)+(J230+H230)*(1-B230/12))+MAX(0,F230-0.003)*0.9*N229+N229,IF(AND(C230=ÉV!$I$2,D230=ÉV!$J$2),(M230+N229)*MAX(0,F230-0.003)*0.9*(D230/12)+N229,N229))*IF(OR(C230&gt;ÉV!$I$2,AND(C230=ÉV!$I$2,D230&gt;ÉV!$J$2)),0,1)</f>
        <v>0</v>
      </c>
      <c r="O230" s="313">
        <f ca="1">IF(MAX(AF$2:AF229)=2,      0,IF(OR(AC230=7, AF230=2),    SUM(AE$2:AE230),    O229)   )</f>
        <v>881876.49224553083</v>
      </c>
      <c r="P230" s="271">
        <f ca="1">IF(D230=12,V230+P229+P229*(F230-0.003)*0.9,IF(AND(C230=ÉV!$I$2,D230=ÉV!$J$2),V230+P229+P229*(F230-0.003)*0.9*D230/12,P229))*IF(OR(C230&gt;ÉV!$I$2,AND(C230=ÉV!$I$2,D230&gt;ÉV!$J$2)),0,1)</f>
        <v>0</v>
      </c>
      <c r="Q230" s="275">
        <f ca="1">(N230+P230)*IF(OR(AND(C230=ÉV!$I$2,D230&gt;ÉV!$J$2),C230&gt;ÉV!$I$2),0,1)</f>
        <v>0</v>
      </c>
      <c r="R230" s="271">
        <f ca="1">(MAX(0,F230-E230-0.003)*0.9*((K230+I230)*(1/12)))*IF(OR(C230&gt;ÉV!$I$2,AND(C230=ÉV!$I$2,D230&gt;ÉV!$J$2)),0,1)</f>
        <v>0</v>
      </c>
      <c r="S230" s="271">
        <f ca="1">(MAX(0,F230-0.003)*0.9*((O230)*(1/12)))*IF(OR(C230&gt;ÉV!$I$2,AND(C230=ÉV!$I$2,D230&gt;ÉV!$J$2)),0,1)</f>
        <v>0</v>
      </c>
      <c r="T230" s="271">
        <f ca="1">(MAX(0,F230-0.003)*0.9*((Q229)*(1/12)))*IF(OR(C230&gt;ÉV!$I$2,AND(C230=ÉV!$I$2,D230&gt;ÉV!$J$2)),0,1)</f>
        <v>0</v>
      </c>
      <c r="U230" s="271">
        <f ca="1">IF($D230=1,R230,R230+U229)*IF(OR(C230&gt;ÉV!$I$2,AND(C230=ÉV!$I$2,D230&gt;ÉV!$J$2)),0,1)</f>
        <v>0</v>
      </c>
      <c r="V230" s="271">
        <f ca="1">IF($D230=1,S230,S230+V229)*IF(OR(C230&gt;ÉV!$I$2,AND(C230=ÉV!$I$2,D230&gt;ÉV!$J$2)),0,1)</f>
        <v>0</v>
      </c>
      <c r="W230" s="271">
        <f ca="1">IF($D230=1,T230,T230+W229)*IF(OR(C230&gt;ÉV!$I$2,AND(C230=ÉV!$I$2,D230&gt;ÉV!$J$2)),0,1)</f>
        <v>0</v>
      </c>
      <c r="X230" s="271">
        <f ca="1">IF(OR(D230=12,AND(C230=ÉV!$I$2,D230=ÉV!$J$2)),SUM(U230:W230)+X229,X229)*IF(OR(C230&gt;ÉV!$I$2,AND(C230=ÉV!$I$2,D230&gt;ÉV!$J$2)),0,1)</f>
        <v>0</v>
      </c>
      <c r="Y230" s="271">
        <f t="shared" ca="1" si="35"/>
        <v>0</v>
      </c>
      <c r="Z230" s="265">
        <f t="shared" si="36"/>
        <v>12</v>
      </c>
      <c r="AA230" s="272">
        <f t="shared" ca="1" si="37"/>
        <v>24916.945994174403</v>
      </c>
      <c r="AB230" s="265">
        <f t="shared" ca="1" si="43"/>
        <v>2036</v>
      </c>
      <c r="AC230" s="265">
        <f t="shared" ca="1" si="44"/>
        <v>3</v>
      </c>
      <c r="AD230" s="276">
        <f ca="1">IF(     OR(               AND(MAX(AF$6:AF230)&lt;2,  AC230=12),                 AF230=2),                   SUMIF(AB:AB,AB230,AA:AA),                       0)</f>
        <v>0</v>
      </c>
      <c r="AE230" s="277">
        <f t="shared" ca="1" si="45"/>
        <v>0</v>
      </c>
      <c r="AF230" s="277">
        <f t="shared" ca="1" si="38"/>
        <v>0</v>
      </c>
      <c r="AG230" s="402">
        <f ca="1">IF(  AND(AC230=AdóHó,   MAX(AF$1:AF229)&lt;2),   SUMIF(AB:AB,AB230-1,AE:AE),0  )
+ IF(AND(AC230&lt;AdóHó,                            AF230=2),   SUMIF(AB:AB,AB230-1,AE:AE),0  )
+ IF(                                                                  AF230=2,    SUMIF(AB:AB,AB230,AE:AE   ),0  )</f>
        <v>0</v>
      </c>
      <c r="AH230" s="272">
        <f ca="1">SUM(AG$2:AG230)</f>
        <v>881876.49224553083</v>
      </c>
    </row>
    <row r="231" spans="1:34">
      <c r="A231" s="265">
        <f t="shared" si="39"/>
        <v>20</v>
      </c>
      <c r="B231" s="265">
        <f t="shared" si="40"/>
        <v>1</v>
      </c>
      <c r="C231" s="265">
        <f t="shared" ca="1" si="41"/>
        <v>20</v>
      </c>
      <c r="D231" s="265">
        <f t="shared" ca="1" si="42"/>
        <v>4</v>
      </c>
      <c r="E231" s="266">
        <v>5.0000000000000001E-3</v>
      </c>
      <c r="F231" s="267">
        <f>ÉV!$B$12</f>
        <v>0</v>
      </c>
      <c r="G231" s="271">
        <f ca="1">VLOOKUP(A231,ÉV!$A$18:$B$65,2,0)</f>
        <v>304983.41896869469</v>
      </c>
      <c r="H231" s="271">
        <f ca="1">IF(OR(A231=1,AND(C231=ÉV!$I$2,D231&gt;ÉV!$J$2),C231&gt;ÉV!$I$2),0,INDEX(Pz!$B$2:$AM$48,A231-1,ÉV!$G$2-9)/100000*ÉV!$B$10)</f>
        <v>270093.05044992914</v>
      </c>
      <c r="I231" s="271">
        <f ca="1">INDEX(Pz!$B$2:$AM$48,HÓ!A231,ÉV!$G$2-9)/100000*ÉV!$B$10</f>
        <v>275478.19439636241</v>
      </c>
      <c r="J231" s="273">
        <f ca="1">IF(OR(A231=1,A231=2,AND(C231=ÉV!$I$2,D231&gt;ÉV!$J$2),C231&gt;ÉV!$I$2),0,VLOOKUP(A231-2,ÉV!$A$18:$C$65,3,0))</f>
        <v>3881267.5064132973</v>
      </c>
      <c r="K231" s="273">
        <f ca="1">IF(OR(A231=1,AND(C231=ÉV!$I$2,D231&gt;ÉV!$J$2),C231&gt;ÉV!$I$2),0,VLOOKUP(A231-1,ÉV!$A$18:$C$65,3,0))</f>
        <v>4157320.2717885966</v>
      </c>
      <c r="L231" s="273">
        <f ca="1">VLOOKUP(A231,ÉV!$A$18:$C$65,3,0)*IF(OR(AND(C231=ÉV!$I$2,D231&gt;ÉV!$J$2),C231&gt;ÉV!$I$2),0,1)</f>
        <v>4438601.035860491</v>
      </c>
      <c r="M231" s="273">
        <f ca="1">(K231*(12-B231)/12+L231*B231/12)*IF(A231&gt;ÉV!$G$2,0,1)+IF(A231&gt;ÉV!$G$2,M230,0)*IF(OR(AND(C231=ÉV!$I$2,D231&gt;ÉV!$J$2),C231&gt;ÉV!$I$2),0,1)</f>
        <v>4180760.3354612542</v>
      </c>
      <c r="N231" s="274">
        <f ca="1">IF(AND(C231=1,D231&lt;12),0,1)*IF(D231=12,MAX(0,F231-E231-0.003)*0.9*((K231+I231)*(B231/12)+(J231+H231)*(1-B231/12))+MAX(0,F231-0.003)*0.9*N230+N230,IF(AND(C231=ÉV!$I$2,D231=ÉV!$J$2),(M231+N230)*MAX(0,F231-0.003)*0.9*(D231/12)+N230,N230))*IF(OR(C231&gt;ÉV!$I$2,AND(C231=ÉV!$I$2,D231&gt;ÉV!$J$2)),0,1)</f>
        <v>0</v>
      </c>
      <c r="O231" s="313">
        <f ca="1">IF(MAX(AF$2:AF230)=2,      0,IF(OR(AC231=7, AF231=2),    SUM(AE$2:AE231),    O230)   )</f>
        <v>881876.49224553083</v>
      </c>
      <c r="P231" s="271">
        <f ca="1">IF(D231=12,V231+P230+P230*(F231-0.003)*0.9,IF(AND(C231=ÉV!$I$2,D231=ÉV!$J$2),V231+P230+P230*(F231-0.003)*0.9*D231/12,P230))*IF(OR(C231&gt;ÉV!$I$2,AND(C231=ÉV!$I$2,D231&gt;ÉV!$J$2)),0,1)</f>
        <v>0</v>
      </c>
      <c r="Q231" s="275">
        <f ca="1">(N231+P231)*IF(OR(AND(C231=ÉV!$I$2,D231&gt;ÉV!$J$2),C231&gt;ÉV!$I$2),0,1)</f>
        <v>0</v>
      </c>
      <c r="R231" s="271">
        <f ca="1">(MAX(0,F231-E231-0.003)*0.9*((K231+I231)*(1/12)))*IF(OR(C231&gt;ÉV!$I$2,AND(C231=ÉV!$I$2,D231&gt;ÉV!$J$2)),0,1)</f>
        <v>0</v>
      </c>
      <c r="S231" s="271">
        <f ca="1">(MAX(0,F231-0.003)*0.9*((O231)*(1/12)))*IF(OR(C231&gt;ÉV!$I$2,AND(C231=ÉV!$I$2,D231&gt;ÉV!$J$2)),0,1)</f>
        <v>0</v>
      </c>
      <c r="T231" s="271">
        <f ca="1">(MAX(0,F231-0.003)*0.9*((Q230)*(1/12)))*IF(OR(C231&gt;ÉV!$I$2,AND(C231=ÉV!$I$2,D231&gt;ÉV!$J$2)),0,1)</f>
        <v>0</v>
      </c>
      <c r="U231" s="271">
        <f ca="1">IF($D231=1,R231,R231+U230)*IF(OR(C231&gt;ÉV!$I$2,AND(C231=ÉV!$I$2,D231&gt;ÉV!$J$2)),0,1)</f>
        <v>0</v>
      </c>
      <c r="V231" s="271">
        <f ca="1">IF($D231=1,S231,S231+V230)*IF(OR(C231&gt;ÉV!$I$2,AND(C231=ÉV!$I$2,D231&gt;ÉV!$J$2)),0,1)</f>
        <v>0</v>
      </c>
      <c r="W231" s="271">
        <f ca="1">IF($D231=1,T231,T231+W230)*IF(OR(C231&gt;ÉV!$I$2,AND(C231=ÉV!$I$2,D231&gt;ÉV!$J$2)),0,1)</f>
        <v>0</v>
      </c>
      <c r="X231" s="271">
        <f ca="1">IF(OR(D231=12,AND(C231=ÉV!$I$2,D231=ÉV!$J$2)),SUM(U231:W231)+X230,X230)*IF(OR(C231&gt;ÉV!$I$2,AND(C231=ÉV!$I$2,D231&gt;ÉV!$J$2)),0,1)</f>
        <v>0</v>
      </c>
      <c r="Y231" s="271">
        <f t="shared" ca="1" si="35"/>
        <v>0</v>
      </c>
      <c r="Z231" s="265">
        <f t="shared" si="36"/>
        <v>1</v>
      </c>
      <c r="AA231" s="272">
        <f t="shared" ca="1" si="37"/>
        <v>25415.284914057891</v>
      </c>
      <c r="AB231" s="265">
        <f t="shared" ca="1" si="43"/>
        <v>2036</v>
      </c>
      <c r="AC231" s="265">
        <f t="shared" ca="1" si="44"/>
        <v>4</v>
      </c>
      <c r="AD231" s="276">
        <f ca="1">IF(     OR(               AND(MAX(AF$6:AF231)&lt;2,  AC231=12),                 AF231=2),                   SUMIF(AB:AB,AB231,AA:AA),                       0)</f>
        <v>0</v>
      </c>
      <c r="AE231" s="277">
        <f t="shared" ca="1" si="45"/>
        <v>0</v>
      </c>
      <c r="AF231" s="277">
        <f t="shared" ca="1" si="38"/>
        <v>0</v>
      </c>
      <c r="AG231" s="402">
        <f ca="1">IF(  AND(AC231=AdóHó,   MAX(AF$1:AF230)&lt;2),   SUMIF(AB:AB,AB231-1,AE:AE),0  )
+ IF(AND(AC231&lt;AdóHó,                            AF231=2),   SUMIF(AB:AB,AB231-1,AE:AE),0  )
+ IF(                                                                  AF231=2,    SUMIF(AB:AB,AB231,AE:AE   ),0  )</f>
        <v>0</v>
      </c>
      <c r="AH231" s="272">
        <f ca="1">SUM(AG$2:AG231)</f>
        <v>881876.49224553083</v>
      </c>
    </row>
    <row r="232" spans="1:34">
      <c r="A232" s="265">
        <f t="shared" si="39"/>
        <v>20</v>
      </c>
      <c r="B232" s="265">
        <f t="shared" si="40"/>
        <v>2</v>
      </c>
      <c r="C232" s="265">
        <f t="shared" ca="1" si="41"/>
        <v>20</v>
      </c>
      <c r="D232" s="265">
        <f t="shared" ca="1" si="42"/>
        <v>5</v>
      </c>
      <c r="E232" s="266">
        <v>5.0000000000000001E-3</v>
      </c>
      <c r="F232" s="267">
        <f>ÉV!$B$12</f>
        <v>0</v>
      </c>
      <c r="G232" s="271">
        <f ca="1">VLOOKUP(A232,ÉV!$A$18:$B$65,2,0)</f>
        <v>304983.41896869469</v>
      </c>
      <c r="H232" s="271">
        <f ca="1">IF(OR(A232=1,AND(C232=ÉV!$I$2,D232&gt;ÉV!$J$2),C232&gt;ÉV!$I$2),0,INDEX(Pz!$B$2:$AM$48,A232-1,ÉV!$G$2-9)/100000*ÉV!$B$10)</f>
        <v>270093.05044992914</v>
      </c>
      <c r="I232" s="271">
        <f ca="1">INDEX(Pz!$B$2:$AM$48,HÓ!A232,ÉV!$G$2-9)/100000*ÉV!$B$10</f>
        <v>275478.19439636241</v>
      </c>
      <c r="J232" s="273">
        <f ca="1">IF(OR(A232=1,A232=2,AND(C232=ÉV!$I$2,D232&gt;ÉV!$J$2),C232&gt;ÉV!$I$2),0,VLOOKUP(A232-2,ÉV!$A$18:$C$65,3,0))</f>
        <v>3881267.5064132973</v>
      </c>
      <c r="K232" s="273">
        <f ca="1">IF(OR(A232=1,AND(C232=ÉV!$I$2,D232&gt;ÉV!$J$2),C232&gt;ÉV!$I$2),0,VLOOKUP(A232-1,ÉV!$A$18:$C$65,3,0))</f>
        <v>4157320.2717885966</v>
      </c>
      <c r="L232" s="273">
        <f ca="1">VLOOKUP(A232,ÉV!$A$18:$C$65,3,0)*IF(OR(AND(C232=ÉV!$I$2,D232&gt;ÉV!$J$2),C232&gt;ÉV!$I$2),0,1)</f>
        <v>4438601.035860491</v>
      </c>
      <c r="M232" s="273">
        <f ca="1">(K232*(12-B232)/12+L232*B232/12)*IF(A232&gt;ÉV!$G$2,0,1)+IF(A232&gt;ÉV!$G$2,M231,0)*IF(OR(AND(C232=ÉV!$I$2,D232&gt;ÉV!$J$2),C232&gt;ÉV!$I$2),0,1)</f>
        <v>4204200.3991339123</v>
      </c>
      <c r="N232" s="274">
        <f ca="1">IF(AND(C232=1,D232&lt;12),0,1)*IF(D232=12,MAX(0,F232-E232-0.003)*0.9*((K232+I232)*(B232/12)+(J232+H232)*(1-B232/12))+MAX(0,F232-0.003)*0.9*N231+N231,IF(AND(C232=ÉV!$I$2,D232=ÉV!$J$2),(M232+N231)*MAX(0,F232-0.003)*0.9*(D232/12)+N231,N231))*IF(OR(C232&gt;ÉV!$I$2,AND(C232=ÉV!$I$2,D232&gt;ÉV!$J$2)),0,1)</f>
        <v>0</v>
      </c>
      <c r="O232" s="313">
        <f ca="1">IF(MAX(AF$2:AF231)=2,      0,IF(OR(AC232=7, AF232=2),    SUM(AE$2:AE232),    O231)   )</f>
        <v>881876.49224553083</v>
      </c>
      <c r="P232" s="271">
        <f ca="1">IF(D232=12,V232+P231+P231*(F232-0.003)*0.9,IF(AND(C232=ÉV!$I$2,D232=ÉV!$J$2),V232+P231+P231*(F232-0.003)*0.9*D232/12,P231))*IF(OR(C232&gt;ÉV!$I$2,AND(C232=ÉV!$I$2,D232&gt;ÉV!$J$2)),0,1)</f>
        <v>0</v>
      </c>
      <c r="Q232" s="275">
        <f ca="1">(N232+P232)*IF(OR(AND(C232=ÉV!$I$2,D232&gt;ÉV!$J$2),C232&gt;ÉV!$I$2),0,1)</f>
        <v>0</v>
      </c>
      <c r="R232" s="271">
        <f ca="1">(MAX(0,F232-E232-0.003)*0.9*((K232+I232)*(1/12)))*IF(OR(C232&gt;ÉV!$I$2,AND(C232=ÉV!$I$2,D232&gt;ÉV!$J$2)),0,1)</f>
        <v>0</v>
      </c>
      <c r="S232" s="271">
        <f ca="1">(MAX(0,F232-0.003)*0.9*((O232)*(1/12)))*IF(OR(C232&gt;ÉV!$I$2,AND(C232=ÉV!$I$2,D232&gt;ÉV!$J$2)),0,1)</f>
        <v>0</v>
      </c>
      <c r="T232" s="271">
        <f ca="1">(MAX(0,F232-0.003)*0.9*((Q231)*(1/12)))*IF(OR(C232&gt;ÉV!$I$2,AND(C232=ÉV!$I$2,D232&gt;ÉV!$J$2)),0,1)</f>
        <v>0</v>
      </c>
      <c r="U232" s="271">
        <f ca="1">IF($D232=1,R232,R232+U231)*IF(OR(C232&gt;ÉV!$I$2,AND(C232=ÉV!$I$2,D232&gt;ÉV!$J$2)),0,1)</f>
        <v>0</v>
      </c>
      <c r="V232" s="271">
        <f ca="1">IF($D232=1,S232,S232+V231)*IF(OR(C232&gt;ÉV!$I$2,AND(C232=ÉV!$I$2,D232&gt;ÉV!$J$2)),0,1)</f>
        <v>0</v>
      </c>
      <c r="W232" s="271">
        <f ca="1">IF($D232=1,T232,T232+W231)*IF(OR(C232&gt;ÉV!$I$2,AND(C232=ÉV!$I$2,D232&gt;ÉV!$J$2)),0,1)</f>
        <v>0</v>
      </c>
      <c r="X232" s="271">
        <f ca="1">IF(OR(D232=12,AND(C232=ÉV!$I$2,D232=ÉV!$J$2)),SUM(U232:W232)+X231,X231)*IF(OR(C232&gt;ÉV!$I$2,AND(C232=ÉV!$I$2,D232&gt;ÉV!$J$2)),0,1)</f>
        <v>0</v>
      </c>
      <c r="Y232" s="271">
        <f t="shared" ca="1" si="35"/>
        <v>0</v>
      </c>
      <c r="Z232" s="265">
        <f t="shared" si="36"/>
        <v>2</v>
      </c>
      <c r="AA232" s="272">
        <f t="shared" ca="1" si="37"/>
        <v>25415.284914057891</v>
      </c>
      <c r="AB232" s="265">
        <f t="shared" ca="1" si="43"/>
        <v>2036</v>
      </c>
      <c r="AC232" s="265">
        <f t="shared" ca="1" si="44"/>
        <v>5</v>
      </c>
      <c r="AD232" s="276">
        <f ca="1">IF(     OR(               AND(MAX(AF$6:AF232)&lt;2,  AC232=12),                 AF232=2),                   SUMIF(AB:AB,AB232,AA:AA),                       0)</f>
        <v>0</v>
      </c>
      <c r="AE232" s="277">
        <f t="shared" ca="1" si="45"/>
        <v>0</v>
      </c>
      <c r="AF232" s="277">
        <f t="shared" ca="1" si="38"/>
        <v>0</v>
      </c>
      <c r="AG232" s="402">
        <f ca="1">IF(  AND(AC232=AdóHó,   MAX(AF$1:AF231)&lt;2),   SUMIF(AB:AB,AB232-1,AE:AE),0  )
+ IF(AND(AC232&lt;AdóHó,                            AF232=2),   SUMIF(AB:AB,AB232-1,AE:AE),0  )
+ IF(                                                                  AF232=2,    SUMIF(AB:AB,AB232,AE:AE   ),0  )</f>
        <v>0</v>
      </c>
      <c r="AH232" s="272">
        <f ca="1">SUM(AG$2:AG232)</f>
        <v>881876.49224553083</v>
      </c>
    </row>
    <row r="233" spans="1:34">
      <c r="A233" s="265">
        <f t="shared" si="39"/>
        <v>20</v>
      </c>
      <c r="B233" s="265">
        <f t="shared" si="40"/>
        <v>3</v>
      </c>
      <c r="C233" s="265">
        <f t="shared" ca="1" si="41"/>
        <v>20</v>
      </c>
      <c r="D233" s="265">
        <f t="shared" ca="1" si="42"/>
        <v>6</v>
      </c>
      <c r="E233" s="266">
        <v>5.0000000000000001E-3</v>
      </c>
      <c r="F233" s="267">
        <f>ÉV!$B$12</f>
        <v>0</v>
      </c>
      <c r="G233" s="271">
        <f ca="1">VLOOKUP(A233,ÉV!$A$18:$B$65,2,0)</f>
        <v>304983.41896869469</v>
      </c>
      <c r="H233" s="271">
        <f ca="1">IF(OR(A233=1,AND(C233=ÉV!$I$2,D233&gt;ÉV!$J$2),C233&gt;ÉV!$I$2),0,INDEX(Pz!$B$2:$AM$48,A233-1,ÉV!$G$2-9)/100000*ÉV!$B$10)</f>
        <v>270093.05044992914</v>
      </c>
      <c r="I233" s="271">
        <f ca="1">INDEX(Pz!$B$2:$AM$48,HÓ!A233,ÉV!$G$2-9)/100000*ÉV!$B$10</f>
        <v>275478.19439636241</v>
      </c>
      <c r="J233" s="273">
        <f ca="1">IF(OR(A233=1,A233=2,AND(C233=ÉV!$I$2,D233&gt;ÉV!$J$2),C233&gt;ÉV!$I$2),0,VLOOKUP(A233-2,ÉV!$A$18:$C$65,3,0))</f>
        <v>3881267.5064132973</v>
      </c>
      <c r="K233" s="273">
        <f ca="1">IF(OR(A233=1,AND(C233=ÉV!$I$2,D233&gt;ÉV!$J$2),C233&gt;ÉV!$I$2),0,VLOOKUP(A233-1,ÉV!$A$18:$C$65,3,0))</f>
        <v>4157320.2717885966</v>
      </c>
      <c r="L233" s="273">
        <f ca="1">VLOOKUP(A233,ÉV!$A$18:$C$65,3,0)*IF(OR(AND(C233=ÉV!$I$2,D233&gt;ÉV!$J$2),C233&gt;ÉV!$I$2),0,1)</f>
        <v>4438601.035860491</v>
      </c>
      <c r="M233" s="273">
        <f ca="1">(K233*(12-B233)/12+L233*B233/12)*IF(A233&gt;ÉV!$G$2,0,1)+IF(A233&gt;ÉV!$G$2,M232,0)*IF(OR(AND(C233=ÉV!$I$2,D233&gt;ÉV!$J$2),C233&gt;ÉV!$I$2),0,1)</f>
        <v>4227640.4628065703</v>
      </c>
      <c r="N233" s="274">
        <f ca="1">IF(AND(C233=1,D233&lt;12),0,1)*IF(D233=12,MAX(0,F233-E233-0.003)*0.9*((K233+I233)*(B233/12)+(J233+H233)*(1-B233/12))+MAX(0,F233-0.003)*0.9*N232+N232,IF(AND(C233=ÉV!$I$2,D233=ÉV!$J$2),(M233+N232)*MAX(0,F233-0.003)*0.9*(D233/12)+N232,N232))*IF(OR(C233&gt;ÉV!$I$2,AND(C233=ÉV!$I$2,D233&gt;ÉV!$J$2)),0,1)</f>
        <v>0</v>
      </c>
      <c r="O233" s="313">
        <f ca="1">IF(MAX(AF$2:AF232)=2,      0,IF(OR(AC233=7, AF233=2),    SUM(AE$2:AE233),    O232)   )</f>
        <v>881876.49224553083</v>
      </c>
      <c r="P233" s="271">
        <f ca="1">IF(D233=12,V233+P232+P232*(F233-0.003)*0.9,IF(AND(C233=ÉV!$I$2,D233=ÉV!$J$2),V233+P232+P232*(F233-0.003)*0.9*D233/12,P232))*IF(OR(C233&gt;ÉV!$I$2,AND(C233=ÉV!$I$2,D233&gt;ÉV!$J$2)),0,1)</f>
        <v>0</v>
      </c>
      <c r="Q233" s="275">
        <f ca="1">(N233+P233)*IF(OR(AND(C233=ÉV!$I$2,D233&gt;ÉV!$J$2),C233&gt;ÉV!$I$2),0,1)</f>
        <v>0</v>
      </c>
      <c r="R233" s="271">
        <f ca="1">(MAX(0,F233-E233-0.003)*0.9*((K233+I233)*(1/12)))*IF(OR(C233&gt;ÉV!$I$2,AND(C233=ÉV!$I$2,D233&gt;ÉV!$J$2)),0,1)</f>
        <v>0</v>
      </c>
      <c r="S233" s="271">
        <f ca="1">(MAX(0,F233-0.003)*0.9*((O233)*(1/12)))*IF(OR(C233&gt;ÉV!$I$2,AND(C233=ÉV!$I$2,D233&gt;ÉV!$J$2)),0,1)</f>
        <v>0</v>
      </c>
      <c r="T233" s="271">
        <f ca="1">(MAX(0,F233-0.003)*0.9*((Q232)*(1/12)))*IF(OR(C233&gt;ÉV!$I$2,AND(C233=ÉV!$I$2,D233&gt;ÉV!$J$2)),0,1)</f>
        <v>0</v>
      </c>
      <c r="U233" s="271">
        <f ca="1">IF($D233=1,R233,R233+U232)*IF(OR(C233&gt;ÉV!$I$2,AND(C233=ÉV!$I$2,D233&gt;ÉV!$J$2)),0,1)</f>
        <v>0</v>
      </c>
      <c r="V233" s="271">
        <f ca="1">IF($D233=1,S233,S233+V232)*IF(OR(C233&gt;ÉV!$I$2,AND(C233=ÉV!$I$2,D233&gt;ÉV!$J$2)),0,1)</f>
        <v>0</v>
      </c>
      <c r="W233" s="271">
        <f ca="1">IF($D233=1,T233,T233+W232)*IF(OR(C233&gt;ÉV!$I$2,AND(C233=ÉV!$I$2,D233&gt;ÉV!$J$2)),0,1)</f>
        <v>0</v>
      </c>
      <c r="X233" s="271">
        <f ca="1">IF(OR(D233=12,AND(C233=ÉV!$I$2,D233=ÉV!$J$2)),SUM(U233:W233)+X232,X232)*IF(OR(C233&gt;ÉV!$I$2,AND(C233=ÉV!$I$2,D233&gt;ÉV!$J$2)),0,1)</f>
        <v>0</v>
      </c>
      <c r="Y233" s="271">
        <f t="shared" ca="1" si="35"/>
        <v>0</v>
      </c>
      <c r="Z233" s="265">
        <f t="shared" si="36"/>
        <v>3</v>
      </c>
      <c r="AA233" s="272">
        <f t="shared" ca="1" si="37"/>
        <v>25415.284914057891</v>
      </c>
      <c r="AB233" s="265">
        <f t="shared" ca="1" si="43"/>
        <v>2036</v>
      </c>
      <c r="AC233" s="265">
        <f t="shared" ca="1" si="44"/>
        <v>6</v>
      </c>
      <c r="AD233" s="276">
        <f ca="1">IF(     OR(               AND(MAX(AF$6:AF233)&lt;2,  AC233=12),                 AF233=2),                   SUMIF(AB:AB,AB233,AA:AA),                       0)</f>
        <v>0</v>
      </c>
      <c r="AE233" s="277">
        <f t="shared" ca="1" si="45"/>
        <v>0</v>
      </c>
      <c r="AF233" s="277">
        <f t="shared" ca="1" si="38"/>
        <v>0</v>
      </c>
      <c r="AG233" s="402">
        <f ca="1">IF(  AND(AC233=AdóHó,   MAX(AF$1:AF232)&lt;2),   SUMIF(AB:AB,AB233-1,AE:AE),0  )
+ IF(AND(AC233&lt;AdóHó,                            AF233=2),   SUMIF(AB:AB,AB233-1,AE:AE),0  )
+ IF(                                                                  AF233=2,    SUMIF(AB:AB,AB233,AE:AE   ),0  )</f>
        <v>0</v>
      </c>
      <c r="AH233" s="272">
        <f ca="1">SUM(AG$2:AG233)</f>
        <v>881876.49224553083</v>
      </c>
    </row>
    <row r="234" spans="1:34">
      <c r="A234" s="265">
        <f t="shared" si="39"/>
        <v>20</v>
      </c>
      <c r="B234" s="265">
        <f t="shared" si="40"/>
        <v>4</v>
      </c>
      <c r="C234" s="265">
        <f t="shared" ca="1" si="41"/>
        <v>20</v>
      </c>
      <c r="D234" s="265">
        <f t="shared" ca="1" si="42"/>
        <v>7</v>
      </c>
      <c r="E234" s="266">
        <v>5.0000000000000001E-3</v>
      </c>
      <c r="F234" s="267">
        <f>ÉV!$B$12</f>
        <v>0</v>
      </c>
      <c r="G234" s="271">
        <f ca="1">VLOOKUP(A234,ÉV!$A$18:$B$65,2,0)</f>
        <v>304983.41896869469</v>
      </c>
      <c r="H234" s="271">
        <f ca="1">IF(OR(A234=1,AND(C234=ÉV!$I$2,D234&gt;ÉV!$J$2),C234&gt;ÉV!$I$2),0,INDEX(Pz!$B$2:$AM$48,A234-1,ÉV!$G$2-9)/100000*ÉV!$B$10)</f>
        <v>270093.05044992914</v>
      </c>
      <c r="I234" s="271">
        <f ca="1">INDEX(Pz!$B$2:$AM$48,HÓ!A234,ÉV!$G$2-9)/100000*ÉV!$B$10</f>
        <v>275478.19439636241</v>
      </c>
      <c r="J234" s="273">
        <f ca="1">IF(OR(A234=1,A234=2,AND(C234=ÉV!$I$2,D234&gt;ÉV!$J$2),C234&gt;ÉV!$I$2),0,VLOOKUP(A234-2,ÉV!$A$18:$C$65,3,0))</f>
        <v>3881267.5064132973</v>
      </c>
      <c r="K234" s="273">
        <f ca="1">IF(OR(A234=1,AND(C234=ÉV!$I$2,D234&gt;ÉV!$J$2),C234&gt;ÉV!$I$2),0,VLOOKUP(A234-1,ÉV!$A$18:$C$65,3,0))</f>
        <v>4157320.2717885966</v>
      </c>
      <c r="L234" s="273">
        <f ca="1">VLOOKUP(A234,ÉV!$A$18:$C$65,3,0)*IF(OR(AND(C234=ÉV!$I$2,D234&gt;ÉV!$J$2),C234&gt;ÉV!$I$2),0,1)</f>
        <v>4438601.035860491</v>
      </c>
      <c r="M234" s="273">
        <f ca="1">(K234*(12-B234)/12+L234*B234/12)*IF(A234&gt;ÉV!$G$2,0,1)+IF(A234&gt;ÉV!$G$2,M233,0)*IF(OR(AND(C234=ÉV!$I$2,D234&gt;ÉV!$J$2),C234&gt;ÉV!$I$2),0,1)</f>
        <v>4251080.5264792284</v>
      </c>
      <c r="N234" s="274">
        <f ca="1">IF(AND(C234=1,D234&lt;12),0,1)*IF(D234=12,MAX(0,F234-E234-0.003)*0.9*((K234+I234)*(B234/12)+(J234+H234)*(1-B234/12))+MAX(0,F234-0.003)*0.9*N233+N233,IF(AND(C234=ÉV!$I$2,D234=ÉV!$J$2),(M234+N233)*MAX(0,F234-0.003)*0.9*(D234/12)+N233,N233))*IF(OR(C234&gt;ÉV!$I$2,AND(C234=ÉV!$I$2,D234&gt;ÉV!$J$2)),0,1)</f>
        <v>0</v>
      </c>
      <c r="O234" s="313">
        <f ca="1">IF(MAX(AF$2:AF233)=2,      0,IF(OR(AC234=7, AF234=2),    SUM(AE$2:AE234),    O233)   )</f>
        <v>941384.02209044143</v>
      </c>
      <c r="P234" s="271">
        <f ca="1">IF(D234=12,V234+P233+P233*(F234-0.003)*0.9,IF(AND(C234=ÉV!$I$2,D234=ÉV!$J$2),V234+P233+P233*(F234-0.003)*0.9*D234/12,P233))*IF(OR(C234&gt;ÉV!$I$2,AND(C234=ÉV!$I$2,D234&gt;ÉV!$J$2)),0,1)</f>
        <v>0</v>
      </c>
      <c r="Q234" s="275">
        <f ca="1">(N234+P234)*IF(OR(AND(C234=ÉV!$I$2,D234&gt;ÉV!$J$2),C234&gt;ÉV!$I$2),0,1)</f>
        <v>0</v>
      </c>
      <c r="R234" s="271">
        <f ca="1">(MAX(0,F234-E234-0.003)*0.9*((K234+I234)*(1/12)))*IF(OR(C234&gt;ÉV!$I$2,AND(C234=ÉV!$I$2,D234&gt;ÉV!$J$2)),0,1)</f>
        <v>0</v>
      </c>
      <c r="S234" s="271">
        <f ca="1">(MAX(0,F234-0.003)*0.9*((O234)*(1/12)))*IF(OR(C234&gt;ÉV!$I$2,AND(C234=ÉV!$I$2,D234&gt;ÉV!$J$2)),0,1)</f>
        <v>0</v>
      </c>
      <c r="T234" s="271">
        <f ca="1">(MAX(0,F234-0.003)*0.9*((Q233)*(1/12)))*IF(OR(C234&gt;ÉV!$I$2,AND(C234=ÉV!$I$2,D234&gt;ÉV!$J$2)),0,1)</f>
        <v>0</v>
      </c>
      <c r="U234" s="271">
        <f ca="1">IF($D234=1,R234,R234+U233)*IF(OR(C234&gt;ÉV!$I$2,AND(C234=ÉV!$I$2,D234&gt;ÉV!$J$2)),0,1)</f>
        <v>0</v>
      </c>
      <c r="V234" s="271">
        <f ca="1">IF($D234=1,S234,S234+V233)*IF(OR(C234&gt;ÉV!$I$2,AND(C234=ÉV!$I$2,D234&gt;ÉV!$J$2)),0,1)</f>
        <v>0</v>
      </c>
      <c r="W234" s="271">
        <f ca="1">IF($D234=1,T234,T234+W233)*IF(OR(C234&gt;ÉV!$I$2,AND(C234=ÉV!$I$2,D234&gt;ÉV!$J$2)),0,1)</f>
        <v>0</v>
      </c>
      <c r="X234" s="271">
        <f ca="1">IF(OR(D234=12,AND(C234=ÉV!$I$2,D234=ÉV!$J$2)),SUM(U234:W234)+X233,X233)*IF(OR(C234&gt;ÉV!$I$2,AND(C234=ÉV!$I$2,D234&gt;ÉV!$J$2)),0,1)</f>
        <v>0</v>
      </c>
      <c r="Y234" s="271">
        <f t="shared" ca="1" si="35"/>
        <v>0</v>
      </c>
      <c r="Z234" s="265">
        <f t="shared" si="36"/>
        <v>4</v>
      </c>
      <c r="AA234" s="272">
        <f t="shared" ca="1" si="37"/>
        <v>25415.284914057891</v>
      </c>
      <c r="AB234" s="265">
        <f t="shared" ca="1" si="43"/>
        <v>2036</v>
      </c>
      <c r="AC234" s="265">
        <f t="shared" ca="1" si="44"/>
        <v>7</v>
      </c>
      <c r="AD234" s="276">
        <f ca="1">IF(     OR(               AND(MAX(AF$6:AF234)&lt;2,  AC234=12),                 AF234=2),                   SUMIF(AB:AB,AB234,AA:AA),                       0)</f>
        <v>0</v>
      </c>
      <c r="AE234" s="277">
        <f t="shared" ca="1" si="45"/>
        <v>0</v>
      </c>
      <c r="AF234" s="277">
        <f t="shared" ca="1" si="38"/>
        <v>0</v>
      </c>
      <c r="AG234" s="402">
        <f ca="1">IF(  AND(AC234=AdóHó,   MAX(AF$1:AF233)&lt;2),   SUMIF(AB:AB,AB234-1,AE:AE),0  )
+ IF(AND(AC234&lt;AdóHó,                            AF234=2),   SUMIF(AB:AB,AB234-1,AE:AE),0  )
+ IF(                                                                  AF234=2,    SUMIF(AB:AB,AB234,AE:AE   ),0  )</f>
        <v>59507.529844910634</v>
      </c>
      <c r="AH234" s="272">
        <f ca="1">SUM(AG$2:AG234)</f>
        <v>941384.02209044143</v>
      </c>
    </row>
    <row r="235" spans="1:34">
      <c r="A235" s="265">
        <f t="shared" si="39"/>
        <v>20</v>
      </c>
      <c r="B235" s="265">
        <f t="shared" si="40"/>
        <v>5</v>
      </c>
      <c r="C235" s="265">
        <f t="shared" ca="1" si="41"/>
        <v>20</v>
      </c>
      <c r="D235" s="265">
        <f t="shared" ca="1" si="42"/>
        <v>8</v>
      </c>
      <c r="E235" s="266">
        <v>5.0000000000000001E-3</v>
      </c>
      <c r="F235" s="267">
        <f>ÉV!$B$12</f>
        <v>0</v>
      </c>
      <c r="G235" s="271">
        <f ca="1">VLOOKUP(A235,ÉV!$A$18:$B$65,2,0)</f>
        <v>304983.41896869469</v>
      </c>
      <c r="H235" s="271">
        <f ca="1">IF(OR(A235=1,AND(C235=ÉV!$I$2,D235&gt;ÉV!$J$2),C235&gt;ÉV!$I$2),0,INDEX(Pz!$B$2:$AM$48,A235-1,ÉV!$G$2-9)/100000*ÉV!$B$10)</f>
        <v>270093.05044992914</v>
      </c>
      <c r="I235" s="271">
        <f ca="1">INDEX(Pz!$B$2:$AM$48,HÓ!A235,ÉV!$G$2-9)/100000*ÉV!$B$10</f>
        <v>275478.19439636241</v>
      </c>
      <c r="J235" s="273">
        <f ca="1">IF(OR(A235=1,A235=2,AND(C235=ÉV!$I$2,D235&gt;ÉV!$J$2),C235&gt;ÉV!$I$2),0,VLOOKUP(A235-2,ÉV!$A$18:$C$65,3,0))</f>
        <v>3881267.5064132973</v>
      </c>
      <c r="K235" s="273">
        <f ca="1">IF(OR(A235=1,AND(C235=ÉV!$I$2,D235&gt;ÉV!$J$2),C235&gt;ÉV!$I$2),0,VLOOKUP(A235-1,ÉV!$A$18:$C$65,3,0))</f>
        <v>4157320.2717885966</v>
      </c>
      <c r="L235" s="273">
        <f ca="1">VLOOKUP(A235,ÉV!$A$18:$C$65,3,0)*IF(OR(AND(C235=ÉV!$I$2,D235&gt;ÉV!$J$2),C235&gt;ÉV!$I$2),0,1)</f>
        <v>4438601.035860491</v>
      </c>
      <c r="M235" s="273">
        <f ca="1">(K235*(12-B235)/12+L235*B235/12)*IF(A235&gt;ÉV!$G$2,0,1)+IF(A235&gt;ÉV!$G$2,M234,0)*IF(OR(AND(C235=ÉV!$I$2,D235&gt;ÉV!$J$2),C235&gt;ÉV!$I$2),0,1)</f>
        <v>4274520.5901518855</v>
      </c>
      <c r="N235" s="274">
        <f ca="1">IF(AND(C235=1,D235&lt;12),0,1)*IF(D235=12,MAX(0,F235-E235-0.003)*0.9*((K235+I235)*(B235/12)+(J235+H235)*(1-B235/12))+MAX(0,F235-0.003)*0.9*N234+N234,IF(AND(C235=ÉV!$I$2,D235=ÉV!$J$2),(M235+N234)*MAX(0,F235-0.003)*0.9*(D235/12)+N234,N234))*IF(OR(C235&gt;ÉV!$I$2,AND(C235=ÉV!$I$2,D235&gt;ÉV!$J$2)),0,1)</f>
        <v>0</v>
      </c>
      <c r="O235" s="313">
        <f ca="1">IF(MAX(AF$2:AF234)=2,      0,IF(OR(AC235=7, AF235=2),    SUM(AE$2:AE235),    O234)   )</f>
        <v>941384.02209044143</v>
      </c>
      <c r="P235" s="271">
        <f ca="1">IF(D235=12,V235+P234+P234*(F235-0.003)*0.9,IF(AND(C235=ÉV!$I$2,D235=ÉV!$J$2),V235+P234+P234*(F235-0.003)*0.9*D235/12,P234))*IF(OR(C235&gt;ÉV!$I$2,AND(C235=ÉV!$I$2,D235&gt;ÉV!$J$2)),0,1)</f>
        <v>0</v>
      </c>
      <c r="Q235" s="275">
        <f ca="1">(N235+P235)*IF(OR(AND(C235=ÉV!$I$2,D235&gt;ÉV!$J$2),C235&gt;ÉV!$I$2),0,1)</f>
        <v>0</v>
      </c>
      <c r="R235" s="271">
        <f ca="1">(MAX(0,F235-E235-0.003)*0.9*((K235+I235)*(1/12)))*IF(OR(C235&gt;ÉV!$I$2,AND(C235=ÉV!$I$2,D235&gt;ÉV!$J$2)),0,1)</f>
        <v>0</v>
      </c>
      <c r="S235" s="271">
        <f ca="1">(MAX(0,F235-0.003)*0.9*((O235)*(1/12)))*IF(OR(C235&gt;ÉV!$I$2,AND(C235=ÉV!$I$2,D235&gt;ÉV!$J$2)),0,1)</f>
        <v>0</v>
      </c>
      <c r="T235" s="271">
        <f ca="1">(MAX(0,F235-0.003)*0.9*((Q234)*(1/12)))*IF(OR(C235&gt;ÉV!$I$2,AND(C235=ÉV!$I$2,D235&gt;ÉV!$J$2)),0,1)</f>
        <v>0</v>
      </c>
      <c r="U235" s="271">
        <f ca="1">IF($D235=1,R235,R235+U234)*IF(OR(C235&gt;ÉV!$I$2,AND(C235=ÉV!$I$2,D235&gt;ÉV!$J$2)),0,1)</f>
        <v>0</v>
      </c>
      <c r="V235" s="271">
        <f ca="1">IF($D235=1,S235,S235+V234)*IF(OR(C235&gt;ÉV!$I$2,AND(C235=ÉV!$I$2,D235&gt;ÉV!$J$2)),0,1)</f>
        <v>0</v>
      </c>
      <c r="W235" s="271">
        <f ca="1">IF($D235=1,T235,T235+W234)*IF(OR(C235&gt;ÉV!$I$2,AND(C235=ÉV!$I$2,D235&gt;ÉV!$J$2)),0,1)</f>
        <v>0</v>
      </c>
      <c r="X235" s="271">
        <f ca="1">IF(OR(D235=12,AND(C235=ÉV!$I$2,D235=ÉV!$J$2)),SUM(U235:W235)+X234,X234)*IF(OR(C235&gt;ÉV!$I$2,AND(C235=ÉV!$I$2,D235&gt;ÉV!$J$2)),0,1)</f>
        <v>0</v>
      </c>
      <c r="Y235" s="271">
        <f t="shared" ca="1" si="35"/>
        <v>0</v>
      </c>
      <c r="Z235" s="265">
        <f t="shared" si="36"/>
        <v>5</v>
      </c>
      <c r="AA235" s="272">
        <f t="shared" ca="1" si="37"/>
        <v>25415.284914057891</v>
      </c>
      <c r="AB235" s="265">
        <f t="shared" ca="1" si="43"/>
        <v>2036</v>
      </c>
      <c r="AC235" s="265">
        <f t="shared" ca="1" si="44"/>
        <v>8</v>
      </c>
      <c r="AD235" s="276">
        <f ca="1">IF(     OR(               AND(MAX(AF$6:AF235)&lt;2,  AC235=12),                 AF235=2),                   SUMIF(AB:AB,AB235,AA:AA),                       0)</f>
        <v>0</v>
      </c>
      <c r="AE235" s="277">
        <f t="shared" ca="1" si="45"/>
        <v>0</v>
      </c>
      <c r="AF235" s="277">
        <f t="shared" ca="1" si="38"/>
        <v>0</v>
      </c>
      <c r="AG235" s="402">
        <f ca="1">IF(  AND(AC235=AdóHó,   MAX(AF$1:AF234)&lt;2),   SUMIF(AB:AB,AB235-1,AE:AE),0  )
+ IF(AND(AC235&lt;AdóHó,                            AF235=2),   SUMIF(AB:AB,AB235-1,AE:AE),0  )
+ IF(                                                                  AF235=2,    SUMIF(AB:AB,AB235,AE:AE   ),0  )</f>
        <v>0</v>
      </c>
      <c r="AH235" s="272">
        <f ca="1">SUM(AG$2:AG235)</f>
        <v>941384.02209044143</v>
      </c>
    </row>
    <row r="236" spans="1:34">
      <c r="A236" s="265">
        <f t="shared" si="39"/>
        <v>20</v>
      </c>
      <c r="B236" s="265">
        <f t="shared" si="40"/>
        <v>6</v>
      </c>
      <c r="C236" s="265">
        <f t="shared" ca="1" si="41"/>
        <v>20</v>
      </c>
      <c r="D236" s="265">
        <f t="shared" ca="1" si="42"/>
        <v>9</v>
      </c>
      <c r="E236" s="266">
        <v>5.0000000000000001E-3</v>
      </c>
      <c r="F236" s="267">
        <f>ÉV!$B$12</f>
        <v>0</v>
      </c>
      <c r="G236" s="271">
        <f ca="1">VLOOKUP(A236,ÉV!$A$18:$B$65,2,0)</f>
        <v>304983.41896869469</v>
      </c>
      <c r="H236" s="271">
        <f ca="1">IF(OR(A236=1,AND(C236=ÉV!$I$2,D236&gt;ÉV!$J$2),C236&gt;ÉV!$I$2),0,INDEX(Pz!$B$2:$AM$48,A236-1,ÉV!$G$2-9)/100000*ÉV!$B$10)</f>
        <v>270093.05044992914</v>
      </c>
      <c r="I236" s="271">
        <f ca="1">INDEX(Pz!$B$2:$AM$48,HÓ!A236,ÉV!$G$2-9)/100000*ÉV!$B$10</f>
        <v>275478.19439636241</v>
      </c>
      <c r="J236" s="273">
        <f ca="1">IF(OR(A236=1,A236=2,AND(C236=ÉV!$I$2,D236&gt;ÉV!$J$2),C236&gt;ÉV!$I$2),0,VLOOKUP(A236-2,ÉV!$A$18:$C$65,3,0))</f>
        <v>3881267.5064132973</v>
      </c>
      <c r="K236" s="273">
        <f ca="1">IF(OR(A236=1,AND(C236=ÉV!$I$2,D236&gt;ÉV!$J$2),C236&gt;ÉV!$I$2),0,VLOOKUP(A236-1,ÉV!$A$18:$C$65,3,0))</f>
        <v>4157320.2717885966</v>
      </c>
      <c r="L236" s="273">
        <f ca="1">VLOOKUP(A236,ÉV!$A$18:$C$65,3,0)*IF(OR(AND(C236=ÉV!$I$2,D236&gt;ÉV!$J$2),C236&gt;ÉV!$I$2),0,1)</f>
        <v>4438601.035860491</v>
      </c>
      <c r="M236" s="273">
        <f ca="1">(K236*(12-B236)/12+L236*B236/12)*IF(A236&gt;ÉV!$G$2,0,1)+IF(A236&gt;ÉV!$G$2,M235,0)*IF(OR(AND(C236=ÉV!$I$2,D236&gt;ÉV!$J$2),C236&gt;ÉV!$I$2),0,1)</f>
        <v>4297960.6538245436</v>
      </c>
      <c r="N236" s="274">
        <f ca="1">IF(AND(C236=1,D236&lt;12),0,1)*IF(D236=12,MAX(0,F236-E236-0.003)*0.9*((K236+I236)*(B236/12)+(J236+H236)*(1-B236/12))+MAX(0,F236-0.003)*0.9*N235+N235,IF(AND(C236=ÉV!$I$2,D236=ÉV!$J$2),(M236+N235)*MAX(0,F236-0.003)*0.9*(D236/12)+N235,N235))*IF(OR(C236&gt;ÉV!$I$2,AND(C236=ÉV!$I$2,D236&gt;ÉV!$J$2)),0,1)</f>
        <v>0</v>
      </c>
      <c r="O236" s="313">
        <f ca="1">IF(MAX(AF$2:AF235)=2,      0,IF(OR(AC236=7, AF236=2),    SUM(AE$2:AE236),    O235)   )</f>
        <v>941384.02209044143</v>
      </c>
      <c r="P236" s="271">
        <f ca="1">IF(D236=12,V236+P235+P235*(F236-0.003)*0.9,IF(AND(C236=ÉV!$I$2,D236=ÉV!$J$2),V236+P235+P235*(F236-0.003)*0.9*D236/12,P235))*IF(OR(C236&gt;ÉV!$I$2,AND(C236=ÉV!$I$2,D236&gt;ÉV!$J$2)),0,1)</f>
        <v>0</v>
      </c>
      <c r="Q236" s="275">
        <f ca="1">(N236+P236)*IF(OR(AND(C236=ÉV!$I$2,D236&gt;ÉV!$J$2),C236&gt;ÉV!$I$2),0,1)</f>
        <v>0</v>
      </c>
      <c r="R236" s="271">
        <f ca="1">(MAX(0,F236-E236-0.003)*0.9*((K236+I236)*(1/12)))*IF(OR(C236&gt;ÉV!$I$2,AND(C236=ÉV!$I$2,D236&gt;ÉV!$J$2)),0,1)</f>
        <v>0</v>
      </c>
      <c r="S236" s="271">
        <f ca="1">(MAX(0,F236-0.003)*0.9*((O236)*(1/12)))*IF(OR(C236&gt;ÉV!$I$2,AND(C236=ÉV!$I$2,D236&gt;ÉV!$J$2)),0,1)</f>
        <v>0</v>
      </c>
      <c r="T236" s="271">
        <f ca="1">(MAX(0,F236-0.003)*0.9*((Q235)*(1/12)))*IF(OR(C236&gt;ÉV!$I$2,AND(C236=ÉV!$I$2,D236&gt;ÉV!$J$2)),0,1)</f>
        <v>0</v>
      </c>
      <c r="U236" s="271">
        <f ca="1">IF($D236=1,R236,R236+U235)*IF(OR(C236&gt;ÉV!$I$2,AND(C236=ÉV!$I$2,D236&gt;ÉV!$J$2)),0,1)</f>
        <v>0</v>
      </c>
      <c r="V236" s="271">
        <f ca="1">IF($D236=1,S236,S236+V235)*IF(OR(C236&gt;ÉV!$I$2,AND(C236=ÉV!$I$2,D236&gt;ÉV!$J$2)),0,1)</f>
        <v>0</v>
      </c>
      <c r="W236" s="271">
        <f ca="1">IF($D236=1,T236,T236+W235)*IF(OR(C236&gt;ÉV!$I$2,AND(C236=ÉV!$I$2,D236&gt;ÉV!$J$2)),0,1)</f>
        <v>0</v>
      </c>
      <c r="X236" s="271">
        <f ca="1">IF(OR(D236=12,AND(C236=ÉV!$I$2,D236=ÉV!$J$2)),SUM(U236:W236)+X235,X235)*IF(OR(C236&gt;ÉV!$I$2,AND(C236=ÉV!$I$2,D236&gt;ÉV!$J$2)),0,1)</f>
        <v>0</v>
      </c>
      <c r="Y236" s="271">
        <f t="shared" ca="1" si="35"/>
        <v>0</v>
      </c>
      <c r="Z236" s="265">
        <f t="shared" si="36"/>
        <v>6</v>
      </c>
      <c r="AA236" s="272">
        <f t="shared" ca="1" si="37"/>
        <v>25415.284914057891</v>
      </c>
      <c r="AB236" s="265">
        <f t="shared" ca="1" si="43"/>
        <v>2036</v>
      </c>
      <c r="AC236" s="265">
        <f t="shared" ca="1" si="44"/>
        <v>9</v>
      </c>
      <c r="AD236" s="276">
        <f ca="1">IF(     OR(               AND(MAX(AF$6:AF236)&lt;2,  AC236=12),                 AF236=2),                   SUMIF(AB:AB,AB236,AA:AA),                       0)</f>
        <v>0</v>
      </c>
      <c r="AE236" s="277">
        <f t="shared" ca="1" si="45"/>
        <v>0</v>
      </c>
      <c r="AF236" s="277">
        <f t="shared" ca="1" si="38"/>
        <v>0</v>
      </c>
      <c r="AG236" s="402">
        <f ca="1">IF(  AND(AC236=AdóHó,   MAX(AF$1:AF235)&lt;2),   SUMIF(AB:AB,AB236-1,AE:AE),0  )
+ IF(AND(AC236&lt;AdóHó,                            AF236=2),   SUMIF(AB:AB,AB236-1,AE:AE),0  )
+ IF(                                                                  AF236=2,    SUMIF(AB:AB,AB236,AE:AE   ),0  )</f>
        <v>0</v>
      </c>
      <c r="AH236" s="272">
        <f ca="1">SUM(AG$2:AG236)</f>
        <v>941384.02209044143</v>
      </c>
    </row>
    <row r="237" spans="1:34">
      <c r="A237" s="265">
        <f t="shared" si="39"/>
        <v>20</v>
      </c>
      <c r="B237" s="265">
        <f t="shared" si="40"/>
        <v>7</v>
      </c>
      <c r="C237" s="265">
        <f t="shared" ca="1" si="41"/>
        <v>20</v>
      </c>
      <c r="D237" s="265">
        <f t="shared" ca="1" si="42"/>
        <v>10</v>
      </c>
      <c r="E237" s="266">
        <v>5.0000000000000001E-3</v>
      </c>
      <c r="F237" s="267">
        <f>ÉV!$B$12</f>
        <v>0</v>
      </c>
      <c r="G237" s="271">
        <f ca="1">VLOOKUP(A237,ÉV!$A$18:$B$65,2,0)</f>
        <v>304983.41896869469</v>
      </c>
      <c r="H237" s="271">
        <f ca="1">IF(OR(A237=1,AND(C237=ÉV!$I$2,D237&gt;ÉV!$J$2),C237&gt;ÉV!$I$2),0,INDEX(Pz!$B$2:$AM$48,A237-1,ÉV!$G$2-9)/100000*ÉV!$B$10)</f>
        <v>270093.05044992914</v>
      </c>
      <c r="I237" s="271">
        <f ca="1">INDEX(Pz!$B$2:$AM$48,HÓ!A237,ÉV!$G$2-9)/100000*ÉV!$B$10</f>
        <v>275478.19439636241</v>
      </c>
      <c r="J237" s="273">
        <f ca="1">IF(OR(A237=1,A237=2,AND(C237=ÉV!$I$2,D237&gt;ÉV!$J$2),C237&gt;ÉV!$I$2),0,VLOOKUP(A237-2,ÉV!$A$18:$C$65,3,0))</f>
        <v>3881267.5064132973</v>
      </c>
      <c r="K237" s="273">
        <f ca="1">IF(OR(A237=1,AND(C237=ÉV!$I$2,D237&gt;ÉV!$J$2),C237&gt;ÉV!$I$2),0,VLOOKUP(A237-1,ÉV!$A$18:$C$65,3,0))</f>
        <v>4157320.2717885966</v>
      </c>
      <c r="L237" s="273">
        <f ca="1">VLOOKUP(A237,ÉV!$A$18:$C$65,3,0)*IF(OR(AND(C237=ÉV!$I$2,D237&gt;ÉV!$J$2),C237&gt;ÉV!$I$2),0,1)</f>
        <v>4438601.035860491</v>
      </c>
      <c r="M237" s="273">
        <f ca="1">(K237*(12-B237)/12+L237*B237/12)*IF(A237&gt;ÉV!$G$2,0,1)+IF(A237&gt;ÉV!$G$2,M236,0)*IF(OR(AND(C237=ÉV!$I$2,D237&gt;ÉV!$J$2),C237&gt;ÉV!$I$2),0,1)</f>
        <v>4321400.7174972016</v>
      </c>
      <c r="N237" s="274">
        <f ca="1">IF(AND(C237=1,D237&lt;12),0,1)*IF(D237=12,MAX(0,F237-E237-0.003)*0.9*((K237+I237)*(B237/12)+(J237+H237)*(1-B237/12))+MAX(0,F237-0.003)*0.9*N236+N236,IF(AND(C237=ÉV!$I$2,D237=ÉV!$J$2),(M237+N236)*MAX(0,F237-0.003)*0.9*(D237/12)+N236,N236))*IF(OR(C237&gt;ÉV!$I$2,AND(C237=ÉV!$I$2,D237&gt;ÉV!$J$2)),0,1)</f>
        <v>0</v>
      </c>
      <c r="O237" s="313">
        <f ca="1">IF(MAX(AF$2:AF236)=2,      0,IF(OR(AC237=7, AF237=2),    SUM(AE$2:AE237),    O236)   )</f>
        <v>941384.02209044143</v>
      </c>
      <c r="P237" s="271">
        <f ca="1">IF(D237=12,V237+P236+P236*(F237-0.003)*0.9,IF(AND(C237=ÉV!$I$2,D237=ÉV!$J$2),V237+P236+P236*(F237-0.003)*0.9*D237/12,P236))*IF(OR(C237&gt;ÉV!$I$2,AND(C237=ÉV!$I$2,D237&gt;ÉV!$J$2)),0,1)</f>
        <v>0</v>
      </c>
      <c r="Q237" s="275">
        <f ca="1">(N237+P237)*IF(OR(AND(C237=ÉV!$I$2,D237&gt;ÉV!$J$2),C237&gt;ÉV!$I$2),0,1)</f>
        <v>0</v>
      </c>
      <c r="R237" s="271">
        <f ca="1">(MAX(0,F237-E237-0.003)*0.9*((K237+I237)*(1/12)))*IF(OR(C237&gt;ÉV!$I$2,AND(C237=ÉV!$I$2,D237&gt;ÉV!$J$2)),0,1)</f>
        <v>0</v>
      </c>
      <c r="S237" s="271">
        <f ca="1">(MAX(0,F237-0.003)*0.9*((O237)*(1/12)))*IF(OR(C237&gt;ÉV!$I$2,AND(C237=ÉV!$I$2,D237&gt;ÉV!$J$2)),0,1)</f>
        <v>0</v>
      </c>
      <c r="T237" s="271">
        <f ca="1">(MAX(0,F237-0.003)*0.9*((Q236)*(1/12)))*IF(OR(C237&gt;ÉV!$I$2,AND(C237=ÉV!$I$2,D237&gt;ÉV!$J$2)),0,1)</f>
        <v>0</v>
      </c>
      <c r="U237" s="271">
        <f ca="1">IF($D237=1,R237,R237+U236)*IF(OR(C237&gt;ÉV!$I$2,AND(C237=ÉV!$I$2,D237&gt;ÉV!$J$2)),0,1)</f>
        <v>0</v>
      </c>
      <c r="V237" s="271">
        <f ca="1">IF($D237=1,S237,S237+V236)*IF(OR(C237&gt;ÉV!$I$2,AND(C237=ÉV!$I$2,D237&gt;ÉV!$J$2)),0,1)</f>
        <v>0</v>
      </c>
      <c r="W237" s="271">
        <f ca="1">IF($D237=1,T237,T237+W236)*IF(OR(C237&gt;ÉV!$I$2,AND(C237=ÉV!$I$2,D237&gt;ÉV!$J$2)),0,1)</f>
        <v>0</v>
      </c>
      <c r="X237" s="271">
        <f ca="1">IF(OR(D237=12,AND(C237=ÉV!$I$2,D237=ÉV!$J$2)),SUM(U237:W237)+X236,X236)*IF(OR(C237&gt;ÉV!$I$2,AND(C237=ÉV!$I$2,D237&gt;ÉV!$J$2)),0,1)</f>
        <v>0</v>
      </c>
      <c r="Y237" s="271">
        <f t="shared" ca="1" si="35"/>
        <v>0</v>
      </c>
      <c r="Z237" s="265">
        <f t="shared" si="36"/>
        <v>7</v>
      </c>
      <c r="AA237" s="272">
        <f t="shared" ca="1" si="37"/>
        <v>25415.284914057891</v>
      </c>
      <c r="AB237" s="265">
        <f t="shared" ca="1" si="43"/>
        <v>2036</v>
      </c>
      <c r="AC237" s="265">
        <f t="shared" ca="1" si="44"/>
        <v>10</v>
      </c>
      <c r="AD237" s="276">
        <f ca="1">IF(     OR(               AND(MAX(AF$6:AF237)&lt;2,  AC237=12),                 AF237=2),                   SUMIF(AB:AB,AB237,AA:AA),                       0)</f>
        <v>0</v>
      </c>
      <c r="AE237" s="277">
        <f t="shared" ca="1" si="45"/>
        <v>0</v>
      </c>
      <c r="AF237" s="277">
        <f t="shared" ca="1" si="38"/>
        <v>0</v>
      </c>
      <c r="AG237" s="402">
        <f ca="1">IF(  AND(AC237=AdóHó,   MAX(AF$1:AF236)&lt;2),   SUMIF(AB:AB,AB237-1,AE:AE),0  )
+ IF(AND(AC237&lt;AdóHó,                            AF237=2),   SUMIF(AB:AB,AB237-1,AE:AE),0  )
+ IF(                                                                  AF237=2,    SUMIF(AB:AB,AB237,AE:AE   ),0  )</f>
        <v>0</v>
      </c>
      <c r="AH237" s="272">
        <f ca="1">SUM(AG$2:AG237)</f>
        <v>941384.02209044143</v>
      </c>
    </row>
    <row r="238" spans="1:34">
      <c r="A238" s="265">
        <f t="shared" si="39"/>
        <v>20</v>
      </c>
      <c r="B238" s="265">
        <f t="shared" si="40"/>
        <v>8</v>
      </c>
      <c r="C238" s="265">
        <f t="shared" ca="1" si="41"/>
        <v>20</v>
      </c>
      <c r="D238" s="265">
        <f t="shared" ca="1" si="42"/>
        <v>11</v>
      </c>
      <c r="E238" s="266">
        <v>5.0000000000000001E-3</v>
      </c>
      <c r="F238" s="267">
        <f>ÉV!$B$12</f>
        <v>0</v>
      </c>
      <c r="G238" s="271">
        <f ca="1">VLOOKUP(A238,ÉV!$A$18:$B$65,2,0)</f>
        <v>304983.41896869469</v>
      </c>
      <c r="H238" s="271">
        <f ca="1">IF(OR(A238=1,AND(C238=ÉV!$I$2,D238&gt;ÉV!$J$2),C238&gt;ÉV!$I$2),0,INDEX(Pz!$B$2:$AM$48,A238-1,ÉV!$G$2-9)/100000*ÉV!$B$10)</f>
        <v>270093.05044992914</v>
      </c>
      <c r="I238" s="271">
        <f ca="1">INDEX(Pz!$B$2:$AM$48,HÓ!A238,ÉV!$G$2-9)/100000*ÉV!$B$10</f>
        <v>275478.19439636241</v>
      </c>
      <c r="J238" s="273">
        <f ca="1">IF(OR(A238=1,A238=2,AND(C238=ÉV!$I$2,D238&gt;ÉV!$J$2),C238&gt;ÉV!$I$2),0,VLOOKUP(A238-2,ÉV!$A$18:$C$65,3,0))</f>
        <v>3881267.5064132973</v>
      </c>
      <c r="K238" s="273">
        <f ca="1">IF(OR(A238=1,AND(C238=ÉV!$I$2,D238&gt;ÉV!$J$2),C238&gt;ÉV!$I$2),0,VLOOKUP(A238-1,ÉV!$A$18:$C$65,3,0))</f>
        <v>4157320.2717885966</v>
      </c>
      <c r="L238" s="273">
        <f ca="1">VLOOKUP(A238,ÉV!$A$18:$C$65,3,0)*IF(OR(AND(C238=ÉV!$I$2,D238&gt;ÉV!$J$2),C238&gt;ÉV!$I$2),0,1)</f>
        <v>4438601.035860491</v>
      </c>
      <c r="M238" s="273">
        <f ca="1">(K238*(12-B238)/12+L238*B238/12)*IF(A238&gt;ÉV!$G$2,0,1)+IF(A238&gt;ÉV!$G$2,M237,0)*IF(OR(AND(C238=ÉV!$I$2,D238&gt;ÉV!$J$2),C238&gt;ÉV!$I$2),0,1)</f>
        <v>4344840.7811698597</v>
      </c>
      <c r="N238" s="274">
        <f ca="1">IF(AND(C238=1,D238&lt;12),0,1)*IF(D238=12,MAX(0,F238-E238-0.003)*0.9*((K238+I238)*(B238/12)+(J238+H238)*(1-B238/12))+MAX(0,F238-0.003)*0.9*N237+N237,IF(AND(C238=ÉV!$I$2,D238=ÉV!$J$2),(M238+N237)*MAX(0,F238-0.003)*0.9*(D238/12)+N237,N237))*IF(OR(C238&gt;ÉV!$I$2,AND(C238=ÉV!$I$2,D238&gt;ÉV!$J$2)),0,1)</f>
        <v>0</v>
      </c>
      <c r="O238" s="313">
        <f ca="1">IF(MAX(AF$2:AF237)=2,      0,IF(OR(AC238=7, AF238=2),    SUM(AE$2:AE238),    O237)   )</f>
        <v>941384.02209044143</v>
      </c>
      <c r="P238" s="271">
        <f ca="1">IF(D238=12,V238+P237+P237*(F238-0.003)*0.9,IF(AND(C238=ÉV!$I$2,D238=ÉV!$J$2),V238+P237+P237*(F238-0.003)*0.9*D238/12,P237))*IF(OR(C238&gt;ÉV!$I$2,AND(C238=ÉV!$I$2,D238&gt;ÉV!$J$2)),0,1)</f>
        <v>0</v>
      </c>
      <c r="Q238" s="275">
        <f ca="1">(N238+P238)*IF(OR(AND(C238=ÉV!$I$2,D238&gt;ÉV!$J$2),C238&gt;ÉV!$I$2),0,1)</f>
        <v>0</v>
      </c>
      <c r="R238" s="271">
        <f ca="1">(MAX(0,F238-E238-0.003)*0.9*((K238+I238)*(1/12)))*IF(OR(C238&gt;ÉV!$I$2,AND(C238=ÉV!$I$2,D238&gt;ÉV!$J$2)),0,1)</f>
        <v>0</v>
      </c>
      <c r="S238" s="271">
        <f ca="1">(MAX(0,F238-0.003)*0.9*((O238)*(1/12)))*IF(OR(C238&gt;ÉV!$I$2,AND(C238=ÉV!$I$2,D238&gt;ÉV!$J$2)),0,1)</f>
        <v>0</v>
      </c>
      <c r="T238" s="271">
        <f ca="1">(MAX(0,F238-0.003)*0.9*((Q237)*(1/12)))*IF(OR(C238&gt;ÉV!$I$2,AND(C238=ÉV!$I$2,D238&gt;ÉV!$J$2)),0,1)</f>
        <v>0</v>
      </c>
      <c r="U238" s="271">
        <f ca="1">IF($D238=1,R238,R238+U237)*IF(OR(C238&gt;ÉV!$I$2,AND(C238=ÉV!$I$2,D238&gt;ÉV!$J$2)),0,1)</f>
        <v>0</v>
      </c>
      <c r="V238" s="271">
        <f ca="1">IF($D238=1,S238,S238+V237)*IF(OR(C238&gt;ÉV!$I$2,AND(C238=ÉV!$I$2,D238&gt;ÉV!$J$2)),0,1)</f>
        <v>0</v>
      </c>
      <c r="W238" s="271">
        <f ca="1">IF($D238=1,T238,T238+W237)*IF(OR(C238&gt;ÉV!$I$2,AND(C238=ÉV!$I$2,D238&gt;ÉV!$J$2)),0,1)</f>
        <v>0</v>
      </c>
      <c r="X238" s="271">
        <f ca="1">IF(OR(D238=12,AND(C238=ÉV!$I$2,D238=ÉV!$J$2)),SUM(U238:W238)+X237,X237)*IF(OR(C238&gt;ÉV!$I$2,AND(C238=ÉV!$I$2,D238&gt;ÉV!$J$2)),0,1)</f>
        <v>0</v>
      </c>
      <c r="Y238" s="271">
        <f t="shared" ca="1" si="35"/>
        <v>0</v>
      </c>
      <c r="Z238" s="265">
        <f t="shared" si="36"/>
        <v>8</v>
      </c>
      <c r="AA238" s="272">
        <f t="shared" ca="1" si="37"/>
        <v>25415.284914057891</v>
      </c>
      <c r="AB238" s="265">
        <f t="shared" ca="1" si="43"/>
        <v>2036</v>
      </c>
      <c r="AC238" s="265">
        <f t="shared" ca="1" si="44"/>
        <v>11</v>
      </c>
      <c r="AD238" s="276">
        <f ca="1">IF(     OR(               AND(MAX(AF$6:AF238)&lt;2,  AC238=12),                 AF238=2),                   SUMIF(AB:AB,AB238,AA:AA),                       0)</f>
        <v>0</v>
      </c>
      <c r="AE238" s="277">
        <f t="shared" ca="1" si="45"/>
        <v>0</v>
      </c>
      <c r="AF238" s="277">
        <f t="shared" ca="1" si="38"/>
        <v>0</v>
      </c>
      <c r="AG238" s="402">
        <f ca="1">IF(  AND(AC238=AdóHó,   MAX(AF$1:AF237)&lt;2),   SUMIF(AB:AB,AB238-1,AE:AE),0  )
+ IF(AND(AC238&lt;AdóHó,                            AF238=2),   SUMIF(AB:AB,AB238-1,AE:AE),0  )
+ IF(                                                                  AF238=2,    SUMIF(AB:AB,AB238,AE:AE   ),0  )</f>
        <v>0</v>
      </c>
      <c r="AH238" s="272">
        <f ca="1">SUM(AG$2:AG238)</f>
        <v>941384.02209044143</v>
      </c>
    </row>
    <row r="239" spans="1:34">
      <c r="A239" s="265">
        <f t="shared" si="39"/>
        <v>20</v>
      </c>
      <c r="B239" s="265">
        <f t="shared" si="40"/>
        <v>9</v>
      </c>
      <c r="C239" s="265">
        <f t="shared" ca="1" si="41"/>
        <v>20</v>
      </c>
      <c r="D239" s="265">
        <f t="shared" ca="1" si="42"/>
        <v>12</v>
      </c>
      <c r="E239" s="266">
        <v>5.0000000000000001E-3</v>
      </c>
      <c r="F239" s="267">
        <f>ÉV!$B$12</f>
        <v>0</v>
      </c>
      <c r="G239" s="271">
        <f ca="1">VLOOKUP(A239,ÉV!$A$18:$B$65,2,0)</f>
        <v>304983.41896869469</v>
      </c>
      <c r="H239" s="271">
        <f ca="1">IF(OR(A239=1,AND(C239=ÉV!$I$2,D239&gt;ÉV!$J$2),C239&gt;ÉV!$I$2),0,INDEX(Pz!$B$2:$AM$48,A239-1,ÉV!$G$2-9)/100000*ÉV!$B$10)</f>
        <v>270093.05044992914</v>
      </c>
      <c r="I239" s="271">
        <f ca="1">INDEX(Pz!$B$2:$AM$48,HÓ!A239,ÉV!$G$2-9)/100000*ÉV!$B$10</f>
        <v>275478.19439636241</v>
      </c>
      <c r="J239" s="273">
        <f ca="1">IF(OR(A239=1,A239=2,AND(C239=ÉV!$I$2,D239&gt;ÉV!$J$2),C239&gt;ÉV!$I$2),0,VLOOKUP(A239-2,ÉV!$A$18:$C$65,3,0))</f>
        <v>3881267.5064132973</v>
      </c>
      <c r="K239" s="273">
        <f ca="1">IF(OR(A239=1,AND(C239=ÉV!$I$2,D239&gt;ÉV!$J$2),C239&gt;ÉV!$I$2),0,VLOOKUP(A239-1,ÉV!$A$18:$C$65,3,0))</f>
        <v>4157320.2717885966</v>
      </c>
      <c r="L239" s="273">
        <f ca="1">VLOOKUP(A239,ÉV!$A$18:$C$65,3,0)*IF(OR(AND(C239=ÉV!$I$2,D239&gt;ÉV!$J$2),C239&gt;ÉV!$I$2),0,1)</f>
        <v>4438601.035860491</v>
      </c>
      <c r="M239" s="273">
        <f ca="1">(K239*(12-B239)/12+L239*B239/12)*IF(A239&gt;ÉV!$G$2,0,1)+IF(A239&gt;ÉV!$G$2,M238,0)*IF(OR(AND(C239=ÉV!$I$2,D239&gt;ÉV!$J$2),C239&gt;ÉV!$I$2),0,1)</f>
        <v>4368280.8448425177</v>
      </c>
      <c r="N239" s="274">
        <f ca="1">IF(AND(C239=1,D239&lt;12),0,1)*IF(D239=12,MAX(0,F239-E239-0.003)*0.9*((K239+I239)*(B239/12)+(J239+H239)*(1-B239/12))+MAX(0,F239-0.003)*0.9*N238+N238,IF(AND(C239=ÉV!$I$2,D239=ÉV!$J$2),(M239+N238)*MAX(0,F239-0.003)*0.9*(D239/12)+N238,N238))*IF(OR(C239&gt;ÉV!$I$2,AND(C239=ÉV!$I$2,D239&gt;ÉV!$J$2)),0,1)</f>
        <v>0</v>
      </c>
      <c r="O239" s="313">
        <f ca="1">IF(MAX(AF$2:AF238)=2,      0,IF(OR(AC239=7, AF239=2),    SUM(AE$2:AE239),    O238)   )</f>
        <v>941384.02209044143</v>
      </c>
      <c r="P239" s="271">
        <f ca="1">IF(D239=12,V239+P238+P238*(F239-0.003)*0.9,IF(AND(C239=ÉV!$I$2,D239=ÉV!$J$2),V239+P238+P238*(F239-0.003)*0.9*D239/12,P238))*IF(OR(C239&gt;ÉV!$I$2,AND(C239=ÉV!$I$2,D239&gt;ÉV!$J$2)),0,1)</f>
        <v>0</v>
      </c>
      <c r="Q239" s="275">
        <f ca="1">(N239+P239)*IF(OR(AND(C239=ÉV!$I$2,D239&gt;ÉV!$J$2),C239&gt;ÉV!$I$2),0,1)</f>
        <v>0</v>
      </c>
      <c r="R239" s="271">
        <f ca="1">(MAX(0,F239-E239-0.003)*0.9*((K239+I239)*(1/12)))*IF(OR(C239&gt;ÉV!$I$2,AND(C239=ÉV!$I$2,D239&gt;ÉV!$J$2)),0,1)</f>
        <v>0</v>
      </c>
      <c r="S239" s="271">
        <f ca="1">(MAX(0,F239-0.003)*0.9*((O239)*(1/12)))*IF(OR(C239&gt;ÉV!$I$2,AND(C239=ÉV!$I$2,D239&gt;ÉV!$J$2)),0,1)</f>
        <v>0</v>
      </c>
      <c r="T239" s="271">
        <f ca="1">(MAX(0,F239-0.003)*0.9*((Q238)*(1/12)))*IF(OR(C239&gt;ÉV!$I$2,AND(C239=ÉV!$I$2,D239&gt;ÉV!$J$2)),0,1)</f>
        <v>0</v>
      </c>
      <c r="U239" s="271">
        <f ca="1">IF($D239=1,R239,R239+U238)*IF(OR(C239&gt;ÉV!$I$2,AND(C239=ÉV!$I$2,D239&gt;ÉV!$J$2)),0,1)</f>
        <v>0</v>
      </c>
      <c r="V239" s="271">
        <f ca="1">IF($D239=1,S239,S239+V238)*IF(OR(C239&gt;ÉV!$I$2,AND(C239=ÉV!$I$2,D239&gt;ÉV!$J$2)),0,1)</f>
        <v>0</v>
      </c>
      <c r="W239" s="271">
        <f ca="1">IF($D239=1,T239,T239+W238)*IF(OR(C239&gt;ÉV!$I$2,AND(C239=ÉV!$I$2,D239&gt;ÉV!$J$2)),0,1)</f>
        <v>0</v>
      </c>
      <c r="X239" s="271">
        <f ca="1">IF(OR(D239=12,AND(C239=ÉV!$I$2,D239=ÉV!$J$2)),SUM(U239:W239)+X238,X238)*IF(OR(C239&gt;ÉV!$I$2,AND(C239=ÉV!$I$2,D239&gt;ÉV!$J$2)),0,1)</f>
        <v>0</v>
      </c>
      <c r="Y239" s="271">
        <f t="shared" ca="1" si="35"/>
        <v>0</v>
      </c>
      <c r="Z239" s="265">
        <f t="shared" si="36"/>
        <v>9</v>
      </c>
      <c r="AA239" s="272">
        <f t="shared" ca="1" si="37"/>
        <v>25415.284914057891</v>
      </c>
      <c r="AB239" s="265">
        <f t="shared" ca="1" si="43"/>
        <v>2036</v>
      </c>
      <c r="AC239" s="265">
        <f t="shared" ca="1" si="44"/>
        <v>12</v>
      </c>
      <c r="AD239" s="276">
        <f ca="1">IF(     OR(               AND(MAX(AF$6:AF239)&lt;2,  AC239=12),                 AF239=2),                   SUMIF(AB:AB,AB239,AA:AA),                       0)</f>
        <v>303488.40220904414</v>
      </c>
      <c r="AE239" s="277">
        <f t="shared" ca="1" si="45"/>
        <v>60697.680441808829</v>
      </c>
      <c r="AF239" s="277">
        <f t="shared" ca="1" si="38"/>
        <v>0</v>
      </c>
      <c r="AG239" s="402">
        <f ca="1">IF(  AND(AC239=AdóHó,   MAX(AF$1:AF238)&lt;2),   SUMIF(AB:AB,AB239-1,AE:AE),0  )
+ IF(AND(AC239&lt;AdóHó,                            AF239=2),   SUMIF(AB:AB,AB239-1,AE:AE),0  )
+ IF(                                                                  AF239=2,    SUMIF(AB:AB,AB239,AE:AE   ),0  )</f>
        <v>0</v>
      </c>
      <c r="AH239" s="272">
        <f ca="1">SUM(AG$2:AG239)</f>
        <v>941384.02209044143</v>
      </c>
    </row>
    <row r="240" spans="1:34">
      <c r="A240" s="265">
        <f t="shared" si="39"/>
        <v>20</v>
      </c>
      <c r="B240" s="265">
        <f t="shared" si="40"/>
        <v>10</v>
      </c>
      <c r="C240" s="265">
        <f t="shared" ca="1" si="41"/>
        <v>21</v>
      </c>
      <c r="D240" s="265">
        <f t="shared" ca="1" si="42"/>
        <v>1</v>
      </c>
      <c r="E240" s="266">
        <v>5.0000000000000001E-3</v>
      </c>
      <c r="F240" s="267">
        <f>ÉV!$B$12</f>
        <v>0</v>
      </c>
      <c r="G240" s="271">
        <f ca="1">VLOOKUP(A240,ÉV!$A$18:$B$65,2,0)</f>
        <v>304983.41896869469</v>
      </c>
      <c r="H240" s="271">
        <f ca="1">IF(OR(A240=1,AND(C240=ÉV!$I$2,D240&gt;ÉV!$J$2),C240&gt;ÉV!$I$2),0,INDEX(Pz!$B$2:$AM$48,A240-1,ÉV!$G$2-9)/100000*ÉV!$B$10)</f>
        <v>270093.05044992914</v>
      </c>
      <c r="I240" s="271">
        <f ca="1">INDEX(Pz!$B$2:$AM$48,HÓ!A240,ÉV!$G$2-9)/100000*ÉV!$B$10</f>
        <v>275478.19439636241</v>
      </c>
      <c r="J240" s="273">
        <f ca="1">IF(OR(A240=1,A240=2,AND(C240=ÉV!$I$2,D240&gt;ÉV!$J$2),C240&gt;ÉV!$I$2),0,VLOOKUP(A240-2,ÉV!$A$18:$C$65,3,0))</f>
        <v>3881267.5064132973</v>
      </c>
      <c r="K240" s="273">
        <f ca="1">IF(OR(A240=1,AND(C240=ÉV!$I$2,D240&gt;ÉV!$J$2),C240&gt;ÉV!$I$2),0,VLOOKUP(A240-1,ÉV!$A$18:$C$65,3,0))</f>
        <v>4157320.2717885966</v>
      </c>
      <c r="L240" s="273">
        <f ca="1">VLOOKUP(A240,ÉV!$A$18:$C$65,3,0)*IF(OR(AND(C240=ÉV!$I$2,D240&gt;ÉV!$J$2),C240&gt;ÉV!$I$2),0,1)</f>
        <v>4438601.035860491</v>
      </c>
      <c r="M240" s="273">
        <f ca="1">(K240*(12-B240)/12+L240*B240/12)*IF(A240&gt;ÉV!$G$2,0,1)+IF(A240&gt;ÉV!$G$2,M239,0)*IF(OR(AND(C240=ÉV!$I$2,D240&gt;ÉV!$J$2),C240&gt;ÉV!$I$2),0,1)</f>
        <v>4391720.9085151749</v>
      </c>
      <c r="N240" s="274">
        <f ca="1">IF(AND(C240=1,D240&lt;12),0,1)*IF(D240=12,MAX(0,F240-E240-0.003)*0.9*((K240+I240)*(B240/12)+(J240+H240)*(1-B240/12))+MAX(0,F240-0.003)*0.9*N239+N239,IF(AND(C240=ÉV!$I$2,D240=ÉV!$J$2),(M240+N239)*MAX(0,F240-0.003)*0.9*(D240/12)+N239,N239))*IF(OR(C240&gt;ÉV!$I$2,AND(C240=ÉV!$I$2,D240&gt;ÉV!$J$2)),0,1)</f>
        <v>0</v>
      </c>
      <c r="O240" s="313">
        <f ca="1">IF(MAX(AF$2:AF239)=2,      0,IF(OR(AC240=7, AF240=2),    SUM(AE$2:AE240),    O239)   )</f>
        <v>941384.02209044143</v>
      </c>
      <c r="P240" s="271">
        <f ca="1">IF(D240=12,V240+P239+P239*(F240-0.003)*0.9,IF(AND(C240=ÉV!$I$2,D240=ÉV!$J$2),V240+P239+P239*(F240-0.003)*0.9*D240/12,P239))*IF(OR(C240&gt;ÉV!$I$2,AND(C240=ÉV!$I$2,D240&gt;ÉV!$J$2)),0,1)</f>
        <v>0</v>
      </c>
      <c r="Q240" s="275">
        <f ca="1">(N240+P240)*IF(OR(AND(C240=ÉV!$I$2,D240&gt;ÉV!$J$2),C240&gt;ÉV!$I$2),0,1)</f>
        <v>0</v>
      </c>
      <c r="R240" s="271">
        <f ca="1">(MAX(0,F240-E240-0.003)*0.9*((K240+I240)*(1/12)))*IF(OR(C240&gt;ÉV!$I$2,AND(C240=ÉV!$I$2,D240&gt;ÉV!$J$2)),0,1)</f>
        <v>0</v>
      </c>
      <c r="S240" s="271">
        <f ca="1">(MAX(0,F240-0.003)*0.9*((O240)*(1/12)))*IF(OR(C240&gt;ÉV!$I$2,AND(C240=ÉV!$I$2,D240&gt;ÉV!$J$2)),0,1)</f>
        <v>0</v>
      </c>
      <c r="T240" s="271">
        <f ca="1">(MAX(0,F240-0.003)*0.9*((Q239)*(1/12)))*IF(OR(C240&gt;ÉV!$I$2,AND(C240=ÉV!$I$2,D240&gt;ÉV!$J$2)),0,1)</f>
        <v>0</v>
      </c>
      <c r="U240" s="271">
        <f ca="1">IF($D240=1,R240,R240+U239)*IF(OR(C240&gt;ÉV!$I$2,AND(C240=ÉV!$I$2,D240&gt;ÉV!$J$2)),0,1)</f>
        <v>0</v>
      </c>
      <c r="V240" s="271">
        <f ca="1">IF($D240=1,S240,S240+V239)*IF(OR(C240&gt;ÉV!$I$2,AND(C240=ÉV!$I$2,D240&gt;ÉV!$J$2)),0,1)</f>
        <v>0</v>
      </c>
      <c r="W240" s="271">
        <f ca="1">IF($D240=1,T240,T240+W239)*IF(OR(C240&gt;ÉV!$I$2,AND(C240=ÉV!$I$2,D240&gt;ÉV!$J$2)),0,1)</f>
        <v>0</v>
      </c>
      <c r="X240" s="271">
        <f ca="1">IF(OR(D240=12,AND(C240=ÉV!$I$2,D240=ÉV!$J$2)),SUM(U240:W240)+X239,X239)*IF(OR(C240&gt;ÉV!$I$2,AND(C240=ÉV!$I$2,D240&gt;ÉV!$J$2)),0,1)</f>
        <v>0</v>
      </c>
      <c r="Y240" s="271">
        <f t="shared" ca="1" si="35"/>
        <v>0</v>
      </c>
      <c r="Z240" s="265">
        <f t="shared" si="36"/>
        <v>10</v>
      </c>
      <c r="AA240" s="272">
        <f t="shared" ca="1" si="37"/>
        <v>25415.284914057891</v>
      </c>
      <c r="AB240" s="265">
        <f t="shared" ca="1" si="43"/>
        <v>2037</v>
      </c>
      <c r="AC240" s="265">
        <f t="shared" ca="1" si="44"/>
        <v>1</v>
      </c>
      <c r="AD240" s="276">
        <f ca="1">IF(     OR(               AND(MAX(AF$6:AF240)&lt;2,  AC240=12),                 AF240=2),                   SUMIF(AB:AB,AB240,AA:AA),                       0)</f>
        <v>0</v>
      </c>
      <c r="AE240" s="277">
        <f t="shared" ca="1" si="45"/>
        <v>0</v>
      </c>
      <c r="AF240" s="277">
        <f t="shared" ca="1" si="38"/>
        <v>0</v>
      </c>
      <c r="AG240" s="402">
        <f ca="1">IF(  AND(AC240=AdóHó,   MAX(AF$1:AF239)&lt;2),   SUMIF(AB:AB,AB240-1,AE:AE),0  )
+ IF(AND(AC240&lt;AdóHó,                            AF240=2),   SUMIF(AB:AB,AB240-1,AE:AE),0  )
+ IF(                                                                  AF240=2,    SUMIF(AB:AB,AB240,AE:AE   ),0  )</f>
        <v>0</v>
      </c>
      <c r="AH240" s="272">
        <f ca="1">SUM(AG$2:AG240)</f>
        <v>941384.02209044143</v>
      </c>
    </row>
    <row r="241" spans="1:34">
      <c r="A241" s="265">
        <f t="shared" si="39"/>
        <v>20</v>
      </c>
      <c r="B241" s="265">
        <f t="shared" si="40"/>
        <v>11</v>
      </c>
      <c r="C241" s="265">
        <f t="shared" ca="1" si="41"/>
        <v>21</v>
      </c>
      <c r="D241" s="265">
        <f t="shared" ca="1" si="42"/>
        <v>2</v>
      </c>
      <c r="E241" s="266">
        <v>5.0000000000000001E-3</v>
      </c>
      <c r="F241" s="267">
        <f>ÉV!$B$12</f>
        <v>0</v>
      </c>
      <c r="G241" s="271">
        <f ca="1">VLOOKUP(A241,ÉV!$A$18:$B$65,2,0)</f>
        <v>304983.41896869469</v>
      </c>
      <c r="H241" s="271">
        <f ca="1">IF(OR(A241=1,AND(C241=ÉV!$I$2,D241&gt;ÉV!$J$2),C241&gt;ÉV!$I$2),0,INDEX(Pz!$B$2:$AM$48,A241-1,ÉV!$G$2-9)/100000*ÉV!$B$10)</f>
        <v>270093.05044992914</v>
      </c>
      <c r="I241" s="271">
        <f ca="1">INDEX(Pz!$B$2:$AM$48,HÓ!A241,ÉV!$G$2-9)/100000*ÉV!$B$10</f>
        <v>275478.19439636241</v>
      </c>
      <c r="J241" s="273">
        <f ca="1">IF(OR(A241=1,A241=2,AND(C241=ÉV!$I$2,D241&gt;ÉV!$J$2),C241&gt;ÉV!$I$2),0,VLOOKUP(A241-2,ÉV!$A$18:$C$65,3,0))</f>
        <v>3881267.5064132973</v>
      </c>
      <c r="K241" s="273">
        <f ca="1">IF(OR(A241=1,AND(C241=ÉV!$I$2,D241&gt;ÉV!$J$2),C241&gt;ÉV!$I$2),0,VLOOKUP(A241-1,ÉV!$A$18:$C$65,3,0))</f>
        <v>4157320.2717885966</v>
      </c>
      <c r="L241" s="273">
        <f ca="1">VLOOKUP(A241,ÉV!$A$18:$C$65,3,0)*IF(OR(AND(C241=ÉV!$I$2,D241&gt;ÉV!$J$2),C241&gt;ÉV!$I$2),0,1)</f>
        <v>4438601.035860491</v>
      </c>
      <c r="M241" s="273">
        <f ca="1">(K241*(12-B241)/12+L241*B241/12)*IF(A241&gt;ÉV!$G$2,0,1)+IF(A241&gt;ÉV!$G$2,M240,0)*IF(OR(AND(C241=ÉV!$I$2,D241&gt;ÉV!$J$2),C241&gt;ÉV!$I$2),0,1)</f>
        <v>4415160.9721878329</v>
      </c>
      <c r="N241" s="274">
        <f ca="1">IF(AND(C241=1,D241&lt;12),0,1)*IF(D241=12,MAX(0,F241-E241-0.003)*0.9*((K241+I241)*(B241/12)+(J241+H241)*(1-B241/12))+MAX(0,F241-0.003)*0.9*N240+N240,IF(AND(C241=ÉV!$I$2,D241=ÉV!$J$2),(M241+N240)*MAX(0,F241-0.003)*0.9*(D241/12)+N240,N240))*IF(OR(C241&gt;ÉV!$I$2,AND(C241=ÉV!$I$2,D241&gt;ÉV!$J$2)),0,1)</f>
        <v>0</v>
      </c>
      <c r="O241" s="313">
        <f ca="1">IF(MAX(AF$2:AF240)=2,      0,IF(OR(AC241=7, AF241=2),    SUM(AE$2:AE241),    O240)   )</f>
        <v>941384.02209044143</v>
      </c>
      <c r="P241" s="271">
        <f ca="1">IF(D241=12,V241+P240+P240*(F241-0.003)*0.9,IF(AND(C241=ÉV!$I$2,D241=ÉV!$J$2),V241+P240+P240*(F241-0.003)*0.9*D241/12,P240))*IF(OR(C241&gt;ÉV!$I$2,AND(C241=ÉV!$I$2,D241&gt;ÉV!$J$2)),0,1)</f>
        <v>0</v>
      </c>
      <c r="Q241" s="275">
        <f ca="1">(N241+P241)*IF(OR(AND(C241=ÉV!$I$2,D241&gt;ÉV!$J$2),C241&gt;ÉV!$I$2),0,1)</f>
        <v>0</v>
      </c>
      <c r="R241" s="271">
        <f ca="1">(MAX(0,F241-E241-0.003)*0.9*((K241+I241)*(1/12)))*IF(OR(C241&gt;ÉV!$I$2,AND(C241=ÉV!$I$2,D241&gt;ÉV!$J$2)),0,1)</f>
        <v>0</v>
      </c>
      <c r="S241" s="271">
        <f ca="1">(MAX(0,F241-0.003)*0.9*((O241)*(1/12)))*IF(OR(C241&gt;ÉV!$I$2,AND(C241=ÉV!$I$2,D241&gt;ÉV!$J$2)),0,1)</f>
        <v>0</v>
      </c>
      <c r="T241" s="271">
        <f ca="1">(MAX(0,F241-0.003)*0.9*((Q240)*(1/12)))*IF(OR(C241&gt;ÉV!$I$2,AND(C241=ÉV!$I$2,D241&gt;ÉV!$J$2)),0,1)</f>
        <v>0</v>
      </c>
      <c r="U241" s="271">
        <f ca="1">IF($D241=1,R241,R241+U240)*IF(OR(C241&gt;ÉV!$I$2,AND(C241=ÉV!$I$2,D241&gt;ÉV!$J$2)),0,1)</f>
        <v>0</v>
      </c>
      <c r="V241" s="271">
        <f ca="1">IF($D241=1,S241,S241+V240)*IF(OR(C241&gt;ÉV!$I$2,AND(C241=ÉV!$I$2,D241&gt;ÉV!$J$2)),0,1)</f>
        <v>0</v>
      </c>
      <c r="W241" s="271">
        <f ca="1">IF($D241=1,T241,T241+W240)*IF(OR(C241&gt;ÉV!$I$2,AND(C241=ÉV!$I$2,D241&gt;ÉV!$J$2)),0,1)</f>
        <v>0</v>
      </c>
      <c r="X241" s="271">
        <f ca="1">IF(OR(D241=12,AND(C241=ÉV!$I$2,D241=ÉV!$J$2)),SUM(U241:W241)+X240,X240)*IF(OR(C241&gt;ÉV!$I$2,AND(C241=ÉV!$I$2,D241&gt;ÉV!$J$2)),0,1)</f>
        <v>0</v>
      </c>
      <c r="Y241" s="271">
        <f t="shared" ca="1" si="35"/>
        <v>0</v>
      </c>
      <c r="Z241" s="265">
        <f t="shared" si="36"/>
        <v>11</v>
      </c>
      <c r="AA241" s="272">
        <f t="shared" ca="1" si="37"/>
        <v>25415.284914057891</v>
      </c>
      <c r="AB241" s="265">
        <f t="shared" ca="1" si="43"/>
        <v>2037</v>
      </c>
      <c r="AC241" s="265">
        <f t="shared" ca="1" si="44"/>
        <v>2</v>
      </c>
      <c r="AD241" s="276">
        <f ca="1">IF(     OR(               AND(MAX(AF$6:AF241)&lt;2,  AC241=12),                 AF241=2),                   SUMIF(AB:AB,AB241,AA:AA),                       0)</f>
        <v>0</v>
      </c>
      <c r="AE241" s="277">
        <f t="shared" ca="1" si="45"/>
        <v>0</v>
      </c>
      <c r="AF241" s="277">
        <f t="shared" ca="1" si="38"/>
        <v>0</v>
      </c>
      <c r="AG241" s="402">
        <f ca="1">IF(  AND(AC241=AdóHó,   MAX(AF$1:AF240)&lt;2),   SUMIF(AB:AB,AB241-1,AE:AE),0  )
+ IF(AND(AC241&lt;AdóHó,                            AF241=2),   SUMIF(AB:AB,AB241-1,AE:AE),0  )
+ IF(                                                                  AF241=2,    SUMIF(AB:AB,AB241,AE:AE   ),0  )</f>
        <v>0</v>
      </c>
      <c r="AH241" s="272">
        <f ca="1">SUM(AG$2:AG241)</f>
        <v>941384.02209044143</v>
      </c>
    </row>
    <row r="242" spans="1:34" s="278" customFormat="1">
      <c r="A242" s="278">
        <f t="shared" si="39"/>
        <v>20</v>
      </c>
      <c r="B242" s="278">
        <f t="shared" si="40"/>
        <v>12</v>
      </c>
      <c r="C242" s="278">
        <f t="shared" ca="1" si="41"/>
        <v>21</v>
      </c>
      <c r="D242" s="278">
        <f t="shared" ca="1" si="42"/>
        <v>3</v>
      </c>
      <c r="E242" s="279">
        <v>5.0000000000000001E-3</v>
      </c>
      <c r="F242" s="280">
        <f>ÉV!$B$12</f>
        <v>0</v>
      </c>
      <c r="G242" s="281">
        <f ca="1">VLOOKUP(A242,ÉV!$A$18:$B$65,2,0)</f>
        <v>304983.41896869469</v>
      </c>
      <c r="H242" s="281">
        <f ca="1">IF(OR(A242=1,AND(C242=ÉV!$I$2,D242&gt;ÉV!$J$2),C242&gt;ÉV!$I$2),0,INDEX(Pz!$B$2:$AM$48,A242-1,ÉV!$G$2-9)/100000*ÉV!$B$10)</f>
        <v>270093.05044992914</v>
      </c>
      <c r="I242" s="281">
        <f ca="1">INDEX(Pz!$B$2:$AM$48,HÓ!A242,ÉV!$G$2-9)/100000*ÉV!$B$10</f>
        <v>275478.19439636241</v>
      </c>
      <c r="J242" s="282">
        <f ca="1">IF(OR(A242=1,A242=2,AND(C242=ÉV!$I$2,D242&gt;ÉV!$J$2),C242&gt;ÉV!$I$2),0,VLOOKUP(A242-2,ÉV!$A$18:$C$65,3,0))</f>
        <v>3881267.5064132973</v>
      </c>
      <c r="K242" s="282">
        <f ca="1">IF(OR(A242=1,AND(C242=ÉV!$I$2,D242&gt;ÉV!$J$2),C242&gt;ÉV!$I$2),0,VLOOKUP(A242-1,ÉV!$A$18:$C$65,3,0))</f>
        <v>4157320.2717885966</v>
      </c>
      <c r="L242" s="282">
        <f ca="1">VLOOKUP(A242,ÉV!$A$18:$C$65,3,0)*IF(OR(AND(C242=ÉV!$I$2,D242&gt;ÉV!$J$2),C242&gt;ÉV!$I$2),0,1)</f>
        <v>4438601.035860491</v>
      </c>
      <c r="M242" s="282">
        <f ca="1">(K242*(12-B242)/12+L242*B242/12)*IF(A242&gt;ÉV!$G$2,0,1)+IF(A242&gt;ÉV!$G$2,M241,0)*IF(OR(AND(C242=ÉV!$I$2,D242&gt;ÉV!$J$2),C242&gt;ÉV!$I$2),0,1)</f>
        <v>4438601.035860491</v>
      </c>
      <c r="N242" s="281">
        <f ca="1">IF(AND(C242=1,D242&lt;12),0,1)*IF(D242=12,MAX(0,F242-E242-0.003)*0.9*((K242+I242)*(B242/12)+(J242+H242)*(1-B242/12))+MAX(0,F242-0.003)*0.9*N241+N241,IF(AND(C242=ÉV!$I$2,D242=ÉV!$J$2),(M242+N241)*MAX(0,F242-0.003)*0.9*(D242/12)+N241,N241))*IF(OR(C242&gt;ÉV!$I$2,AND(C242=ÉV!$I$2,D242&gt;ÉV!$J$2)),0,1)</f>
        <v>0</v>
      </c>
      <c r="O242" s="313">
        <f ca="1">IF(MAX(AF$2:AF241)=2,      0,IF(OR(AC242=7, AF242=2),    SUM(AE$2:AE242),    O241)   )</f>
        <v>941384.02209044143</v>
      </c>
      <c r="P242" s="281">
        <f ca="1">IF(D242=12,V242+P241+P241*(F242-0.003)*0.9,IF(AND(C242=ÉV!$I$2,D242=ÉV!$J$2),V242+P241+P241*(F242-0.003)*0.9*D242/12,P241))*IF(OR(C242&gt;ÉV!$I$2,AND(C242=ÉV!$I$2,D242&gt;ÉV!$J$2)),0,1)</f>
        <v>0</v>
      </c>
      <c r="Q242" s="283">
        <f ca="1">(N242+P242)*IF(OR(AND(C242=ÉV!$I$2,D242&gt;ÉV!$J$2),C242&gt;ÉV!$I$2),0,1)</f>
        <v>0</v>
      </c>
      <c r="R242" s="281">
        <f ca="1">(MAX(0,F242-E242-0.003)*0.9*((K242+I242)*(1/12)))*IF(OR(C242&gt;ÉV!$I$2,AND(C242=ÉV!$I$2,D242&gt;ÉV!$J$2)),0,1)</f>
        <v>0</v>
      </c>
      <c r="S242" s="281">
        <f ca="1">(MAX(0,F242-0.003)*0.9*((O242)*(1/12)))*IF(OR(C242&gt;ÉV!$I$2,AND(C242=ÉV!$I$2,D242&gt;ÉV!$J$2)),0,1)</f>
        <v>0</v>
      </c>
      <c r="T242" s="281">
        <f ca="1">(MAX(0,F242-0.003)*0.9*((Q241)*(1/12)))*IF(OR(C242&gt;ÉV!$I$2,AND(C242=ÉV!$I$2,D242&gt;ÉV!$J$2)),0,1)</f>
        <v>0</v>
      </c>
      <c r="U242" s="281">
        <f ca="1">IF($D242=1,R242,R242+U241)*IF(OR(C242&gt;ÉV!$I$2,AND(C242=ÉV!$I$2,D242&gt;ÉV!$J$2)),0,1)</f>
        <v>0</v>
      </c>
      <c r="V242" s="281">
        <f ca="1">IF($D242=1,S242,S242+V241)*IF(OR(C242&gt;ÉV!$I$2,AND(C242=ÉV!$I$2,D242&gt;ÉV!$J$2)),0,1)</f>
        <v>0</v>
      </c>
      <c r="W242" s="281">
        <f ca="1">IF($D242=1,T242,T242+W241)*IF(OR(C242&gt;ÉV!$I$2,AND(C242=ÉV!$I$2,D242&gt;ÉV!$J$2)),0,1)</f>
        <v>0</v>
      </c>
      <c r="X242" s="281">
        <f ca="1">IF(OR(D242=12,AND(C242=ÉV!$I$2,D242=ÉV!$J$2)),SUM(U242:W242)+X241,X241)*IF(OR(C242&gt;ÉV!$I$2,AND(C242=ÉV!$I$2,D242&gt;ÉV!$J$2)),0,1)</f>
        <v>0</v>
      </c>
      <c r="Y242" s="281">
        <f ca="1">X242-Q242</f>
        <v>0</v>
      </c>
      <c r="Z242" s="265">
        <f t="shared" si="36"/>
        <v>12</v>
      </c>
      <c r="AA242" s="272">
        <f t="shared" ca="1" si="37"/>
        <v>25415.284914057891</v>
      </c>
      <c r="AB242" s="265">
        <f t="shared" ca="1" si="43"/>
        <v>2037</v>
      </c>
      <c r="AC242" s="265">
        <f t="shared" ca="1" si="44"/>
        <v>3</v>
      </c>
      <c r="AD242" s="276">
        <f ca="1">IF(     OR(               AND(MAX(AF$6:AF242)&lt;2,  AC242=12),                 AF242=2),                   SUMIF(AB:AB,AB242,AA:AA),                       0)</f>
        <v>0</v>
      </c>
      <c r="AE242" s="277">
        <f t="shared" ca="1" si="45"/>
        <v>0</v>
      </c>
      <c r="AF242" s="277">
        <f t="shared" ca="1" si="38"/>
        <v>0</v>
      </c>
      <c r="AG242" s="402">
        <f ca="1">IF(  AND(AC242=AdóHó,   MAX(AF$1:AF241)&lt;2),   SUMIF(AB:AB,AB242-1,AE:AE),0  )
+ IF(AND(AC242&lt;AdóHó,                            AF242=2),   SUMIF(AB:AB,AB242-1,AE:AE),0  )
+ IF(                                                                  AF242=2,    SUMIF(AB:AB,AB242,AE:AE   ),0  )</f>
        <v>0</v>
      </c>
      <c r="AH242" s="272">
        <f ca="1">SUM(AG$2:AG242)</f>
        <v>941384.02209044143</v>
      </c>
    </row>
    <row r="243" spans="1:34">
      <c r="A243" s="265">
        <f t="shared" si="39"/>
        <v>21</v>
      </c>
      <c r="B243" s="265">
        <f t="shared" si="40"/>
        <v>1</v>
      </c>
      <c r="C243" s="265">
        <f t="shared" ca="1" si="41"/>
        <v>21</v>
      </c>
      <c r="D243" s="265">
        <f t="shared" ca="1" si="42"/>
        <v>4</v>
      </c>
      <c r="E243" s="266">
        <v>5.0000000000000001E-3</v>
      </c>
      <c r="F243" s="267">
        <f>ÉV!$B$12</f>
        <v>0</v>
      </c>
      <c r="G243" s="271">
        <f ca="1">VLOOKUP(A243,ÉV!$A$18:$B$65,2,0)</f>
        <v>304983.41896869469</v>
      </c>
      <c r="H243" s="271">
        <f ca="1">IF(OR(A243=1,AND(C243=ÉV!$I$2,D243&gt;ÉV!$J$2),C243&gt;ÉV!$I$2),0,INDEX(Pz!$B$2:$AM$48,A243-1,ÉV!$G$2-9)/100000*ÉV!$B$10)</f>
        <v>275478.19439636241</v>
      </c>
      <c r="I243" s="271">
        <f ca="1">INDEX(Pz!$B$2:$AM$48,HÓ!A243,ÉV!$G$2-9)/100000*ÉV!$B$10</f>
        <v>275478.19439636241</v>
      </c>
      <c r="J243" s="273">
        <f ca="1">IF(OR(A243=1,A243=2,AND(C243=ÉV!$I$2,D243&gt;ÉV!$J$2),C243&gt;ÉV!$I$2),0,VLOOKUP(A243-2,ÉV!$A$18:$C$65,3,0))</f>
        <v>4157320.2717885966</v>
      </c>
      <c r="K243" s="273">
        <f ca="1">IF(OR(A243=1,AND(C243=ÉV!$I$2,D243&gt;ÉV!$J$2),C243&gt;ÉV!$I$2),0,VLOOKUP(A243-1,ÉV!$A$18:$C$65,3,0))</f>
        <v>4438601.035860491</v>
      </c>
      <c r="L243" s="273">
        <f ca="1">VLOOKUP(A243,ÉV!$A$18:$C$65,3,0)*IF(OR(AND(C243=ÉV!$I$2,D243&gt;ÉV!$J$2),C243&gt;ÉV!$I$2),0,1)</f>
        <v>4719570.820470822</v>
      </c>
      <c r="M243" s="273">
        <f ca="1">(K243*(12-B243)/12+L243*B243/12)*IF(A243&gt;ÉV!$G$2,0,1)+IF(A243&gt;ÉV!$G$2,M242,0)*IF(OR(AND(C243=ÉV!$I$2,D243&gt;ÉV!$J$2),C243&gt;ÉV!$I$2),0,1)</f>
        <v>4462015.1845780183</v>
      </c>
      <c r="N243" s="274">
        <f ca="1">IF(AND(C243=1,D243&lt;12),0,1)*IF(D243=12,MAX(0,F243-E243-0.003)*0.9*((K243+I243)*(B243/12)+(J243+H243)*(1-B243/12))+MAX(0,F243-0.003)*0.9*N242+N242,IF(AND(C243=ÉV!$I$2,D243=ÉV!$J$2),(M243+N242)*MAX(0,F243-0.003)*0.9*(D243/12)+N242,N242))*IF(OR(C243&gt;ÉV!$I$2,AND(C243=ÉV!$I$2,D243&gt;ÉV!$J$2)),0,1)</f>
        <v>0</v>
      </c>
      <c r="O243" s="313">
        <f ca="1">IF(MAX(AF$2:AF242)=2,      0,IF(OR(AC243=7, AF243=2),    SUM(AE$2:AE243),    O242)   )</f>
        <v>941384.02209044143</v>
      </c>
      <c r="P243" s="271">
        <f ca="1">IF(D243=12,V243+P242+P242*(F243-0.003)*0.9,IF(AND(C243=ÉV!$I$2,D243=ÉV!$J$2),V243+P242+P242*(F243-0.003)*0.9*D243/12,P242))*IF(OR(C243&gt;ÉV!$I$2,AND(C243=ÉV!$I$2,D243&gt;ÉV!$J$2)),0,1)</f>
        <v>0</v>
      </c>
      <c r="Q243" s="275">
        <f ca="1">(N243+P243)*IF(OR(AND(C243=ÉV!$I$2,D243&gt;ÉV!$J$2),C243&gt;ÉV!$I$2),0,1)</f>
        <v>0</v>
      </c>
      <c r="R243" s="271">
        <f ca="1">(MAX(0,F243-E243-0.003)*0.9*((K243+I243)*(1/12)))*IF(OR(C243&gt;ÉV!$I$2,AND(C243=ÉV!$I$2,D243&gt;ÉV!$J$2)),0,1)</f>
        <v>0</v>
      </c>
      <c r="S243" s="271">
        <f ca="1">(MAX(0,F243-0.003)*0.9*((O243)*(1/12)))*IF(OR(C243&gt;ÉV!$I$2,AND(C243=ÉV!$I$2,D243&gt;ÉV!$J$2)),0,1)</f>
        <v>0</v>
      </c>
      <c r="T243" s="271">
        <f ca="1">(MAX(0,F243-0.003)*0.9*((Q242)*(1/12)))*IF(OR(C243&gt;ÉV!$I$2,AND(C243=ÉV!$I$2,D243&gt;ÉV!$J$2)),0,1)</f>
        <v>0</v>
      </c>
      <c r="U243" s="271">
        <f ca="1">IF($D243=1,R243,R243+U242)*IF(OR(C243&gt;ÉV!$I$2,AND(C243=ÉV!$I$2,D243&gt;ÉV!$J$2)),0,1)</f>
        <v>0</v>
      </c>
      <c r="V243" s="271">
        <f ca="1">IF($D243=1,S243,S243+V242)*IF(OR(C243&gt;ÉV!$I$2,AND(C243=ÉV!$I$2,D243&gt;ÉV!$J$2)),0,1)</f>
        <v>0</v>
      </c>
      <c r="W243" s="271">
        <f ca="1">IF($D243=1,T243,T243+W242)*IF(OR(C243&gt;ÉV!$I$2,AND(C243=ÉV!$I$2,D243&gt;ÉV!$J$2)),0,1)</f>
        <v>0</v>
      </c>
      <c r="X243" s="271">
        <f ca="1">IF(OR(D243=12,AND(C243=ÉV!$I$2,D243=ÉV!$J$2)),SUM(U243:W243)+X242,X242)*IF(OR(C243&gt;ÉV!$I$2,AND(C243=ÉV!$I$2,D243&gt;ÉV!$J$2)),0,1)</f>
        <v>0</v>
      </c>
      <c r="Y243" s="271">
        <f t="shared" ca="1" si="35"/>
        <v>0</v>
      </c>
      <c r="Z243" s="265">
        <f t="shared" si="36"/>
        <v>1</v>
      </c>
      <c r="AA243" s="272">
        <f t="shared" ca="1" si="37"/>
        <v>25415.284914057891</v>
      </c>
      <c r="AB243" s="265">
        <f t="shared" ca="1" si="43"/>
        <v>2037</v>
      </c>
      <c r="AC243" s="265">
        <f t="shared" ca="1" si="44"/>
        <v>4</v>
      </c>
      <c r="AD243" s="276">
        <f ca="1">IF(     OR(               AND(MAX(AF$6:AF243)&lt;2,  AC243=12),                 AF243=2),                   SUMIF(AB:AB,AB243,AA:AA),                       0)</f>
        <v>0</v>
      </c>
      <c r="AE243" s="277">
        <f t="shared" ca="1" si="45"/>
        <v>0</v>
      </c>
      <c r="AF243" s="277">
        <f t="shared" ca="1" si="38"/>
        <v>0</v>
      </c>
      <c r="AG243" s="402">
        <f ca="1">IF(  AND(AC243=AdóHó,   MAX(AF$1:AF242)&lt;2),   SUMIF(AB:AB,AB243-1,AE:AE),0  )
+ IF(AND(AC243&lt;AdóHó,                            AF243=2),   SUMIF(AB:AB,AB243-1,AE:AE),0  )
+ IF(                                                                  AF243=2,    SUMIF(AB:AB,AB243,AE:AE   ),0  )</f>
        <v>0</v>
      </c>
      <c r="AH243" s="272">
        <f ca="1">SUM(AG$2:AG243)</f>
        <v>941384.02209044143</v>
      </c>
    </row>
    <row r="244" spans="1:34">
      <c r="A244" s="265">
        <f t="shared" si="39"/>
        <v>21</v>
      </c>
      <c r="B244" s="265">
        <f t="shared" si="40"/>
        <v>2</v>
      </c>
      <c r="C244" s="265">
        <f t="shared" ca="1" si="41"/>
        <v>21</v>
      </c>
      <c r="D244" s="265">
        <f t="shared" ca="1" si="42"/>
        <v>5</v>
      </c>
      <c r="E244" s="266">
        <v>5.0000000000000001E-3</v>
      </c>
      <c r="F244" s="267">
        <f>ÉV!$B$12</f>
        <v>0</v>
      </c>
      <c r="G244" s="271">
        <f ca="1">VLOOKUP(A244,ÉV!$A$18:$B$65,2,0)</f>
        <v>304983.41896869469</v>
      </c>
      <c r="H244" s="271">
        <f ca="1">IF(OR(A244=1,AND(C244=ÉV!$I$2,D244&gt;ÉV!$J$2),C244&gt;ÉV!$I$2),0,INDEX(Pz!$B$2:$AM$48,A244-1,ÉV!$G$2-9)/100000*ÉV!$B$10)</f>
        <v>275478.19439636241</v>
      </c>
      <c r="I244" s="271">
        <f ca="1">INDEX(Pz!$B$2:$AM$48,HÓ!A244,ÉV!$G$2-9)/100000*ÉV!$B$10</f>
        <v>275478.19439636241</v>
      </c>
      <c r="J244" s="273">
        <f ca="1">IF(OR(A244=1,A244=2,AND(C244=ÉV!$I$2,D244&gt;ÉV!$J$2),C244&gt;ÉV!$I$2),0,VLOOKUP(A244-2,ÉV!$A$18:$C$65,3,0))</f>
        <v>4157320.2717885966</v>
      </c>
      <c r="K244" s="273">
        <f ca="1">IF(OR(A244=1,AND(C244=ÉV!$I$2,D244&gt;ÉV!$J$2),C244&gt;ÉV!$I$2),0,VLOOKUP(A244-1,ÉV!$A$18:$C$65,3,0))</f>
        <v>4438601.035860491</v>
      </c>
      <c r="L244" s="273">
        <f ca="1">VLOOKUP(A244,ÉV!$A$18:$C$65,3,0)*IF(OR(AND(C244=ÉV!$I$2,D244&gt;ÉV!$J$2),C244&gt;ÉV!$I$2),0,1)</f>
        <v>4719570.820470822</v>
      </c>
      <c r="M244" s="273">
        <f ca="1">(K244*(12-B244)/12+L244*B244/12)*IF(A244&gt;ÉV!$G$2,0,1)+IF(A244&gt;ÉV!$G$2,M243,0)*IF(OR(AND(C244=ÉV!$I$2,D244&gt;ÉV!$J$2),C244&gt;ÉV!$I$2),0,1)</f>
        <v>4485429.3332955455</v>
      </c>
      <c r="N244" s="274">
        <f ca="1">IF(AND(C244=1,D244&lt;12),0,1)*IF(D244=12,MAX(0,F244-E244-0.003)*0.9*((K244+I244)*(B244/12)+(J244+H244)*(1-B244/12))+MAX(0,F244-0.003)*0.9*N243+N243,IF(AND(C244=ÉV!$I$2,D244=ÉV!$J$2),(M244+N243)*MAX(0,F244-0.003)*0.9*(D244/12)+N243,N243))*IF(OR(C244&gt;ÉV!$I$2,AND(C244=ÉV!$I$2,D244&gt;ÉV!$J$2)),0,1)</f>
        <v>0</v>
      </c>
      <c r="O244" s="313">
        <f ca="1">IF(MAX(AF$2:AF243)=2,      0,IF(OR(AC244=7, AF244=2),    SUM(AE$2:AE244),    O243)   )</f>
        <v>941384.02209044143</v>
      </c>
      <c r="P244" s="271">
        <f ca="1">IF(D244=12,V244+P243+P243*(F244-0.003)*0.9,IF(AND(C244=ÉV!$I$2,D244=ÉV!$J$2),V244+P243+P243*(F244-0.003)*0.9*D244/12,P243))*IF(OR(C244&gt;ÉV!$I$2,AND(C244=ÉV!$I$2,D244&gt;ÉV!$J$2)),0,1)</f>
        <v>0</v>
      </c>
      <c r="Q244" s="275">
        <f ca="1">(N244+P244)*IF(OR(AND(C244=ÉV!$I$2,D244&gt;ÉV!$J$2),C244&gt;ÉV!$I$2),0,1)</f>
        <v>0</v>
      </c>
      <c r="R244" s="271">
        <f ca="1">(MAX(0,F244-E244-0.003)*0.9*((K244+I244)*(1/12)))*IF(OR(C244&gt;ÉV!$I$2,AND(C244=ÉV!$I$2,D244&gt;ÉV!$J$2)),0,1)</f>
        <v>0</v>
      </c>
      <c r="S244" s="271">
        <f ca="1">(MAX(0,F244-0.003)*0.9*((O244)*(1/12)))*IF(OR(C244&gt;ÉV!$I$2,AND(C244=ÉV!$I$2,D244&gt;ÉV!$J$2)),0,1)</f>
        <v>0</v>
      </c>
      <c r="T244" s="271">
        <f ca="1">(MAX(0,F244-0.003)*0.9*((Q243)*(1/12)))*IF(OR(C244&gt;ÉV!$I$2,AND(C244=ÉV!$I$2,D244&gt;ÉV!$J$2)),0,1)</f>
        <v>0</v>
      </c>
      <c r="U244" s="271">
        <f ca="1">IF($D244=1,R244,R244+U243)*IF(OR(C244&gt;ÉV!$I$2,AND(C244=ÉV!$I$2,D244&gt;ÉV!$J$2)),0,1)</f>
        <v>0</v>
      </c>
      <c r="V244" s="271">
        <f ca="1">IF($D244=1,S244,S244+V243)*IF(OR(C244&gt;ÉV!$I$2,AND(C244=ÉV!$I$2,D244&gt;ÉV!$J$2)),0,1)</f>
        <v>0</v>
      </c>
      <c r="W244" s="271">
        <f ca="1">IF($D244=1,T244,T244+W243)*IF(OR(C244&gt;ÉV!$I$2,AND(C244=ÉV!$I$2,D244&gt;ÉV!$J$2)),0,1)</f>
        <v>0</v>
      </c>
      <c r="X244" s="271">
        <f ca="1">IF(OR(D244=12,AND(C244=ÉV!$I$2,D244=ÉV!$J$2)),SUM(U244:W244)+X243,X243)*IF(OR(C244&gt;ÉV!$I$2,AND(C244=ÉV!$I$2,D244&gt;ÉV!$J$2)),0,1)</f>
        <v>0</v>
      </c>
      <c r="Y244" s="271">
        <f t="shared" ca="1" si="35"/>
        <v>0</v>
      </c>
      <c r="Z244" s="265">
        <f t="shared" si="36"/>
        <v>2</v>
      </c>
      <c r="AA244" s="272">
        <f t="shared" ca="1" si="37"/>
        <v>25415.284914057891</v>
      </c>
      <c r="AB244" s="265">
        <f t="shared" ca="1" si="43"/>
        <v>2037</v>
      </c>
      <c r="AC244" s="265">
        <f t="shared" ca="1" si="44"/>
        <v>5</v>
      </c>
      <c r="AD244" s="276">
        <f ca="1">IF(     OR(               AND(MAX(AF$6:AF244)&lt;2,  AC244=12),                 AF244=2),                   SUMIF(AB:AB,AB244,AA:AA),                       0)</f>
        <v>0</v>
      </c>
      <c r="AE244" s="277">
        <f t="shared" ca="1" si="45"/>
        <v>0</v>
      </c>
      <c r="AF244" s="277">
        <f t="shared" ca="1" si="38"/>
        <v>0</v>
      </c>
      <c r="AG244" s="402">
        <f ca="1">IF(  AND(AC244=AdóHó,   MAX(AF$1:AF243)&lt;2),   SUMIF(AB:AB,AB244-1,AE:AE),0  )
+ IF(AND(AC244&lt;AdóHó,                            AF244=2),   SUMIF(AB:AB,AB244-1,AE:AE),0  )
+ IF(                                                                  AF244=2,    SUMIF(AB:AB,AB244,AE:AE   ),0  )</f>
        <v>0</v>
      </c>
      <c r="AH244" s="272">
        <f ca="1">SUM(AG$2:AG244)</f>
        <v>941384.02209044143</v>
      </c>
    </row>
    <row r="245" spans="1:34">
      <c r="A245" s="265">
        <f t="shared" si="39"/>
        <v>21</v>
      </c>
      <c r="B245" s="265">
        <f t="shared" si="40"/>
        <v>3</v>
      </c>
      <c r="C245" s="265">
        <f t="shared" ca="1" si="41"/>
        <v>21</v>
      </c>
      <c r="D245" s="265">
        <f t="shared" ca="1" si="42"/>
        <v>6</v>
      </c>
      <c r="E245" s="266">
        <v>5.0000000000000001E-3</v>
      </c>
      <c r="F245" s="267">
        <f>ÉV!$B$12</f>
        <v>0</v>
      </c>
      <c r="G245" s="271">
        <f ca="1">VLOOKUP(A245,ÉV!$A$18:$B$65,2,0)</f>
        <v>304983.41896869469</v>
      </c>
      <c r="H245" s="271">
        <f ca="1">IF(OR(A245=1,AND(C245=ÉV!$I$2,D245&gt;ÉV!$J$2),C245&gt;ÉV!$I$2),0,INDEX(Pz!$B$2:$AM$48,A245-1,ÉV!$G$2-9)/100000*ÉV!$B$10)</f>
        <v>275478.19439636241</v>
      </c>
      <c r="I245" s="271">
        <f ca="1">INDEX(Pz!$B$2:$AM$48,HÓ!A245,ÉV!$G$2-9)/100000*ÉV!$B$10</f>
        <v>275478.19439636241</v>
      </c>
      <c r="J245" s="273">
        <f ca="1">IF(OR(A245=1,A245=2,AND(C245=ÉV!$I$2,D245&gt;ÉV!$J$2),C245&gt;ÉV!$I$2),0,VLOOKUP(A245-2,ÉV!$A$18:$C$65,3,0))</f>
        <v>4157320.2717885966</v>
      </c>
      <c r="K245" s="273">
        <f ca="1">IF(OR(A245=1,AND(C245=ÉV!$I$2,D245&gt;ÉV!$J$2),C245&gt;ÉV!$I$2),0,VLOOKUP(A245-1,ÉV!$A$18:$C$65,3,0))</f>
        <v>4438601.035860491</v>
      </c>
      <c r="L245" s="273">
        <f ca="1">VLOOKUP(A245,ÉV!$A$18:$C$65,3,0)*IF(OR(AND(C245=ÉV!$I$2,D245&gt;ÉV!$J$2),C245&gt;ÉV!$I$2),0,1)</f>
        <v>4719570.820470822</v>
      </c>
      <c r="M245" s="273">
        <f ca="1">(K245*(12-B245)/12+L245*B245/12)*IF(A245&gt;ÉV!$G$2,0,1)+IF(A245&gt;ÉV!$G$2,M244,0)*IF(OR(AND(C245=ÉV!$I$2,D245&gt;ÉV!$J$2),C245&gt;ÉV!$I$2),0,1)</f>
        <v>4508843.4820130737</v>
      </c>
      <c r="N245" s="274">
        <f ca="1">IF(AND(C245=1,D245&lt;12),0,1)*IF(D245=12,MAX(0,F245-E245-0.003)*0.9*((K245+I245)*(B245/12)+(J245+H245)*(1-B245/12))+MAX(0,F245-0.003)*0.9*N244+N244,IF(AND(C245=ÉV!$I$2,D245=ÉV!$J$2),(M245+N244)*MAX(0,F245-0.003)*0.9*(D245/12)+N244,N244))*IF(OR(C245&gt;ÉV!$I$2,AND(C245=ÉV!$I$2,D245&gt;ÉV!$J$2)),0,1)</f>
        <v>0</v>
      </c>
      <c r="O245" s="313">
        <f ca="1">IF(MAX(AF$2:AF244)=2,      0,IF(OR(AC245=7, AF245=2),    SUM(AE$2:AE245),    O244)   )</f>
        <v>941384.02209044143</v>
      </c>
      <c r="P245" s="271">
        <f ca="1">IF(D245=12,V245+P244+P244*(F245-0.003)*0.9,IF(AND(C245=ÉV!$I$2,D245=ÉV!$J$2),V245+P244+P244*(F245-0.003)*0.9*D245/12,P244))*IF(OR(C245&gt;ÉV!$I$2,AND(C245=ÉV!$I$2,D245&gt;ÉV!$J$2)),0,1)</f>
        <v>0</v>
      </c>
      <c r="Q245" s="275">
        <f ca="1">(N245+P245)*IF(OR(AND(C245=ÉV!$I$2,D245&gt;ÉV!$J$2),C245&gt;ÉV!$I$2),0,1)</f>
        <v>0</v>
      </c>
      <c r="R245" s="271">
        <f ca="1">(MAX(0,F245-E245-0.003)*0.9*((K245+I245)*(1/12)))*IF(OR(C245&gt;ÉV!$I$2,AND(C245=ÉV!$I$2,D245&gt;ÉV!$J$2)),0,1)</f>
        <v>0</v>
      </c>
      <c r="S245" s="271">
        <f ca="1">(MAX(0,F245-0.003)*0.9*((O245)*(1/12)))*IF(OR(C245&gt;ÉV!$I$2,AND(C245=ÉV!$I$2,D245&gt;ÉV!$J$2)),0,1)</f>
        <v>0</v>
      </c>
      <c r="T245" s="271">
        <f ca="1">(MAX(0,F245-0.003)*0.9*((Q244)*(1/12)))*IF(OR(C245&gt;ÉV!$I$2,AND(C245=ÉV!$I$2,D245&gt;ÉV!$J$2)),0,1)</f>
        <v>0</v>
      </c>
      <c r="U245" s="271">
        <f ca="1">IF($D245=1,R245,R245+U244)*IF(OR(C245&gt;ÉV!$I$2,AND(C245=ÉV!$I$2,D245&gt;ÉV!$J$2)),0,1)</f>
        <v>0</v>
      </c>
      <c r="V245" s="271">
        <f ca="1">IF($D245=1,S245,S245+V244)*IF(OR(C245&gt;ÉV!$I$2,AND(C245=ÉV!$I$2,D245&gt;ÉV!$J$2)),0,1)</f>
        <v>0</v>
      </c>
      <c r="W245" s="271">
        <f ca="1">IF($D245=1,T245,T245+W244)*IF(OR(C245&gt;ÉV!$I$2,AND(C245=ÉV!$I$2,D245&gt;ÉV!$J$2)),0,1)</f>
        <v>0</v>
      </c>
      <c r="X245" s="271">
        <f ca="1">IF(OR(D245=12,AND(C245=ÉV!$I$2,D245=ÉV!$J$2)),SUM(U245:W245)+X244,X244)*IF(OR(C245&gt;ÉV!$I$2,AND(C245=ÉV!$I$2,D245&gt;ÉV!$J$2)),0,1)</f>
        <v>0</v>
      </c>
      <c r="Y245" s="271">
        <f t="shared" ca="1" si="35"/>
        <v>0</v>
      </c>
      <c r="Z245" s="265">
        <f t="shared" si="36"/>
        <v>3</v>
      </c>
      <c r="AA245" s="272">
        <f t="shared" ca="1" si="37"/>
        <v>25415.284914057891</v>
      </c>
      <c r="AB245" s="265">
        <f t="shared" ca="1" si="43"/>
        <v>2037</v>
      </c>
      <c r="AC245" s="265">
        <f t="shared" ca="1" si="44"/>
        <v>6</v>
      </c>
      <c r="AD245" s="276">
        <f ca="1">IF(     OR(               AND(MAX(AF$6:AF245)&lt;2,  AC245=12),                 AF245=2),                   SUMIF(AB:AB,AB245,AA:AA),                       0)</f>
        <v>0</v>
      </c>
      <c r="AE245" s="277">
        <f t="shared" ca="1" si="45"/>
        <v>0</v>
      </c>
      <c r="AF245" s="277">
        <f t="shared" ca="1" si="38"/>
        <v>0</v>
      </c>
      <c r="AG245" s="402">
        <f ca="1">IF(  AND(AC245=AdóHó,   MAX(AF$1:AF244)&lt;2),   SUMIF(AB:AB,AB245-1,AE:AE),0  )
+ IF(AND(AC245&lt;AdóHó,                            AF245=2),   SUMIF(AB:AB,AB245-1,AE:AE),0  )
+ IF(                                                                  AF245=2,    SUMIF(AB:AB,AB245,AE:AE   ),0  )</f>
        <v>0</v>
      </c>
      <c r="AH245" s="272">
        <f ca="1">SUM(AG$2:AG245)</f>
        <v>941384.02209044143</v>
      </c>
    </row>
    <row r="246" spans="1:34">
      <c r="A246" s="265">
        <f t="shared" si="39"/>
        <v>21</v>
      </c>
      <c r="B246" s="265">
        <f t="shared" si="40"/>
        <v>4</v>
      </c>
      <c r="C246" s="265">
        <f t="shared" ca="1" si="41"/>
        <v>21</v>
      </c>
      <c r="D246" s="265">
        <f t="shared" ca="1" si="42"/>
        <v>7</v>
      </c>
      <c r="E246" s="266">
        <v>5.0000000000000001E-3</v>
      </c>
      <c r="F246" s="267">
        <f>ÉV!$B$12</f>
        <v>0</v>
      </c>
      <c r="G246" s="271">
        <f ca="1">VLOOKUP(A246,ÉV!$A$18:$B$65,2,0)</f>
        <v>304983.41896869469</v>
      </c>
      <c r="H246" s="271">
        <f ca="1">IF(OR(A246=1,AND(C246=ÉV!$I$2,D246&gt;ÉV!$J$2),C246&gt;ÉV!$I$2),0,INDEX(Pz!$B$2:$AM$48,A246-1,ÉV!$G$2-9)/100000*ÉV!$B$10)</f>
        <v>275478.19439636241</v>
      </c>
      <c r="I246" s="271">
        <f ca="1">INDEX(Pz!$B$2:$AM$48,HÓ!A246,ÉV!$G$2-9)/100000*ÉV!$B$10</f>
        <v>275478.19439636241</v>
      </c>
      <c r="J246" s="273">
        <f ca="1">IF(OR(A246=1,A246=2,AND(C246=ÉV!$I$2,D246&gt;ÉV!$J$2),C246&gt;ÉV!$I$2),0,VLOOKUP(A246-2,ÉV!$A$18:$C$65,3,0))</f>
        <v>4157320.2717885966</v>
      </c>
      <c r="K246" s="273">
        <f ca="1">IF(OR(A246=1,AND(C246=ÉV!$I$2,D246&gt;ÉV!$J$2),C246&gt;ÉV!$I$2),0,VLOOKUP(A246-1,ÉV!$A$18:$C$65,3,0))</f>
        <v>4438601.035860491</v>
      </c>
      <c r="L246" s="273">
        <f ca="1">VLOOKUP(A246,ÉV!$A$18:$C$65,3,0)*IF(OR(AND(C246=ÉV!$I$2,D246&gt;ÉV!$J$2),C246&gt;ÉV!$I$2),0,1)</f>
        <v>4719570.820470822</v>
      </c>
      <c r="M246" s="273">
        <f ca="1">(K246*(12-B246)/12+L246*B246/12)*IF(A246&gt;ÉV!$G$2,0,1)+IF(A246&gt;ÉV!$G$2,M245,0)*IF(OR(AND(C246=ÉV!$I$2,D246&gt;ÉV!$J$2),C246&gt;ÉV!$I$2),0,1)</f>
        <v>4532257.630730601</v>
      </c>
      <c r="N246" s="274">
        <f ca="1">IF(AND(C246=1,D246&lt;12),0,1)*IF(D246=12,MAX(0,F246-E246-0.003)*0.9*((K246+I246)*(B246/12)+(J246+H246)*(1-B246/12))+MAX(0,F246-0.003)*0.9*N245+N245,IF(AND(C246=ÉV!$I$2,D246=ÉV!$J$2),(M246+N245)*MAX(0,F246-0.003)*0.9*(D246/12)+N245,N245))*IF(OR(C246&gt;ÉV!$I$2,AND(C246=ÉV!$I$2,D246&gt;ÉV!$J$2)),0,1)</f>
        <v>0</v>
      </c>
      <c r="O246" s="313">
        <f ca="1">IF(MAX(AF$2:AF245)=2,      0,IF(OR(AC246=7, AF246=2),    SUM(AE$2:AE246),    O245)   )</f>
        <v>1002081.7025322502</v>
      </c>
      <c r="P246" s="271">
        <f ca="1">IF(D246=12,V246+P245+P245*(F246-0.003)*0.9,IF(AND(C246=ÉV!$I$2,D246=ÉV!$J$2),V246+P245+P245*(F246-0.003)*0.9*D246/12,P245))*IF(OR(C246&gt;ÉV!$I$2,AND(C246=ÉV!$I$2,D246&gt;ÉV!$J$2)),0,1)</f>
        <v>0</v>
      </c>
      <c r="Q246" s="275">
        <f ca="1">(N246+P246)*IF(OR(AND(C246=ÉV!$I$2,D246&gt;ÉV!$J$2),C246&gt;ÉV!$I$2),0,1)</f>
        <v>0</v>
      </c>
      <c r="R246" s="271">
        <f ca="1">(MAX(0,F246-E246-0.003)*0.9*((K246+I246)*(1/12)))*IF(OR(C246&gt;ÉV!$I$2,AND(C246=ÉV!$I$2,D246&gt;ÉV!$J$2)),0,1)</f>
        <v>0</v>
      </c>
      <c r="S246" s="271">
        <f ca="1">(MAX(0,F246-0.003)*0.9*((O246)*(1/12)))*IF(OR(C246&gt;ÉV!$I$2,AND(C246=ÉV!$I$2,D246&gt;ÉV!$J$2)),0,1)</f>
        <v>0</v>
      </c>
      <c r="T246" s="271">
        <f ca="1">(MAX(0,F246-0.003)*0.9*((Q245)*(1/12)))*IF(OR(C246&gt;ÉV!$I$2,AND(C246=ÉV!$I$2,D246&gt;ÉV!$J$2)),0,1)</f>
        <v>0</v>
      </c>
      <c r="U246" s="271">
        <f ca="1">IF($D246=1,R246,R246+U245)*IF(OR(C246&gt;ÉV!$I$2,AND(C246=ÉV!$I$2,D246&gt;ÉV!$J$2)),0,1)</f>
        <v>0</v>
      </c>
      <c r="V246" s="271">
        <f ca="1">IF($D246=1,S246,S246+V245)*IF(OR(C246&gt;ÉV!$I$2,AND(C246=ÉV!$I$2,D246&gt;ÉV!$J$2)),0,1)</f>
        <v>0</v>
      </c>
      <c r="W246" s="271">
        <f ca="1">IF($D246=1,T246,T246+W245)*IF(OR(C246&gt;ÉV!$I$2,AND(C246=ÉV!$I$2,D246&gt;ÉV!$J$2)),0,1)</f>
        <v>0</v>
      </c>
      <c r="X246" s="271">
        <f ca="1">IF(OR(D246=12,AND(C246=ÉV!$I$2,D246=ÉV!$J$2)),SUM(U246:W246)+X245,X245)*IF(OR(C246&gt;ÉV!$I$2,AND(C246=ÉV!$I$2,D246&gt;ÉV!$J$2)),0,1)</f>
        <v>0</v>
      </c>
      <c r="Y246" s="271">
        <f t="shared" ca="1" si="35"/>
        <v>0</v>
      </c>
      <c r="Z246" s="265">
        <f t="shared" si="36"/>
        <v>4</v>
      </c>
      <c r="AA246" s="272">
        <f t="shared" ca="1" si="37"/>
        <v>25415.284914057891</v>
      </c>
      <c r="AB246" s="265">
        <f t="shared" ca="1" si="43"/>
        <v>2037</v>
      </c>
      <c r="AC246" s="265">
        <f t="shared" ca="1" si="44"/>
        <v>7</v>
      </c>
      <c r="AD246" s="276">
        <f ca="1">IF(     OR(               AND(MAX(AF$6:AF246)&lt;2,  AC246=12),                 AF246=2),                   SUMIF(AB:AB,AB246,AA:AA),                       0)</f>
        <v>0</v>
      </c>
      <c r="AE246" s="277">
        <f t="shared" ca="1" si="45"/>
        <v>0</v>
      </c>
      <c r="AF246" s="277">
        <f t="shared" ca="1" si="38"/>
        <v>0</v>
      </c>
      <c r="AG246" s="402">
        <f ca="1">IF(  AND(AC246=AdóHó,   MAX(AF$1:AF245)&lt;2),   SUMIF(AB:AB,AB246-1,AE:AE),0  )
+ IF(AND(AC246&lt;AdóHó,                            AF246=2),   SUMIF(AB:AB,AB246-1,AE:AE),0  )
+ IF(                                                                  AF246=2,    SUMIF(AB:AB,AB246,AE:AE   ),0  )</f>
        <v>60697.680441808829</v>
      </c>
      <c r="AH246" s="272">
        <f ca="1">SUM(AG$2:AG246)</f>
        <v>1002081.7025322502</v>
      </c>
    </row>
    <row r="247" spans="1:34">
      <c r="A247" s="265">
        <f t="shared" si="39"/>
        <v>21</v>
      </c>
      <c r="B247" s="265">
        <f t="shared" si="40"/>
        <v>5</v>
      </c>
      <c r="C247" s="265">
        <f t="shared" ca="1" si="41"/>
        <v>21</v>
      </c>
      <c r="D247" s="265">
        <f t="shared" ca="1" si="42"/>
        <v>8</v>
      </c>
      <c r="E247" s="266">
        <v>5.0000000000000001E-3</v>
      </c>
      <c r="F247" s="267">
        <f>ÉV!$B$12</f>
        <v>0</v>
      </c>
      <c r="G247" s="271">
        <f ca="1">VLOOKUP(A247,ÉV!$A$18:$B$65,2,0)</f>
        <v>304983.41896869469</v>
      </c>
      <c r="H247" s="271">
        <f ca="1">IF(OR(A247=1,AND(C247=ÉV!$I$2,D247&gt;ÉV!$J$2),C247&gt;ÉV!$I$2),0,INDEX(Pz!$B$2:$AM$48,A247-1,ÉV!$G$2-9)/100000*ÉV!$B$10)</f>
        <v>275478.19439636241</v>
      </c>
      <c r="I247" s="271">
        <f ca="1">INDEX(Pz!$B$2:$AM$48,HÓ!A247,ÉV!$G$2-9)/100000*ÉV!$B$10</f>
        <v>275478.19439636241</v>
      </c>
      <c r="J247" s="273">
        <f ca="1">IF(OR(A247=1,A247=2,AND(C247=ÉV!$I$2,D247&gt;ÉV!$J$2),C247&gt;ÉV!$I$2),0,VLOOKUP(A247-2,ÉV!$A$18:$C$65,3,0))</f>
        <v>4157320.2717885966</v>
      </c>
      <c r="K247" s="273">
        <f ca="1">IF(OR(A247=1,AND(C247=ÉV!$I$2,D247&gt;ÉV!$J$2),C247&gt;ÉV!$I$2),0,VLOOKUP(A247-1,ÉV!$A$18:$C$65,3,0))</f>
        <v>4438601.035860491</v>
      </c>
      <c r="L247" s="273">
        <f ca="1">VLOOKUP(A247,ÉV!$A$18:$C$65,3,0)*IF(OR(AND(C247=ÉV!$I$2,D247&gt;ÉV!$J$2),C247&gt;ÉV!$I$2),0,1)</f>
        <v>4719570.820470822</v>
      </c>
      <c r="M247" s="273">
        <f ca="1">(K247*(12-B247)/12+L247*B247/12)*IF(A247&gt;ÉV!$G$2,0,1)+IF(A247&gt;ÉV!$G$2,M246,0)*IF(OR(AND(C247=ÉV!$I$2,D247&gt;ÉV!$J$2),C247&gt;ÉV!$I$2),0,1)</f>
        <v>4555671.7794481292</v>
      </c>
      <c r="N247" s="274">
        <f ca="1">IF(AND(C247=1,D247&lt;12),0,1)*IF(D247=12,MAX(0,F247-E247-0.003)*0.9*((K247+I247)*(B247/12)+(J247+H247)*(1-B247/12))+MAX(0,F247-0.003)*0.9*N246+N246,IF(AND(C247=ÉV!$I$2,D247=ÉV!$J$2),(M247+N246)*MAX(0,F247-0.003)*0.9*(D247/12)+N246,N246))*IF(OR(C247&gt;ÉV!$I$2,AND(C247=ÉV!$I$2,D247&gt;ÉV!$J$2)),0,1)</f>
        <v>0</v>
      </c>
      <c r="O247" s="313">
        <f ca="1">IF(MAX(AF$2:AF246)=2,      0,IF(OR(AC247=7, AF247=2),    SUM(AE$2:AE247),    O246)   )</f>
        <v>1002081.7025322502</v>
      </c>
      <c r="P247" s="271">
        <f ca="1">IF(D247=12,V247+P246+P246*(F247-0.003)*0.9,IF(AND(C247=ÉV!$I$2,D247=ÉV!$J$2),V247+P246+P246*(F247-0.003)*0.9*D247/12,P246))*IF(OR(C247&gt;ÉV!$I$2,AND(C247=ÉV!$I$2,D247&gt;ÉV!$J$2)),0,1)</f>
        <v>0</v>
      </c>
      <c r="Q247" s="275">
        <f ca="1">(N247+P247)*IF(OR(AND(C247=ÉV!$I$2,D247&gt;ÉV!$J$2),C247&gt;ÉV!$I$2),0,1)</f>
        <v>0</v>
      </c>
      <c r="R247" s="271">
        <f ca="1">(MAX(0,F247-E247-0.003)*0.9*((K247+I247)*(1/12)))*IF(OR(C247&gt;ÉV!$I$2,AND(C247=ÉV!$I$2,D247&gt;ÉV!$J$2)),0,1)</f>
        <v>0</v>
      </c>
      <c r="S247" s="271">
        <f ca="1">(MAX(0,F247-0.003)*0.9*((O247)*(1/12)))*IF(OR(C247&gt;ÉV!$I$2,AND(C247=ÉV!$I$2,D247&gt;ÉV!$J$2)),0,1)</f>
        <v>0</v>
      </c>
      <c r="T247" s="271">
        <f ca="1">(MAX(0,F247-0.003)*0.9*((Q246)*(1/12)))*IF(OR(C247&gt;ÉV!$I$2,AND(C247=ÉV!$I$2,D247&gt;ÉV!$J$2)),0,1)</f>
        <v>0</v>
      </c>
      <c r="U247" s="271">
        <f ca="1">IF($D247=1,R247,R247+U246)*IF(OR(C247&gt;ÉV!$I$2,AND(C247=ÉV!$I$2,D247&gt;ÉV!$J$2)),0,1)</f>
        <v>0</v>
      </c>
      <c r="V247" s="271">
        <f ca="1">IF($D247=1,S247,S247+V246)*IF(OR(C247&gt;ÉV!$I$2,AND(C247=ÉV!$I$2,D247&gt;ÉV!$J$2)),0,1)</f>
        <v>0</v>
      </c>
      <c r="W247" s="271">
        <f ca="1">IF($D247=1,T247,T247+W246)*IF(OR(C247&gt;ÉV!$I$2,AND(C247=ÉV!$I$2,D247&gt;ÉV!$J$2)),0,1)</f>
        <v>0</v>
      </c>
      <c r="X247" s="271">
        <f ca="1">IF(OR(D247=12,AND(C247=ÉV!$I$2,D247=ÉV!$J$2)),SUM(U247:W247)+X246,X246)*IF(OR(C247&gt;ÉV!$I$2,AND(C247=ÉV!$I$2,D247&gt;ÉV!$J$2)),0,1)</f>
        <v>0</v>
      </c>
      <c r="Y247" s="271">
        <f t="shared" ca="1" si="35"/>
        <v>0</v>
      </c>
      <c r="Z247" s="265">
        <f t="shared" si="36"/>
        <v>5</v>
      </c>
      <c r="AA247" s="272">
        <f t="shared" ca="1" si="37"/>
        <v>25415.284914057891</v>
      </c>
      <c r="AB247" s="265">
        <f t="shared" ca="1" si="43"/>
        <v>2037</v>
      </c>
      <c r="AC247" s="265">
        <f t="shared" ca="1" si="44"/>
        <v>8</v>
      </c>
      <c r="AD247" s="276">
        <f ca="1">IF(     OR(               AND(MAX(AF$6:AF247)&lt;2,  AC247=12),                 AF247=2),                   SUMIF(AB:AB,AB247,AA:AA),                       0)</f>
        <v>0</v>
      </c>
      <c r="AE247" s="277">
        <f t="shared" ca="1" si="45"/>
        <v>0</v>
      </c>
      <c r="AF247" s="277">
        <f t="shared" ca="1" si="38"/>
        <v>0</v>
      </c>
      <c r="AG247" s="402">
        <f ca="1">IF(  AND(AC247=AdóHó,   MAX(AF$1:AF246)&lt;2),   SUMIF(AB:AB,AB247-1,AE:AE),0  )
+ IF(AND(AC247&lt;AdóHó,                            AF247=2),   SUMIF(AB:AB,AB247-1,AE:AE),0  )
+ IF(                                                                  AF247=2,    SUMIF(AB:AB,AB247,AE:AE   ),0  )</f>
        <v>0</v>
      </c>
      <c r="AH247" s="272">
        <f ca="1">SUM(AG$2:AG247)</f>
        <v>1002081.7025322502</v>
      </c>
    </row>
    <row r="248" spans="1:34">
      <c r="A248" s="265">
        <f t="shared" si="39"/>
        <v>21</v>
      </c>
      <c r="B248" s="265">
        <f t="shared" si="40"/>
        <v>6</v>
      </c>
      <c r="C248" s="265">
        <f t="shared" ca="1" si="41"/>
        <v>21</v>
      </c>
      <c r="D248" s="265">
        <f t="shared" ca="1" si="42"/>
        <v>9</v>
      </c>
      <c r="E248" s="266">
        <v>5.0000000000000001E-3</v>
      </c>
      <c r="F248" s="267">
        <f>ÉV!$B$12</f>
        <v>0</v>
      </c>
      <c r="G248" s="271">
        <f ca="1">VLOOKUP(A248,ÉV!$A$18:$B$65,2,0)</f>
        <v>304983.41896869469</v>
      </c>
      <c r="H248" s="271">
        <f ca="1">IF(OR(A248=1,AND(C248=ÉV!$I$2,D248&gt;ÉV!$J$2),C248&gt;ÉV!$I$2),0,INDEX(Pz!$B$2:$AM$48,A248-1,ÉV!$G$2-9)/100000*ÉV!$B$10)</f>
        <v>275478.19439636241</v>
      </c>
      <c r="I248" s="271">
        <f ca="1">INDEX(Pz!$B$2:$AM$48,HÓ!A248,ÉV!$G$2-9)/100000*ÉV!$B$10</f>
        <v>275478.19439636241</v>
      </c>
      <c r="J248" s="273">
        <f ca="1">IF(OR(A248=1,A248=2,AND(C248=ÉV!$I$2,D248&gt;ÉV!$J$2),C248&gt;ÉV!$I$2),0,VLOOKUP(A248-2,ÉV!$A$18:$C$65,3,0))</f>
        <v>4157320.2717885966</v>
      </c>
      <c r="K248" s="273">
        <f ca="1">IF(OR(A248=1,AND(C248=ÉV!$I$2,D248&gt;ÉV!$J$2),C248&gt;ÉV!$I$2),0,VLOOKUP(A248-1,ÉV!$A$18:$C$65,3,0))</f>
        <v>4438601.035860491</v>
      </c>
      <c r="L248" s="273">
        <f ca="1">VLOOKUP(A248,ÉV!$A$18:$C$65,3,0)*IF(OR(AND(C248=ÉV!$I$2,D248&gt;ÉV!$J$2),C248&gt;ÉV!$I$2),0,1)</f>
        <v>4719570.820470822</v>
      </c>
      <c r="M248" s="273">
        <f ca="1">(K248*(12-B248)/12+L248*B248/12)*IF(A248&gt;ÉV!$G$2,0,1)+IF(A248&gt;ÉV!$G$2,M247,0)*IF(OR(AND(C248=ÉV!$I$2,D248&gt;ÉV!$J$2),C248&gt;ÉV!$I$2),0,1)</f>
        <v>4579085.9281656565</v>
      </c>
      <c r="N248" s="274">
        <f ca="1">IF(AND(C248=1,D248&lt;12),0,1)*IF(D248=12,MAX(0,F248-E248-0.003)*0.9*((K248+I248)*(B248/12)+(J248+H248)*(1-B248/12))+MAX(0,F248-0.003)*0.9*N247+N247,IF(AND(C248=ÉV!$I$2,D248=ÉV!$J$2),(M248+N247)*MAX(0,F248-0.003)*0.9*(D248/12)+N247,N247))*IF(OR(C248&gt;ÉV!$I$2,AND(C248=ÉV!$I$2,D248&gt;ÉV!$J$2)),0,1)</f>
        <v>0</v>
      </c>
      <c r="O248" s="313">
        <f ca="1">IF(MAX(AF$2:AF247)=2,      0,IF(OR(AC248=7, AF248=2),    SUM(AE$2:AE248),    O247)   )</f>
        <v>1002081.7025322502</v>
      </c>
      <c r="P248" s="271">
        <f ca="1">IF(D248=12,V248+P247+P247*(F248-0.003)*0.9,IF(AND(C248=ÉV!$I$2,D248=ÉV!$J$2),V248+P247+P247*(F248-0.003)*0.9*D248/12,P247))*IF(OR(C248&gt;ÉV!$I$2,AND(C248=ÉV!$I$2,D248&gt;ÉV!$J$2)),0,1)</f>
        <v>0</v>
      </c>
      <c r="Q248" s="275">
        <f ca="1">(N248+P248)*IF(OR(AND(C248=ÉV!$I$2,D248&gt;ÉV!$J$2),C248&gt;ÉV!$I$2),0,1)</f>
        <v>0</v>
      </c>
      <c r="R248" s="271">
        <f ca="1">(MAX(0,F248-E248-0.003)*0.9*((K248+I248)*(1/12)))*IF(OR(C248&gt;ÉV!$I$2,AND(C248=ÉV!$I$2,D248&gt;ÉV!$J$2)),0,1)</f>
        <v>0</v>
      </c>
      <c r="S248" s="271">
        <f ca="1">(MAX(0,F248-0.003)*0.9*((O248)*(1/12)))*IF(OR(C248&gt;ÉV!$I$2,AND(C248=ÉV!$I$2,D248&gt;ÉV!$J$2)),0,1)</f>
        <v>0</v>
      </c>
      <c r="T248" s="271">
        <f ca="1">(MAX(0,F248-0.003)*0.9*((Q247)*(1/12)))*IF(OR(C248&gt;ÉV!$I$2,AND(C248=ÉV!$I$2,D248&gt;ÉV!$J$2)),0,1)</f>
        <v>0</v>
      </c>
      <c r="U248" s="271">
        <f ca="1">IF($D248=1,R248,R248+U247)*IF(OR(C248&gt;ÉV!$I$2,AND(C248=ÉV!$I$2,D248&gt;ÉV!$J$2)),0,1)</f>
        <v>0</v>
      </c>
      <c r="V248" s="271">
        <f ca="1">IF($D248=1,S248,S248+V247)*IF(OR(C248&gt;ÉV!$I$2,AND(C248=ÉV!$I$2,D248&gt;ÉV!$J$2)),0,1)</f>
        <v>0</v>
      </c>
      <c r="W248" s="271">
        <f ca="1">IF($D248=1,T248,T248+W247)*IF(OR(C248&gt;ÉV!$I$2,AND(C248=ÉV!$I$2,D248&gt;ÉV!$J$2)),0,1)</f>
        <v>0</v>
      </c>
      <c r="X248" s="271">
        <f ca="1">IF(OR(D248=12,AND(C248=ÉV!$I$2,D248=ÉV!$J$2)),SUM(U248:W248)+X247,X247)*IF(OR(C248&gt;ÉV!$I$2,AND(C248=ÉV!$I$2,D248&gt;ÉV!$J$2)),0,1)</f>
        <v>0</v>
      </c>
      <c r="Y248" s="271">
        <f t="shared" ca="1" si="35"/>
        <v>0</v>
      </c>
      <c r="Z248" s="265">
        <f t="shared" si="36"/>
        <v>6</v>
      </c>
      <c r="AA248" s="272">
        <f t="shared" ca="1" si="37"/>
        <v>25415.284914057891</v>
      </c>
      <c r="AB248" s="265">
        <f t="shared" ca="1" si="43"/>
        <v>2037</v>
      </c>
      <c r="AC248" s="265">
        <f t="shared" ca="1" si="44"/>
        <v>9</v>
      </c>
      <c r="AD248" s="276">
        <f ca="1">IF(     OR(               AND(MAX(AF$6:AF248)&lt;2,  AC248=12),                 AF248=2),                   SUMIF(AB:AB,AB248,AA:AA),                       0)</f>
        <v>0</v>
      </c>
      <c r="AE248" s="277">
        <f t="shared" ca="1" si="45"/>
        <v>0</v>
      </c>
      <c r="AF248" s="277">
        <f t="shared" ca="1" si="38"/>
        <v>0</v>
      </c>
      <c r="AG248" s="402">
        <f ca="1">IF(  AND(AC248=AdóHó,   MAX(AF$1:AF247)&lt;2),   SUMIF(AB:AB,AB248-1,AE:AE),0  )
+ IF(AND(AC248&lt;AdóHó,                            AF248=2),   SUMIF(AB:AB,AB248-1,AE:AE),0  )
+ IF(                                                                  AF248=2,    SUMIF(AB:AB,AB248,AE:AE   ),0  )</f>
        <v>0</v>
      </c>
      <c r="AH248" s="272">
        <f ca="1">SUM(AG$2:AG248)</f>
        <v>1002081.7025322502</v>
      </c>
    </row>
    <row r="249" spans="1:34">
      <c r="A249" s="265">
        <f t="shared" si="39"/>
        <v>21</v>
      </c>
      <c r="B249" s="265">
        <f t="shared" si="40"/>
        <v>7</v>
      </c>
      <c r="C249" s="265">
        <f t="shared" ca="1" si="41"/>
        <v>21</v>
      </c>
      <c r="D249" s="265">
        <f t="shared" ca="1" si="42"/>
        <v>10</v>
      </c>
      <c r="E249" s="266">
        <v>5.0000000000000001E-3</v>
      </c>
      <c r="F249" s="267">
        <f>ÉV!$B$12</f>
        <v>0</v>
      </c>
      <c r="G249" s="271">
        <f ca="1">VLOOKUP(A249,ÉV!$A$18:$B$65,2,0)</f>
        <v>304983.41896869469</v>
      </c>
      <c r="H249" s="271">
        <f ca="1">IF(OR(A249=1,AND(C249=ÉV!$I$2,D249&gt;ÉV!$J$2),C249&gt;ÉV!$I$2),0,INDEX(Pz!$B$2:$AM$48,A249-1,ÉV!$G$2-9)/100000*ÉV!$B$10)</f>
        <v>275478.19439636241</v>
      </c>
      <c r="I249" s="271">
        <f ca="1">INDEX(Pz!$B$2:$AM$48,HÓ!A249,ÉV!$G$2-9)/100000*ÉV!$B$10</f>
        <v>275478.19439636241</v>
      </c>
      <c r="J249" s="273">
        <f ca="1">IF(OR(A249=1,A249=2,AND(C249=ÉV!$I$2,D249&gt;ÉV!$J$2),C249&gt;ÉV!$I$2),0,VLOOKUP(A249-2,ÉV!$A$18:$C$65,3,0))</f>
        <v>4157320.2717885966</v>
      </c>
      <c r="K249" s="273">
        <f ca="1">IF(OR(A249=1,AND(C249=ÉV!$I$2,D249&gt;ÉV!$J$2),C249&gt;ÉV!$I$2),0,VLOOKUP(A249-1,ÉV!$A$18:$C$65,3,0))</f>
        <v>4438601.035860491</v>
      </c>
      <c r="L249" s="273">
        <f ca="1">VLOOKUP(A249,ÉV!$A$18:$C$65,3,0)*IF(OR(AND(C249=ÉV!$I$2,D249&gt;ÉV!$J$2),C249&gt;ÉV!$I$2),0,1)</f>
        <v>4719570.820470822</v>
      </c>
      <c r="M249" s="273">
        <f ca="1">(K249*(12-B249)/12+L249*B249/12)*IF(A249&gt;ÉV!$G$2,0,1)+IF(A249&gt;ÉV!$G$2,M248,0)*IF(OR(AND(C249=ÉV!$I$2,D249&gt;ÉV!$J$2),C249&gt;ÉV!$I$2),0,1)</f>
        <v>4602500.0768831838</v>
      </c>
      <c r="N249" s="274">
        <f ca="1">IF(AND(C249=1,D249&lt;12),0,1)*IF(D249=12,MAX(0,F249-E249-0.003)*0.9*((K249+I249)*(B249/12)+(J249+H249)*(1-B249/12))+MAX(0,F249-0.003)*0.9*N248+N248,IF(AND(C249=ÉV!$I$2,D249=ÉV!$J$2),(M249+N248)*MAX(0,F249-0.003)*0.9*(D249/12)+N248,N248))*IF(OR(C249&gt;ÉV!$I$2,AND(C249=ÉV!$I$2,D249&gt;ÉV!$J$2)),0,1)</f>
        <v>0</v>
      </c>
      <c r="O249" s="313">
        <f ca="1">IF(MAX(AF$2:AF248)=2,      0,IF(OR(AC249=7, AF249=2),    SUM(AE$2:AE249),    O248)   )</f>
        <v>1002081.7025322502</v>
      </c>
      <c r="P249" s="271">
        <f ca="1">IF(D249=12,V249+P248+P248*(F249-0.003)*0.9,IF(AND(C249=ÉV!$I$2,D249=ÉV!$J$2),V249+P248+P248*(F249-0.003)*0.9*D249/12,P248))*IF(OR(C249&gt;ÉV!$I$2,AND(C249=ÉV!$I$2,D249&gt;ÉV!$J$2)),0,1)</f>
        <v>0</v>
      </c>
      <c r="Q249" s="275">
        <f ca="1">(N249+P249)*IF(OR(AND(C249=ÉV!$I$2,D249&gt;ÉV!$J$2),C249&gt;ÉV!$I$2),0,1)</f>
        <v>0</v>
      </c>
      <c r="R249" s="271">
        <f ca="1">(MAX(0,F249-E249-0.003)*0.9*((K249+I249)*(1/12)))*IF(OR(C249&gt;ÉV!$I$2,AND(C249=ÉV!$I$2,D249&gt;ÉV!$J$2)),0,1)</f>
        <v>0</v>
      </c>
      <c r="S249" s="271">
        <f ca="1">(MAX(0,F249-0.003)*0.9*((O249)*(1/12)))*IF(OR(C249&gt;ÉV!$I$2,AND(C249=ÉV!$I$2,D249&gt;ÉV!$J$2)),0,1)</f>
        <v>0</v>
      </c>
      <c r="T249" s="271">
        <f ca="1">(MAX(0,F249-0.003)*0.9*((Q248)*(1/12)))*IF(OR(C249&gt;ÉV!$I$2,AND(C249=ÉV!$I$2,D249&gt;ÉV!$J$2)),0,1)</f>
        <v>0</v>
      </c>
      <c r="U249" s="271">
        <f ca="1">IF($D249=1,R249,R249+U248)*IF(OR(C249&gt;ÉV!$I$2,AND(C249=ÉV!$I$2,D249&gt;ÉV!$J$2)),0,1)</f>
        <v>0</v>
      </c>
      <c r="V249" s="271">
        <f ca="1">IF($D249=1,S249,S249+V248)*IF(OR(C249&gt;ÉV!$I$2,AND(C249=ÉV!$I$2,D249&gt;ÉV!$J$2)),0,1)</f>
        <v>0</v>
      </c>
      <c r="W249" s="271">
        <f ca="1">IF($D249=1,T249,T249+W248)*IF(OR(C249&gt;ÉV!$I$2,AND(C249=ÉV!$I$2,D249&gt;ÉV!$J$2)),0,1)</f>
        <v>0</v>
      </c>
      <c r="X249" s="271">
        <f ca="1">IF(OR(D249=12,AND(C249=ÉV!$I$2,D249=ÉV!$J$2)),SUM(U249:W249)+X248,X248)*IF(OR(C249&gt;ÉV!$I$2,AND(C249=ÉV!$I$2,D249&gt;ÉV!$J$2)),0,1)</f>
        <v>0</v>
      </c>
      <c r="Y249" s="271">
        <f t="shared" ca="1" si="35"/>
        <v>0</v>
      </c>
      <c r="Z249" s="265">
        <f t="shared" si="36"/>
        <v>7</v>
      </c>
      <c r="AA249" s="272">
        <f t="shared" ca="1" si="37"/>
        <v>25415.284914057891</v>
      </c>
      <c r="AB249" s="265">
        <f t="shared" ca="1" si="43"/>
        <v>2037</v>
      </c>
      <c r="AC249" s="265">
        <f t="shared" ca="1" si="44"/>
        <v>10</v>
      </c>
      <c r="AD249" s="276">
        <f ca="1">IF(     OR(               AND(MAX(AF$6:AF249)&lt;2,  AC249=12),                 AF249=2),                   SUMIF(AB:AB,AB249,AA:AA),                       0)</f>
        <v>0</v>
      </c>
      <c r="AE249" s="277">
        <f t="shared" ca="1" si="45"/>
        <v>0</v>
      </c>
      <c r="AF249" s="277">
        <f t="shared" ca="1" si="38"/>
        <v>0</v>
      </c>
      <c r="AG249" s="402">
        <f ca="1">IF(  AND(AC249=AdóHó,   MAX(AF$1:AF248)&lt;2),   SUMIF(AB:AB,AB249-1,AE:AE),0  )
+ IF(AND(AC249&lt;AdóHó,                            AF249=2),   SUMIF(AB:AB,AB249-1,AE:AE),0  )
+ IF(                                                                  AF249=2,    SUMIF(AB:AB,AB249,AE:AE   ),0  )</f>
        <v>0</v>
      </c>
      <c r="AH249" s="272">
        <f ca="1">SUM(AG$2:AG249)</f>
        <v>1002081.7025322502</v>
      </c>
    </row>
    <row r="250" spans="1:34">
      <c r="A250" s="265">
        <f t="shared" si="39"/>
        <v>21</v>
      </c>
      <c r="B250" s="265">
        <f t="shared" si="40"/>
        <v>8</v>
      </c>
      <c r="C250" s="265">
        <f t="shared" ca="1" si="41"/>
        <v>21</v>
      </c>
      <c r="D250" s="265">
        <f t="shared" ca="1" si="42"/>
        <v>11</v>
      </c>
      <c r="E250" s="266">
        <v>5.0000000000000001E-3</v>
      </c>
      <c r="F250" s="267">
        <f>ÉV!$B$12</f>
        <v>0</v>
      </c>
      <c r="G250" s="271">
        <f ca="1">VLOOKUP(A250,ÉV!$A$18:$B$65,2,0)</f>
        <v>304983.41896869469</v>
      </c>
      <c r="H250" s="271">
        <f ca="1">IF(OR(A250=1,AND(C250=ÉV!$I$2,D250&gt;ÉV!$J$2),C250&gt;ÉV!$I$2),0,INDEX(Pz!$B$2:$AM$48,A250-1,ÉV!$G$2-9)/100000*ÉV!$B$10)</f>
        <v>275478.19439636241</v>
      </c>
      <c r="I250" s="271">
        <f ca="1">INDEX(Pz!$B$2:$AM$48,HÓ!A250,ÉV!$G$2-9)/100000*ÉV!$B$10</f>
        <v>275478.19439636241</v>
      </c>
      <c r="J250" s="273">
        <f ca="1">IF(OR(A250=1,A250=2,AND(C250=ÉV!$I$2,D250&gt;ÉV!$J$2),C250&gt;ÉV!$I$2),0,VLOOKUP(A250-2,ÉV!$A$18:$C$65,3,0))</f>
        <v>4157320.2717885966</v>
      </c>
      <c r="K250" s="273">
        <f ca="1">IF(OR(A250=1,AND(C250=ÉV!$I$2,D250&gt;ÉV!$J$2),C250&gt;ÉV!$I$2),0,VLOOKUP(A250-1,ÉV!$A$18:$C$65,3,0))</f>
        <v>4438601.035860491</v>
      </c>
      <c r="L250" s="273">
        <f ca="1">VLOOKUP(A250,ÉV!$A$18:$C$65,3,0)*IF(OR(AND(C250=ÉV!$I$2,D250&gt;ÉV!$J$2),C250&gt;ÉV!$I$2),0,1)</f>
        <v>4719570.820470822</v>
      </c>
      <c r="M250" s="273">
        <f ca="1">(K250*(12-B250)/12+L250*B250/12)*IF(A250&gt;ÉV!$G$2,0,1)+IF(A250&gt;ÉV!$G$2,M249,0)*IF(OR(AND(C250=ÉV!$I$2,D250&gt;ÉV!$J$2),C250&gt;ÉV!$I$2),0,1)</f>
        <v>4625914.225600712</v>
      </c>
      <c r="N250" s="274">
        <f ca="1">IF(AND(C250=1,D250&lt;12),0,1)*IF(D250=12,MAX(0,F250-E250-0.003)*0.9*((K250+I250)*(B250/12)+(J250+H250)*(1-B250/12))+MAX(0,F250-0.003)*0.9*N249+N249,IF(AND(C250=ÉV!$I$2,D250=ÉV!$J$2),(M250+N249)*MAX(0,F250-0.003)*0.9*(D250/12)+N249,N249))*IF(OR(C250&gt;ÉV!$I$2,AND(C250=ÉV!$I$2,D250&gt;ÉV!$J$2)),0,1)</f>
        <v>0</v>
      </c>
      <c r="O250" s="313">
        <f ca="1">IF(MAX(AF$2:AF249)=2,      0,IF(OR(AC250=7, AF250=2),    SUM(AE$2:AE250),    O249)   )</f>
        <v>1002081.7025322502</v>
      </c>
      <c r="P250" s="271">
        <f ca="1">IF(D250=12,V250+P249+P249*(F250-0.003)*0.9,IF(AND(C250=ÉV!$I$2,D250=ÉV!$J$2),V250+P249+P249*(F250-0.003)*0.9*D250/12,P249))*IF(OR(C250&gt;ÉV!$I$2,AND(C250=ÉV!$I$2,D250&gt;ÉV!$J$2)),0,1)</f>
        <v>0</v>
      </c>
      <c r="Q250" s="275">
        <f ca="1">(N250+P250)*IF(OR(AND(C250=ÉV!$I$2,D250&gt;ÉV!$J$2),C250&gt;ÉV!$I$2),0,1)</f>
        <v>0</v>
      </c>
      <c r="R250" s="271">
        <f ca="1">(MAX(0,F250-E250-0.003)*0.9*((K250+I250)*(1/12)))*IF(OR(C250&gt;ÉV!$I$2,AND(C250=ÉV!$I$2,D250&gt;ÉV!$J$2)),0,1)</f>
        <v>0</v>
      </c>
      <c r="S250" s="271">
        <f ca="1">(MAX(0,F250-0.003)*0.9*((O250)*(1/12)))*IF(OR(C250&gt;ÉV!$I$2,AND(C250=ÉV!$I$2,D250&gt;ÉV!$J$2)),0,1)</f>
        <v>0</v>
      </c>
      <c r="T250" s="271">
        <f ca="1">(MAX(0,F250-0.003)*0.9*((Q249)*(1/12)))*IF(OR(C250&gt;ÉV!$I$2,AND(C250=ÉV!$I$2,D250&gt;ÉV!$J$2)),0,1)</f>
        <v>0</v>
      </c>
      <c r="U250" s="271">
        <f ca="1">IF($D250=1,R250,R250+U249)*IF(OR(C250&gt;ÉV!$I$2,AND(C250=ÉV!$I$2,D250&gt;ÉV!$J$2)),0,1)</f>
        <v>0</v>
      </c>
      <c r="V250" s="271">
        <f ca="1">IF($D250=1,S250,S250+V249)*IF(OR(C250&gt;ÉV!$I$2,AND(C250=ÉV!$I$2,D250&gt;ÉV!$J$2)),0,1)</f>
        <v>0</v>
      </c>
      <c r="W250" s="271">
        <f ca="1">IF($D250=1,T250,T250+W249)*IF(OR(C250&gt;ÉV!$I$2,AND(C250=ÉV!$I$2,D250&gt;ÉV!$J$2)),0,1)</f>
        <v>0</v>
      </c>
      <c r="X250" s="271">
        <f ca="1">IF(OR(D250=12,AND(C250=ÉV!$I$2,D250=ÉV!$J$2)),SUM(U250:W250)+X249,X249)*IF(OR(C250&gt;ÉV!$I$2,AND(C250=ÉV!$I$2,D250&gt;ÉV!$J$2)),0,1)</f>
        <v>0</v>
      </c>
      <c r="Y250" s="271">
        <f t="shared" ca="1" si="35"/>
        <v>0</v>
      </c>
      <c r="Z250" s="265">
        <f t="shared" si="36"/>
        <v>8</v>
      </c>
      <c r="AA250" s="272">
        <f t="shared" ca="1" si="37"/>
        <v>25415.284914057891</v>
      </c>
      <c r="AB250" s="265">
        <f t="shared" ca="1" si="43"/>
        <v>2037</v>
      </c>
      <c r="AC250" s="265">
        <f t="shared" ca="1" si="44"/>
        <v>11</v>
      </c>
      <c r="AD250" s="276">
        <f ca="1">IF(     OR(               AND(MAX(AF$6:AF250)&lt;2,  AC250=12),                 AF250=2),                   SUMIF(AB:AB,AB250,AA:AA),                       0)</f>
        <v>0</v>
      </c>
      <c r="AE250" s="277">
        <f t="shared" ca="1" si="45"/>
        <v>0</v>
      </c>
      <c r="AF250" s="277">
        <f t="shared" ca="1" si="38"/>
        <v>0</v>
      </c>
      <c r="AG250" s="402">
        <f ca="1">IF(  AND(AC250=AdóHó,   MAX(AF$1:AF249)&lt;2),   SUMIF(AB:AB,AB250-1,AE:AE),0  )
+ IF(AND(AC250&lt;AdóHó,                            AF250=2),   SUMIF(AB:AB,AB250-1,AE:AE),0  )
+ IF(                                                                  AF250=2,    SUMIF(AB:AB,AB250,AE:AE   ),0  )</f>
        <v>0</v>
      </c>
      <c r="AH250" s="272">
        <f ca="1">SUM(AG$2:AG250)</f>
        <v>1002081.7025322502</v>
      </c>
    </row>
    <row r="251" spans="1:34">
      <c r="A251" s="265">
        <f t="shared" si="39"/>
        <v>21</v>
      </c>
      <c r="B251" s="265">
        <f t="shared" si="40"/>
        <v>9</v>
      </c>
      <c r="C251" s="265">
        <f t="shared" ca="1" si="41"/>
        <v>21</v>
      </c>
      <c r="D251" s="265">
        <f t="shared" ca="1" si="42"/>
        <v>12</v>
      </c>
      <c r="E251" s="266">
        <v>5.0000000000000001E-3</v>
      </c>
      <c r="F251" s="267">
        <f>ÉV!$B$12</f>
        <v>0</v>
      </c>
      <c r="G251" s="271">
        <f ca="1">VLOOKUP(A251,ÉV!$A$18:$B$65,2,0)</f>
        <v>304983.41896869469</v>
      </c>
      <c r="H251" s="271">
        <f ca="1">IF(OR(A251=1,AND(C251=ÉV!$I$2,D251&gt;ÉV!$J$2),C251&gt;ÉV!$I$2),0,INDEX(Pz!$B$2:$AM$48,A251-1,ÉV!$G$2-9)/100000*ÉV!$B$10)</f>
        <v>275478.19439636241</v>
      </c>
      <c r="I251" s="271">
        <f ca="1">INDEX(Pz!$B$2:$AM$48,HÓ!A251,ÉV!$G$2-9)/100000*ÉV!$B$10</f>
        <v>275478.19439636241</v>
      </c>
      <c r="J251" s="273">
        <f ca="1">IF(OR(A251=1,A251=2,AND(C251=ÉV!$I$2,D251&gt;ÉV!$J$2),C251&gt;ÉV!$I$2),0,VLOOKUP(A251-2,ÉV!$A$18:$C$65,3,0))</f>
        <v>4157320.2717885966</v>
      </c>
      <c r="K251" s="273">
        <f ca="1">IF(OR(A251=1,AND(C251=ÉV!$I$2,D251&gt;ÉV!$J$2),C251&gt;ÉV!$I$2),0,VLOOKUP(A251-1,ÉV!$A$18:$C$65,3,0))</f>
        <v>4438601.035860491</v>
      </c>
      <c r="L251" s="273">
        <f ca="1">VLOOKUP(A251,ÉV!$A$18:$C$65,3,0)*IF(OR(AND(C251=ÉV!$I$2,D251&gt;ÉV!$J$2),C251&gt;ÉV!$I$2),0,1)</f>
        <v>4719570.820470822</v>
      </c>
      <c r="M251" s="273">
        <f ca="1">(K251*(12-B251)/12+L251*B251/12)*IF(A251&gt;ÉV!$G$2,0,1)+IF(A251&gt;ÉV!$G$2,M250,0)*IF(OR(AND(C251=ÉV!$I$2,D251&gt;ÉV!$J$2),C251&gt;ÉV!$I$2),0,1)</f>
        <v>4649328.3743182393</v>
      </c>
      <c r="N251" s="274">
        <f ca="1">IF(AND(C251=1,D251&lt;12),0,1)*IF(D251=12,MAX(0,F251-E251-0.003)*0.9*((K251+I251)*(B251/12)+(J251+H251)*(1-B251/12))+MAX(0,F251-0.003)*0.9*N250+N250,IF(AND(C251=ÉV!$I$2,D251=ÉV!$J$2),(M251+N250)*MAX(0,F251-0.003)*0.9*(D251/12)+N250,N250))*IF(OR(C251&gt;ÉV!$I$2,AND(C251=ÉV!$I$2,D251&gt;ÉV!$J$2)),0,1)</f>
        <v>0</v>
      </c>
      <c r="O251" s="313">
        <f ca="1">IF(MAX(AF$2:AF250)=2,      0,IF(OR(AC251=7, AF251=2),    SUM(AE$2:AE251),    O250)   )</f>
        <v>1002081.7025322502</v>
      </c>
      <c r="P251" s="271">
        <f ca="1">IF(D251=12,V251+P250+P250*(F251-0.003)*0.9,IF(AND(C251=ÉV!$I$2,D251=ÉV!$J$2),V251+P250+P250*(F251-0.003)*0.9*D251/12,P250))*IF(OR(C251&gt;ÉV!$I$2,AND(C251=ÉV!$I$2,D251&gt;ÉV!$J$2)),0,1)</f>
        <v>0</v>
      </c>
      <c r="Q251" s="275">
        <f ca="1">(N251+P251)*IF(OR(AND(C251=ÉV!$I$2,D251&gt;ÉV!$J$2),C251&gt;ÉV!$I$2),0,1)</f>
        <v>0</v>
      </c>
      <c r="R251" s="271">
        <f ca="1">(MAX(0,F251-E251-0.003)*0.9*((K251+I251)*(1/12)))*IF(OR(C251&gt;ÉV!$I$2,AND(C251=ÉV!$I$2,D251&gt;ÉV!$J$2)),0,1)</f>
        <v>0</v>
      </c>
      <c r="S251" s="271">
        <f ca="1">(MAX(0,F251-0.003)*0.9*((O251)*(1/12)))*IF(OR(C251&gt;ÉV!$I$2,AND(C251=ÉV!$I$2,D251&gt;ÉV!$J$2)),0,1)</f>
        <v>0</v>
      </c>
      <c r="T251" s="271">
        <f ca="1">(MAX(0,F251-0.003)*0.9*((Q250)*(1/12)))*IF(OR(C251&gt;ÉV!$I$2,AND(C251=ÉV!$I$2,D251&gt;ÉV!$J$2)),0,1)</f>
        <v>0</v>
      </c>
      <c r="U251" s="271">
        <f ca="1">IF($D251=1,R251,R251+U250)*IF(OR(C251&gt;ÉV!$I$2,AND(C251=ÉV!$I$2,D251&gt;ÉV!$J$2)),0,1)</f>
        <v>0</v>
      </c>
      <c r="V251" s="271">
        <f ca="1">IF($D251=1,S251,S251+V250)*IF(OR(C251&gt;ÉV!$I$2,AND(C251=ÉV!$I$2,D251&gt;ÉV!$J$2)),0,1)</f>
        <v>0</v>
      </c>
      <c r="W251" s="271">
        <f ca="1">IF($D251=1,T251,T251+W250)*IF(OR(C251&gt;ÉV!$I$2,AND(C251=ÉV!$I$2,D251&gt;ÉV!$J$2)),0,1)</f>
        <v>0</v>
      </c>
      <c r="X251" s="271">
        <f ca="1">IF(OR(D251=12,AND(C251=ÉV!$I$2,D251=ÉV!$J$2)),SUM(U251:W251)+X250,X250)*IF(OR(C251&gt;ÉV!$I$2,AND(C251=ÉV!$I$2,D251&gt;ÉV!$J$2)),0,1)</f>
        <v>0</v>
      </c>
      <c r="Y251" s="271">
        <f t="shared" ca="1" si="35"/>
        <v>0</v>
      </c>
      <c r="Z251" s="265">
        <f t="shared" si="36"/>
        <v>9</v>
      </c>
      <c r="AA251" s="272">
        <f t="shared" ca="1" si="37"/>
        <v>25415.284914057891</v>
      </c>
      <c r="AB251" s="265">
        <f t="shared" ca="1" si="43"/>
        <v>2037</v>
      </c>
      <c r="AC251" s="265">
        <f t="shared" ca="1" si="44"/>
        <v>12</v>
      </c>
      <c r="AD251" s="276">
        <f ca="1">IF(     OR(               AND(MAX(AF$6:AF251)&lt;2,  AC251=12),                 AF251=2),                   SUMIF(AB:AB,AB251,AA:AA),                       0)</f>
        <v>304983.41896869463</v>
      </c>
      <c r="AE251" s="277">
        <f t="shared" ca="1" si="45"/>
        <v>60996.683793738928</v>
      </c>
      <c r="AF251" s="277">
        <f t="shared" ca="1" si="38"/>
        <v>0</v>
      </c>
      <c r="AG251" s="402">
        <f ca="1">IF(  AND(AC251=AdóHó,   MAX(AF$1:AF250)&lt;2),   SUMIF(AB:AB,AB251-1,AE:AE),0  )
+ IF(AND(AC251&lt;AdóHó,                            AF251=2),   SUMIF(AB:AB,AB251-1,AE:AE),0  )
+ IF(                                                                  AF251=2,    SUMIF(AB:AB,AB251,AE:AE   ),0  )</f>
        <v>0</v>
      </c>
      <c r="AH251" s="272">
        <f ca="1">SUM(AG$2:AG251)</f>
        <v>1002081.7025322502</v>
      </c>
    </row>
    <row r="252" spans="1:34">
      <c r="A252" s="265">
        <f t="shared" si="39"/>
        <v>21</v>
      </c>
      <c r="B252" s="265">
        <f t="shared" si="40"/>
        <v>10</v>
      </c>
      <c r="C252" s="265">
        <f t="shared" ca="1" si="41"/>
        <v>22</v>
      </c>
      <c r="D252" s="265">
        <f t="shared" ca="1" si="42"/>
        <v>1</v>
      </c>
      <c r="E252" s="266">
        <v>5.0000000000000001E-3</v>
      </c>
      <c r="F252" s="267">
        <f>ÉV!$B$12</f>
        <v>0</v>
      </c>
      <c r="G252" s="271">
        <f ca="1">VLOOKUP(A252,ÉV!$A$18:$B$65,2,0)</f>
        <v>304983.41896869469</v>
      </c>
      <c r="H252" s="271">
        <f ca="1">IF(OR(A252=1,AND(C252=ÉV!$I$2,D252&gt;ÉV!$J$2),C252&gt;ÉV!$I$2),0,INDEX(Pz!$B$2:$AM$48,A252-1,ÉV!$G$2-9)/100000*ÉV!$B$10)</f>
        <v>275478.19439636241</v>
      </c>
      <c r="I252" s="271">
        <f ca="1">INDEX(Pz!$B$2:$AM$48,HÓ!A252,ÉV!$G$2-9)/100000*ÉV!$B$10</f>
        <v>275478.19439636241</v>
      </c>
      <c r="J252" s="273">
        <f ca="1">IF(OR(A252=1,A252=2,AND(C252=ÉV!$I$2,D252&gt;ÉV!$J$2),C252&gt;ÉV!$I$2),0,VLOOKUP(A252-2,ÉV!$A$18:$C$65,3,0))</f>
        <v>4157320.2717885966</v>
      </c>
      <c r="K252" s="273">
        <f ca="1">IF(OR(A252=1,AND(C252=ÉV!$I$2,D252&gt;ÉV!$J$2),C252&gt;ÉV!$I$2),0,VLOOKUP(A252-1,ÉV!$A$18:$C$65,3,0))</f>
        <v>4438601.035860491</v>
      </c>
      <c r="L252" s="273">
        <f ca="1">VLOOKUP(A252,ÉV!$A$18:$C$65,3,0)*IF(OR(AND(C252=ÉV!$I$2,D252&gt;ÉV!$J$2),C252&gt;ÉV!$I$2),0,1)</f>
        <v>4719570.820470822</v>
      </c>
      <c r="M252" s="273">
        <f ca="1">(K252*(12-B252)/12+L252*B252/12)*IF(A252&gt;ÉV!$G$2,0,1)+IF(A252&gt;ÉV!$G$2,M251,0)*IF(OR(AND(C252=ÉV!$I$2,D252&gt;ÉV!$J$2),C252&gt;ÉV!$I$2),0,1)</f>
        <v>4672742.5230357666</v>
      </c>
      <c r="N252" s="274">
        <f ca="1">IF(AND(C252=1,D252&lt;12),0,1)*IF(D252=12,MAX(0,F252-E252-0.003)*0.9*((K252+I252)*(B252/12)+(J252+H252)*(1-B252/12))+MAX(0,F252-0.003)*0.9*N251+N251,IF(AND(C252=ÉV!$I$2,D252=ÉV!$J$2),(M252+N251)*MAX(0,F252-0.003)*0.9*(D252/12)+N251,N251))*IF(OR(C252&gt;ÉV!$I$2,AND(C252=ÉV!$I$2,D252&gt;ÉV!$J$2)),0,1)</f>
        <v>0</v>
      </c>
      <c r="O252" s="313">
        <f ca="1">IF(MAX(AF$2:AF251)=2,      0,IF(OR(AC252=7, AF252=2),    SUM(AE$2:AE252),    O251)   )</f>
        <v>1002081.7025322502</v>
      </c>
      <c r="P252" s="271">
        <f ca="1">IF(D252=12,V252+P251+P251*(F252-0.003)*0.9,IF(AND(C252=ÉV!$I$2,D252=ÉV!$J$2),V252+P251+P251*(F252-0.003)*0.9*D252/12,P251))*IF(OR(C252&gt;ÉV!$I$2,AND(C252=ÉV!$I$2,D252&gt;ÉV!$J$2)),0,1)</f>
        <v>0</v>
      </c>
      <c r="Q252" s="275">
        <f ca="1">(N252+P252)*IF(OR(AND(C252=ÉV!$I$2,D252&gt;ÉV!$J$2),C252&gt;ÉV!$I$2),0,1)</f>
        <v>0</v>
      </c>
      <c r="R252" s="271">
        <f ca="1">(MAX(0,F252-E252-0.003)*0.9*((K252+I252)*(1/12)))*IF(OR(C252&gt;ÉV!$I$2,AND(C252=ÉV!$I$2,D252&gt;ÉV!$J$2)),0,1)</f>
        <v>0</v>
      </c>
      <c r="S252" s="271">
        <f ca="1">(MAX(0,F252-0.003)*0.9*((O252)*(1/12)))*IF(OR(C252&gt;ÉV!$I$2,AND(C252=ÉV!$I$2,D252&gt;ÉV!$J$2)),0,1)</f>
        <v>0</v>
      </c>
      <c r="T252" s="271">
        <f ca="1">(MAX(0,F252-0.003)*0.9*((Q251)*(1/12)))*IF(OR(C252&gt;ÉV!$I$2,AND(C252=ÉV!$I$2,D252&gt;ÉV!$J$2)),0,1)</f>
        <v>0</v>
      </c>
      <c r="U252" s="271">
        <f ca="1">IF($D252=1,R252,R252+U251)*IF(OR(C252&gt;ÉV!$I$2,AND(C252=ÉV!$I$2,D252&gt;ÉV!$J$2)),0,1)</f>
        <v>0</v>
      </c>
      <c r="V252" s="271">
        <f ca="1">IF($D252=1,S252,S252+V251)*IF(OR(C252&gt;ÉV!$I$2,AND(C252=ÉV!$I$2,D252&gt;ÉV!$J$2)),0,1)</f>
        <v>0</v>
      </c>
      <c r="W252" s="271">
        <f ca="1">IF($D252=1,T252,T252+W251)*IF(OR(C252&gt;ÉV!$I$2,AND(C252=ÉV!$I$2,D252&gt;ÉV!$J$2)),0,1)</f>
        <v>0</v>
      </c>
      <c r="X252" s="271">
        <f ca="1">IF(OR(D252=12,AND(C252=ÉV!$I$2,D252=ÉV!$J$2)),SUM(U252:W252)+X251,X251)*IF(OR(C252&gt;ÉV!$I$2,AND(C252=ÉV!$I$2,D252&gt;ÉV!$J$2)),0,1)</f>
        <v>0</v>
      </c>
      <c r="Y252" s="271">
        <f t="shared" ca="1" si="35"/>
        <v>0</v>
      </c>
      <c r="Z252" s="265">
        <f t="shared" si="36"/>
        <v>10</v>
      </c>
      <c r="AA252" s="272">
        <f t="shared" ca="1" si="37"/>
        <v>25415.284914057891</v>
      </c>
      <c r="AB252" s="265">
        <f t="shared" ca="1" si="43"/>
        <v>2038</v>
      </c>
      <c r="AC252" s="265">
        <f t="shared" ca="1" si="44"/>
        <v>1</v>
      </c>
      <c r="AD252" s="276">
        <f ca="1">IF(     OR(               AND(MAX(AF$6:AF252)&lt;2,  AC252=12),                 AF252=2),                   SUMIF(AB:AB,AB252,AA:AA),                       0)</f>
        <v>0</v>
      </c>
      <c r="AE252" s="277">
        <f t="shared" ca="1" si="45"/>
        <v>0</v>
      </c>
      <c r="AF252" s="277">
        <f t="shared" ca="1" si="38"/>
        <v>0</v>
      </c>
      <c r="AG252" s="402">
        <f ca="1">IF(  AND(AC252=AdóHó,   MAX(AF$1:AF251)&lt;2),   SUMIF(AB:AB,AB252-1,AE:AE),0  )
+ IF(AND(AC252&lt;AdóHó,                            AF252=2),   SUMIF(AB:AB,AB252-1,AE:AE),0  )
+ IF(                                                                  AF252=2,    SUMIF(AB:AB,AB252,AE:AE   ),0  )</f>
        <v>0</v>
      </c>
      <c r="AH252" s="272">
        <f ca="1">SUM(AG$2:AG252)</f>
        <v>1002081.7025322502</v>
      </c>
    </row>
    <row r="253" spans="1:34">
      <c r="A253" s="265">
        <f t="shared" si="39"/>
        <v>21</v>
      </c>
      <c r="B253" s="265">
        <f t="shared" si="40"/>
        <v>11</v>
      </c>
      <c r="C253" s="265">
        <f t="shared" ca="1" si="41"/>
        <v>22</v>
      </c>
      <c r="D253" s="265">
        <f t="shared" ca="1" si="42"/>
        <v>2</v>
      </c>
      <c r="E253" s="266">
        <v>5.0000000000000001E-3</v>
      </c>
      <c r="F253" s="267">
        <f>ÉV!$B$12</f>
        <v>0</v>
      </c>
      <c r="G253" s="271">
        <f ca="1">VLOOKUP(A253,ÉV!$A$18:$B$65,2,0)</f>
        <v>304983.41896869469</v>
      </c>
      <c r="H253" s="271">
        <f ca="1">IF(OR(A253=1,AND(C253=ÉV!$I$2,D253&gt;ÉV!$J$2),C253&gt;ÉV!$I$2),0,INDEX(Pz!$B$2:$AM$48,A253-1,ÉV!$G$2-9)/100000*ÉV!$B$10)</f>
        <v>275478.19439636241</v>
      </c>
      <c r="I253" s="271">
        <f ca="1">INDEX(Pz!$B$2:$AM$48,HÓ!A253,ÉV!$G$2-9)/100000*ÉV!$B$10</f>
        <v>275478.19439636241</v>
      </c>
      <c r="J253" s="273">
        <f ca="1">IF(OR(A253=1,A253=2,AND(C253=ÉV!$I$2,D253&gt;ÉV!$J$2),C253&gt;ÉV!$I$2),0,VLOOKUP(A253-2,ÉV!$A$18:$C$65,3,0))</f>
        <v>4157320.2717885966</v>
      </c>
      <c r="K253" s="273">
        <f ca="1">IF(OR(A253=1,AND(C253=ÉV!$I$2,D253&gt;ÉV!$J$2),C253&gt;ÉV!$I$2),0,VLOOKUP(A253-1,ÉV!$A$18:$C$65,3,0))</f>
        <v>4438601.035860491</v>
      </c>
      <c r="L253" s="273">
        <f ca="1">VLOOKUP(A253,ÉV!$A$18:$C$65,3,0)*IF(OR(AND(C253=ÉV!$I$2,D253&gt;ÉV!$J$2),C253&gt;ÉV!$I$2),0,1)</f>
        <v>4719570.820470822</v>
      </c>
      <c r="M253" s="273">
        <f ca="1">(K253*(12-B253)/12+L253*B253/12)*IF(A253&gt;ÉV!$G$2,0,1)+IF(A253&gt;ÉV!$G$2,M252,0)*IF(OR(AND(C253=ÉV!$I$2,D253&gt;ÉV!$J$2),C253&gt;ÉV!$I$2),0,1)</f>
        <v>4696156.6717532948</v>
      </c>
      <c r="N253" s="274">
        <f ca="1">IF(AND(C253=1,D253&lt;12),0,1)*IF(D253=12,MAX(0,F253-E253-0.003)*0.9*((K253+I253)*(B253/12)+(J253+H253)*(1-B253/12))+MAX(0,F253-0.003)*0.9*N252+N252,IF(AND(C253=ÉV!$I$2,D253=ÉV!$J$2),(M253+N252)*MAX(0,F253-0.003)*0.9*(D253/12)+N252,N252))*IF(OR(C253&gt;ÉV!$I$2,AND(C253=ÉV!$I$2,D253&gt;ÉV!$J$2)),0,1)</f>
        <v>0</v>
      </c>
      <c r="O253" s="313">
        <f ca="1">IF(MAX(AF$2:AF252)=2,      0,IF(OR(AC253=7, AF253=2),    SUM(AE$2:AE253),    O252)   )</f>
        <v>1002081.7025322502</v>
      </c>
      <c r="P253" s="271">
        <f ca="1">IF(D253=12,V253+P252+P252*(F253-0.003)*0.9,IF(AND(C253=ÉV!$I$2,D253=ÉV!$J$2),V253+P252+P252*(F253-0.003)*0.9*D253/12,P252))*IF(OR(C253&gt;ÉV!$I$2,AND(C253=ÉV!$I$2,D253&gt;ÉV!$J$2)),0,1)</f>
        <v>0</v>
      </c>
      <c r="Q253" s="275">
        <f ca="1">(N253+P253)*IF(OR(AND(C253=ÉV!$I$2,D253&gt;ÉV!$J$2),C253&gt;ÉV!$I$2),0,1)</f>
        <v>0</v>
      </c>
      <c r="R253" s="271">
        <f ca="1">(MAX(0,F253-E253-0.003)*0.9*((K253+I253)*(1/12)))*IF(OR(C253&gt;ÉV!$I$2,AND(C253=ÉV!$I$2,D253&gt;ÉV!$J$2)),0,1)</f>
        <v>0</v>
      </c>
      <c r="S253" s="271">
        <f ca="1">(MAX(0,F253-0.003)*0.9*((O253)*(1/12)))*IF(OR(C253&gt;ÉV!$I$2,AND(C253=ÉV!$I$2,D253&gt;ÉV!$J$2)),0,1)</f>
        <v>0</v>
      </c>
      <c r="T253" s="271">
        <f ca="1">(MAX(0,F253-0.003)*0.9*((Q252)*(1/12)))*IF(OR(C253&gt;ÉV!$I$2,AND(C253=ÉV!$I$2,D253&gt;ÉV!$J$2)),0,1)</f>
        <v>0</v>
      </c>
      <c r="U253" s="271">
        <f ca="1">IF($D253=1,R253,R253+U252)*IF(OR(C253&gt;ÉV!$I$2,AND(C253=ÉV!$I$2,D253&gt;ÉV!$J$2)),0,1)</f>
        <v>0</v>
      </c>
      <c r="V253" s="271">
        <f ca="1">IF($D253=1,S253,S253+V252)*IF(OR(C253&gt;ÉV!$I$2,AND(C253=ÉV!$I$2,D253&gt;ÉV!$J$2)),0,1)</f>
        <v>0</v>
      </c>
      <c r="W253" s="271">
        <f ca="1">IF($D253=1,T253,T253+W252)*IF(OR(C253&gt;ÉV!$I$2,AND(C253=ÉV!$I$2,D253&gt;ÉV!$J$2)),0,1)</f>
        <v>0</v>
      </c>
      <c r="X253" s="271">
        <f ca="1">IF(OR(D253=12,AND(C253=ÉV!$I$2,D253=ÉV!$J$2)),SUM(U253:W253)+X252,X252)*IF(OR(C253&gt;ÉV!$I$2,AND(C253=ÉV!$I$2,D253&gt;ÉV!$J$2)),0,1)</f>
        <v>0</v>
      </c>
      <c r="Y253" s="271">
        <f t="shared" ca="1" si="35"/>
        <v>0</v>
      </c>
      <c r="Z253" s="265">
        <f t="shared" si="36"/>
        <v>11</v>
      </c>
      <c r="AA253" s="272">
        <f t="shared" ca="1" si="37"/>
        <v>25415.284914057891</v>
      </c>
      <c r="AB253" s="265">
        <f t="shared" ca="1" si="43"/>
        <v>2038</v>
      </c>
      <c r="AC253" s="265">
        <f t="shared" ca="1" si="44"/>
        <v>2</v>
      </c>
      <c r="AD253" s="276">
        <f ca="1">IF(     OR(               AND(MAX(AF$6:AF253)&lt;2,  AC253=12),                 AF253=2),                   SUMIF(AB:AB,AB253,AA:AA),                       0)</f>
        <v>0</v>
      </c>
      <c r="AE253" s="277">
        <f t="shared" ca="1" si="45"/>
        <v>0</v>
      </c>
      <c r="AF253" s="277">
        <f t="shared" ca="1" si="38"/>
        <v>0</v>
      </c>
      <c r="AG253" s="402">
        <f ca="1">IF(  AND(AC253=AdóHó,   MAX(AF$1:AF252)&lt;2),   SUMIF(AB:AB,AB253-1,AE:AE),0  )
+ IF(AND(AC253&lt;AdóHó,                            AF253=2),   SUMIF(AB:AB,AB253-1,AE:AE),0  )
+ IF(                                                                  AF253=2,    SUMIF(AB:AB,AB253,AE:AE   ),0  )</f>
        <v>0</v>
      </c>
      <c r="AH253" s="272">
        <f ca="1">SUM(AG$2:AG253)</f>
        <v>1002081.7025322502</v>
      </c>
    </row>
    <row r="254" spans="1:34">
      <c r="A254" s="265">
        <f t="shared" si="39"/>
        <v>21</v>
      </c>
      <c r="B254" s="265">
        <f t="shared" si="40"/>
        <v>12</v>
      </c>
      <c r="C254" s="265">
        <f t="shared" ca="1" si="41"/>
        <v>22</v>
      </c>
      <c r="D254" s="265">
        <f t="shared" ca="1" si="42"/>
        <v>3</v>
      </c>
      <c r="E254" s="266">
        <v>5.0000000000000001E-3</v>
      </c>
      <c r="F254" s="267">
        <f>ÉV!$B$12</f>
        <v>0</v>
      </c>
      <c r="G254" s="271">
        <f ca="1">VLOOKUP(A254,ÉV!$A$18:$B$65,2,0)</f>
        <v>304983.41896869469</v>
      </c>
      <c r="H254" s="271">
        <f ca="1">IF(OR(A254=1,AND(C254=ÉV!$I$2,D254&gt;ÉV!$J$2),C254&gt;ÉV!$I$2),0,INDEX(Pz!$B$2:$AM$48,A254-1,ÉV!$G$2-9)/100000*ÉV!$B$10)</f>
        <v>275478.19439636241</v>
      </c>
      <c r="I254" s="271">
        <f ca="1">INDEX(Pz!$B$2:$AM$48,HÓ!A254,ÉV!$G$2-9)/100000*ÉV!$B$10</f>
        <v>275478.19439636241</v>
      </c>
      <c r="J254" s="273">
        <f ca="1">IF(OR(A254=1,A254=2,AND(C254=ÉV!$I$2,D254&gt;ÉV!$J$2),C254&gt;ÉV!$I$2),0,VLOOKUP(A254-2,ÉV!$A$18:$C$65,3,0))</f>
        <v>4157320.2717885966</v>
      </c>
      <c r="K254" s="273">
        <f ca="1">IF(OR(A254=1,AND(C254=ÉV!$I$2,D254&gt;ÉV!$J$2),C254&gt;ÉV!$I$2),0,VLOOKUP(A254-1,ÉV!$A$18:$C$65,3,0))</f>
        <v>4438601.035860491</v>
      </c>
      <c r="L254" s="273">
        <f ca="1">VLOOKUP(A254,ÉV!$A$18:$C$65,3,0)*IF(OR(AND(C254=ÉV!$I$2,D254&gt;ÉV!$J$2),C254&gt;ÉV!$I$2),0,1)</f>
        <v>4719570.820470822</v>
      </c>
      <c r="M254" s="273">
        <f ca="1">(K254*(12-B254)/12+L254*B254/12)*IF(A254&gt;ÉV!$G$2,0,1)+IF(A254&gt;ÉV!$G$2,M253,0)*IF(OR(AND(C254=ÉV!$I$2,D254&gt;ÉV!$J$2),C254&gt;ÉV!$I$2),0,1)</f>
        <v>4719570.820470822</v>
      </c>
      <c r="N254" s="274">
        <f ca="1">IF(AND(C254=1,D254&lt;12),0,1)*IF(D254=12,MAX(0,F254-E254-0.003)*0.9*((K254+I254)*(B254/12)+(J254+H254)*(1-B254/12))+MAX(0,F254-0.003)*0.9*N253+N253,IF(AND(C254=ÉV!$I$2,D254=ÉV!$J$2),(M254+N253)*MAX(0,F254-0.003)*0.9*(D254/12)+N253,N253))*IF(OR(C254&gt;ÉV!$I$2,AND(C254=ÉV!$I$2,D254&gt;ÉV!$J$2)),0,1)</f>
        <v>0</v>
      </c>
      <c r="O254" s="313">
        <f ca="1">IF(MAX(AF$2:AF253)=2,      0,IF(OR(AC254=7, AF254=2),    SUM(AE$2:AE254),    O253)   )</f>
        <v>1002081.7025322502</v>
      </c>
      <c r="P254" s="271">
        <f ca="1">IF(D254=12,V254+P253+P253*(F254-0.003)*0.9,IF(AND(C254=ÉV!$I$2,D254=ÉV!$J$2),V254+P253+P253*(F254-0.003)*0.9*D254/12,P253))*IF(OR(C254&gt;ÉV!$I$2,AND(C254=ÉV!$I$2,D254&gt;ÉV!$J$2)),0,1)</f>
        <v>0</v>
      </c>
      <c r="Q254" s="275">
        <f ca="1">(N254+P254)*IF(OR(AND(C254=ÉV!$I$2,D254&gt;ÉV!$J$2),C254&gt;ÉV!$I$2),0,1)</f>
        <v>0</v>
      </c>
      <c r="R254" s="271">
        <f ca="1">(MAX(0,F254-E254-0.003)*0.9*((K254+I254)*(1/12)))*IF(OR(C254&gt;ÉV!$I$2,AND(C254=ÉV!$I$2,D254&gt;ÉV!$J$2)),0,1)</f>
        <v>0</v>
      </c>
      <c r="S254" s="271">
        <f ca="1">(MAX(0,F254-0.003)*0.9*((O254)*(1/12)))*IF(OR(C254&gt;ÉV!$I$2,AND(C254=ÉV!$I$2,D254&gt;ÉV!$J$2)),0,1)</f>
        <v>0</v>
      </c>
      <c r="T254" s="271">
        <f ca="1">(MAX(0,F254-0.003)*0.9*((Q253)*(1/12)))*IF(OR(C254&gt;ÉV!$I$2,AND(C254=ÉV!$I$2,D254&gt;ÉV!$J$2)),0,1)</f>
        <v>0</v>
      </c>
      <c r="U254" s="271">
        <f ca="1">IF($D254=1,R254,R254+U253)*IF(OR(C254&gt;ÉV!$I$2,AND(C254=ÉV!$I$2,D254&gt;ÉV!$J$2)),0,1)</f>
        <v>0</v>
      </c>
      <c r="V254" s="271">
        <f ca="1">IF($D254=1,S254,S254+V253)*IF(OR(C254&gt;ÉV!$I$2,AND(C254=ÉV!$I$2,D254&gt;ÉV!$J$2)),0,1)</f>
        <v>0</v>
      </c>
      <c r="W254" s="271">
        <f ca="1">IF($D254=1,T254,T254+W253)*IF(OR(C254&gt;ÉV!$I$2,AND(C254=ÉV!$I$2,D254&gt;ÉV!$J$2)),0,1)</f>
        <v>0</v>
      </c>
      <c r="X254" s="271">
        <f ca="1">IF(OR(D254=12,AND(C254=ÉV!$I$2,D254=ÉV!$J$2)),SUM(U254:W254)+X253,X253)*IF(OR(C254&gt;ÉV!$I$2,AND(C254=ÉV!$I$2,D254&gt;ÉV!$J$2)),0,1)</f>
        <v>0</v>
      </c>
      <c r="Y254" s="271">
        <f t="shared" ca="1" si="35"/>
        <v>0</v>
      </c>
      <c r="Z254" s="265">
        <f t="shared" si="36"/>
        <v>12</v>
      </c>
      <c r="AA254" s="272">
        <f t="shared" ca="1" si="37"/>
        <v>25415.284914057891</v>
      </c>
      <c r="AB254" s="265">
        <f t="shared" ca="1" si="43"/>
        <v>2038</v>
      </c>
      <c r="AC254" s="265">
        <f t="shared" ca="1" si="44"/>
        <v>3</v>
      </c>
      <c r="AD254" s="276">
        <f ca="1">IF(     OR(               AND(MAX(AF$6:AF254)&lt;2,  AC254=12),                 AF254=2),                   SUMIF(AB:AB,AB254,AA:AA),                       0)</f>
        <v>0</v>
      </c>
      <c r="AE254" s="277">
        <f t="shared" ca="1" si="45"/>
        <v>0</v>
      </c>
      <c r="AF254" s="277">
        <f t="shared" ca="1" si="38"/>
        <v>0</v>
      </c>
      <c r="AG254" s="402">
        <f ca="1">IF(  AND(AC254=AdóHó,   MAX(AF$1:AF253)&lt;2),   SUMIF(AB:AB,AB254-1,AE:AE),0  )
+ IF(AND(AC254&lt;AdóHó,                            AF254=2),   SUMIF(AB:AB,AB254-1,AE:AE),0  )
+ IF(                                                                  AF254=2,    SUMIF(AB:AB,AB254,AE:AE   ),0  )</f>
        <v>0</v>
      </c>
      <c r="AH254" s="272">
        <f ca="1">SUM(AG$2:AG254)</f>
        <v>1002081.7025322502</v>
      </c>
    </row>
    <row r="255" spans="1:34">
      <c r="A255" s="265">
        <f t="shared" si="39"/>
        <v>22</v>
      </c>
      <c r="B255" s="265">
        <f t="shared" si="40"/>
        <v>1</v>
      </c>
      <c r="C255" s="265">
        <f t="shared" ca="1" si="41"/>
        <v>22</v>
      </c>
      <c r="D255" s="265">
        <f t="shared" ca="1" si="42"/>
        <v>4</v>
      </c>
      <c r="E255" s="266">
        <v>5.0000000000000001E-3</v>
      </c>
      <c r="F255" s="267">
        <f>ÉV!$B$12</f>
        <v>0</v>
      </c>
      <c r="G255" s="271">
        <f ca="1">VLOOKUP(A255,ÉV!$A$18:$B$65,2,0)</f>
        <v>304983.41896869469</v>
      </c>
      <c r="H255" s="271">
        <f ca="1">IF(OR(A255=1,AND(C255=ÉV!$I$2,D255&gt;ÉV!$J$2),C255&gt;ÉV!$I$2),0,INDEX(Pz!$B$2:$AM$48,A255-1,ÉV!$G$2-9)/100000*ÉV!$B$10)</f>
        <v>275478.19439636241</v>
      </c>
      <c r="I255" s="271">
        <f ca="1">INDEX(Pz!$B$2:$AM$48,HÓ!A255,ÉV!$G$2-9)/100000*ÉV!$B$10</f>
        <v>275478.19439636241</v>
      </c>
      <c r="J255" s="273">
        <f ca="1">IF(OR(A255=1,A255=2,AND(C255=ÉV!$I$2,D255&gt;ÉV!$J$2),C255&gt;ÉV!$I$2),0,VLOOKUP(A255-2,ÉV!$A$18:$C$65,3,0))</f>
        <v>4438601.035860491</v>
      </c>
      <c r="K255" s="273">
        <f ca="1">IF(OR(A255=1,AND(C255=ÉV!$I$2,D255&gt;ÉV!$J$2),C255&gt;ÉV!$I$2),0,VLOOKUP(A255-1,ÉV!$A$18:$C$65,3,0))</f>
        <v>4719570.820470822</v>
      </c>
      <c r="L255" s="273">
        <f ca="1">VLOOKUP(A255,ÉV!$A$18:$C$65,3,0)*IF(OR(AND(C255=ÉV!$I$2,D255&gt;ÉV!$J$2),C255&gt;ÉV!$I$2),0,1)</f>
        <v>4999999.9999999981</v>
      </c>
      <c r="M255" s="273">
        <f ca="1">(K255*(12-B255)/12+L255*B255/12)*IF(A255&gt;ÉV!$G$2,0,1)+IF(A255&gt;ÉV!$G$2,M254,0)*IF(OR(AND(C255=ÉV!$I$2,D255&gt;ÉV!$J$2),C255&gt;ÉV!$I$2),0,1)</f>
        <v>4742939.9187649209</v>
      </c>
      <c r="N255" s="274">
        <f ca="1">IF(AND(C255=1,D255&lt;12),0,1)*IF(D255=12,MAX(0,F255-E255-0.003)*0.9*((K255+I255)*(B255/12)+(J255+H255)*(1-B255/12))+MAX(0,F255-0.003)*0.9*N254+N254,IF(AND(C255=ÉV!$I$2,D255=ÉV!$J$2),(M255+N254)*MAX(0,F255-0.003)*0.9*(D255/12)+N254,N254))*IF(OR(C255&gt;ÉV!$I$2,AND(C255=ÉV!$I$2,D255&gt;ÉV!$J$2)),0,1)</f>
        <v>0</v>
      </c>
      <c r="O255" s="313">
        <f ca="1">IF(MAX(AF$2:AF254)=2,      0,IF(OR(AC255=7, AF255=2),    SUM(AE$2:AE255),    O254)   )</f>
        <v>1002081.7025322502</v>
      </c>
      <c r="P255" s="271">
        <f ca="1">IF(D255=12,V255+P254+P254*(F255-0.003)*0.9,IF(AND(C255=ÉV!$I$2,D255=ÉV!$J$2),V255+P254+P254*(F255-0.003)*0.9*D255/12,P254))*IF(OR(C255&gt;ÉV!$I$2,AND(C255=ÉV!$I$2,D255&gt;ÉV!$J$2)),0,1)</f>
        <v>0</v>
      </c>
      <c r="Q255" s="275">
        <f ca="1">(N255+P255)*IF(OR(AND(C255=ÉV!$I$2,D255&gt;ÉV!$J$2),C255&gt;ÉV!$I$2),0,1)</f>
        <v>0</v>
      </c>
      <c r="R255" s="271">
        <f ca="1">(MAX(0,F255-E255-0.003)*0.9*((K255+I255)*(1/12)))*IF(OR(C255&gt;ÉV!$I$2,AND(C255=ÉV!$I$2,D255&gt;ÉV!$J$2)),0,1)</f>
        <v>0</v>
      </c>
      <c r="S255" s="271">
        <f ca="1">(MAX(0,F255-0.003)*0.9*((O255)*(1/12)))*IF(OR(C255&gt;ÉV!$I$2,AND(C255=ÉV!$I$2,D255&gt;ÉV!$J$2)),0,1)</f>
        <v>0</v>
      </c>
      <c r="T255" s="271">
        <f ca="1">(MAX(0,F255-0.003)*0.9*((Q254)*(1/12)))*IF(OR(C255&gt;ÉV!$I$2,AND(C255=ÉV!$I$2,D255&gt;ÉV!$J$2)),0,1)</f>
        <v>0</v>
      </c>
      <c r="U255" s="271">
        <f ca="1">IF($D255=1,R255,R255+U254)*IF(OR(C255&gt;ÉV!$I$2,AND(C255=ÉV!$I$2,D255&gt;ÉV!$J$2)),0,1)</f>
        <v>0</v>
      </c>
      <c r="V255" s="271">
        <f ca="1">IF($D255=1,S255,S255+V254)*IF(OR(C255&gt;ÉV!$I$2,AND(C255=ÉV!$I$2,D255&gt;ÉV!$J$2)),0,1)</f>
        <v>0</v>
      </c>
      <c r="W255" s="271">
        <f ca="1">IF($D255=1,T255,T255+W254)*IF(OR(C255&gt;ÉV!$I$2,AND(C255=ÉV!$I$2,D255&gt;ÉV!$J$2)),0,1)</f>
        <v>0</v>
      </c>
      <c r="X255" s="271">
        <f ca="1">IF(OR(D255=12,AND(C255=ÉV!$I$2,D255=ÉV!$J$2)),SUM(U255:W255)+X254,X254)*IF(OR(C255&gt;ÉV!$I$2,AND(C255=ÉV!$I$2,D255&gt;ÉV!$J$2)),0,1)</f>
        <v>0</v>
      </c>
      <c r="Y255" s="271">
        <f t="shared" ca="1" si="35"/>
        <v>0</v>
      </c>
      <c r="Z255" s="265">
        <f t="shared" si="36"/>
        <v>1</v>
      </c>
      <c r="AA255" s="272">
        <f t="shared" ca="1" si="37"/>
        <v>25415.284914057891</v>
      </c>
      <c r="AB255" s="265">
        <f t="shared" ca="1" si="43"/>
        <v>2038</v>
      </c>
      <c r="AC255" s="265">
        <f t="shared" ca="1" si="44"/>
        <v>4</v>
      </c>
      <c r="AD255" s="276">
        <f ca="1">IF(     OR(               AND(MAX(AF$6:AF255)&lt;2,  AC255=12),                 AF255=2),                   SUMIF(AB:AB,AB255,AA:AA),                       0)</f>
        <v>0</v>
      </c>
      <c r="AE255" s="277">
        <f t="shared" ca="1" si="45"/>
        <v>0</v>
      </c>
      <c r="AF255" s="277">
        <f t="shared" ca="1" si="38"/>
        <v>0</v>
      </c>
      <c r="AG255" s="402">
        <f ca="1">IF(  AND(AC255=AdóHó,   MAX(AF$1:AF254)&lt;2),   SUMIF(AB:AB,AB255-1,AE:AE),0  )
+ IF(AND(AC255&lt;AdóHó,                            AF255=2),   SUMIF(AB:AB,AB255-1,AE:AE),0  )
+ IF(                                                                  AF255=2,    SUMIF(AB:AB,AB255,AE:AE   ),0  )</f>
        <v>0</v>
      </c>
      <c r="AH255" s="272">
        <f ca="1">SUM(AG$2:AG255)</f>
        <v>1002081.7025322502</v>
      </c>
    </row>
    <row r="256" spans="1:34">
      <c r="A256" s="265">
        <f t="shared" si="39"/>
        <v>22</v>
      </c>
      <c r="B256" s="265">
        <f t="shared" si="40"/>
        <v>2</v>
      </c>
      <c r="C256" s="265">
        <f t="shared" ca="1" si="41"/>
        <v>22</v>
      </c>
      <c r="D256" s="265">
        <f t="shared" ca="1" si="42"/>
        <v>5</v>
      </c>
      <c r="E256" s="266">
        <v>5.0000000000000001E-3</v>
      </c>
      <c r="F256" s="267">
        <f>ÉV!$B$12</f>
        <v>0</v>
      </c>
      <c r="G256" s="271">
        <f ca="1">VLOOKUP(A256,ÉV!$A$18:$B$65,2,0)</f>
        <v>304983.41896869469</v>
      </c>
      <c r="H256" s="271">
        <f ca="1">IF(OR(A256=1,AND(C256=ÉV!$I$2,D256&gt;ÉV!$J$2),C256&gt;ÉV!$I$2),0,INDEX(Pz!$B$2:$AM$48,A256-1,ÉV!$G$2-9)/100000*ÉV!$B$10)</f>
        <v>275478.19439636241</v>
      </c>
      <c r="I256" s="271">
        <f ca="1">INDEX(Pz!$B$2:$AM$48,HÓ!A256,ÉV!$G$2-9)/100000*ÉV!$B$10</f>
        <v>275478.19439636241</v>
      </c>
      <c r="J256" s="273">
        <f ca="1">IF(OR(A256=1,A256=2,AND(C256=ÉV!$I$2,D256&gt;ÉV!$J$2),C256&gt;ÉV!$I$2),0,VLOOKUP(A256-2,ÉV!$A$18:$C$65,3,0))</f>
        <v>4438601.035860491</v>
      </c>
      <c r="K256" s="273">
        <f ca="1">IF(OR(A256=1,AND(C256=ÉV!$I$2,D256&gt;ÉV!$J$2),C256&gt;ÉV!$I$2),0,VLOOKUP(A256-1,ÉV!$A$18:$C$65,3,0))</f>
        <v>4719570.820470822</v>
      </c>
      <c r="L256" s="273">
        <f ca="1">VLOOKUP(A256,ÉV!$A$18:$C$65,3,0)*IF(OR(AND(C256=ÉV!$I$2,D256&gt;ÉV!$J$2),C256&gt;ÉV!$I$2),0,1)</f>
        <v>4999999.9999999981</v>
      </c>
      <c r="M256" s="273">
        <f ca="1">(K256*(12-B256)/12+L256*B256/12)*IF(A256&gt;ÉV!$G$2,0,1)+IF(A256&gt;ÉV!$G$2,M255,0)*IF(OR(AND(C256=ÉV!$I$2,D256&gt;ÉV!$J$2),C256&gt;ÉV!$I$2),0,1)</f>
        <v>4766309.0170590179</v>
      </c>
      <c r="N256" s="274">
        <f ca="1">IF(AND(C256=1,D256&lt;12),0,1)*IF(D256=12,MAX(0,F256-E256-0.003)*0.9*((K256+I256)*(B256/12)+(J256+H256)*(1-B256/12))+MAX(0,F256-0.003)*0.9*N255+N255,IF(AND(C256=ÉV!$I$2,D256=ÉV!$J$2),(M256+N255)*MAX(0,F256-0.003)*0.9*(D256/12)+N255,N255))*IF(OR(C256&gt;ÉV!$I$2,AND(C256=ÉV!$I$2,D256&gt;ÉV!$J$2)),0,1)</f>
        <v>0</v>
      </c>
      <c r="O256" s="313">
        <f ca="1">IF(MAX(AF$2:AF255)=2,      0,IF(OR(AC256=7, AF256=2),    SUM(AE$2:AE256),    O255)   )</f>
        <v>1002081.7025322502</v>
      </c>
      <c r="P256" s="271">
        <f ca="1">IF(D256=12,V256+P255+P255*(F256-0.003)*0.9,IF(AND(C256=ÉV!$I$2,D256=ÉV!$J$2),V256+P255+P255*(F256-0.003)*0.9*D256/12,P255))*IF(OR(C256&gt;ÉV!$I$2,AND(C256=ÉV!$I$2,D256&gt;ÉV!$J$2)),0,1)</f>
        <v>0</v>
      </c>
      <c r="Q256" s="275">
        <f ca="1">(N256+P256)*IF(OR(AND(C256=ÉV!$I$2,D256&gt;ÉV!$J$2),C256&gt;ÉV!$I$2),0,1)</f>
        <v>0</v>
      </c>
      <c r="R256" s="271">
        <f ca="1">(MAX(0,F256-E256-0.003)*0.9*((K256+I256)*(1/12)))*IF(OR(C256&gt;ÉV!$I$2,AND(C256=ÉV!$I$2,D256&gt;ÉV!$J$2)),0,1)</f>
        <v>0</v>
      </c>
      <c r="S256" s="271">
        <f ca="1">(MAX(0,F256-0.003)*0.9*((O256)*(1/12)))*IF(OR(C256&gt;ÉV!$I$2,AND(C256=ÉV!$I$2,D256&gt;ÉV!$J$2)),0,1)</f>
        <v>0</v>
      </c>
      <c r="T256" s="271">
        <f ca="1">(MAX(0,F256-0.003)*0.9*((Q255)*(1/12)))*IF(OR(C256&gt;ÉV!$I$2,AND(C256=ÉV!$I$2,D256&gt;ÉV!$J$2)),0,1)</f>
        <v>0</v>
      </c>
      <c r="U256" s="271">
        <f ca="1">IF($D256=1,R256,R256+U255)*IF(OR(C256&gt;ÉV!$I$2,AND(C256=ÉV!$I$2,D256&gt;ÉV!$J$2)),0,1)</f>
        <v>0</v>
      </c>
      <c r="V256" s="271">
        <f ca="1">IF($D256=1,S256,S256+V255)*IF(OR(C256&gt;ÉV!$I$2,AND(C256=ÉV!$I$2,D256&gt;ÉV!$J$2)),0,1)</f>
        <v>0</v>
      </c>
      <c r="W256" s="271">
        <f ca="1">IF($D256=1,T256,T256+W255)*IF(OR(C256&gt;ÉV!$I$2,AND(C256=ÉV!$I$2,D256&gt;ÉV!$J$2)),0,1)</f>
        <v>0</v>
      </c>
      <c r="X256" s="271">
        <f ca="1">IF(OR(D256=12,AND(C256=ÉV!$I$2,D256=ÉV!$J$2)),SUM(U256:W256)+X255,X255)*IF(OR(C256&gt;ÉV!$I$2,AND(C256=ÉV!$I$2,D256&gt;ÉV!$J$2)),0,1)</f>
        <v>0</v>
      </c>
      <c r="Y256" s="271">
        <f t="shared" ca="1" si="35"/>
        <v>0</v>
      </c>
      <c r="Z256" s="265">
        <f t="shared" si="36"/>
        <v>2</v>
      </c>
      <c r="AA256" s="272">
        <f t="shared" ca="1" si="37"/>
        <v>25415.284914057891</v>
      </c>
      <c r="AB256" s="265">
        <f t="shared" ca="1" si="43"/>
        <v>2038</v>
      </c>
      <c r="AC256" s="265">
        <f t="shared" ca="1" si="44"/>
        <v>5</v>
      </c>
      <c r="AD256" s="276">
        <f ca="1">IF(     OR(               AND(MAX(AF$6:AF256)&lt;2,  AC256=12),                 AF256=2),                   SUMIF(AB:AB,AB256,AA:AA),                       0)</f>
        <v>0</v>
      </c>
      <c r="AE256" s="277">
        <f t="shared" ca="1" si="45"/>
        <v>0</v>
      </c>
      <c r="AF256" s="277">
        <f t="shared" ca="1" si="38"/>
        <v>0</v>
      </c>
      <c r="AG256" s="402">
        <f ca="1">IF(  AND(AC256=AdóHó,   MAX(AF$1:AF255)&lt;2),   SUMIF(AB:AB,AB256-1,AE:AE),0  )
+ IF(AND(AC256&lt;AdóHó,                            AF256=2),   SUMIF(AB:AB,AB256-1,AE:AE),0  )
+ IF(                                                                  AF256=2,    SUMIF(AB:AB,AB256,AE:AE   ),0  )</f>
        <v>0</v>
      </c>
      <c r="AH256" s="272">
        <f ca="1">SUM(AG$2:AG256)</f>
        <v>1002081.7025322502</v>
      </c>
    </row>
    <row r="257" spans="1:34">
      <c r="A257" s="265">
        <f t="shared" si="39"/>
        <v>22</v>
      </c>
      <c r="B257" s="265">
        <f t="shared" si="40"/>
        <v>3</v>
      </c>
      <c r="C257" s="265">
        <f t="shared" ca="1" si="41"/>
        <v>22</v>
      </c>
      <c r="D257" s="265">
        <f t="shared" ca="1" si="42"/>
        <v>6</v>
      </c>
      <c r="E257" s="266">
        <v>5.0000000000000001E-3</v>
      </c>
      <c r="F257" s="267">
        <f>ÉV!$B$12</f>
        <v>0</v>
      </c>
      <c r="G257" s="271">
        <f ca="1">VLOOKUP(A257,ÉV!$A$18:$B$65,2,0)</f>
        <v>304983.41896869469</v>
      </c>
      <c r="H257" s="271">
        <f ca="1">IF(OR(A257=1,AND(C257=ÉV!$I$2,D257&gt;ÉV!$J$2),C257&gt;ÉV!$I$2),0,INDEX(Pz!$B$2:$AM$48,A257-1,ÉV!$G$2-9)/100000*ÉV!$B$10)</f>
        <v>275478.19439636241</v>
      </c>
      <c r="I257" s="271">
        <f ca="1">INDEX(Pz!$B$2:$AM$48,HÓ!A257,ÉV!$G$2-9)/100000*ÉV!$B$10</f>
        <v>275478.19439636241</v>
      </c>
      <c r="J257" s="273">
        <f ca="1">IF(OR(A257=1,A257=2,AND(C257=ÉV!$I$2,D257&gt;ÉV!$J$2),C257&gt;ÉV!$I$2),0,VLOOKUP(A257-2,ÉV!$A$18:$C$65,3,0))</f>
        <v>4438601.035860491</v>
      </c>
      <c r="K257" s="273">
        <f ca="1">IF(OR(A257=1,AND(C257=ÉV!$I$2,D257&gt;ÉV!$J$2),C257&gt;ÉV!$I$2),0,VLOOKUP(A257-1,ÉV!$A$18:$C$65,3,0))</f>
        <v>4719570.820470822</v>
      </c>
      <c r="L257" s="273">
        <f ca="1">VLOOKUP(A257,ÉV!$A$18:$C$65,3,0)*IF(OR(AND(C257=ÉV!$I$2,D257&gt;ÉV!$J$2),C257&gt;ÉV!$I$2),0,1)</f>
        <v>4999999.9999999981</v>
      </c>
      <c r="M257" s="273">
        <f ca="1">(K257*(12-B257)/12+L257*B257/12)*IF(A257&gt;ÉV!$G$2,0,1)+IF(A257&gt;ÉV!$G$2,M256,0)*IF(OR(AND(C257=ÉV!$I$2,D257&gt;ÉV!$J$2),C257&gt;ÉV!$I$2),0,1)</f>
        <v>4789678.1153531168</v>
      </c>
      <c r="N257" s="274">
        <f ca="1">IF(AND(C257=1,D257&lt;12),0,1)*IF(D257=12,MAX(0,F257-E257-0.003)*0.9*((K257+I257)*(B257/12)+(J257+H257)*(1-B257/12))+MAX(0,F257-0.003)*0.9*N256+N256,IF(AND(C257=ÉV!$I$2,D257=ÉV!$J$2),(M257+N256)*MAX(0,F257-0.003)*0.9*(D257/12)+N256,N256))*IF(OR(C257&gt;ÉV!$I$2,AND(C257=ÉV!$I$2,D257&gt;ÉV!$J$2)),0,1)</f>
        <v>0</v>
      </c>
      <c r="O257" s="313">
        <f ca="1">IF(MAX(AF$2:AF256)=2,      0,IF(OR(AC257=7, AF257=2),    SUM(AE$2:AE257),    O256)   )</f>
        <v>1002081.7025322502</v>
      </c>
      <c r="P257" s="271">
        <f ca="1">IF(D257=12,V257+P256+P256*(F257-0.003)*0.9,IF(AND(C257=ÉV!$I$2,D257=ÉV!$J$2),V257+P256+P256*(F257-0.003)*0.9*D257/12,P256))*IF(OR(C257&gt;ÉV!$I$2,AND(C257=ÉV!$I$2,D257&gt;ÉV!$J$2)),0,1)</f>
        <v>0</v>
      </c>
      <c r="Q257" s="275">
        <f ca="1">(N257+P257)*IF(OR(AND(C257=ÉV!$I$2,D257&gt;ÉV!$J$2),C257&gt;ÉV!$I$2),0,1)</f>
        <v>0</v>
      </c>
      <c r="R257" s="271">
        <f ca="1">(MAX(0,F257-E257-0.003)*0.9*((K257+I257)*(1/12)))*IF(OR(C257&gt;ÉV!$I$2,AND(C257=ÉV!$I$2,D257&gt;ÉV!$J$2)),0,1)</f>
        <v>0</v>
      </c>
      <c r="S257" s="271">
        <f ca="1">(MAX(0,F257-0.003)*0.9*((O257)*(1/12)))*IF(OR(C257&gt;ÉV!$I$2,AND(C257=ÉV!$I$2,D257&gt;ÉV!$J$2)),0,1)</f>
        <v>0</v>
      </c>
      <c r="T257" s="271">
        <f ca="1">(MAX(0,F257-0.003)*0.9*((Q256)*(1/12)))*IF(OR(C257&gt;ÉV!$I$2,AND(C257=ÉV!$I$2,D257&gt;ÉV!$J$2)),0,1)</f>
        <v>0</v>
      </c>
      <c r="U257" s="271">
        <f ca="1">IF($D257=1,R257,R257+U256)*IF(OR(C257&gt;ÉV!$I$2,AND(C257=ÉV!$I$2,D257&gt;ÉV!$J$2)),0,1)</f>
        <v>0</v>
      </c>
      <c r="V257" s="271">
        <f ca="1">IF($D257=1,S257,S257+V256)*IF(OR(C257&gt;ÉV!$I$2,AND(C257=ÉV!$I$2,D257&gt;ÉV!$J$2)),0,1)</f>
        <v>0</v>
      </c>
      <c r="W257" s="271">
        <f ca="1">IF($D257=1,T257,T257+W256)*IF(OR(C257&gt;ÉV!$I$2,AND(C257=ÉV!$I$2,D257&gt;ÉV!$J$2)),0,1)</f>
        <v>0</v>
      </c>
      <c r="X257" s="271">
        <f ca="1">IF(OR(D257=12,AND(C257=ÉV!$I$2,D257=ÉV!$J$2)),SUM(U257:W257)+X256,X256)*IF(OR(C257&gt;ÉV!$I$2,AND(C257=ÉV!$I$2,D257&gt;ÉV!$J$2)),0,1)</f>
        <v>0</v>
      </c>
      <c r="Y257" s="271">
        <f t="shared" ca="1" si="35"/>
        <v>0</v>
      </c>
      <c r="Z257" s="265">
        <f t="shared" si="36"/>
        <v>3</v>
      </c>
      <c r="AA257" s="272">
        <f t="shared" ca="1" si="37"/>
        <v>25415.284914057891</v>
      </c>
      <c r="AB257" s="265">
        <f t="shared" ca="1" si="43"/>
        <v>2038</v>
      </c>
      <c r="AC257" s="265">
        <f t="shared" ca="1" si="44"/>
        <v>6</v>
      </c>
      <c r="AD257" s="276">
        <f ca="1">IF(     OR(               AND(MAX(AF$6:AF257)&lt;2,  AC257=12),                 AF257=2),                   SUMIF(AB:AB,AB257,AA:AA),                       0)</f>
        <v>0</v>
      </c>
      <c r="AE257" s="277">
        <f t="shared" ca="1" si="45"/>
        <v>0</v>
      </c>
      <c r="AF257" s="277">
        <f t="shared" ca="1" si="38"/>
        <v>0</v>
      </c>
      <c r="AG257" s="402">
        <f ca="1">IF(  AND(AC257=AdóHó,   MAX(AF$1:AF256)&lt;2),   SUMIF(AB:AB,AB257-1,AE:AE),0  )
+ IF(AND(AC257&lt;AdóHó,                            AF257=2),   SUMIF(AB:AB,AB257-1,AE:AE),0  )
+ IF(                                                                  AF257=2,    SUMIF(AB:AB,AB257,AE:AE   ),0  )</f>
        <v>0</v>
      </c>
      <c r="AH257" s="272">
        <f ca="1">SUM(AG$2:AG257)</f>
        <v>1002081.7025322502</v>
      </c>
    </row>
    <row r="258" spans="1:34">
      <c r="A258" s="265">
        <f t="shared" si="39"/>
        <v>22</v>
      </c>
      <c r="B258" s="265">
        <f t="shared" si="40"/>
        <v>4</v>
      </c>
      <c r="C258" s="265">
        <f t="shared" ca="1" si="41"/>
        <v>22</v>
      </c>
      <c r="D258" s="265">
        <f t="shared" ca="1" si="42"/>
        <v>7</v>
      </c>
      <c r="E258" s="266">
        <v>5.0000000000000001E-3</v>
      </c>
      <c r="F258" s="267">
        <f>ÉV!$B$12</f>
        <v>0</v>
      </c>
      <c r="G258" s="271">
        <f ca="1">VLOOKUP(A258,ÉV!$A$18:$B$65,2,0)</f>
        <v>304983.41896869469</v>
      </c>
      <c r="H258" s="271">
        <f ca="1">IF(OR(A258=1,AND(C258=ÉV!$I$2,D258&gt;ÉV!$J$2),C258&gt;ÉV!$I$2),0,INDEX(Pz!$B$2:$AM$48,A258-1,ÉV!$G$2-9)/100000*ÉV!$B$10)</f>
        <v>275478.19439636241</v>
      </c>
      <c r="I258" s="271">
        <f ca="1">INDEX(Pz!$B$2:$AM$48,HÓ!A258,ÉV!$G$2-9)/100000*ÉV!$B$10</f>
        <v>275478.19439636241</v>
      </c>
      <c r="J258" s="273">
        <f ca="1">IF(OR(A258=1,A258=2,AND(C258=ÉV!$I$2,D258&gt;ÉV!$J$2),C258&gt;ÉV!$I$2),0,VLOOKUP(A258-2,ÉV!$A$18:$C$65,3,0))</f>
        <v>4438601.035860491</v>
      </c>
      <c r="K258" s="273">
        <f ca="1">IF(OR(A258=1,AND(C258=ÉV!$I$2,D258&gt;ÉV!$J$2),C258&gt;ÉV!$I$2),0,VLOOKUP(A258-1,ÉV!$A$18:$C$65,3,0))</f>
        <v>4719570.820470822</v>
      </c>
      <c r="L258" s="273">
        <f ca="1">VLOOKUP(A258,ÉV!$A$18:$C$65,3,0)*IF(OR(AND(C258=ÉV!$I$2,D258&gt;ÉV!$J$2),C258&gt;ÉV!$I$2),0,1)</f>
        <v>4999999.9999999981</v>
      </c>
      <c r="M258" s="273">
        <f ca="1">(K258*(12-B258)/12+L258*B258/12)*IF(A258&gt;ÉV!$G$2,0,1)+IF(A258&gt;ÉV!$G$2,M257,0)*IF(OR(AND(C258=ÉV!$I$2,D258&gt;ÉV!$J$2),C258&gt;ÉV!$I$2),0,1)</f>
        <v>4813047.2136472147</v>
      </c>
      <c r="N258" s="274">
        <f ca="1">IF(AND(C258=1,D258&lt;12),0,1)*IF(D258=12,MAX(0,F258-E258-0.003)*0.9*((K258+I258)*(B258/12)+(J258+H258)*(1-B258/12))+MAX(0,F258-0.003)*0.9*N257+N257,IF(AND(C258=ÉV!$I$2,D258=ÉV!$J$2),(M258+N257)*MAX(0,F258-0.003)*0.9*(D258/12)+N257,N257))*IF(OR(C258&gt;ÉV!$I$2,AND(C258=ÉV!$I$2,D258&gt;ÉV!$J$2)),0,1)</f>
        <v>0</v>
      </c>
      <c r="O258" s="313">
        <f ca="1">IF(MAX(AF$2:AF257)=2,      0,IF(OR(AC258=7, AF258=2),    SUM(AE$2:AE258),    O257)   )</f>
        <v>1063078.3863259892</v>
      </c>
      <c r="P258" s="271">
        <f ca="1">IF(D258=12,V258+P257+P257*(F258-0.003)*0.9,IF(AND(C258=ÉV!$I$2,D258=ÉV!$J$2),V258+P257+P257*(F258-0.003)*0.9*D258/12,P257))*IF(OR(C258&gt;ÉV!$I$2,AND(C258=ÉV!$I$2,D258&gt;ÉV!$J$2)),0,1)</f>
        <v>0</v>
      </c>
      <c r="Q258" s="275">
        <f ca="1">(N258+P258)*IF(OR(AND(C258=ÉV!$I$2,D258&gt;ÉV!$J$2),C258&gt;ÉV!$I$2),0,1)</f>
        <v>0</v>
      </c>
      <c r="R258" s="271">
        <f ca="1">(MAX(0,F258-E258-0.003)*0.9*((K258+I258)*(1/12)))*IF(OR(C258&gt;ÉV!$I$2,AND(C258=ÉV!$I$2,D258&gt;ÉV!$J$2)),0,1)</f>
        <v>0</v>
      </c>
      <c r="S258" s="271">
        <f ca="1">(MAX(0,F258-0.003)*0.9*((O258)*(1/12)))*IF(OR(C258&gt;ÉV!$I$2,AND(C258=ÉV!$I$2,D258&gt;ÉV!$J$2)),0,1)</f>
        <v>0</v>
      </c>
      <c r="T258" s="271">
        <f ca="1">(MAX(0,F258-0.003)*0.9*((Q257)*(1/12)))*IF(OR(C258&gt;ÉV!$I$2,AND(C258=ÉV!$I$2,D258&gt;ÉV!$J$2)),0,1)</f>
        <v>0</v>
      </c>
      <c r="U258" s="271">
        <f ca="1">IF($D258=1,R258,R258+U257)*IF(OR(C258&gt;ÉV!$I$2,AND(C258=ÉV!$I$2,D258&gt;ÉV!$J$2)),0,1)</f>
        <v>0</v>
      </c>
      <c r="V258" s="271">
        <f ca="1">IF($D258=1,S258,S258+V257)*IF(OR(C258&gt;ÉV!$I$2,AND(C258=ÉV!$I$2,D258&gt;ÉV!$J$2)),0,1)</f>
        <v>0</v>
      </c>
      <c r="W258" s="271">
        <f ca="1">IF($D258=1,T258,T258+W257)*IF(OR(C258&gt;ÉV!$I$2,AND(C258=ÉV!$I$2,D258&gt;ÉV!$J$2)),0,1)</f>
        <v>0</v>
      </c>
      <c r="X258" s="271">
        <f ca="1">IF(OR(D258=12,AND(C258=ÉV!$I$2,D258=ÉV!$J$2)),SUM(U258:W258)+X257,X257)*IF(OR(C258&gt;ÉV!$I$2,AND(C258=ÉV!$I$2,D258&gt;ÉV!$J$2)),0,1)</f>
        <v>0</v>
      </c>
      <c r="Y258" s="271">
        <f t="shared" ca="1" si="35"/>
        <v>0</v>
      </c>
      <c r="Z258" s="265">
        <f t="shared" si="36"/>
        <v>4</v>
      </c>
      <c r="AA258" s="272">
        <f t="shared" ca="1" si="37"/>
        <v>25415.284914057891</v>
      </c>
      <c r="AB258" s="265">
        <f t="shared" ca="1" si="43"/>
        <v>2038</v>
      </c>
      <c r="AC258" s="265">
        <f t="shared" ca="1" si="44"/>
        <v>7</v>
      </c>
      <c r="AD258" s="276">
        <f ca="1">IF(     OR(               AND(MAX(AF$6:AF258)&lt;2,  AC258=12),                 AF258=2),                   SUMIF(AB:AB,AB258,AA:AA),                       0)</f>
        <v>0</v>
      </c>
      <c r="AE258" s="277">
        <f t="shared" ca="1" si="45"/>
        <v>0</v>
      </c>
      <c r="AF258" s="277">
        <f t="shared" ca="1" si="38"/>
        <v>0</v>
      </c>
      <c r="AG258" s="402">
        <f ca="1">IF(  AND(AC258=AdóHó,   MAX(AF$1:AF257)&lt;2),   SUMIF(AB:AB,AB258-1,AE:AE),0  )
+ IF(AND(AC258&lt;AdóHó,                            AF258=2),   SUMIF(AB:AB,AB258-1,AE:AE),0  )
+ IF(                                                                  AF258=2,    SUMIF(AB:AB,AB258,AE:AE   ),0  )</f>
        <v>60996.683793738928</v>
      </c>
      <c r="AH258" s="272">
        <f ca="1">SUM(AG$2:AG258)</f>
        <v>1063078.3863259892</v>
      </c>
    </row>
    <row r="259" spans="1:34">
      <c r="A259" s="265">
        <f t="shared" si="39"/>
        <v>22</v>
      </c>
      <c r="B259" s="265">
        <f t="shared" si="40"/>
        <v>5</v>
      </c>
      <c r="C259" s="265">
        <f t="shared" ca="1" si="41"/>
        <v>22</v>
      </c>
      <c r="D259" s="265">
        <f t="shared" ca="1" si="42"/>
        <v>8</v>
      </c>
      <c r="E259" s="266">
        <v>5.0000000000000001E-3</v>
      </c>
      <c r="F259" s="267">
        <f>ÉV!$B$12</f>
        <v>0</v>
      </c>
      <c r="G259" s="271">
        <f ca="1">VLOOKUP(A259,ÉV!$A$18:$B$65,2,0)</f>
        <v>304983.41896869469</v>
      </c>
      <c r="H259" s="271">
        <f ca="1">IF(OR(A259=1,AND(C259=ÉV!$I$2,D259&gt;ÉV!$J$2),C259&gt;ÉV!$I$2),0,INDEX(Pz!$B$2:$AM$48,A259-1,ÉV!$G$2-9)/100000*ÉV!$B$10)</f>
        <v>275478.19439636241</v>
      </c>
      <c r="I259" s="271">
        <f ca="1">INDEX(Pz!$B$2:$AM$48,HÓ!A259,ÉV!$G$2-9)/100000*ÉV!$B$10</f>
        <v>275478.19439636241</v>
      </c>
      <c r="J259" s="273">
        <f ca="1">IF(OR(A259=1,A259=2,AND(C259=ÉV!$I$2,D259&gt;ÉV!$J$2),C259&gt;ÉV!$I$2),0,VLOOKUP(A259-2,ÉV!$A$18:$C$65,3,0))</f>
        <v>4438601.035860491</v>
      </c>
      <c r="K259" s="273">
        <f ca="1">IF(OR(A259=1,AND(C259=ÉV!$I$2,D259&gt;ÉV!$J$2),C259&gt;ÉV!$I$2),0,VLOOKUP(A259-1,ÉV!$A$18:$C$65,3,0))</f>
        <v>4719570.820470822</v>
      </c>
      <c r="L259" s="273">
        <f ca="1">VLOOKUP(A259,ÉV!$A$18:$C$65,3,0)*IF(OR(AND(C259=ÉV!$I$2,D259&gt;ÉV!$J$2),C259&gt;ÉV!$I$2),0,1)</f>
        <v>4999999.9999999981</v>
      </c>
      <c r="M259" s="273">
        <f ca="1">(K259*(12-B259)/12+L259*B259/12)*IF(A259&gt;ÉV!$G$2,0,1)+IF(A259&gt;ÉV!$G$2,M258,0)*IF(OR(AND(C259=ÉV!$I$2,D259&gt;ÉV!$J$2),C259&gt;ÉV!$I$2),0,1)</f>
        <v>4836416.3119413126</v>
      </c>
      <c r="N259" s="274">
        <f ca="1">IF(AND(C259=1,D259&lt;12),0,1)*IF(D259=12,MAX(0,F259-E259-0.003)*0.9*((K259+I259)*(B259/12)+(J259+H259)*(1-B259/12))+MAX(0,F259-0.003)*0.9*N258+N258,IF(AND(C259=ÉV!$I$2,D259=ÉV!$J$2),(M259+N258)*MAX(0,F259-0.003)*0.9*(D259/12)+N258,N258))*IF(OR(C259&gt;ÉV!$I$2,AND(C259=ÉV!$I$2,D259&gt;ÉV!$J$2)),0,1)</f>
        <v>0</v>
      </c>
      <c r="O259" s="313">
        <f ca="1">IF(MAX(AF$2:AF258)=2,      0,IF(OR(AC259=7, AF259=2),    SUM(AE$2:AE259),    O258)   )</f>
        <v>1063078.3863259892</v>
      </c>
      <c r="P259" s="271">
        <f ca="1">IF(D259=12,V259+P258+P258*(F259-0.003)*0.9,IF(AND(C259=ÉV!$I$2,D259=ÉV!$J$2),V259+P258+P258*(F259-0.003)*0.9*D259/12,P258))*IF(OR(C259&gt;ÉV!$I$2,AND(C259=ÉV!$I$2,D259&gt;ÉV!$J$2)),0,1)</f>
        <v>0</v>
      </c>
      <c r="Q259" s="275">
        <f ca="1">(N259+P259)*IF(OR(AND(C259=ÉV!$I$2,D259&gt;ÉV!$J$2),C259&gt;ÉV!$I$2),0,1)</f>
        <v>0</v>
      </c>
      <c r="R259" s="271">
        <f ca="1">(MAX(0,F259-E259-0.003)*0.9*((K259+I259)*(1/12)))*IF(OR(C259&gt;ÉV!$I$2,AND(C259=ÉV!$I$2,D259&gt;ÉV!$J$2)),0,1)</f>
        <v>0</v>
      </c>
      <c r="S259" s="271">
        <f ca="1">(MAX(0,F259-0.003)*0.9*((O259)*(1/12)))*IF(OR(C259&gt;ÉV!$I$2,AND(C259=ÉV!$I$2,D259&gt;ÉV!$J$2)),0,1)</f>
        <v>0</v>
      </c>
      <c r="T259" s="271">
        <f ca="1">(MAX(0,F259-0.003)*0.9*((Q258)*(1/12)))*IF(OR(C259&gt;ÉV!$I$2,AND(C259=ÉV!$I$2,D259&gt;ÉV!$J$2)),0,1)</f>
        <v>0</v>
      </c>
      <c r="U259" s="271">
        <f ca="1">IF($D259=1,R259,R259+U258)*IF(OR(C259&gt;ÉV!$I$2,AND(C259=ÉV!$I$2,D259&gt;ÉV!$J$2)),0,1)</f>
        <v>0</v>
      </c>
      <c r="V259" s="271">
        <f ca="1">IF($D259=1,S259,S259+V258)*IF(OR(C259&gt;ÉV!$I$2,AND(C259=ÉV!$I$2,D259&gt;ÉV!$J$2)),0,1)</f>
        <v>0</v>
      </c>
      <c r="W259" s="271">
        <f ca="1">IF($D259=1,T259,T259+W258)*IF(OR(C259&gt;ÉV!$I$2,AND(C259=ÉV!$I$2,D259&gt;ÉV!$J$2)),0,1)</f>
        <v>0</v>
      </c>
      <c r="X259" s="271">
        <f ca="1">IF(OR(D259=12,AND(C259=ÉV!$I$2,D259=ÉV!$J$2)),SUM(U259:W259)+X258,X258)*IF(OR(C259&gt;ÉV!$I$2,AND(C259=ÉV!$I$2,D259&gt;ÉV!$J$2)),0,1)</f>
        <v>0</v>
      </c>
      <c r="Y259" s="271">
        <f t="shared" ref="Y259:Y322" ca="1" si="46">X259-Q259</f>
        <v>0</v>
      </c>
      <c r="Z259" s="265">
        <f t="shared" ref="Z259:Z322" si="47">B259</f>
        <v>5</v>
      </c>
      <c r="AA259" s="272">
        <f t="shared" ref="AA259:AA322" ca="1" si="48">IF(OR(FizGyakNr=12, MOD(B259,12/FizGyakNr)=1),  1,0)    *      G259/FizGyakNr</f>
        <v>25415.284914057891</v>
      </c>
      <c r="AB259" s="265">
        <f t="shared" ca="1" si="43"/>
        <v>2038</v>
      </c>
      <c r="AC259" s="265">
        <f t="shared" ca="1" si="44"/>
        <v>8</v>
      </c>
      <c r="AD259" s="276">
        <f ca="1">IF(     OR(               AND(MAX(AF$6:AF259)&lt;2,  AC259=12),                 AF259=2),                   SUMIF(AB:AB,AB259,AA:AA),                       0)</f>
        <v>0</v>
      </c>
      <c r="AE259" s="277">
        <f t="shared" ca="1" si="45"/>
        <v>0</v>
      </c>
      <c r="AF259" s="277">
        <f t="shared" ref="AF259:AF322" ca="1" si="49" xml:space="preserve"> IF(DATE(AB259,AC259,1)=DATE(YEAR(LejáratNyug),MONTH(LejáratNyug),1),     2,   IF(AND(A259=TartamDíjfiz,B259=12),     1,   0)  )</f>
        <v>0</v>
      </c>
      <c r="AG259" s="402">
        <f ca="1">IF(  AND(AC259=AdóHó,   MAX(AF$1:AF258)&lt;2),   SUMIF(AB:AB,AB259-1,AE:AE),0  )
+ IF(AND(AC259&lt;AdóHó,                            AF259=2),   SUMIF(AB:AB,AB259-1,AE:AE),0  )
+ IF(                                                                  AF259=2,    SUMIF(AB:AB,AB259,AE:AE   ),0  )</f>
        <v>0</v>
      </c>
      <c r="AH259" s="272">
        <f ca="1">SUM(AG$2:AG259)</f>
        <v>1063078.3863259892</v>
      </c>
    </row>
    <row r="260" spans="1:34">
      <c r="A260" s="265">
        <f t="shared" si="39"/>
        <v>22</v>
      </c>
      <c r="B260" s="265">
        <f t="shared" si="40"/>
        <v>6</v>
      </c>
      <c r="C260" s="265">
        <f t="shared" ca="1" si="41"/>
        <v>22</v>
      </c>
      <c r="D260" s="265">
        <f t="shared" ca="1" si="42"/>
        <v>9</v>
      </c>
      <c r="E260" s="266">
        <v>5.0000000000000001E-3</v>
      </c>
      <c r="F260" s="267">
        <f>ÉV!$B$12</f>
        <v>0</v>
      </c>
      <c r="G260" s="271">
        <f ca="1">VLOOKUP(A260,ÉV!$A$18:$B$65,2,0)</f>
        <v>304983.41896869469</v>
      </c>
      <c r="H260" s="271">
        <f ca="1">IF(OR(A260=1,AND(C260=ÉV!$I$2,D260&gt;ÉV!$J$2),C260&gt;ÉV!$I$2),0,INDEX(Pz!$B$2:$AM$48,A260-1,ÉV!$G$2-9)/100000*ÉV!$B$10)</f>
        <v>275478.19439636241</v>
      </c>
      <c r="I260" s="271">
        <f ca="1">INDEX(Pz!$B$2:$AM$48,HÓ!A260,ÉV!$G$2-9)/100000*ÉV!$B$10</f>
        <v>275478.19439636241</v>
      </c>
      <c r="J260" s="273">
        <f ca="1">IF(OR(A260=1,A260=2,AND(C260=ÉV!$I$2,D260&gt;ÉV!$J$2),C260&gt;ÉV!$I$2),0,VLOOKUP(A260-2,ÉV!$A$18:$C$65,3,0))</f>
        <v>4438601.035860491</v>
      </c>
      <c r="K260" s="273">
        <f ca="1">IF(OR(A260=1,AND(C260=ÉV!$I$2,D260&gt;ÉV!$J$2),C260&gt;ÉV!$I$2),0,VLOOKUP(A260-1,ÉV!$A$18:$C$65,3,0))</f>
        <v>4719570.820470822</v>
      </c>
      <c r="L260" s="273">
        <f ca="1">VLOOKUP(A260,ÉV!$A$18:$C$65,3,0)*IF(OR(AND(C260=ÉV!$I$2,D260&gt;ÉV!$J$2),C260&gt;ÉV!$I$2),0,1)</f>
        <v>4999999.9999999981</v>
      </c>
      <c r="M260" s="273">
        <f ca="1">(K260*(12-B260)/12+L260*B260/12)*IF(A260&gt;ÉV!$G$2,0,1)+IF(A260&gt;ÉV!$G$2,M259,0)*IF(OR(AND(C260=ÉV!$I$2,D260&gt;ÉV!$J$2),C260&gt;ÉV!$I$2),0,1)</f>
        <v>4859785.4102354106</v>
      </c>
      <c r="N260" s="274">
        <f ca="1">IF(AND(C260=1,D260&lt;12),0,1)*IF(D260=12,MAX(0,F260-E260-0.003)*0.9*((K260+I260)*(B260/12)+(J260+H260)*(1-B260/12))+MAX(0,F260-0.003)*0.9*N259+N259,IF(AND(C260=ÉV!$I$2,D260=ÉV!$J$2),(M260+N259)*MAX(0,F260-0.003)*0.9*(D260/12)+N259,N259))*IF(OR(C260&gt;ÉV!$I$2,AND(C260=ÉV!$I$2,D260&gt;ÉV!$J$2)),0,1)</f>
        <v>0</v>
      </c>
      <c r="O260" s="313">
        <f ca="1">IF(MAX(AF$2:AF259)=2,      0,IF(OR(AC260=7, AF260=2),    SUM(AE$2:AE260),    O259)   )</f>
        <v>1063078.3863259892</v>
      </c>
      <c r="P260" s="271">
        <f ca="1">IF(D260=12,V260+P259+P259*(F260-0.003)*0.9,IF(AND(C260=ÉV!$I$2,D260=ÉV!$J$2),V260+P259+P259*(F260-0.003)*0.9*D260/12,P259))*IF(OR(C260&gt;ÉV!$I$2,AND(C260=ÉV!$I$2,D260&gt;ÉV!$J$2)),0,1)</f>
        <v>0</v>
      </c>
      <c r="Q260" s="275">
        <f ca="1">(N260+P260)*IF(OR(AND(C260=ÉV!$I$2,D260&gt;ÉV!$J$2),C260&gt;ÉV!$I$2),0,1)</f>
        <v>0</v>
      </c>
      <c r="R260" s="271">
        <f ca="1">(MAX(0,F260-E260-0.003)*0.9*((K260+I260)*(1/12)))*IF(OR(C260&gt;ÉV!$I$2,AND(C260=ÉV!$I$2,D260&gt;ÉV!$J$2)),0,1)</f>
        <v>0</v>
      </c>
      <c r="S260" s="271">
        <f ca="1">(MAX(0,F260-0.003)*0.9*((O260)*(1/12)))*IF(OR(C260&gt;ÉV!$I$2,AND(C260=ÉV!$I$2,D260&gt;ÉV!$J$2)),0,1)</f>
        <v>0</v>
      </c>
      <c r="T260" s="271">
        <f ca="1">(MAX(0,F260-0.003)*0.9*((Q259)*(1/12)))*IF(OR(C260&gt;ÉV!$I$2,AND(C260=ÉV!$I$2,D260&gt;ÉV!$J$2)),0,1)</f>
        <v>0</v>
      </c>
      <c r="U260" s="271">
        <f ca="1">IF($D260=1,R260,R260+U259)*IF(OR(C260&gt;ÉV!$I$2,AND(C260=ÉV!$I$2,D260&gt;ÉV!$J$2)),0,1)</f>
        <v>0</v>
      </c>
      <c r="V260" s="271">
        <f ca="1">IF($D260=1,S260,S260+V259)*IF(OR(C260&gt;ÉV!$I$2,AND(C260=ÉV!$I$2,D260&gt;ÉV!$J$2)),0,1)</f>
        <v>0</v>
      </c>
      <c r="W260" s="271">
        <f ca="1">IF($D260=1,T260,T260+W259)*IF(OR(C260&gt;ÉV!$I$2,AND(C260=ÉV!$I$2,D260&gt;ÉV!$J$2)),0,1)</f>
        <v>0</v>
      </c>
      <c r="X260" s="271">
        <f ca="1">IF(OR(D260=12,AND(C260=ÉV!$I$2,D260=ÉV!$J$2)),SUM(U260:W260)+X259,X259)*IF(OR(C260&gt;ÉV!$I$2,AND(C260=ÉV!$I$2,D260&gt;ÉV!$J$2)),0,1)</f>
        <v>0</v>
      </c>
      <c r="Y260" s="271">
        <f t="shared" ca="1" si="46"/>
        <v>0</v>
      </c>
      <c r="Z260" s="265">
        <f t="shared" si="47"/>
        <v>6</v>
      </c>
      <c r="AA260" s="272">
        <f t="shared" ca="1" si="48"/>
        <v>25415.284914057891</v>
      </c>
      <c r="AB260" s="265">
        <f t="shared" ca="1" si="43"/>
        <v>2038</v>
      </c>
      <c r="AC260" s="265">
        <f t="shared" ca="1" si="44"/>
        <v>9</v>
      </c>
      <c r="AD260" s="276">
        <f ca="1">IF(     OR(               AND(MAX(AF$6:AF260)&lt;2,  AC260=12),                 AF260=2),                   SUMIF(AB:AB,AB260,AA:AA),                       0)</f>
        <v>0</v>
      </c>
      <c r="AE260" s="277">
        <f t="shared" ca="1" si="45"/>
        <v>0</v>
      </c>
      <c r="AF260" s="277">
        <f t="shared" ca="1" si="49"/>
        <v>0</v>
      </c>
      <c r="AG260" s="402">
        <f ca="1">IF(  AND(AC260=AdóHó,   MAX(AF$1:AF259)&lt;2),   SUMIF(AB:AB,AB260-1,AE:AE),0  )
+ IF(AND(AC260&lt;AdóHó,                            AF260=2),   SUMIF(AB:AB,AB260-1,AE:AE),0  )
+ IF(                                                                  AF260=2,    SUMIF(AB:AB,AB260,AE:AE   ),0  )</f>
        <v>0</v>
      </c>
      <c r="AH260" s="272">
        <f ca="1">SUM(AG$2:AG260)</f>
        <v>1063078.3863259892</v>
      </c>
    </row>
    <row r="261" spans="1:34">
      <c r="A261" s="265">
        <f t="shared" ref="A261:A324" si="50">IF(B260=12,A260+1,A260)</f>
        <v>22</v>
      </c>
      <c r="B261" s="265">
        <f t="shared" ref="B261:B324" si="51">IF(B260=12,1,B260+1)</f>
        <v>7</v>
      </c>
      <c r="C261" s="265">
        <f t="shared" ref="C261:C324" ca="1" si="52">IF(D260=12,C260+1,C260)</f>
        <v>22</v>
      </c>
      <c r="D261" s="265">
        <f t="shared" ref="D261:D324" ca="1" si="53">IF(D260=12,1,D260+1)</f>
        <v>10</v>
      </c>
      <c r="E261" s="266">
        <v>5.0000000000000001E-3</v>
      </c>
      <c r="F261" s="267">
        <f>ÉV!$B$12</f>
        <v>0</v>
      </c>
      <c r="G261" s="271">
        <f ca="1">VLOOKUP(A261,ÉV!$A$18:$B$65,2,0)</f>
        <v>304983.41896869469</v>
      </c>
      <c r="H261" s="271">
        <f ca="1">IF(OR(A261=1,AND(C261=ÉV!$I$2,D261&gt;ÉV!$J$2),C261&gt;ÉV!$I$2),0,INDEX(Pz!$B$2:$AM$48,A261-1,ÉV!$G$2-9)/100000*ÉV!$B$10)</f>
        <v>275478.19439636241</v>
      </c>
      <c r="I261" s="271">
        <f ca="1">INDEX(Pz!$B$2:$AM$48,HÓ!A261,ÉV!$G$2-9)/100000*ÉV!$B$10</f>
        <v>275478.19439636241</v>
      </c>
      <c r="J261" s="273">
        <f ca="1">IF(OR(A261=1,A261=2,AND(C261=ÉV!$I$2,D261&gt;ÉV!$J$2),C261&gt;ÉV!$I$2),0,VLOOKUP(A261-2,ÉV!$A$18:$C$65,3,0))</f>
        <v>4438601.035860491</v>
      </c>
      <c r="K261" s="273">
        <f ca="1">IF(OR(A261=1,AND(C261=ÉV!$I$2,D261&gt;ÉV!$J$2),C261&gt;ÉV!$I$2),0,VLOOKUP(A261-1,ÉV!$A$18:$C$65,3,0))</f>
        <v>4719570.820470822</v>
      </c>
      <c r="L261" s="273">
        <f ca="1">VLOOKUP(A261,ÉV!$A$18:$C$65,3,0)*IF(OR(AND(C261=ÉV!$I$2,D261&gt;ÉV!$J$2),C261&gt;ÉV!$I$2),0,1)</f>
        <v>4999999.9999999981</v>
      </c>
      <c r="M261" s="273">
        <f ca="1">(K261*(12-B261)/12+L261*B261/12)*IF(A261&gt;ÉV!$G$2,0,1)+IF(A261&gt;ÉV!$G$2,M260,0)*IF(OR(AND(C261=ÉV!$I$2,D261&gt;ÉV!$J$2),C261&gt;ÉV!$I$2),0,1)</f>
        <v>4883154.5085295085</v>
      </c>
      <c r="N261" s="274">
        <f ca="1">IF(AND(C261=1,D261&lt;12),0,1)*IF(D261=12,MAX(0,F261-E261-0.003)*0.9*((K261+I261)*(B261/12)+(J261+H261)*(1-B261/12))+MAX(0,F261-0.003)*0.9*N260+N260,IF(AND(C261=ÉV!$I$2,D261=ÉV!$J$2),(M261+N260)*MAX(0,F261-0.003)*0.9*(D261/12)+N260,N260))*IF(OR(C261&gt;ÉV!$I$2,AND(C261=ÉV!$I$2,D261&gt;ÉV!$J$2)),0,1)</f>
        <v>0</v>
      </c>
      <c r="O261" s="313">
        <f ca="1">IF(MAX(AF$2:AF260)=2,      0,IF(OR(AC261=7, AF261=2),    SUM(AE$2:AE261),    O260)   )</f>
        <v>1063078.3863259892</v>
      </c>
      <c r="P261" s="271">
        <f ca="1">IF(D261=12,V261+P260+P260*(F261-0.003)*0.9,IF(AND(C261=ÉV!$I$2,D261=ÉV!$J$2),V261+P260+P260*(F261-0.003)*0.9*D261/12,P260))*IF(OR(C261&gt;ÉV!$I$2,AND(C261=ÉV!$I$2,D261&gt;ÉV!$J$2)),0,1)</f>
        <v>0</v>
      </c>
      <c r="Q261" s="275">
        <f ca="1">(N261+P261)*IF(OR(AND(C261=ÉV!$I$2,D261&gt;ÉV!$J$2),C261&gt;ÉV!$I$2),0,1)</f>
        <v>0</v>
      </c>
      <c r="R261" s="271">
        <f ca="1">(MAX(0,F261-E261-0.003)*0.9*((K261+I261)*(1/12)))*IF(OR(C261&gt;ÉV!$I$2,AND(C261=ÉV!$I$2,D261&gt;ÉV!$J$2)),0,1)</f>
        <v>0</v>
      </c>
      <c r="S261" s="271">
        <f ca="1">(MAX(0,F261-0.003)*0.9*((O261)*(1/12)))*IF(OR(C261&gt;ÉV!$I$2,AND(C261=ÉV!$I$2,D261&gt;ÉV!$J$2)),0,1)</f>
        <v>0</v>
      </c>
      <c r="T261" s="271">
        <f ca="1">(MAX(0,F261-0.003)*0.9*((Q260)*(1/12)))*IF(OR(C261&gt;ÉV!$I$2,AND(C261=ÉV!$I$2,D261&gt;ÉV!$J$2)),0,1)</f>
        <v>0</v>
      </c>
      <c r="U261" s="271">
        <f ca="1">IF($D261=1,R261,R261+U260)*IF(OR(C261&gt;ÉV!$I$2,AND(C261=ÉV!$I$2,D261&gt;ÉV!$J$2)),0,1)</f>
        <v>0</v>
      </c>
      <c r="V261" s="271">
        <f ca="1">IF($D261=1,S261,S261+V260)*IF(OR(C261&gt;ÉV!$I$2,AND(C261=ÉV!$I$2,D261&gt;ÉV!$J$2)),0,1)</f>
        <v>0</v>
      </c>
      <c r="W261" s="271">
        <f ca="1">IF($D261=1,T261,T261+W260)*IF(OR(C261&gt;ÉV!$I$2,AND(C261=ÉV!$I$2,D261&gt;ÉV!$J$2)),0,1)</f>
        <v>0</v>
      </c>
      <c r="X261" s="271">
        <f ca="1">IF(OR(D261=12,AND(C261=ÉV!$I$2,D261=ÉV!$J$2)),SUM(U261:W261)+X260,X260)*IF(OR(C261&gt;ÉV!$I$2,AND(C261=ÉV!$I$2,D261&gt;ÉV!$J$2)),0,1)</f>
        <v>0</v>
      </c>
      <c r="Y261" s="271">
        <f t="shared" ca="1" si="46"/>
        <v>0</v>
      </c>
      <c r="Z261" s="265">
        <f t="shared" si="47"/>
        <v>7</v>
      </c>
      <c r="AA261" s="272">
        <f t="shared" ca="1" si="48"/>
        <v>25415.284914057891</v>
      </c>
      <c r="AB261" s="265">
        <f t="shared" ref="AB261:AB324" ca="1" si="54">IF(AC260=12,AB260+1,AB260)</f>
        <v>2038</v>
      </c>
      <c r="AC261" s="265">
        <f t="shared" ref="AC261:AC324" ca="1" si="55">IF(AC260=12,1,AC260+1)</f>
        <v>10</v>
      </c>
      <c r="AD261" s="276">
        <f ca="1">IF(     OR(               AND(MAX(AF$6:AF261)&lt;2,  AC261=12),                 AF261=2),                   SUMIF(AB:AB,AB261,AA:AA),                       0)</f>
        <v>0</v>
      </c>
      <c r="AE261" s="277">
        <f t="shared" ca="1" si="45"/>
        <v>0</v>
      </c>
      <c r="AF261" s="277">
        <f t="shared" ca="1" si="49"/>
        <v>0</v>
      </c>
      <c r="AG261" s="402">
        <f ca="1">IF(  AND(AC261=AdóHó,   MAX(AF$1:AF260)&lt;2),   SUMIF(AB:AB,AB261-1,AE:AE),0  )
+ IF(AND(AC261&lt;AdóHó,                            AF261=2),   SUMIF(AB:AB,AB261-1,AE:AE),0  )
+ IF(                                                                  AF261=2,    SUMIF(AB:AB,AB261,AE:AE   ),0  )</f>
        <v>0</v>
      </c>
      <c r="AH261" s="272">
        <f ca="1">SUM(AG$2:AG261)</f>
        <v>1063078.3863259892</v>
      </c>
    </row>
    <row r="262" spans="1:34">
      <c r="A262" s="265">
        <f t="shared" si="50"/>
        <v>22</v>
      </c>
      <c r="B262" s="265">
        <f t="shared" si="51"/>
        <v>8</v>
      </c>
      <c r="C262" s="265">
        <f t="shared" ca="1" si="52"/>
        <v>22</v>
      </c>
      <c r="D262" s="265">
        <f t="shared" ca="1" si="53"/>
        <v>11</v>
      </c>
      <c r="E262" s="266">
        <v>5.0000000000000001E-3</v>
      </c>
      <c r="F262" s="267">
        <f>ÉV!$B$12</f>
        <v>0</v>
      </c>
      <c r="G262" s="271">
        <f ca="1">VLOOKUP(A262,ÉV!$A$18:$B$65,2,0)</f>
        <v>304983.41896869469</v>
      </c>
      <c r="H262" s="271">
        <f ca="1">IF(OR(A262=1,AND(C262=ÉV!$I$2,D262&gt;ÉV!$J$2),C262&gt;ÉV!$I$2),0,INDEX(Pz!$B$2:$AM$48,A262-1,ÉV!$G$2-9)/100000*ÉV!$B$10)</f>
        <v>275478.19439636241</v>
      </c>
      <c r="I262" s="271">
        <f ca="1">INDEX(Pz!$B$2:$AM$48,HÓ!A262,ÉV!$G$2-9)/100000*ÉV!$B$10</f>
        <v>275478.19439636241</v>
      </c>
      <c r="J262" s="273">
        <f ca="1">IF(OR(A262=1,A262=2,AND(C262=ÉV!$I$2,D262&gt;ÉV!$J$2),C262&gt;ÉV!$I$2),0,VLOOKUP(A262-2,ÉV!$A$18:$C$65,3,0))</f>
        <v>4438601.035860491</v>
      </c>
      <c r="K262" s="273">
        <f ca="1">IF(OR(A262=1,AND(C262=ÉV!$I$2,D262&gt;ÉV!$J$2),C262&gt;ÉV!$I$2),0,VLOOKUP(A262-1,ÉV!$A$18:$C$65,3,0))</f>
        <v>4719570.820470822</v>
      </c>
      <c r="L262" s="273">
        <f ca="1">VLOOKUP(A262,ÉV!$A$18:$C$65,3,0)*IF(OR(AND(C262=ÉV!$I$2,D262&gt;ÉV!$J$2),C262&gt;ÉV!$I$2),0,1)</f>
        <v>4999999.9999999981</v>
      </c>
      <c r="M262" s="273">
        <f ca="1">(K262*(12-B262)/12+L262*B262/12)*IF(A262&gt;ÉV!$G$2,0,1)+IF(A262&gt;ÉV!$G$2,M261,0)*IF(OR(AND(C262=ÉV!$I$2,D262&gt;ÉV!$J$2),C262&gt;ÉV!$I$2),0,1)</f>
        <v>4906523.6068236064</v>
      </c>
      <c r="N262" s="274">
        <f ca="1">IF(AND(C262=1,D262&lt;12),0,1)*IF(D262=12,MAX(0,F262-E262-0.003)*0.9*((K262+I262)*(B262/12)+(J262+H262)*(1-B262/12))+MAX(0,F262-0.003)*0.9*N261+N261,IF(AND(C262=ÉV!$I$2,D262=ÉV!$J$2),(M262+N261)*MAX(0,F262-0.003)*0.9*(D262/12)+N261,N261))*IF(OR(C262&gt;ÉV!$I$2,AND(C262=ÉV!$I$2,D262&gt;ÉV!$J$2)),0,1)</f>
        <v>0</v>
      </c>
      <c r="O262" s="313">
        <f ca="1">IF(MAX(AF$2:AF261)=2,      0,IF(OR(AC262=7, AF262=2),    SUM(AE$2:AE262),    O261)   )</f>
        <v>1063078.3863259892</v>
      </c>
      <c r="P262" s="271">
        <f ca="1">IF(D262=12,V262+P261+P261*(F262-0.003)*0.9,IF(AND(C262=ÉV!$I$2,D262=ÉV!$J$2),V262+P261+P261*(F262-0.003)*0.9*D262/12,P261))*IF(OR(C262&gt;ÉV!$I$2,AND(C262=ÉV!$I$2,D262&gt;ÉV!$J$2)),0,1)</f>
        <v>0</v>
      </c>
      <c r="Q262" s="275">
        <f ca="1">(N262+P262)*IF(OR(AND(C262=ÉV!$I$2,D262&gt;ÉV!$J$2),C262&gt;ÉV!$I$2),0,1)</f>
        <v>0</v>
      </c>
      <c r="R262" s="271">
        <f ca="1">(MAX(0,F262-E262-0.003)*0.9*((K262+I262)*(1/12)))*IF(OR(C262&gt;ÉV!$I$2,AND(C262=ÉV!$I$2,D262&gt;ÉV!$J$2)),0,1)</f>
        <v>0</v>
      </c>
      <c r="S262" s="271">
        <f ca="1">(MAX(0,F262-0.003)*0.9*((O262)*(1/12)))*IF(OR(C262&gt;ÉV!$I$2,AND(C262=ÉV!$I$2,D262&gt;ÉV!$J$2)),0,1)</f>
        <v>0</v>
      </c>
      <c r="T262" s="271">
        <f ca="1">(MAX(0,F262-0.003)*0.9*((Q261)*(1/12)))*IF(OR(C262&gt;ÉV!$I$2,AND(C262=ÉV!$I$2,D262&gt;ÉV!$J$2)),0,1)</f>
        <v>0</v>
      </c>
      <c r="U262" s="271">
        <f ca="1">IF($D262=1,R262,R262+U261)*IF(OR(C262&gt;ÉV!$I$2,AND(C262=ÉV!$I$2,D262&gt;ÉV!$J$2)),0,1)</f>
        <v>0</v>
      </c>
      <c r="V262" s="271">
        <f ca="1">IF($D262=1,S262,S262+V261)*IF(OR(C262&gt;ÉV!$I$2,AND(C262=ÉV!$I$2,D262&gt;ÉV!$J$2)),0,1)</f>
        <v>0</v>
      </c>
      <c r="W262" s="271">
        <f ca="1">IF($D262=1,T262,T262+W261)*IF(OR(C262&gt;ÉV!$I$2,AND(C262=ÉV!$I$2,D262&gt;ÉV!$J$2)),0,1)</f>
        <v>0</v>
      </c>
      <c r="X262" s="271">
        <f ca="1">IF(OR(D262=12,AND(C262=ÉV!$I$2,D262=ÉV!$J$2)),SUM(U262:W262)+X261,X261)*IF(OR(C262&gt;ÉV!$I$2,AND(C262=ÉV!$I$2,D262&gt;ÉV!$J$2)),0,1)</f>
        <v>0</v>
      </c>
      <c r="Y262" s="271">
        <f t="shared" ca="1" si="46"/>
        <v>0</v>
      </c>
      <c r="Z262" s="265">
        <f t="shared" si="47"/>
        <v>8</v>
      </c>
      <c r="AA262" s="272">
        <f t="shared" ca="1" si="48"/>
        <v>25415.284914057891</v>
      </c>
      <c r="AB262" s="265">
        <f t="shared" ca="1" si="54"/>
        <v>2038</v>
      </c>
      <c r="AC262" s="265">
        <f t="shared" ca="1" si="55"/>
        <v>11</v>
      </c>
      <c r="AD262" s="276">
        <f ca="1">IF(     OR(               AND(MAX(AF$6:AF262)&lt;2,  AC262=12),                 AF262=2),                   SUMIF(AB:AB,AB262,AA:AA),                       0)</f>
        <v>0</v>
      </c>
      <c r="AE262" s="277">
        <f t="shared" ca="1" si="45"/>
        <v>0</v>
      </c>
      <c r="AF262" s="277">
        <f t="shared" ca="1" si="49"/>
        <v>0</v>
      </c>
      <c r="AG262" s="402">
        <f ca="1">IF(  AND(AC262=AdóHó,   MAX(AF$1:AF261)&lt;2),   SUMIF(AB:AB,AB262-1,AE:AE),0  )
+ IF(AND(AC262&lt;AdóHó,                            AF262=2),   SUMIF(AB:AB,AB262-1,AE:AE),0  )
+ IF(                                                                  AF262=2,    SUMIF(AB:AB,AB262,AE:AE   ),0  )</f>
        <v>0</v>
      </c>
      <c r="AH262" s="272">
        <f ca="1">SUM(AG$2:AG262)</f>
        <v>1063078.3863259892</v>
      </c>
    </row>
    <row r="263" spans="1:34">
      <c r="A263" s="265">
        <f t="shared" si="50"/>
        <v>22</v>
      </c>
      <c r="B263" s="265">
        <f t="shared" si="51"/>
        <v>9</v>
      </c>
      <c r="C263" s="265">
        <f t="shared" ca="1" si="52"/>
        <v>22</v>
      </c>
      <c r="D263" s="265">
        <f t="shared" ca="1" si="53"/>
        <v>12</v>
      </c>
      <c r="E263" s="266">
        <v>5.0000000000000001E-3</v>
      </c>
      <c r="F263" s="267">
        <f>ÉV!$B$12</f>
        <v>0</v>
      </c>
      <c r="G263" s="271">
        <f ca="1">VLOOKUP(A263,ÉV!$A$18:$B$65,2,0)</f>
        <v>304983.41896869469</v>
      </c>
      <c r="H263" s="271">
        <f ca="1">IF(OR(A263=1,AND(C263=ÉV!$I$2,D263&gt;ÉV!$J$2),C263&gt;ÉV!$I$2),0,INDEX(Pz!$B$2:$AM$48,A263-1,ÉV!$G$2-9)/100000*ÉV!$B$10)</f>
        <v>275478.19439636241</v>
      </c>
      <c r="I263" s="271">
        <f ca="1">INDEX(Pz!$B$2:$AM$48,HÓ!A263,ÉV!$G$2-9)/100000*ÉV!$B$10</f>
        <v>275478.19439636241</v>
      </c>
      <c r="J263" s="273">
        <f ca="1">IF(OR(A263=1,A263=2,AND(C263=ÉV!$I$2,D263&gt;ÉV!$J$2),C263&gt;ÉV!$I$2),0,VLOOKUP(A263-2,ÉV!$A$18:$C$65,3,0))</f>
        <v>4438601.035860491</v>
      </c>
      <c r="K263" s="273">
        <f ca="1">IF(OR(A263=1,AND(C263=ÉV!$I$2,D263&gt;ÉV!$J$2),C263&gt;ÉV!$I$2),0,VLOOKUP(A263-1,ÉV!$A$18:$C$65,3,0))</f>
        <v>4719570.820470822</v>
      </c>
      <c r="L263" s="273">
        <f ca="1">VLOOKUP(A263,ÉV!$A$18:$C$65,3,0)*IF(OR(AND(C263=ÉV!$I$2,D263&gt;ÉV!$J$2),C263&gt;ÉV!$I$2),0,1)</f>
        <v>4999999.9999999981</v>
      </c>
      <c r="M263" s="273">
        <f ca="1">(K263*(12-B263)/12+L263*B263/12)*IF(A263&gt;ÉV!$G$2,0,1)+IF(A263&gt;ÉV!$G$2,M262,0)*IF(OR(AND(C263=ÉV!$I$2,D263&gt;ÉV!$J$2),C263&gt;ÉV!$I$2),0,1)</f>
        <v>4929892.7051177043</v>
      </c>
      <c r="N263" s="274">
        <f ca="1">IF(AND(C263=1,D263&lt;12),0,1)*IF(D263=12,MAX(0,F263-E263-0.003)*0.9*((K263+I263)*(B263/12)+(J263+H263)*(1-B263/12))+MAX(0,F263-0.003)*0.9*N262+N262,IF(AND(C263=ÉV!$I$2,D263=ÉV!$J$2),(M263+N262)*MAX(0,F263-0.003)*0.9*(D263/12)+N262,N262))*IF(OR(C263&gt;ÉV!$I$2,AND(C263=ÉV!$I$2,D263&gt;ÉV!$J$2)),0,1)</f>
        <v>0</v>
      </c>
      <c r="O263" s="313">
        <f ca="1">IF(MAX(AF$2:AF262)=2,      0,IF(OR(AC263=7, AF263=2),    SUM(AE$2:AE263),    O262)   )</f>
        <v>1063078.3863259892</v>
      </c>
      <c r="P263" s="271">
        <f ca="1">IF(D263=12,V263+P262+P262*(F263-0.003)*0.9,IF(AND(C263=ÉV!$I$2,D263=ÉV!$J$2),V263+P262+P262*(F263-0.003)*0.9*D263/12,P262))*IF(OR(C263&gt;ÉV!$I$2,AND(C263=ÉV!$I$2,D263&gt;ÉV!$J$2)),0,1)</f>
        <v>0</v>
      </c>
      <c r="Q263" s="275">
        <f ca="1">(N263+P263)*IF(OR(AND(C263=ÉV!$I$2,D263&gt;ÉV!$J$2),C263&gt;ÉV!$I$2),0,1)</f>
        <v>0</v>
      </c>
      <c r="R263" s="271">
        <f ca="1">(MAX(0,F263-E263-0.003)*0.9*((K263+I263)*(1/12)))*IF(OR(C263&gt;ÉV!$I$2,AND(C263=ÉV!$I$2,D263&gt;ÉV!$J$2)),0,1)</f>
        <v>0</v>
      </c>
      <c r="S263" s="271">
        <f ca="1">(MAX(0,F263-0.003)*0.9*((O263)*(1/12)))*IF(OR(C263&gt;ÉV!$I$2,AND(C263=ÉV!$I$2,D263&gt;ÉV!$J$2)),0,1)</f>
        <v>0</v>
      </c>
      <c r="T263" s="271">
        <f ca="1">(MAX(0,F263-0.003)*0.9*((Q262)*(1/12)))*IF(OR(C263&gt;ÉV!$I$2,AND(C263=ÉV!$I$2,D263&gt;ÉV!$J$2)),0,1)</f>
        <v>0</v>
      </c>
      <c r="U263" s="271">
        <f ca="1">IF($D263=1,R263,R263+U262)*IF(OR(C263&gt;ÉV!$I$2,AND(C263=ÉV!$I$2,D263&gt;ÉV!$J$2)),0,1)</f>
        <v>0</v>
      </c>
      <c r="V263" s="271">
        <f ca="1">IF($D263=1,S263,S263+V262)*IF(OR(C263&gt;ÉV!$I$2,AND(C263=ÉV!$I$2,D263&gt;ÉV!$J$2)),0,1)</f>
        <v>0</v>
      </c>
      <c r="W263" s="271">
        <f ca="1">IF($D263=1,T263,T263+W262)*IF(OR(C263&gt;ÉV!$I$2,AND(C263=ÉV!$I$2,D263&gt;ÉV!$J$2)),0,1)</f>
        <v>0</v>
      </c>
      <c r="X263" s="271">
        <f ca="1">IF(OR(D263=12,AND(C263=ÉV!$I$2,D263=ÉV!$J$2)),SUM(U263:W263)+X262,X262)*IF(OR(C263&gt;ÉV!$I$2,AND(C263=ÉV!$I$2,D263&gt;ÉV!$J$2)),0,1)</f>
        <v>0</v>
      </c>
      <c r="Y263" s="271">
        <f t="shared" ca="1" si="46"/>
        <v>0</v>
      </c>
      <c r="Z263" s="265">
        <f t="shared" si="47"/>
        <v>9</v>
      </c>
      <c r="AA263" s="272">
        <f t="shared" ca="1" si="48"/>
        <v>25415.284914057891</v>
      </c>
      <c r="AB263" s="265">
        <f t="shared" ca="1" si="54"/>
        <v>2038</v>
      </c>
      <c r="AC263" s="265">
        <f t="shared" ca="1" si="55"/>
        <v>12</v>
      </c>
      <c r="AD263" s="276">
        <f ca="1">IF(     OR(               AND(MAX(AF$6:AF263)&lt;2,  AC263=12),                 AF263=2),                   SUMIF(AB:AB,AB263,AA:AA),                       0)</f>
        <v>304983.41896869463</v>
      </c>
      <c r="AE263" s="277">
        <f t="shared" ca="1" si="45"/>
        <v>60996.683793738928</v>
      </c>
      <c r="AF263" s="277">
        <f t="shared" ca="1" si="49"/>
        <v>0</v>
      </c>
      <c r="AG263" s="402">
        <f ca="1">IF(  AND(AC263=AdóHó,   MAX(AF$1:AF262)&lt;2),   SUMIF(AB:AB,AB263-1,AE:AE),0  )
+ IF(AND(AC263&lt;AdóHó,                            AF263=2),   SUMIF(AB:AB,AB263-1,AE:AE),0  )
+ IF(                                                                  AF263=2,    SUMIF(AB:AB,AB263,AE:AE   ),0  )</f>
        <v>0</v>
      </c>
      <c r="AH263" s="272">
        <f ca="1">SUM(AG$2:AG263)</f>
        <v>1063078.3863259892</v>
      </c>
    </row>
    <row r="264" spans="1:34">
      <c r="A264" s="265">
        <f t="shared" si="50"/>
        <v>22</v>
      </c>
      <c r="B264" s="265">
        <f t="shared" si="51"/>
        <v>10</v>
      </c>
      <c r="C264" s="265">
        <f t="shared" ca="1" si="52"/>
        <v>23</v>
      </c>
      <c r="D264" s="265">
        <f t="shared" ca="1" si="53"/>
        <v>1</v>
      </c>
      <c r="E264" s="266">
        <v>5.0000000000000001E-3</v>
      </c>
      <c r="F264" s="267">
        <f>ÉV!$B$12</f>
        <v>0</v>
      </c>
      <c r="G264" s="271">
        <f ca="1">VLOOKUP(A264,ÉV!$A$18:$B$65,2,0)</f>
        <v>304983.41896869469</v>
      </c>
      <c r="H264" s="271">
        <f ca="1">IF(OR(A264=1,AND(C264=ÉV!$I$2,D264&gt;ÉV!$J$2),C264&gt;ÉV!$I$2),0,INDEX(Pz!$B$2:$AM$48,A264-1,ÉV!$G$2-9)/100000*ÉV!$B$10)</f>
        <v>275478.19439636241</v>
      </c>
      <c r="I264" s="271">
        <f ca="1">INDEX(Pz!$B$2:$AM$48,HÓ!A264,ÉV!$G$2-9)/100000*ÉV!$B$10</f>
        <v>275478.19439636241</v>
      </c>
      <c r="J264" s="273">
        <f ca="1">IF(OR(A264=1,A264=2,AND(C264=ÉV!$I$2,D264&gt;ÉV!$J$2),C264&gt;ÉV!$I$2),0,VLOOKUP(A264-2,ÉV!$A$18:$C$65,3,0))</f>
        <v>4438601.035860491</v>
      </c>
      <c r="K264" s="273">
        <f ca="1">IF(OR(A264=1,AND(C264=ÉV!$I$2,D264&gt;ÉV!$J$2),C264&gt;ÉV!$I$2),0,VLOOKUP(A264-1,ÉV!$A$18:$C$65,3,0))</f>
        <v>4719570.820470822</v>
      </c>
      <c r="L264" s="273">
        <f ca="1">VLOOKUP(A264,ÉV!$A$18:$C$65,3,0)*IF(OR(AND(C264=ÉV!$I$2,D264&gt;ÉV!$J$2),C264&gt;ÉV!$I$2),0,1)</f>
        <v>4999999.9999999981</v>
      </c>
      <c r="M264" s="273">
        <f ca="1">(K264*(12-B264)/12+L264*B264/12)*IF(A264&gt;ÉV!$G$2,0,1)+IF(A264&gt;ÉV!$G$2,M263,0)*IF(OR(AND(C264=ÉV!$I$2,D264&gt;ÉV!$J$2),C264&gt;ÉV!$I$2),0,1)</f>
        <v>4953261.8034118023</v>
      </c>
      <c r="N264" s="274">
        <f ca="1">IF(AND(C264=1,D264&lt;12),0,1)*IF(D264=12,MAX(0,F264-E264-0.003)*0.9*((K264+I264)*(B264/12)+(J264+H264)*(1-B264/12))+MAX(0,F264-0.003)*0.9*N263+N263,IF(AND(C264=ÉV!$I$2,D264=ÉV!$J$2),(M264+N263)*MAX(0,F264-0.003)*0.9*(D264/12)+N263,N263))*IF(OR(C264&gt;ÉV!$I$2,AND(C264=ÉV!$I$2,D264&gt;ÉV!$J$2)),0,1)</f>
        <v>0</v>
      </c>
      <c r="O264" s="313">
        <f ca="1">IF(MAX(AF$2:AF263)=2,      0,IF(OR(AC264=7, AF264=2),    SUM(AE$2:AE264),    O263)   )</f>
        <v>1063078.3863259892</v>
      </c>
      <c r="P264" s="271">
        <f ca="1">IF(D264=12,V264+P263+P263*(F264-0.003)*0.9,IF(AND(C264=ÉV!$I$2,D264=ÉV!$J$2),V264+P263+P263*(F264-0.003)*0.9*D264/12,P263))*IF(OR(C264&gt;ÉV!$I$2,AND(C264=ÉV!$I$2,D264&gt;ÉV!$J$2)),0,1)</f>
        <v>0</v>
      </c>
      <c r="Q264" s="275">
        <f ca="1">(N264+P264)*IF(OR(AND(C264=ÉV!$I$2,D264&gt;ÉV!$J$2),C264&gt;ÉV!$I$2),0,1)</f>
        <v>0</v>
      </c>
      <c r="R264" s="271">
        <f ca="1">(MAX(0,F264-E264-0.003)*0.9*((K264+I264)*(1/12)))*IF(OR(C264&gt;ÉV!$I$2,AND(C264=ÉV!$I$2,D264&gt;ÉV!$J$2)),0,1)</f>
        <v>0</v>
      </c>
      <c r="S264" s="271">
        <f ca="1">(MAX(0,F264-0.003)*0.9*((O264)*(1/12)))*IF(OR(C264&gt;ÉV!$I$2,AND(C264=ÉV!$I$2,D264&gt;ÉV!$J$2)),0,1)</f>
        <v>0</v>
      </c>
      <c r="T264" s="271">
        <f ca="1">(MAX(0,F264-0.003)*0.9*((Q263)*(1/12)))*IF(OR(C264&gt;ÉV!$I$2,AND(C264=ÉV!$I$2,D264&gt;ÉV!$J$2)),0,1)</f>
        <v>0</v>
      </c>
      <c r="U264" s="271">
        <f ca="1">IF($D264=1,R264,R264+U263)*IF(OR(C264&gt;ÉV!$I$2,AND(C264=ÉV!$I$2,D264&gt;ÉV!$J$2)),0,1)</f>
        <v>0</v>
      </c>
      <c r="V264" s="271">
        <f ca="1">IF($D264=1,S264,S264+V263)*IF(OR(C264&gt;ÉV!$I$2,AND(C264=ÉV!$I$2,D264&gt;ÉV!$J$2)),0,1)</f>
        <v>0</v>
      </c>
      <c r="W264" s="271">
        <f ca="1">IF($D264=1,T264,T264+W263)*IF(OR(C264&gt;ÉV!$I$2,AND(C264=ÉV!$I$2,D264&gt;ÉV!$J$2)),0,1)</f>
        <v>0</v>
      </c>
      <c r="X264" s="271">
        <f ca="1">IF(OR(D264=12,AND(C264=ÉV!$I$2,D264=ÉV!$J$2)),SUM(U264:W264)+X263,X263)*IF(OR(C264&gt;ÉV!$I$2,AND(C264=ÉV!$I$2,D264&gt;ÉV!$J$2)),0,1)</f>
        <v>0</v>
      </c>
      <c r="Y264" s="271">
        <f t="shared" ca="1" si="46"/>
        <v>0</v>
      </c>
      <c r="Z264" s="265">
        <f t="shared" si="47"/>
        <v>10</v>
      </c>
      <c r="AA264" s="272">
        <f t="shared" ca="1" si="48"/>
        <v>25415.284914057891</v>
      </c>
      <c r="AB264" s="265">
        <f t="shared" ca="1" si="54"/>
        <v>2039</v>
      </c>
      <c r="AC264" s="265">
        <f t="shared" ca="1" si="55"/>
        <v>1</v>
      </c>
      <c r="AD264" s="276">
        <f ca="1">IF(     OR(               AND(MAX(AF$6:AF264)&lt;2,  AC264=12),                 AF264=2),                   SUMIF(AB:AB,AB264,AA:AA),                       0)</f>
        <v>0</v>
      </c>
      <c r="AE264" s="277">
        <f t="shared" ca="1" si="45"/>
        <v>0</v>
      </c>
      <c r="AF264" s="277">
        <f t="shared" ca="1" si="49"/>
        <v>0</v>
      </c>
      <c r="AG264" s="402">
        <f ca="1">IF(  AND(AC264=AdóHó,   MAX(AF$1:AF263)&lt;2),   SUMIF(AB:AB,AB264-1,AE:AE),0  )
+ IF(AND(AC264&lt;AdóHó,                            AF264=2),   SUMIF(AB:AB,AB264-1,AE:AE),0  )
+ IF(                                                                  AF264=2,    SUMIF(AB:AB,AB264,AE:AE   ),0  )</f>
        <v>0</v>
      </c>
      <c r="AH264" s="272">
        <f ca="1">SUM(AG$2:AG264)</f>
        <v>1063078.3863259892</v>
      </c>
    </row>
    <row r="265" spans="1:34">
      <c r="A265" s="265">
        <f t="shared" si="50"/>
        <v>22</v>
      </c>
      <c r="B265" s="265">
        <f t="shared" si="51"/>
        <v>11</v>
      </c>
      <c r="C265" s="265">
        <f t="shared" ca="1" si="52"/>
        <v>23</v>
      </c>
      <c r="D265" s="265">
        <f t="shared" ca="1" si="53"/>
        <v>2</v>
      </c>
      <c r="E265" s="266">
        <v>5.0000000000000001E-3</v>
      </c>
      <c r="F265" s="267">
        <f>ÉV!$B$12</f>
        <v>0</v>
      </c>
      <c r="G265" s="271">
        <f ca="1">VLOOKUP(A265,ÉV!$A$18:$B$65,2,0)</f>
        <v>304983.41896869469</v>
      </c>
      <c r="H265" s="271">
        <f ca="1">IF(OR(A265=1,AND(C265=ÉV!$I$2,D265&gt;ÉV!$J$2),C265&gt;ÉV!$I$2),0,INDEX(Pz!$B$2:$AM$48,A265-1,ÉV!$G$2-9)/100000*ÉV!$B$10)</f>
        <v>275478.19439636241</v>
      </c>
      <c r="I265" s="271">
        <f ca="1">INDEX(Pz!$B$2:$AM$48,HÓ!A265,ÉV!$G$2-9)/100000*ÉV!$B$10</f>
        <v>275478.19439636241</v>
      </c>
      <c r="J265" s="273">
        <f ca="1">IF(OR(A265=1,A265=2,AND(C265=ÉV!$I$2,D265&gt;ÉV!$J$2),C265&gt;ÉV!$I$2),0,VLOOKUP(A265-2,ÉV!$A$18:$C$65,3,0))</f>
        <v>4438601.035860491</v>
      </c>
      <c r="K265" s="273">
        <f ca="1">IF(OR(A265=1,AND(C265=ÉV!$I$2,D265&gt;ÉV!$J$2),C265&gt;ÉV!$I$2),0,VLOOKUP(A265-1,ÉV!$A$18:$C$65,3,0))</f>
        <v>4719570.820470822</v>
      </c>
      <c r="L265" s="273">
        <f ca="1">VLOOKUP(A265,ÉV!$A$18:$C$65,3,0)*IF(OR(AND(C265=ÉV!$I$2,D265&gt;ÉV!$J$2),C265&gt;ÉV!$I$2),0,1)</f>
        <v>4999999.9999999981</v>
      </c>
      <c r="M265" s="273">
        <f ca="1">(K265*(12-B265)/12+L265*B265/12)*IF(A265&gt;ÉV!$G$2,0,1)+IF(A265&gt;ÉV!$G$2,M264,0)*IF(OR(AND(C265=ÉV!$I$2,D265&gt;ÉV!$J$2),C265&gt;ÉV!$I$2),0,1)</f>
        <v>4976630.9017058993</v>
      </c>
      <c r="N265" s="274">
        <f ca="1">IF(AND(C265=1,D265&lt;12),0,1)*IF(D265=12,MAX(0,F265-E265-0.003)*0.9*((K265+I265)*(B265/12)+(J265+H265)*(1-B265/12))+MAX(0,F265-0.003)*0.9*N264+N264,IF(AND(C265=ÉV!$I$2,D265=ÉV!$J$2),(M265+N264)*MAX(0,F265-0.003)*0.9*(D265/12)+N264,N264))*IF(OR(C265&gt;ÉV!$I$2,AND(C265=ÉV!$I$2,D265&gt;ÉV!$J$2)),0,1)</f>
        <v>0</v>
      </c>
      <c r="O265" s="313">
        <f ca="1">IF(MAX(AF$2:AF264)=2,      0,IF(OR(AC265=7, AF265=2),    SUM(AE$2:AE265),    O264)   )</f>
        <v>1063078.3863259892</v>
      </c>
      <c r="P265" s="271">
        <f ca="1">IF(D265=12,V265+P264+P264*(F265-0.003)*0.9,IF(AND(C265=ÉV!$I$2,D265=ÉV!$J$2),V265+P264+P264*(F265-0.003)*0.9*D265/12,P264))*IF(OR(C265&gt;ÉV!$I$2,AND(C265=ÉV!$I$2,D265&gt;ÉV!$J$2)),0,1)</f>
        <v>0</v>
      </c>
      <c r="Q265" s="275">
        <f ca="1">(N265+P265)*IF(OR(AND(C265=ÉV!$I$2,D265&gt;ÉV!$J$2),C265&gt;ÉV!$I$2),0,1)</f>
        <v>0</v>
      </c>
      <c r="R265" s="271">
        <f ca="1">(MAX(0,F265-E265-0.003)*0.9*((K265+I265)*(1/12)))*IF(OR(C265&gt;ÉV!$I$2,AND(C265=ÉV!$I$2,D265&gt;ÉV!$J$2)),0,1)</f>
        <v>0</v>
      </c>
      <c r="S265" s="271">
        <f ca="1">(MAX(0,F265-0.003)*0.9*((O265)*(1/12)))*IF(OR(C265&gt;ÉV!$I$2,AND(C265=ÉV!$I$2,D265&gt;ÉV!$J$2)),0,1)</f>
        <v>0</v>
      </c>
      <c r="T265" s="271">
        <f ca="1">(MAX(0,F265-0.003)*0.9*((Q264)*(1/12)))*IF(OR(C265&gt;ÉV!$I$2,AND(C265=ÉV!$I$2,D265&gt;ÉV!$J$2)),0,1)</f>
        <v>0</v>
      </c>
      <c r="U265" s="271">
        <f ca="1">IF($D265=1,R265,R265+U264)*IF(OR(C265&gt;ÉV!$I$2,AND(C265=ÉV!$I$2,D265&gt;ÉV!$J$2)),0,1)</f>
        <v>0</v>
      </c>
      <c r="V265" s="271">
        <f ca="1">IF($D265=1,S265,S265+V264)*IF(OR(C265&gt;ÉV!$I$2,AND(C265=ÉV!$I$2,D265&gt;ÉV!$J$2)),0,1)</f>
        <v>0</v>
      </c>
      <c r="W265" s="271">
        <f ca="1">IF($D265=1,T265,T265+W264)*IF(OR(C265&gt;ÉV!$I$2,AND(C265=ÉV!$I$2,D265&gt;ÉV!$J$2)),0,1)</f>
        <v>0</v>
      </c>
      <c r="X265" s="271">
        <f ca="1">IF(OR(D265=12,AND(C265=ÉV!$I$2,D265=ÉV!$J$2)),SUM(U265:W265)+X264,X264)*IF(OR(C265&gt;ÉV!$I$2,AND(C265=ÉV!$I$2,D265&gt;ÉV!$J$2)),0,1)</f>
        <v>0</v>
      </c>
      <c r="Y265" s="271">
        <f t="shared" ca="1" si="46"/>
        <v>0</v>
      </c>
      <c r="Z265" s="265">
        <f t="shared" si="47"/>
        <v>11</v>
      </c>
      <c r="AA265" s="272">
        <f t="shared" ca="1" si="48"/>
        <v>25415.284914057891</v>
      </c>
      <c r="AB265" s="265">
        <f t="shared" ca="1" si="54"/>
        <v>2039</v>
      </c>
      <c r="AC265" s="265">
        <f t="shared" ca="1" si="55"/>
        <v>2</v>
      </c>
      <c r="AD265" s="276">
        <f ca="1">IF(     OR(               AND(MAX(AF$6:AF265)&lt;2,  AC265=12),                 AF265=2),                   SUMIF(AB:AB,AB265,AA:AA),                       0)</f>
        <v>0</v>
      </c>
      <c r="AE265" s="277">
        <f t="shared" ca="1" si="45"/>
        <v>0</v>
      </c>
      <c r="AF265" s="277">
        <f t="shared" ca="1" si="49"/>
        <v>0</v>
      </c>
      <c r="AG265" s="402">
        <f ca="1">IF(  AND(AC265=AdóHó,   MAX(AF$1:AF264)&lt;2),   SUMIF(AB:AB,AB265-1,AE:AE),0  )
+ IF(AND(AC265&lt;AdóHó,                            AF265=2),   SUMIF(AB:AB,AB265-1,AE:AE),0  )
+ IF(                                                                  AF265=2,    SUMIF(AB:AB,AB265,AE:AE   ),0  )</f>
        <v>0</v>
      </c>
      <c r="AH265" s="272">
        <f ca="1">SUM(AG$2:AG265)</f>
        <v>1063078.3863259892</v>
      </c>
    </row>
    <row r="266" spans="1:34">
      <c r="A266" s="265">
        <f t="shared" si="50"/>
        <v>22</v>
      </c>
      <c r="B266" s="265">
        <f t="shared" si="51"/>
        <v>12</v>
      </c>
      <c r="C266" s="265">
        <f t="shared" ca="1" si="52"/>
        <v>23</v>
      </c>
      <c r="D266" s="265">
        <f t="shared" ca="1" si="53"/>
        <v>3</v>
      </c>
      <c r="E266" s="266">
        <v>5.0000000000000001E-3</v>
      </c>
      <c r="F266" s="267">
        <f>ÉV!$B$12</f>
        <v>0</v>
      </c>
      <c r="G266" s="271">
        <f ca="1">VLOOKUP(A266,ÉV!$A$18:$B$65,2,0)</f>
        <v>304983.41896869469</v>
      </c>
      <c r="H266" s="271">
        <f ca="1">IF(OR(A266=1,AND(C266=ÉV!$I$2,D266&gt;ÉV!$J$2),C266&gt;ÉV!$I$2),0,INDEX(Pz!$B$2:$AM$48,A266-1,ÉV!$G$2-9)/100000*ÉV!$B$10)</f>
        <v>275478.19439636241</v>
      </c>
      <c r="I266" s="271">
        <f ca="1">INDEX(Pz!$B$2:$AM$48,HÓ!A266,ÉV!$G$2-9)/100000*ÉV!$B$10</f>
        <v>275478.19439636241</v>
      </c>
      <c r="J266" s="273">
        <f ca="1">IF(OR(A266=1,A266=2,AND(C266=ÉV!$I$2,D266&gt;ÉV!$J$2),C266&gt;ÉV!$I$2),0,VLOOKUP(A266-2,ÉV!$A$18:$C$65,3,0))</f>
        <v>4438601.035860491</v>
      </c>
      <c r="K266" s="273">
        <f ca="1">IF(OR(A266=1,AND(C266=ÉV!$I$2,D266&gt;ÉV!$J$2),C266&gt;ÉV!$I$2),0,VLOOKUP(A266-1,ÉV!$A$18:$C$65,3,0))</f>
        <v>4719570.820470822</v>
      </c>
      <c r="L266" s="273">
        <f ca="1">VLOOKUP(A266,ÉV!$A$18:$C$65,3,0)*IF(OR(AND(C266=ÉV!$I$2,D266&gt;ÉV!$J$2),C266&gt;ÉV!$I$2),0,1)</f>
        <v>4999999.9999999981</v>
      </c>
      <c r="M266" s="273">
        <f ca="1">(K266*(12-B266)/12+L266*B266/12)*IF(A266&gt;ÉV!$G$2,0,1)+IF(A266&gt;ÉV!$G$2,M265,0)*IF(OR(AND(C266=ÉV!$I$2,D266&gt;ÉV!$J$2),C266&gt;ÉV!$I$2),0,1)</f>
        <v>4999999.9999999981</v>
      </c>
      <c r="N266" s="274">
        <f ca="1">IF(AND(C266=1,D266&lt;12),0,1)*IF(D266=12,MAX(0,F266-E266-0.003)*0.9*((K266+I266)*(B266/12)+(J266+H266)*(1-B266/12))+MAX(0,F266-0.003)*0.9*N265+N265,IF(AND(C266=ÉV!$I$2,D266=ÉV!$J$2),(M266+N265)*MAX(0,F266-0.003)*0.9*(D266/12)+N265,N265))*IF(OR(C266&gt;ÉV!$I$2,AND(C266=ÉV!$I$2,D266&gt;ÉV!$J$2)),0,1)</f>
        <v>0</v>
      </c>
      <c r="O266" s="313">
        <f ca="1">IF(MAX(AF$2:AF265)=2,      0,IF(OR(AC266=7, AF266=2),    SUM(AE$2:AE266),    O265)   )</f>
        <v>1063078.3863259892</v>
      </c>
      <c r="P266" s="271">
        <f ca="1">IF(D266=12,V266+P265+P265*(F266-0.003)*0.9,IF(AND(C266=ÉV!$I$2,D266=ÉV!$J$2),V266+P265+P265*(F266-0.003)*0.9*D266/12,P265))*IF(OR(C266&gt;ÉV!$I$2,AND(C266=ÉV!$I$2,D266&gt;ÉV!$J$2)),0,1)</f>
        <v>0</v>
      </c>
      <c r="Q266" s="275">
        <f ca="1">(N266+P266)*IF(OR(AND(C266=ÉV!$I$2,D266&gt;ÉV!$J$2),C266&gt;ÉV!$I$2),0,1)</f>
        <v>0</v>
      </c>
      <c r="R266" s="271">
        <f ca="1">(MAX(0,F266-E266-0.003)*0.9*((K266+I266)*(1/12)))*IF(OR(C266&gt;ÉV!$I$2,AND(C266=ÉV!$I$2,D266&gt;ÉV!$J$2)),0,1)</f>
        <v>0</v>
      </c>
      <c r="S266" s="271">
        <f ca="1">(MAX(0,F266-0.003)*0.9*((O266)*(1/12)))*IF(OR(C266&gt;ÉV!$I$2,AND(C266=ÉV!$I$2,D266&gt;ÉV!$J$2)),0,1)</f>
        <v>0</v>
      </c>
      <c r="T266" s="271">
        <f ca="1">(MAX(0,F266-0.003)*0.9*((Q265)*(1/12)))*IF(OR(C266&gt;ÉV!$I$2,AND(C266=ÉV!$I$2,D266&gt;ÉV!$J$2)),0,1)</f>
        <v>0</v>
      </c>
      <c r="U266" s="271">
        <f ca="1">IF($D266=1,R266,R266+U265)*IF(OR(C266&gt;ÉV!$I$2,AND(C266=ÉV!$I$2,D266&gt;ÉV!$J$2)),0,1)</f>
        <v>0</v>
      </c>
      <c r="V266" s="271">
        <f ca="1">IF($D266=1,S266,S266+V265)*IF(OR(C266&gt;ÉV!$I$2,AND(C266=ÉV!$I$2,D266&gt;ÉV!$J$2)),0,1)</f>
        <v>0</v>
      </c>
      <c r="W266" s="271">
        <f ca="1">IF($D266=1,T266,T266+W265)*IF(OR(C266&gt;ÉV!$I$2,AND(C266=ÉV!$I$2,D266&gt;ÉV!$J$2)),0,1)</f>
        <v>0</v>
      </c>
      <c r="X266" s="271">
        <f ca="1">IF(OR(D266=12,AND(C266=ÉV!$I$2,D266=ÉV!$J$2)),SUM(U266:W266)+X265,X265)*IF(OR(C266&gt;ÉV!$I$2,AND(C266=ÉV!$I$2,D266&gt;ÉV!$J$2)),0,1)</f>
        <v>0</v>
      </c>
      <c r="Y266" s="271">
        <f t="shared" ca="1" si="46"/>
        <v>0</v>
      </c>
      <c r="Z266" s="265">
        <f t="shared" si="47"/>
        <v>12</v>
      </c>
      <c r="AA266" s="272">
        <f t="shared" ca="1" si="48"/>
        <v>25415.284914057891</v>
      </c>
      <c r="AB266" s="265">
        <f t="shared" ca="1" si="54"/>
        <v>2039</v>
      </c>
      <c r="AC266" s="265">
        <f t="shared" ca="1" si="55"/>
        <v>3</v>
      </c>
      <c r="AD266" s="276">
        <f ca="1">IF(     OR(               AND(MAX(AF$6:AF266)&lt;2,  AC266=12),                 AF266=2),                   SUMIF(AB:AB,AB266,AA:AA),                       0)</f>
        <v>0</v>
      </c>
      <c r="AE266" s="277">
        <f t="shared" ca="1" si="45"/>
        <v>0</v>
      </c>
      <c r="AF266" s="277">
        <f t="shared" ca="1" si="49"/>
        <v>1</v>
      </c>
      <c r="AG266" s="402">
        <f ca="1">IF(  AND(AC266=AdóHó,   MAX(AF$1:AF265)&lt;2),   SUMIF(AB:AB,AB266-1,AE:AE),0  )
+ IF(AND(AC266&lt;AdóHó,                            AF266=2),   SUMIF(AB:AB,AB266-1,AE:AE),0  )
+ IF(                                                                  AF266=2,    SUMIF(AB:AB,AB266,AE:AE   ),0  )</f>
        <v>0</v>
      </c>
      <c r="AH266" s="272">
        <f ca="1">SUM(AG$2:AG266)</f>
        <v>1063078.3863259892</v>
      </c>
    </row>
    <row r="267" spans="1:34">
      <c r="A267" s="265">
        <f t="shared" si="50"/>
        <v>23</v>
      </c>
      <c r="B267" s="265">
        <f t="shared" si="51"/>
        <v>1</v>
      </c>
      <c r="C267" s="265">
        <f t="shared" ca="1" si="52"/>
        <v>23</v>
      </c>
      <c r="D267" s="265">
        <f t="shared" ca="1" si="53"/>
        <v>4</v>
      </c>
      <c r="E267" s="266">
        <v>5.0000000000000001E-3</v>
      </c>
      <c r="F267" s="267">
        <f>ÉV!$B$12</f>
        <v>0</v>
      </c>
      <c r="G267" s="271">
        <f ca="1">VLOOKUP(A267,ÉV!$A$18:$B$65,2,0)</f>
        <v>0</v>
      </c>
      <c r="H267" s="271">
        <f ca="1">IF(OR(A267=1,AND(C267=ÉV!$I$2,D267&gt;ÉV!$J$2),C267&gt;ÉV!$I$2),0,INDEX(Pz!$B$2:$AM$48,A267-1,ÉV!$G$2-9)/100000*ÉV!$B$10)</f>
        <v>275478.19439636241</v>
      </c>
      <c r="I267" s="271">
        <f ca="1">INDEX(Pz!$B$2:$AM$48,HÓ!A267,ÉV!$G$2-9)/100000*ÉV!$B$10</f>
        <v>0</v>
      </c>
      <c r="J267" s="273">
        <f ca="1">IF(OR(A267=1,A267=2,AND(C267=ÉV!$I$2,D267&gt;ÉV!$J$2),C267&gt;ÉV!$I$2),0,VLOOKUP(A267-2,ÉV!$A$18:$C$65,3,0))</f>
        <v>4719570.820470822</v>
      </c>
      <c r="K267" s="273">
        <f ca="1">IF(OR(A267=1,AND(C267=ÉV!$I$2,D267&gt;ÉV!$J$2),C267&gt;ÉV!$I$2),0,VLOOKUP(A267-1,ÉV!$A$18:$C$65,3,0))</f>
        <v>4999999.9999999981</v>
      </c>
      <c r="L267" s="273">
        <f ca="1">VLOOKUP(A267,ÉV!$A$18:$C$65,3,0)*IF(OR(AND(C267=ÉV!$I$2,D267&gt;ÉV!$J$2),C267&gt;ÉV!$I$2),0,1)</f>
        <v>4999999.9999999981</v>
      </c>
      <c r="M267" s="273">
        <f ca="1">(K267*(12-B267)/12+L267*B267/12)*IF(A267&gt;ÉV!$G$2,0,1)+IF(A267&gt;ÉV!$G$2,M266,0)*IF(OR(AND(C267=ÉV!$I$2,D267&gt;ÉV!$J$2),C267&gt;ÉV!$I$2),0,1)</f>
        <v>4999999.9999999981</v>
      </c>
      <c r="N267" s="274">
        <f ca="1">IF(AND(C267=1,D267&lt;12),0,1)*IF(D267=12,MAX(0,F267-E267-0.003)*0.9*((K267+I267)*(B267/12)+(J267+H267)*(1-B267/12))+MAX(0,F267-0.003)*0.9*N266+N266,IF(AND(C267=ÉV!$I$2,D267=ÉV!$J$2),(M267+N266)*MAX(0,F267-0.003)*0.9*(D267/12)+N266,N266))*IF(OR(C267&gt;ÉV!$I$2,AND(C267=ÉV!$I$2,D267&gt;ÉV!$J$2)),0,1)</f>
        <v>0</v>
      </c>
      <c r="O267" s="313">
        <f ca="1">IF(MAX(AF$2:AF266)=2,      0,IF(OR(AC267=7, AF267=2),    SUM(AE$2:AE267),    O266)   )</f>
        <v>1063078.3863259892</v>
      </c>
      <c r="P267" s="271">
        <f ca="1">IF(D267=12,V267+P266+P266*(F267-0.003)*0.9,IF(AND(C267=ÉV!$I$2,D267=ÉV!$J$2),V267+P266+P266*(F267-0.003)*0.9*D267/12,P266))*IF(OR(C267&gt;ÉV!$I$2,AND(C267=ÉV!$I$2,D267&gt;ÉV!$J$2)),0,1)</f>
        <v>0</v>
      </c>
      <c r="Q267" s="275">
        <f ca="1">(N267+P267)*IF(OR(AND(C267=ÉV!$I$2,D267&gt;ÉV!$J$2),C267&gt;ÉV!$I$2),0,1)</f>
        <v>0</v>
      </c>
      <c r="R267" s="271">
        <f ca="1">(MAX(0,F267-E267-0.003)*0.9*((K267+I267)*(1/12)))*IF(OR(C267&gt;ÉV!$I$2,AND(C267=ÉV!$I$2,D267&gt;ÉV!$J$2)),0,1)</f>
        <v>0</v>
      </c>
      <c r="S267" s="271">
        <f ca="1">(MAX(0,F267-0.003)*0.9*((O267)*(1/12)))*IF(OR(C267&gt;ÉV!$I$2,AND(C267=ÉV!$I$2,D267&gt;ÉV!$J$2)),0,1)</f>
        <v>0</v>
      </c>
      <c r="T267" s="271">
        <f ca="1">(MAX(0,F267-0.003)*0.9*((Q266)*(1/12)))*IF(OR(C267&gt;ÉV!$I$2,AND(C267=ÉV!$I$2,D267&gt;ÉV!$J$2)),0,1)</f>
        <v>0</v>
      </c>
      <c r="U267" s="271">
        <f ca="1">IF($D267=1,R267,R267+U266)*IF(OR(C267&gt;ÉV!$I$2,AND(C267=ÉV!$I$2,D267&gt;ÉV!$J$2)),0,1)</f>
        <v>0</v>
      </c>
      <c r="V267" s="271">
        <f ca="1">IF($D267=1,S267,S267+V266)*IF(OR(C267&gt;ÉV!$I$2,AND(C267=ÉV!$I$2,D267&gt;ÉV!$J$2)),0,1)</f>
        <v>0</v>
      </c>
      <c r="W267" s="271">
        <f ca="1">IF($D267=1,T267,T267+W266)*IF(OR(C267&gt;ÉV!$I$2,AND(C267=ÉV!$I$2,D267&gt;ÉV!$J$2)),0,1)</f>
        <v>0</v>
      </c>
      <c r="X267" s="271">
        <f ca="1">IF(OR(D267=12,AND(C267=ÉV!$I$2,D267=ÉV!$J$2)),SUM(U267:W267)+X266,X266)*IF(OR(C267&gt;ÉV!$I$2,AND(C267=ÉV!$I$2,D267&gt;ÉV!$J$2)),0,1)</f>
        <v>0</v>
      </c>
      <c r="Y267" s="271">
        <f t="shared" ca="1" si="46"/>
        <v>0</v>
      </c>
      <c r="Z267" s="265">
        <f t="shared" si="47"/>
        <v>1</v>
      </c>
      <c r="AA267" s="272">
        <f t="shared" ca="1" si="48"/>
        <v>0</v>
      </c>
      <c r="AB267" s="265">
        <f t="shared" ca="1" si="54"/>
        <v>2039</v>
      </c>
      <c r="AC267" s="265">
        <f t="shared" ca="1" si="55"/>
        <v>4</v>
      </c>
      <c r="AD267" s="276">
        <f ca="1">IF(     OR(               AND(MAX(AF$6:AF267)&lt;2,  AC267=12),                 AF267=2),                   SUMIF(AB:AB,AB267,AA:AA),                       0)</f>
        <v>0</v>
      </c>
      <c r="AE267" s="277">
        <f t="shared" ca="1" si="45"/>
        <v>0</v>
      </c>
      <c r="AF267" s="277">
        <f t="shared" ca="1" si="49"/>
        <v>0</v>
      </c>
      <c r="AG267" s="402">
        <f ca="1">IF(  AND(AC267=AdóHó,   MAX(AF$1:AF266)&lt;2),   SUMIF(AB:AB,AB267-1,AE:AE),0  )
+ IF(AND(AC267&lt;AdóHó,                            AF267=2),   SUMIF(AB:AB,AB267-1,AE:AE),0  )
+ IF(                                                                  AF267=2,    SUMIF(AB:AB,AB267,AE:AE   ),0  )</f>
        <v>0</v>
      </c>
      <c r="AH267" s="272">
        <f ca="1">SUM(AG$2:AG267)</f>
        <v>1063078.3863259892</v>
      </c>
    </row>
    <row r="268" spans="1:34">
      <c r="A268" s="265">
        <f t="shared" si="50"/>
        <v>23</v>
      </c>
      <c r="B268" s="265">
        <f t="shared" si="51"/>
        <v>2</v>
      </c>
      <c r="C268" s="265">
        <f t="shared" ca="1" si="52"/>
        <v>23</v>
      </c>
      <c r="D268" s="265">
        <f t="shared" ca="1" si="53"/>
        <v>5</v>
      </c>
      <c r="E268" s="266">
        <v>5.0000000000000001E-3</v>
      </c>
      <c r="F268" s="267">
        <f>ÉV!$B$12</f>
        <v>0</v>
      </c>
      <c r="G268" s="271">
        <f ca="1">VLOOKUP(A268,ÉV!$A$18:$B$65,2,0)</f>
        <v>0</v>
      </c>
      <c r="H268" s="271">
        <f ca="1">IF(OR(A268=1,AND(C268=ÉV!$I$2,D268&gt;ÉV!$J$2),C268&gt;ÉV!$I$2),0,INDEX(Pz!$B$2:$AM$48,A268-1,ÉV!$G$2-9)/100000*ÉV!$B$10)</f>
        <v>275478.19439636241</v>
      </c>
      <c r="I268" s="271">
        <f ca="1">INDEX(Pz!$B$2:$AM$48,HÓ!A268,ÉV!$G$2-9)/100000*ÉV!$B$10</f>
        <v>0</v>
      </c>
      <c r="J268" s="273">
        <f ca="1">IF(OR(A268=1,A268=2,AND(C268=ÉV!$I$2,D268&gt;ÉV!$J$2),C268&gt;ÉV!$I$2),0,VLOOKUP(A268-2,ÉV!$A$18:$C$65,3,0))</f>
        <v>4719570.820470822</v>
      </c>
      <c r="K268" s="273">
        <f ca="1">IF(OR(A268=1,AND(C268=ÉV!$I$2,D268&gt;ÉV!$J$2),C268&gt;ÉV!$I$2),0,VLOOKUP(A268-1,ÉV!$A$18:$C$65,3,0))</f>
        <v>4999999.9999999981</v>
      </c>
      <c r="L268" s="273">
        <f ca="1">VLOOKUP(A268,ÉV!$A$18:$C$65,3,0)*IF(OR(AND(C268=ÉV!$I$2,D268&gt;ÉV!$J$2),C268&gt;ÉV!$I$2),0,1)</f>
        <v>4999999.9999999981</v>
      </c>
      <c r="M268" s="273">
        <f ca="1">(K268*(12-B268)/12+L268*B268/12)*IF(A268&gt;ÉV!$G$2,0,1)+IF(A268&gt;ÉV!$G$2,M267,0)*IF(OR(AND(C268=ÉV!$I$2,D268&gt;ÉV!$J$2),C268&gt;ÉV!$I$2),0,1)</f>
        <v>4999999.9999999981</v>
      </c>
      <c r="N268" s="274">
        <f ca="1">IF(AND(C268=1,D268&lt;12),0,1)*IF(D268=12,MAX(0,F268-E268-0.003)*0.9*((K268+I268)*(B268/12)+(J268+H268)*(1-B268/12))+MAX(0,F268-0.003)*0.9*N267+N267,IF(AND(C268=ÉV!$I$2,D268=ÉV!$J$2),(M268+N267)*MAX(0,F268-0.003)*0.9*(D268/12)+N267,N267))*IF(OR(C268&gt;ÉV!$I$2,AND(C268=ÉV!$I$2,D268&gt;ÉV!$J$2)),0,1)</f>
        <v>0</v>
      </c>
      <c r="O268" s="313">
        <f ca="1">IF(MAX(AF$2:AF267)=2,      0,IF(OR(AC268=7, AF268=2),    SUM(AE$2:AE268),    O267)   )</f>
        <v>1063078.3863259892</v>
      </c>
      <c r="P268" s="271">
        <f ca="1">IF(D268=12,V268+P267+P267*(F268-0.003)*0.9,IF(AND(C268=ÉV!$I$2,D268=ÉV!$J$2),V268+P267+P267*(F268-0.003)*0.9*D268/12,P267))*IF(OR(C268&gt;ÉV!$I$2,AND(C268=ÉV!$I$2,D268&gt;ÉV!$J$2)),0,1)</f>
        <v>0</v>
      </c>
      <c r="Q268" s="275">
        <f ca="1">(N268+P268)*IF(OR(AND(C268=ÉV!$I$2,D268&gt;ÉV!$J$2),C268&gt;ÉV!$I$2),0,1)</f>
        <v>0</v>
      </c>
      <c r="R268" s="271">
        <f ca="1">(MAX(0,F268-E268-0.003)*0.9*((K268+I268)*(1/12)))*IF(OR(C268&gt;ÉV!$I$2,AND(C268=ÉV!$I$2,D268&gt;ÉV!$J$2)),0,1)</f>
        <v>0</v>
      </c>
      <c r="S268" s="271">
        <f ca="1">(MAX(0,F268-0.003)*0.9*((O268)*(1/12)))*IF(OR(C268&gt;ÉV!$I$2,AND(C268=ÉV!$I$2,D268&gt;ÉV!$J$2)),0,1)</f>
        <v>0</v>
      </c>
      <c r="T268" s="271">
        <f ca="1">(MAX(0,F268-0.003)*0.9*((Q267)*(1/12)))*IF(OR(C268&gt;ÉV!$I$2,AND(C268=ÉV!$I$2,D268&gt;ÉV!$J$2)),0,1)</f>
        <v>0</v>
      </c>
      <c r="U268" s="271">
        <f ca="1">IF($D268=1,R268,R268+U267)*IF(OR(C268&gt;ÉV!$I$2,AND(C268=ÉV!$I$2,D268&gt;ÉV!$J$2)),0,1)</f>
        <v>0</v>
      </c>
      <c r="V268" s="271">
        <f ca="1">IF($D268=1,S268,S268+V267)*IF(OR(C268&gt;ÉV!$I$2,AND(C268=ÉV!$I$2,D268&gt;ÉV!$J$2)),0,1)</f>
        <v>0</v>
      </c>
      <c r="W268" s="271">
        <f ca="1">IF($D268=1,T268,T268+W267)*IF(OR(C268&gt;ÉV!$I$2,AND(C268=ÉV!$I$2,D268&gt;ÉV!$J$2)),0,1)</f>
        <v>0</v>
      </c>
      <c r="X268" s="271">
        <f ca="1">IF(OR(D268=12,AND(C268=ÉV!$I$2,D268=ÉV!$J$2)),SUM(U268:W268)+X267,X267)*IF(OR(C268&gt;ÉV!$I$2,AND(C268=ÉV!$I$2,D268&gt;ÉV!$J$2)),0,1)</f>
        <v>0</v>
      </c>
      <c r="Y268" s="271">
        <f t="shared" ca="1" si="46"/>
        <v>0</v>
      </c>
      <c r="Z268" s="265">
        <f t="shared" si="47"/>
        <v>2</v>
      </c>
      <c r="AA268" s="272">
        <f t="shared" ca="1" si="48"/>
        <v>0</v>
      </c>
      <c r="AB268" s="265">
        <f t="shared" ca="1" si="54"/>
        <v>2039</v>
      </c>
      <c r="AC268" s="265">
        <f t="shared" ca="1" si="55"/>
        <v>5</v>
      </c>
      <c r="AD268" s="276">
        <f ca="1">IF(     OR(               AND(MAX(AF$6:AF268)&lt;2,  AC268=12),                 AF268=2),                   SUMIF(AB:AB,AB268,AA:AA),                       0)</f>
        <v>0</v>
      </c>
      <c r="AE268" s="277">
        <f t="shared" ca="1" si="45"/>
        <v>0</v>
      </c>
      <c r="AF268" s="277">
        <f t="shared" ca="1" si="49"/>
        <v>0</v>
      </c>
      <c r="AG268" s="402">
        <f ca="1">IF(  AND(AC268=AdóHó,   MAX(AF$1:AF267)&lt;2),   SUMIF(AB:AB,AB268-1,AE:AE),0  )
+ IF(AND(AC268&lt;AdóHó,                            AF268=2),   SUMIF(AB:AB,AB268-1,AE:AE),0  )
+ IF(                                                                  AF268=2,    SUMIF(AB:AB,AB268,AE:AE   ),0  )</f>
        <v>0</v>
      </c>
      <c r="AH268" s="272">
        <f ca="1">SUM(AG$2:AG268)</f>
        <v>1063078.3863259892</v>
      </c>
    </row>
    <row r="269" spans="1:34">
      <c r="A269" s="265">
        <f t="shared" si="50"/>
        <v>23</v>
      </c>
      <c r="B269" s="265">
        <f t="shared" si="51"/>
        <v>3</v>
      </c>
      <c r="C269" s="265">
        <f t="shared" ca="1" si="52"/>
        <v>23</v>
      </c>
      <c r="D269" s="265">
        <f t="shared" ca="1" si="53"/>
        <v>6</v>
      </c>
      <c r="E269" s="266">
        <v>5.0000000000000001E-3</v>
      </c>
      <c r="F269" s="267">
        <f>ÉV!$B$12</f>
        <v>0</v>
      </c>
      <c r="G269" s="271">
        <f ca="1">VLOOKUP(A269,ÉV!$A$18:$B$65,2,0)</f>
        <v>0</v>
      </c>
      <c r="H269" s="271">
        <f ca="1">IF(OR(A269=1,AND(C269=ÉV!$I$2,D269&gt;ÉV!$J$2),C269&gt;ÉV!$I$2),0,INDEX(Pz!$B$2:$AM$48,A269-1,ÉV!$G$2-9)/100000*ÉV!$B$10)</f>
        <v>275478.19439636241</v>
      </c>
      <c r="I269" s="271">
        <f ca="1">INDEX(Pz!$B$2:$AM$48,HÓ!A269,ÉV!$G$2-9)/100000*ÉV!$B$10</f>
        <v>0</v>
      </c>
      <c r="J269" s="273">
        <f ca="1">IF(OR(A269=1,A269=2,AND(C269=ÉV!$I$2,D269&gt;ÉV!$J$2),C269&gt;ÉV!$I$2),0,VLOOKUP(A269-2,ÉV!$A$18:$C$65,3,0))</f>
        <v>4719570.820470822</v>
      </c>
      <c r="K269" s="273">
        <f ca="1">IF(OR(A269=1,AND(C269=ÉV!$I$2,D269&gt;ÉV!$J$2),C269&gt;ÉV!$I$2),0,VLOOKUP(A269-1,ÉV!$A$18:$C$65,3,0))</f>
        <v>4999999.9999999981</v>
      </c>
      <c r="L269" s="273">
        <f ca="1">VLOOKUP(A269,ÉV!$A$18:$C$65,3,0)*IF(OR(AND(C269=ÉV!$I$2,D269&gt;ÉV!$J$2),C269&gt;ÉV!$I$2),0,1)</f>
        <v>4999999.9999999981</v>
      </c>
      <c r="M269" s="273">
        <f ca="1">(K269*(12-B269)/12+L269*B269/12)*IF(A269&gt;ÉV!$G$2,0,1)+IF(A269&gt;ÉV!$G$2,M268,0)*IF(OR(AND(C269=ÉV!$I$2,D269&gt;ÉV!$J$2),C269&gt;ÉV!$I$2),0,1)</f>
        <v>4999999.9999999981</v>
      </c>
      <c r="N269" s="274">
        <f ca="1">IF(AND(C269=1,D269&lt;12),0,1)*IF(D269=12,MAX(0,F269-E269-0.003)*0.9*((K269+I269)*(B269/12)+(J269+H269)*(1-B269/12))+MAX(0,F269-0.003)*0.9*N268+N268,IF(AND(C269=ÉV!$I$2,D269=ÉV!$J$2),(M269+N268)*MAX(0,F269-0.003)*0.9*(D269/12)+N268,N268))*IF(OR(C269&gt;ÉV!$I$2,AND(C269=ÉV!$I$2,D269&gt;ÉV!$J$2)),0,1)</f>
        <v>0</v>
      </c>
      <c r="O269" s="313">
        <f ca="1">IF(MAX(AF$2:AF268)=2,      0,IF(OR(AC269=7, AF269=2),    SUM(AE$2:AE269),    O268)   )</f>
        <v>1063078.3863259892</v>
      </c>
      <c r="P269" s="271">
        <f ca="1">IF(D269=12,V269+P268+P268*(F269-0.003)*0.9,IF(AND(C269=ÉV!$I$2,D269=ÉV!$J$2),V269+P268+P268*(F269-0.003)*0.9*D269/12,P268))*IF(OR(C269&gt;ÉV!$I$2,AND(C269=ÉV!$I$2,D269&gt;ÉV!$J$2)),0,1)</f>
        <v>0</v>
      </c>
      <c r="Q269" s="275">
        <f ca="1">(N269+P269)*IF(OR(AND(C269=ÉV!$I$2,D269&gt;ÉV!$J$2),C269&gt;ÉV!$I$2),0,1)</f>
        <v>0</v>
      </c>
      <c r="R269" s="271">
        <f ca="1">(MAX(0,F269-E269-0.003)*0.9*((K269+I269)*(1/12)))*IF(OR(C269&gt;ÉV!$I$2,AND(C269=ÉV!$I$2,D269&gt;ÉV!$J$2)),0,1)</f>
        <v>0</v>
      </c>
      <c r="S269" s="271">
        <f ca="1">(MAX(0,F269-0.003)*0.9*((O269)*(1/12)))*IF(OR(C269&gt;ÉV!$I$2,AND(C269=ÉV!$I$2,D269&gt;ÉV!$J$2)),0,1)</f>
        <v>0</v>
      </c>
      <c r="T269" s="271">
        <f ca="1">(MAX(0,F269-0.003)*0.9*((Q268)*(1/12)))*IF(OR(C269&gt;ÉV!$I$2,AND(C269=ÉV!$I$2,D269&gt;ÉV!$J$2)),0,1)</f>
        <v>0</v>
      </c>
      <c r="U269" s="271">
        <f ca="1">IF($D269=1,R269,R269+U268)*IF(OR(C269&gt;ÉV!$I$2,AND(C269=ÉV!$I$2,D269&gt;ÉV!$J$2)),0,1)</f>
        <v>0</v>
      </c>
      <c r="V269" s="271">
        <f ca="1">IF($D269=1,S269,S269+V268)*IF(OR(C269&gt;ÉV!$I$2,AND(C269=ÉV!$I$2,D269&gt;ÉV!$J$2)),0,1)</f>
        <v>0</v>
      </c>
      <c r="W269" s="271">
        <f ca="1">IF($D269=1,T269,T269+W268)*IF(OR(C269&gt;ÉV!$I$2,AND(C269=ÉV!$I$2,D269&gt;ÉV!$J$2)),0,1)</f>
        <v>0</v>
      </c>
      <c r="X269" s="271">
        <f ca="1">IF(OR(D269=12,AND(C269=ÉV!$I$2,D269=ÉV!$J$2)),SUM(U269:W269)+X268,X268)*IF(OR(C269&gt;ÉV!$I$2,AND(C269=ÉV!$I$2,D269&gt;ÉV!$J$2)),0,1)</f>
        <v>0</v>
      </c>
      <c r="Y269" s="271">
        <f t="shared" ca="1" si="46"/>
        <v>0</v>
      </c>
      <c r="Z269" s="265">
        <f t="shared" si="47"/>
        <v>3</v>
      </c>
      <c r="AA269" s="272">
        <f t="shared" ca="1" si="48"/>
        <v>0</v>
      </c>
      <c r="AB269" s="265">
        <f t="shared" ca="1" si="54"/>
        <v>2039</v>
      </c>
      <c r="AC269" s="265">
        <f t="shared" ca="1" si="55"/>
        <v>6</v>
      </c>
      <c r="AD269" s="276">
        <f ca="1">IF(     OR(               AND(MAX(AF$6:AF269)&lt;2,  AC269=12),                 AF269=2),                   SUMIF(AB:AB,AB269,AA:AA),                       0)</f>
        <v>0</v>
      </c>
      <c r="AE269" s="277">
        <f t="shared" ca="1" si="45"/>
        <v>0</v>
      </c>
      <c r="AF269" s="277">
        <f t="shared" ca="1" si="49"/>
        <v>0</v>
      </c>
      <c r="AG269" s="402">
        <f ca="1">IF(  AND(AC269=AdóHó,   MAX(AF$1:AF268)&lt;2),   SUMIF(AB:AB,AB269-1,AE:AE),0  )
+ IF(AND(AC269&lt;AdóHó,                            AF269=2),   SUMIF(AB:AB,AB269-1,AE:AE),0  )
+ IF(                                                                  AF269=2,    SUMIF(AB:AB,AB269,AE:AE   ),0  )</f>
        <v>0</v>
      </c>
      <c r="AH269" s="272">
        <f ca="1">SUM(AG$2:AG269)</f>
        <v>1063078.3863259892</v>
      </c>
    </row>
    <row r="270" spans="1:34">
      <c r="A270" s="265">
        <f t="shared" si="50"/>
        <v>23</v>
      </c>
      <c r="B270" s="265">
        <f t="shared" si="51"/>
        <v>4</v>
      </c>
      <c r="C270" s="265">
        <f t="shared" ca="1" si="52"/>
        <v>23</v>
      </c>
      <c r="D270" s="265">
        <f t="shared" ca="1" si="53"/>
        <v>7</v>
      </c>
      <c r="E270" s="266">
        <v>5.0000000000000001E-3</v>
      </c>
      <c r="F270" s="267">
        <f>ÉV!$B$12</f>
        <v>0</v>
      </c>
      <c r="G270" s="271">
        <f ca="1">VLOOKUP(A270,ÉV!$A$18:$B$65,2,0)</f>
        <v>0</v>
      </c>
      <c r="H270" s="271">
        <f ca="1">IF(OR(A270=1,AND(C270=ÉV!$I$2,D270&gt;ÉV!$J$2),C270&gt;ÉV!$I$2),0,INDEX(Pz!$B$2:$AM$48,A270-1,ÉV!$G$2-9)/100000*ÉV!$B$10)</f>
        <v>275478.19439636241</v>
      </c>
      <c r="I270" s="271">
        <f ca="1">INDEX(Pz!$B$2:$AM$48,HÓ!A270,ÉV!$G$2-9)/100000*ÉV!$B$10</f>
        <v>0</v>
      </c>
      <c r="J270" s="273">
        <f ca="1">IF(OR(A270=1,A270=2,AND(C270=ÉV!$I$2,D270&gt;ÉV!$J$2),C270&gt;ÉV!$I$2),0,VLOOKUP(A270-2,ÉV!$A$18:$C$65,3,0))</f>
        <v>4719570.820470822</v>
      </c>
      <c r="K270" s="273">
        <f ca="1">IF(OR(A270=1,AND(C270=ÉV!$I$2,D270&gt;ÉV!$J$2),C270&gt;ÉV!$I$2),0,VLOOKUP(A270-1,ÉV!$A$18:$C$65,3,0))</f>
        <v>4999999.9999999981</v>
      </c>
      <c r="L270" s="273">
        <f ca="1">VLOOKUP(A270,ÉV!$A$18:$C$65,3,0)*IF(OR(AND(C270=ÉV!$I$2,D270&gt;ÉV!$J$2),C270&gt;ÉV!$I$2),0,1)</f>
        <v>4999999.9999999981</v>
      </c>
      <c r="M270" s="273">
        <f ca="1">(K270*(12-B270)/12+L270*B270/12)*IF(A270&gt;ÉV!$G$2,0,1)+IF(A270&gt;ÉV!$G$2,M269,0)*IF(OR(AND(C270=ÉV!$I$2,D270&gt;ÉV!$J$2),C270&gt;ÉV!$I$2),0,1)</f>
        <v>4999999.9999999981</v>
      </c>
      <c r="N270" s="274">
        <f ca="1">IF(AND(C270=1,D270&lt;12),0,1)*IF(D270=12,MAX(0,F270-E270-0.003)*0.9*((K270+I270)*(B270/12)+(J270+H270)*(1-B270/12))+MAX(0,F270-0.003)*0.9*N269+N269,IF(AND(C270=ÉV!$I$2,D270=ÉV!$J$2),(M270+N269)*MAX(0,F270-0.003)*0.9*(D270/12)+N269,N269))*IF(OR(C270&gt;ÉV!$I$2,AND(C270=ÉV!$I$2,D270&gt;ÉV!$J$2)),0,1)</f>
        <v>0</v>
      </c>
      <c r="O270" s="313">
        <f ca="1">IF(MAX(AF$2:AF269)=2,      0,IF(OR(AC270=7, AF270=2),    SUM(AE$2:AE270),    O269)   )</f>
        <v>1139324.2410681627</v>
      </c>
      <c r="P270" s="271">
        <f ca="1">IF(D270=12,V270+P269+P269*(F270-0.003)*0.9,IF(AND(C270=ÉV!$I$2,D270=ÉV!$J$2),V270+P269+P269*(F270-0.003)*0.9*D270/12,P269))*IF(OR(C270&gt;ÉV!$I$2,AND(C270=ÉV!$I$2,D270&gt;ÉV!$J$2)),0,1)</f>
        <v>0</v>
      </c>
      <c r="Q270" s="275">
        <f ca="1">(N270+P270)*IF(OR(AND(C270=ÉV!$I$2,D270&gt;ÉV!$J$2),C270&gt;ÉV!$I$2),0,1)</f>
        <v>0</v>
      </c>
      <c r="R270" s="271">
        <f ca="1">(MAX(0,F270-E270-0.003)*0.9*((K270+I270)*(1/12)))*IF(OR(C270&gt;ÉV!$I$2,AND(C270=ÉV!$I$2,D270&gt;ÉV!$J$2)),0,1)</f>
        <v>0</v>
      </c>
      <c r="S270" s="271">
        <f ca="1">(MAX(0,F270-0.003)*0.9*((O270)*(1/12)))*IF(OR(C270&gt;ÉV!$I$2,AND(C270=ÉV!$I$2,D270&gt;ÉV!$J$2)),0,1)</f>
        <v>0</v>
      </c>
      <c r="T270" s="271">
        <f ca="1">(MAX(0,F270-0.003)*0.9*((Q269)*(1/12)))*IF(OR(C270&gt;ÉV!$I$2,AND(C270=ÉV!$I$2,D270&gt;ÉV!$J$2)),0,1)</f>
        <v>0</v>
      </c>
      <c r="U270" s="271">
        <f ca="1">IF($D270=1,R270,R270+U269)*IF(OR(C270&gt;ÉV!$I$2,AND(C270=ÉV!$I$2,D270&gt;ÉV!$J$2)),0,1)</f>
        <v>0</v>
      </c>
      <c r="V270" s="271">
        <f ca="1">IF($D270=1,S270,S270+V269)*IF(OR(C270&gt;ÉV!$I$2,AND(C270=ÉV!$I$2,D270&gt;ÉV!$J$2)),0,1)</f>
        <v>0</v>
      </c>
      <c r="W270" s="271">
        <f ca="1">IF($D270=1,T270,T270+W269)*IF(OR(C270&gt;ÉV!$I$2,AND(C270=ÉV!$I$2,D270&gt;ÉV!$J$2)),0,1)</f>
        <v>0</v>
      </c>
      <c r="X270" s="271">
        <f ca="1">IF(OR(D270=12,AND(C270=ÉV!$I$2,D270=ÉV!$J$2)),SUM(U270:W270)+X269,X269)*IF(OR(C270&gt;ÉV!$I$2,AND(C270=ÉV!$I$2,D270&gt;ÉV!$J$2)),0,1)</f>
        <v>0</v>
      </c>
      <c r="Y270" s="271">
        <f t="shared" ca="1" si="46"/>
        <v>0</v>
      </c>
      <c r="Z270" s="265">
        <f t="shared" si="47"/>
        <v>4</v>
      </c>
      <c r="AA270" s="272">
        <f t="shared" ca="1" si="48"/>
        <v>0</v>
      </c>
      <c r="AB270" s="265">
        <f t="shared" ca="1" si="54"/>
        <v>2039</v>
      </c>
      <c r="AC270" s="265">
        <f t="shared" ca="1" si="55"/>
        <v>7</v>
      </c>
      <c r="AD270" s="276">
        <f ca="1">IF(     OR(               AND(MAX(AF$6:AF270)&lt;2,  AC270=12),                 AF270=2),                   SUMIF(AB:AB,AB270,AA:AA),                       0)</f>
        <v>76245.854742173673</v>
      </c>
      <c r="AE270" s="277">
        <f t="shared" ref="AE270:AE333" ca="1" si="56">MIN(AD270*0.2,130000)</f>
        <v>15249.170948434736</v>
      </c>
      <c r="AF270" s="277">
        <f t="shared" ca="1" si="49"/>
        <v>2</v>
      </c>
      <c r="AG270" s="402">
        <f ca="1">IF(  AND(AC270=AdóHó,   MAX(AF$1:AF269)&lt;2),   SUMIF(AB:AB,AB270-1,AE:AE),0  )
+ IF(AND(AC270&lt;AdóHó,                            AF270=2),   SUMIF(AB:AB,AB270-1,AE:AE),0  )
+ IF(                                                                  AF270=2,    SUMIF(AB:AB,AB270,AE:AE   ),0  )</f>
        <v>76245.854742173658</v>
      </c>
      <c r="AH270" s="272">
        <f ca="1">SUM(AG$2:AG270)</f>
        <v>1139324.2410681627</v>
      </c>
    </row>
    <row r="271" spans="1:34">
      <c r="A271" s="265">
        <f t="shared" si="50"/>
        <v>23</v>
      </c>
      <c r="B271" s="265">
        <f t="shared" si="51"/>
        <v>5</v>
      </c>
      <c r="C271" s="265">
        <f t="shared" ca="1" si="52"/>
        <v>23</v>
      </c>
      <c r="D271" s="265">
        <f t="shared" ca="1" si="53"/>
        <v>8</v>
      </c>
      <c r="E271" s="266">
        <v>5.0000000000000001E-3</v>
      </c>
      <c r="F271" s="267">
        <f>ÉV!$B$12</f>
        <v>0</v>
      </c>
      <c r="G271" s="271">
        <f ca="1">VLOOKUP(A271,ÉV!$A$18:$B$65,2,0)</f>
        <v>0</v>
      </c>
      <c r="H271" s="271">
        <f ca="1">IF(OR(A271=1,AND(C271=ÉV!$I$2,D271&gt;ÉV!$J$2),C271&gt;ÉV!$I$2),0,INDEX(Pz!$B$2:$AM$48,A271-1,ÉV!$G$2-9)/100000*ÉV!$B$10)</f>
        <v>0</v>
      </c>
      <c r="I271" s="271">
        <f ca="1">INDEX(Pz!$B$2:$AM$48,HÓ!A271,ÉV!$G$2-9)/100000*ÉV!$B$10</f>
        <v>0</v>
      </c>
      <c r="J271" s="273">
        <f ca="1">IF(OR(A271=1,A271=2,AND(C271=ÉV!$I$2,D271&gt;ÉV!$J$2),C271&gt;ÉV!$I$2),0,VLOOKUP(A271-2,ÉV!$A$18:$C$65,3,0))</f>
        <v>0</v>
      </c>
      <c r="K271" s="273">
        <f ca="1">IF(OR(A271=1,AND(C271=ÉV!$I$2,D271&gt;ÉV!$J$2),C271&gt;ÉV!$I$2),0,VLOOKUP(A271-1,ÉV!$A$18:$C$65,3,0))</f>
        <v>0</v>
      </c>
      <c r="L271" s="273">
        <f ca="1">VLOOKUP(A271,ÉV!$A$18:$C$65,3,0)*IF(OR(AND(C271=ÉV!$I$2,D271&gt;ÉV!$J$2),C271&gt;ÉV!$I$2),0,1)</f>
        <v>0</v>
      </c>
      <c r="M271" s="273">
        <f ca="1">(K271*(12-B271)/12+L271*B271/12)*IF(A271&gt;ÉV!$G$2,0,1)+IF(A271&gt;ÉV!$G$2,M270,0)*IF(OR(AND(C271=ÉV!$I$2,D271&gt;ÉV!$J$2),C271&gt;ÉV!$I$2),0,1)</f>
        <v>0</v>
      </c>
      <c r="N271" s="274">
        <f ca="1">IF(AND(C271=1,D271&lt;12),0,1)*IF(D271=12,MAX(0,F271-E271-0.003)*0.9*((K271+I271)*(B271/12)+(J271+H271)*(1-B271/12))+MAX(0,F271-0.003)*0.9*N270+N270,IF(AND(C271=ÉV!$I$2,D271=ÉV!$J$2),(M271+N270)*MAX(0,F271-0.003)*0.9*(D271/12)+N270,N270))*IF(OR(C271&gt;ÉV!$I$2,AND(C271=ÉV!$I$2,D271&gt;ÉV!$J$2)),0,1)</f>
        <v>0</v>
      </c>
      <c r="O271" s="313">
        <f ca="1">IF(MAX(AF$2:AF270)=2,      0,IF(OR(AC271=7, AF271=2),    SUM(AE$2:AE271),    O270)   )</f>
        <v>0</v>
      </c>
      <c r="P271" s="271">
        <f ca="1">IF(D271=12,V271+P270+P270*(F271-0.003)*0.9,IF(AND(C271=ÉV!$I$2,D271=ÉV!$J$2),V271+P270+P270*(F271-0.003)*0.9*D271/12,P270))*IF(OR(C271&gt;ÉV!$I$2,AND(C271=ÉV!$I$2,D271&gt;ÉV!$J$2)),0,1)</f>
        <v>0</v>
      </c>
      <c r="Q271" s="275">
        <f ca="1">(N271+P271)*IF(OR(AND(C271=ÉV!$I$2,D271&gt;ÉV!$J$2),C271&gt;ÉV!$I$2),0,1)</f>
        <v>0</v>
      </c>
      <c r="R271" s="271">
        <f ca="1">(MAX(0,F271-E271-0.003)*0.9*((K271+I271)*(1/12)))*IF(OR(C271&gt;ÉV!$I$2,AND(C271=ÉV!$I$2,D271&gt;ÉV!$J$2)),0,1)</f>
        <v>0</v>
      </c>
      <c r="S271" s="271">
        <f ca="1">(MAX(0,F271-0.003)*0.9*((O271)*(1/12)))*IF(OR(C271&gt;ÉV!$I$2,AND(C271=ÉV!$I$2,D271&gt;ÉV!$J$2)),0,1)</f>
        <v>0</v>
      </c>
      <c r="T271" s="271">
        <f ca="1">(MAX(0,F271-0.003)*0.9*((Q270)*(1/12)))*IF(OR(C271&gt;ÉV!$I$2,AND(C271=ÉV!$I$2,D271&gt;ÉV!$J$2)),0,1)</f>
        <v>0</v>
      </c>
      <c r="U271" s="271">
        <f ca="1">IF($D271=1,R271,R271+U270)*IF(OR(C271&gt;ÉV!$I$2,AND(C271=ÉV!$I$2,D271&gt;ÉV!$J$2)),0,1)</f>
        <v>0</v>
      </c>
      <c r="V271" s="271">
        <f ca="1">IF($D271=1,S271,S271+V270)*IF(OR(C271&gt;ÉV!$I$2,AND(C271=ÉV!$I$2,D271&gt;ÉV!$J$2)),0,1)</f>
        <v>0</v>
      </c>
      <c r="W271" s="271">
        <f ca="1">IF($D271=1,T271,T271+W270)*IF(OR(C271&gt;ÉV!$I$2,AND(C271=ÉV!$I$2,D271&gt;ÉV!$J$2)),0,1)</f>
        <v>0</v>
      </c>
      <c r="X271" s="271">
        <f ca="1">IF(OR(D271=12,AND(C271=ÉV!$I$2,D271=ÉV!$J$2)),SUM(U271:W271)+X270,X270)*IF(OR(C271&gt;ÉV!$I$2,AND(C271=ÉV!$I$2,D271&gt;ÉV!$J$2)),0,1)</f>
        <v>0</v>
      </c>
      <c r="Y271" s="271">
        <f t="shared" ca="1" si="46"/>
        <v>0</v>
      </c>
      <c r="Z271" s="265">
        <f t="shared" si="47"/>
        <v>5</v>
      </c>
      <c r="AA271" s="272">
        <f t="shared" ca="1" si="48"/>
        <v>0</v>
      </c>
      <c r="AB271" s="265">
        <f t="shared" ca="1" si="54"/>
        <v>2039</v>
      </c>
      <c r="AC271" s="265">
        <f t="shared" ca="1" si="55"/>
        <v>8</v>
      </c>
      <c r="AD271" s="276">
        <f ca="1">IF(     OR(               AND(MAX(AF$6:AF271)&lt;2,  AC271=12),                 AF271=2),                   SUMIF(AB:AB,AB271,AA:AA),                       0)</f>
        <v>0</v>
      </c>
      <c r="AE271" s="277">
        <f t="shared" ca="1" si="56"/>
        <v>0</v>
      </c>
      <c r="AF271" s="277">
        <f t="shared" ca="1" si="49"/>
        <v>0</v>
      </c>
      <c r="AG271" s="402">
        <f ca="1">IF(  AND(AC271=AdóHó,   MAX(AF$1:AF270)&lt;2),   SUMIF(AB:AB,AB271-1,AE:AE),0  )
+ IF(AND(AC271&lt;AdóHó,                            AF271=2),   SUMIF(AB:AB,AB271-1,AE:AE),0  )
+ IF(                                                                  AF271=2,    SUMIF(AB:AB,AB271,AE:AE   ),0  )</f>
        <v>0</v>
      </c>
      <c r="AH271" s="272">
        <f ca="1">SUM(AG$2:AG271)</f>
        <v>1139324.2410681627</v>
      </c>
    </row>
    <row r="272" spans="1:34">
      <c r="A272" s="265">
        <f t="shared" si="50"/>
        <v>23</v>
      </c>
      <c r="B272" s="265">
        <f t="shared" si="51"/>
        <v>6</v>
      </c>
      <c r="C272" s="265">
        <f t="shared" ca="1" si="52"/>
        <v>23</v>
      </c>
      <c r="D272" s="265">
        <f t="shared" ca="1" si="53"/>
        <v>9</v>
      </c>
      <c r="E272" s="266">
        <v>5.0000000000000001E-3</v>
      </c>
      <c r="F272" s="267">
        <f>ÉV!$B$12</f>
        <v>0</v>
      </c>
      <c r="G272" s="271">
        <f ca="1">VLOOKUP(A272,ÉV!$A$18:$B$65,2,0)</f>
        <v>0</v>
      </c>
      <c r="H272" s="271">
        <f ca="1">IF(OR(A272=1,AND(C272=ÉV!$I$2,D272&gt;ÉV!$J$2),C272&gt;ÉV!$I$2),0,INDEX(Pz!$B$2:$AM$48,A272-1,ÉV!$G$2-9)/100000*ÉV!$B$10)</f>
        <v>0</v>
      </c>
      <c r="I272" s="271">
        <f ca="1">INDEX(Pz!$B$2:$AM$48,HÓ!A272,ÉV!$G$2-9)/100000*ÉV!$B$10</f>
        <v>0</v>
      </c>
      <c r="J272" s="273">
        <f ca="1">IF(OR(A272=1,A272=2,AND(C272=ÉV!$I$2,D272&gt;ÉV!$J$2),C272&gt;ÉV!$I$2),0,VLOOKUP(A272-2,ÉV!$A$18:$C$65,3,0))</f>
        <v>0</v>
      </c>
      <c r="K272" s="273">
        <f ca="1">IF(OR(A272=1,AND(C272=ÉV!$I$2,D272&gt;ÉV!$J$2),C272&gt;ÉV!$I$2),0,VLOOKUP(A272-1,ÉV!$A$18:$C$65,3,0))</f>
        <v>0</v>
      </c>
      <c r="L272" s="273">
        <f ca="1">VLOOKUP(A272,ÉV!$A$18:$C$65,3,0)*IF(OR(AND(C272=ÉV!$I$2,D272&gt;ÉV!$J$2),C272&gt;ÉV!$I$2),0,1)</f>
        <v>0</v>
      </c>
      <c r="M272" s="273">
        <f ca="1">(K272*(12-B272)/12+L272*B272/12)*IF(A272&gt;ÉV!$G$2,0,1)+IF(A272&gt;ÉV!$G$2,M271,0)*IF(OR(AND(C272=ÉV!$I$2,D272&gt;ÉV!$J$2),C272&gt;ÉV!$I$2),0,1)</f>
        <v>0</v>
      </c>
      <c r="N272" s="274">
        <f ca="1">IF(AND(C272=1,D272&lt;12),0,1)*IF(D272=12,MAX(0,F272-E272-0.003)*0.9*((K272+I272)*(B272/12)+(J272+H272)*(1-B272/12))+MAX(0,F272-0.003)*0.9*N271+N271,IF(AND(C272=ÉV!$I$2,D272=ÉV!$J$2),(M272+N271)*MAX(0,F272-0.003)*0.9*(D272/12)+N271,N271))*IF(OR(C272&gt;ÉV!$I$2,AND(C272=ÉV!$I$2,D272&gt;ÉV!$J$2)),0,1)</f>
        <v>0</v>
      </c>
      <c r="O272" s="313">
        <f ca="1">IF(MAX(AF$2:AF271)=2,      0,IF(OR(AC272=7, AF272=2),    SUM(AE$2:AE272),    O271)   )</f>
        <v>0</v>
      </c>
      <c r="P272" s="271">
        <f ca="1">IF(D272=12,V272+P271+P271*(F272-0.003)*0.9,IF(AND(C272=ÉV!$I$2,D272=ÉV!$J$2),V272+P271+P271*(F272-0.003)*0.9*D272/12,P271))*IF(OR(C272&gt;ÉV!$I$2,AND(C272=ÉV!$I$2,D272&gt;ÉV!$J$2)),0,1)</f>
        <v>0</v>
      </c>
      <c r="Q272" s="275">
        <f ca="1">(N272+P272)*IF(OR(AND(C272=ÉV!$I$2,D272&gt;ÉV!$J$2),C272&gt;ÉV!$I$2),0,1)</f>
        <v>0</v>
      </c>
      <c r="R272" s="271">
        <f ca="1">(MAX(0,F272-E272-0.003)*0.9*((K272+I272)*(1/12)))*IF(OR(C272&gt;ÉV!$I$2,AND(C272=ÉV!$I$2,D272&gt;ÉV!$J$2)),0,1)</f>
        <v>0</v>
      </c>
      <c r="S272" s="271">
        <f ca="1">(MAX(0,F272-0.003)*0.9*((O272)*(1/12)))*IF(OR(C272&gt;ÉV!$I$2,AND(C272=ÉV!$I$2,D272&gt;ÉV!$J$2)),0,1)</f>
        <v>0</v>
      </c>
      <c r="T272" s="271">
        <f ca="1">(MAX(0,F272-0.003)*0.9*((Q271)*(1/12)))*IF(OR(C272&gt;ÉV!$I$2,AND(C272=ÉV!$I$2,D272&gt;ÉV!$J$2)),0,1)</f>
        <v>0</v>
      </c>
      <c r="U272" s="271">
        <f ca="1">IF($D272=1,R272,R272+U271)*IF(OR(C272&gt;ÉV!$I$2,AND(C272=ÉV!$I$2,D272&gt;ÉV!$J$2)),0,1)</f>
        <v>0</v>
      </c>
      <c r="V272" s="271">
        <f ca="1">IF($D272=1,S272,S272+V271)*IF(OR(C272&gt;ÉV!$I$2,AND(C272=ÉV!$I$2,D272&gt;ÉV!$J$2)),0,1)</f>
        <v>0</v>
      </c>
      <c r="W272" s="271">
        <f ca="1">IF($D272=1,T272,T272+W271)*IF(OR(C272&gt;ÉV!$I$2,AND(C272=ÉV!$I$2,D272&gt;ÉV!$J$2)),0,1)</f>
        <v>0</v>
      </c>
      <c r="X272" s="271">
        <f ca="1">IF(OR(D272=12,AND(C272=ÉV!$I$2,D272=ÉV!$J$2)),SUM(U272:W272)+X271,X271)*IF(OR(C272&gt;ÉV!$I$2,AND(C272=ÉV!$I$2,D272&gt;ÉV!$J$2)),0,1)</f>
        <v>0</v>
      </c>
      <c r="Y272" s="271">
        <f t="shared" ca="1" si="46"/>
        <v>0</v>
      </c>
      <c r="Z272" s="265">
        <f t="shared" si="47"/>
        <v>6</v>
      </c>
      <c r="AA272" s="272">
        <f t="shared" ca="1" si="48"/>
        <v>0</v>
      </c>
      <c r="AB272" s="265">
        <f t="shared" ca="1" si="54"/>
        <v>2039</v>
      </c>
      <c r="AC272" s="265">
        <f t="shared" ca="1" si="55"/>
        <v>9</v>
      </c>
      <c r="AD272" s="276">
        <f ca="1">IF(     OR(               AND(MAX(AF$6:AF272)&lt;2,  AC272=12),                 AF272=2),                   SUMIF(AB:AB,AB272,AA:AA),                       0)</f>
        <v>0</v>
      </c>
      <c r="AE272" s="277">
        <f t="shared" ca="1" si="56"/>
        <v>0</v>
      </c>
      <c r="AF272" s="277">
        <f t="shared" ca="1" si="49"/>
        <v>0</v>
      </c>
      <c r="AG272" s="402">
        <f ca="1">IF(  AND(AC272=AdóHó,   MAX(AF$1:AF271)&lt;2),   SUMIF(AB:AB,AB272-1,AE:AE),0  )
+ IF(AND(AC272&lt;AdóHó,                            AF272=2),   SUMIF(AB:AB,AB272-1,AE:AE),0  )
+ IF(                                                                  AF272=2,    SUMIF(AB:AB,AB272,AE:AE   ),0  )</f>
        <v>0</v>
      </c>
      <c r="AH272" s="272">
        <f ca="1">SUM(AG$2:AG272)</f>
        <v>1139324.2410681627</v>
      </c>
    </row>
    <row r="273" spans="1:34">
      <c r="A273" s="265">
        <f t="shared" si="50"/>
        <v>23</v>
      </c>
      <c r="B273" s="265">
        <f t="shared" si="51"/>
        <v>7</v>
      </c>
      <c r="C273" s="265">
        <f t="shared" ca="1" si="52"/>
        <v>23</v>
      </c>
      <c r="D273" s="265">
        <f t="shared" ca="1" si="53"/>
        <v>10</v>
      </c>
      <c r="E273" s="266">
        <v>5.0000000000000001E-3</v>
      </c>
      <c r="F273" s="267">
        <f>ÉV!$B$12</f>
        <v>0</v>
      </c>
      <c r="G273" s="271">
        <f ca="1">VLOOKUP(A273,ÉV!$A$18:$B$65,2,0)</f>
        <v>0</v>
      </c>
      <c r="H273" s="271">
        <f ca="1">IF(OR(A273=1,AND(C273=ÉV!$I$2,D273&gt;ÉV!$J$2),C273&gt;ÉV!$I$2),0,INDEX(Pz!$B$2:$AM$48,A273-1,ÉV!$G$2-9)/100000*ÉV!$B$10)</f>
        <v>0</v>
      </c>
      <c r="I273" s="271">
        <f ca="1">INDEX(Pz!$B$2:$AM$48,HÓ!A273,ÉV!$G$2-9)/100000*ÉV!$B$10</f>
        <v>0</v>
      </c>
      <c r="J273" s="273">
        <f ca="1">IF(OR(A273=1,A273=2,AND(C273=ÉV!$I$2,D273&gt;ÉV!$J$2),C273&gt;ÉV!$I$2),0,VLOOKUP(A273-2,ÉV!$A$18:$C$65,3,0))</f>
        <v>0</v>
      </c>
      <c r="K273" s="273">
        <f ca="1">IF(OR(A273=1,AND(C273=ÉV!$I$2,D273&gt;ÉV!$J$2),C273&gt;ÉV!$I$2),0,VLOOKUP(A273-1,ÉV!$A$18:$C$65,3,0))</f>
        <v>0</v>
      </c>
      <c r="L273" s="273">
        <f ca="1">VLOOKUP(A273,ÉV!$A$18:$C$65,3,0)*IF(OR(AND(C273=ÉV!$I$2,D273&gt;ÉV!$J$2),C273&gt;ÉV!$I$2),0,1)</f>
        <v>0</v>
      </c>
      <c r="M273" s="273">
        <f ca="1">(K273*(12-B273)/12+L273*B273/12)*IF(A273&gt;ÉV!$G$2,0,1)+IF(A273&gt;ÉV!$G$2,M272,0)*IF(OR(AND(C273=ÉV!$I$2,D273&gt;ÉV!$J$2),C273&gt;ÉV!$I$2),0,1)</f>
        <v>0</v>
      </c>
      <c r="N273" s="274">
        <f ca="1">IF(AND(C273=1,D273&lt;12),0,1)*IF(D273=12,MAX(0,F273-E273-0.003)*0.9*((K273+I273)*(B273/12)+(J273+H273)*(1-B273/12))+MAX(0,F273-0.003)*0.9*N272+N272,IF(AND(C273=ÉV!$I$2,D273=ÉV!$J$2),(M273+N272)*MAX(0,F273-0.003)*0.9*(D273/12)+N272,N272))*IF(OR(C273&gt;ÉV!$I$2,AND(C273=ÉV!$I$2,D273&gt;ÉV!$J$2)),0,1)</f>
        <v>0</v>
      </c>
      <c r="O273" s="313">
        <f ca="1">IF(MAX(AF$2:AF272)=2,      0,IF(OR(AC273=7, AF273=2),    SUM(AE$2:AE273),    O272)   )</f>
        <v>0</v>
      </c>
      <c r="P273" s="271">
        <f ca="1">IF(D273=12,V273+P272+P272*(F273-0.003)*0.9,IF(AND(C273=ÉV!$I$2,D273=ÉV!$J$2),V273+P272+P272*(F273-0.003)*0.9*D273/12,P272))*IF(OR(C273&gt;ÉV!$I$2,AND(C273=ÉV!$I$2,D273&gt;ÉV!$J$2)),0,1)</f>
        <v>0</v>
      </c>
      <c r="Q273" s="275">
        <f ca="1">(N273+P273)*IF(OR(AND(C273=ÉV!$I$2,D273&gt;ÉV!$J$2),C273&gt;ÉV!$I$2),0,1)</f>
        <v>0</v>
      </c>
      <c r="R273" s="271">
        <f ca="1">(MAX(0,F273-E273-0.003)*0.9*((K273+I273)*(1/12)))*IF(OR(C273&gt;ÉV!$I$2,AND(C273=ÉV!$I$2,D273&gt;ÉV!$J$2)),0,1)</f>
        <v>0</v>
      </c>
      <c r="S273" s="271">
        <f ca="1">(MAX(0,F273-0.003)*0.9*((O273)*(1/12)))*IF(OR(C273&gt;ÉV!$I$2,AND(C273=ÉV!$I$2,D273&gt;ÉV!$J$2)),0,1)</f>
        <v>0</v>
      </c>
      <c r="T273" s="271">
        <f ca="1">(MAX(0,F273-0.003)*0.9*((Q272)*(1/12)))*IF(OR(C273&gt;ÉV!$I$2,AND(C273=ÉV!$I$2,D273&gt;ÉV!$J$2)),0,1)</f>
        <v>0</v>
      </c>
      <c r="U273" s="271">
        <f ca="1">IF($D273=1,R273,R273+U272)*IF(OR(C273&gt;ÉV!$I$2,AND(C273=ÉV!$I$2,D273&gt;ÉV!$J$2)),0,1)</f>
        <v>0</v>
      </c>
      <c r="V273" s="271">
        <f ca="1">IF($D273=1,S273,S273+V272)*IF(OR(C273&gt;ÉV!$I$2,AND(C273=ÉV!$I$2,D273&gt;ÉV!$J$2)),0,1)</f>
        <v>0</v>
      </c>
      <c r="W273" s="271">
        <f ca="1">IF($D273=1,T273,T273+W272)*IF(OR(C273&gt;ÉV!$I$2,AND(C273=ÉV!$I$2,D273&gt;ÉV!$J$2)),0,1)</f>
        <v>0</v>
      </c>
      <c r="X273" s="271">
        <f ca="1">IF(OR(D273=12,AND(C273=ÉV!$I$2,D273=ÉV!$J$2)),SUM(U273:W273)+X272,X272)*IF(OR(C273&gt;ÉV!$I$2,AND(C273=ÉV!$I$2,D273&gt;ÉV!$J$2)),0,1)</f>
        <v>0</v>
      </c>
      <c r="Y273" s="271">
        <f t="shared" ca="1" si="46"/>
        <v>0</v>
      </c>
      <c r="Z273" s="265">
        <f t="shared" si="47"/>
        <v>7</v>
      </c>
      <c r="AA273" s="272">
        <f t="shared" ca="1" si="48"/>
        <v>0</v>
      </c>
      <c r="AB273" s="265">
        <f t="shared" ca="1" si="54"/>
        <v>2039</v>
      </c>
      <c r="AC273" s="265">
        <f t="shared" ca="1" si="55"/>
        <v>10</v>
      </c>
      <c r="AD273" s="276">
        <f ca="1">IF(     OR(               AND(MAX(AF$6:AF273)&lt;2,  AC273=12),                 AF273=2),                   SUMIF(AB:AB,AB273,AA:AA),                       0)</f>
        <v>0</v>
      </c>
      <c r="AE273" s="277">
        <f t="shared" ca="1" si="56"/>
        <v>0</v>
      </c>
      <c r="AF273" s="277">
        <f t="shared" ca="1" si="49"/>
        <v>0</v>
      </c>
      <c r="AG273" s="402">
        <f ca="1">IF(  AND(AC273=AdóHó,   MAX(AF$1:AF272)&lt;2),   SUMIF(AB:AB,AB273-1,AE:AE),0  )
+ IF(AND(AC273&lt;AdóHó,                            AF273=2),   SUMIF(AB:AB,AB273-1,AE:AE),0  )
+ IF(                                                                  AF273=2,    SUMIF(AB:AB,AB273,AE:AE   ),0  )</f>
        <v>0</v>
      </c>
      <c r="AH273" s="272">
        <f ca="1">SUM(AG$2:AG273)</f>
        <v>1139324.2410681627</v>
      </c>
    </row>
    <row r="274" spans="1:34">
      <c r="A274" s="265">
        <f t="shared" si="50"/>
        <v>23</v>
      </c>
      <c r="B274" s="265">
        <f t="shared" si="51"/>
        <v>8</v>
      </c>
      <c r="C274" s="265">
        <f t="shared" ca="1" si="52"/>
        <v>23</v>
      </c>
      <c r="D274" s="265">
        <f t="shared" ca="1" si="53"/>
        <v>11</v>
      </c>
      <c r="E274" s="266">
        <v>5.0000000000000001E-3</v>
      </c>
      <c r="F274" s="267">
        <f>ÉV!$B$12</f>
        <v>0</v>
      </c>
      <c r="G274" s="271">
        <f ca="1">VLOOKUP(A274,ÉV!$A$18:$B$65,2,0)</f>
        <v>0</v>
      </c>
      <c r="H274" s="271">
        <f ca="1">IF(OR(A274=1,AND(C274=ÉV!$I$2,D274&gt;ÉV!$J$2),C274&gt;ÉV!$I$2),0,INDEX(Pz!$B$2:$AM$48,A274-1,ÉV!$G$2-9)/100000*ÉV!$B$10)</f>
        <v>0</v>
      </c>
      <c r="I274" s="271">
        <f ca="1">INDEX(Pz!$B$2:$AM$48,HÓ!A274,ÉV!$G$2-9)/100000*ÉV!$B$10</f>
        <v>0</v>
      </c>
      <c r="J274" s="273">
        <f ca="1">IF(OR(A274=1,A274=2,AND(C274=ÉV!$I$2,D274&gt;ÉV!$J$2),C274&gt;ÉV!$I$2),0,VLOOKUP(A274-2,ÉV!$A$18:$C$65,3,0))</f>
        <v>0</v>
      </c>
      <c r="K274" s="273">
        <f ca="1">IF(OR(A274=1,AND(C274=ÉV!$I$2,D274&gt;ÉV!$J$2),C274&gt;ÉV!$I$2),0,VLOOKUP(A274-1,ÉV!$A$18:$C$65,3,0))</f>
        <v>0</v>
      </c>
      <c r="L274" s="273">
        <f ca="1">VLOOKUP(A274,ÉV!$A$18:$C$65,3,0)*IF(OR(AND(C274=ÉV!$I$2,D274&gt;ÉV!$J$2),C274&gt;ÉV!$I$2),0,1)</f>
        <v>0</v>
      </c>
      <c r="M274" s="273">
        <f ca="1">(K274*(12-B274)/12+L274*B274/12)*IF(A274&gt;ÉV!$G$2,0,1)+IF(A274&gt;ÉV!$G$2,M273,0)*IF(OR(AND(C274=ÉV!$I$2,D274&gt;ÉV!$J$2),C274&gt;ÉV!$I$2),0,1)</f>
        <v>0</v>
      </c>
      <c r="N274" s="274">
        <f ca="1">IF(AND(C274=1,D274&lt;12),0,1)*IF(D274=12,MAX(0,F274-E274-0.003)*0.9*((K274+I274)*(B274/12)+(J274+H274)*(1-B274/12))+MAX(0,F274-0.003)*0.9*N273+N273,IF(AND(C274=ÉV!$I$2,D274=ÉV!$J$2),(M274+N273)*MAX(0,F274-0.003)*0.9*(D274/12)+N273,N273))*IF(OR(C274&gt;ÉV!$I$2,AND(C274=ÉV!$I$2,D274&gt;ÉV!$J$2)),0,1)</f>
        <v>0</v>
      </c>
      <c r="O274" s="313">
        <f ca="1">IF(MAX(AF$2:AF273)=2,      0,IF(OR(AC274=7, AF274=2),    SUM(AE$2:AE274),    O273)   )</f>
        <v>0</v>
      </c>
      <c r="P274" s="271">
        <f ca="1">IF(D274=12,V274+P273+P273*(F274-0.003)*0.9,IF(AND(C274=ÉV!$I$2,D274=ÉV!$J$2),V274+P273+P273*(F274-0.003)*0.9*D274/12,P273))*IF(OR(C274&gt;ÉV!$I$2,AND(C274=ÉV!$I$2,D274&gt;ÉV!$J$2)),0,1)</f>
        <v>0</v>
      </c>
      <c r="Q274" s="275">
        <f ca="1">(N274+P274)*IF(OR(AND(C274=ÉV!$I$2,D274&gt;ÉV!$J$2),C274&gt;ÉV!$I$2),0,1)</f>
        <v>0</v>
      </c>
      <c r="R274" s="271">
        <f ca="1">(MAX(0,F274-E274-0.003)*0.9*((K274+I274)*(1/12)))*IF(OR(C274&gt;ÉV!$I$2,AND(C274=ÉV!$I$2,D274&gt;ÉV!$J$2)),0,1)</f>
        <v>0</v>
      </c>
      <c r="S274" s="271">
        <f ca="1">(MAX(0,F274-0.003)*0.9*((O274)*(1/12)))*IF(OR(C274&gt;ÉV!$I$2,AND(C274=ÉV!$I$2,D274&gt;ÉV!$J$2)),0,1)</f>
        <v>0</v>
      </c>
      <c r="T274" s="271">
        <f ca="1">(MAX(0,F274-0.003)*0.9*((Q273)*(1/12)))*IF(OR(C274&gt;ÉV!$I$2,AND(C274=ÉV!$I$2,D274&gt;ÉV!$J$2)),0,1)</f>
        <v>0</v>
      </c>
      <c r="U274" s="271">
        <f ca="1">IF($D274=1,R274,R274+U273)*IF(OR(C274&gt;ÉV!$I$2,AND(C274=ÉV!$I$2,D274&gt;ÉV!$J$2)),0,1)</f>
        <v>0</v>
      </c>
      <c r="V274" s="271">
        <f ca="1">IF($D274=1,S274,S274+V273)*IF(OR(C274&gt;ÉV!$I$2,AND(C274=ÉV!$I$2,D274&gt;ÉV!$J$2)),0,1)</f>
        <v>0</v>
      </c>
      <c r="W274" s="271">
        <f ca="1">IF($D274=1,T274,T274+W273)*IF(OR(C274&gt;ÉV!$I$2,AND(C274=ÉV!$I$2,D274&gt;ÉV!$J$2)),0,1)</f>
        <v>0</v>
      </c>
      <c r="X274" s="271">
        <f ca="1">IF(OR(D274=12,AND(C274=ÉV!$I$2,D274=ÉV!$J$2)),SUM(U274:W274)+X273,X273)*IF(OR(C274&gt;ÉV!$I$2,AND(C274=ÉV!$I$2,D274&gt;ÉV!$J$2)),0,1)</f>
        <v>0</v>
      </c>
      <c r="Y274" s="271">
        <f t="shared" ca="1" si="46"/>
        <v>0</v>
      </c>
      <c r="Z274" s="265">
        <f t="shared" si="47"/>
        <v>8</v>
      </c>
      <c r="AA274" s="272">
        <f t="shared" ca="1" si="48"/>
        <v>0</v>
      </c>
      <c r="AB274" s="265">
        <f t="shared" ca="1" si="54"/>
        <v>2039</v>
      </c>
      <c r="AC274" s="265">
        <f t="shared" ca="1" si="55"/>
        <v>11</v>
      </c>
      <c r="AD274" s="276">
        <f ca="1">IF(     OR(               AND(MAX(AF$6:AF274)&lt;2,  AC274=12),                 AF274=2),                   SUMIF(AB:AB,AB274,AA:AA),                       0)</f>
        <v>0</v>
      </c>
      <c r="AE274" s="277">
        <f t="shared" ca="1" si="56"/>
        <v>0</v>
      </c>
      <c r="AF274" s="277">
        <f t="shared" ca="1" si="49"/>
        <v>0</v>
      </c>
      <c r="AG274" s="402">
        <f ca="1">IF(  AND(AC274=AdóHó,   MAX(AF$1:AF273)&lt;2),   SUMIF(AB:AB,AB274-1,AE:AE),0  )
+ IF(AND(AC274&lt;AdóHó,                            AF274=2),   SUMIF(AB:AB,AB274-1,AE:AE),0  )
+ IF(                                                                  AF274=2,    SUMIF(AB:AB,AB274,AE:AE   ),0  )</f>
        <v>0</v>
      </c>
      <c r="AH274" s="272">
        <f ca="1">SUM(AG$2:AG274)</f>
        <v>1139324.2410681627</v>
      </c>
    </row>
    <row r="275" spans="1:34">
      <c r="A275" s="265">
        <f t="shared" si="50"/>
        <v>23</v>
      </c>
      <c r="B275" s="265">
        <f t="shared" si="51"/>
        <v>9</v>
      </c>
      <c r="C275" s="265">
        <f t="shared" ca="1" si="52"/>
        <v>23</v>
      </c>
      <c r="D275" s="265">
        <f t="shared" ca="1" si="53"/>
        <v>12</v>
      </c>
      <c r="E275" s="266">
        <v>5.0000000000000001E-3</v>
      </c>
      <c r="F275" s="267">
        <f>ÉV!$B$12</f>
        <v>0</v>
      </c>
      <c r="G275" s="271">
        <f ca="1">VLOOKUP(A275,ÉV!$A$18:$B$65,2,0)</f>
        <v>0</v>
      </c>
      <c r="H275" s="271">
        <f ca="1">IF(OR(A275=1,AND(C275=ÉV!$I$2,D275&gt;ÉV!$J$2),C275&gt;ÉV!$I$2),0,INDEX(Pz!$B$2:$AM$48,A275-1,ÉV!$G$2-9)/100000*ÉV!$B$10)</f>
        <v>0</v>
      </c>
      <c r="I275" s="271">
        <f ca="1">INDEX(Pz!$B$2:$AM$48,HÓ!A275,ÉV!$G$2-9)/100000*ÉV!$B$10</f>
        <v>0</v>
      </c>
      <c r="J275" s="273">
        <f ca="1">IF(OR(A275=1,A275=2,AND(C275=ÉV!$I$2,D275&gt;ÉV!$J$2),C275&gt;ÉV!$I$2),0,VLOOKUP(A275-2,ÉV!$A$18:$C$65,3,0))</f>
        <v>0</v>
      </c>
      <c r="K275" s="273">
        <f ca="1">IF(OR(A275=1,AND(C275=ÉV!$I$2,D275&gt;ÉV!$J$2),C275&gt;ÉV!$I$2),0,VLOOKUP(A275-1,ÉV!$A$18:$C$65,3,0))</f>
        <v>0</v>
      </c>
      <c r="L275" s="273">
        <f ca="1">VLOOKUP(A275,ÉV!$A$18:$C$65,3,0)*IF(OR(AND(C275=ÉV!$I$2,D275&gt;ÉV!$J$2),C275&gt;ÉV!$I$2),0,1)</f>
        <v>0</v>
      </c>
      <c r="M275" s="273">
        <f ca="1">(K275*(12-B275)/12+L275*B275/12)*IF(A275&gt;ÉV!$G$2,0,1)+IF(A275&gt;ÉV!$G$2,M274,0)*IF(OR(AND(C275=ÉV!$I$2,D275&gt;ÉV!$J$2),C275&gt;ÉV!$I$2),0,1)</f>
        <v>0</v>
      </c>
      <c r="N275" s="274">
        <f ca="1">IF(AND(C275=1,D275&lt;12),0,1)*IF(D275=12,MAX(0,F275-E275-0.003)*0.9*((K275+I275)*(B275/12)+(J275+H275)*(1-B275/12))+MAX(0,F275-0.003)*0.9*N274+N274,IF(AND(C275=ÉV!$I$2,D275=ÉV!$J$2),(M275+N274)*MAX(0,F275-0.003)*0.9*(D275/12)+N274,N274))*IF(OR(C275&gt;ÉV!$I$2,AND(C275=ÉV!$I$2,D275&gt;ÉV!$J$2)),0,1)</f>
        <v>0</v>
      </c>
      <c r="O275" s="313">
        <f ca="1">IF(MAX(AF$2:AF274)=2,      0,IF(OR(AC275=7, AF275=2),    SUM(AE$2:AE275),    O274)   )</f>
        <v>0</v>
      </c>
      <c r="P275" s="271">
        <f ca="1">IF(D275=12,V275+P274+P274*(F275-0.003)*0.9,IF(AND(C275=ÉV!$I$2,D275=ÉV!$J$2),V275+P274+P274*(F275-0.003)*0.9*D275/12,P274))*IF(OR(C275&gt;ÉV!$I$2,AND(C275=ÉV!$I$2,D275&gt;ÉV!$J$2)),0,1)</f>
        <v>0</v>
      </c>
      <c r="Q275" s="275">
        <f ca="1">(N275+P275)*IF(OR(AND(C275=ÉV!$I$2,D275&gt;ÉV!$J$2),C275&gt;ÉV!$I$2),0,1)</f>
        <v>0</v>
      </c>
      <c r="R275" s="271">
        <f ca="1">(MAX(0,F275-E275-0.003)*0.9*((K275+I275)*(1/12)))*IF(OR(C275&gt;ÉV!$I$2,AND(C275=ÉV!$I$2,D275&gt;ÉV!$J$2)),0,1)</f>
        <v>0</v>
      </c>
      <c r="S275" s="271">
        <f ca="1">(MAX(0,F275-0.003)*0.9*((O275)*(1/12)))*IF(OR(C275&gt;ÉV!$I$2,AND(C275=ÉV!$I$2,D275&gt;ÉV!$J$2)),0,1)</f>
        <v>0</v>
      </c>
      <c r="T275" s="271">
        <f ca="1">(MAX(0,F275-0.003)*0.9*((Q274)*(1/12)))*IF(OR(C275&gt;ÉV!$I$2,AND(C275=ÉV!$I$2,D275&gt;ÉV!$J$2)),0,1)</f>
        <v>0</v>
      </c>
      <c r="U275" s="271">
        <f ca="1">IF($D275=1,R275,R275+U274)*IF(OR(C275&gt;ÉV!$I$2,AND(C275=ÉV!$I$2,D275&gt;ÉV!$J$2)),0,1)</f>
        <v>0</v>
      </c>
      <c r="V275" s="271">
        <f ca="1">IF($D275=1,S275,S275+V274)*IF(OR(C275&gt;ÉV!$I$2,AND(C275=ÉV!$I$2,D275&gt;ÉV!$J$2)),0,1)</f>
        <v>0</v>
      </c>
      <c r="W275" s="271">
        <f ca="1">IF($D275=1,T275,T275+W274)*IF(OR(C275&gt;ÉV!$I$2,AND(C275=ÉV!$I$2,D275&gt;ÉV!$J$2)),0,1)</f>
        <v>0</v>
      </c>
      <c r="X275" s="271">
        <f ca="1">IF(OR(D275=12,AND(C275=ÉV!$I$2,D275=ÉV!$J$2)),SUM(U275:W275)+X274,X274)*IF(OR(C275&gt;ÉV!$I$2,AND(C275=ÉV!$I$2,D275&gt;ÉV!$J$2)),0,1)</f>
        <v>0</v>
      </c>
      <c r="Y275" s="271">
        <f t="shared" ca="1" si="46"/>
        <v>0</v>
      </c>
      <c r="Z275" s="265">
        <f t="shared" si="47"/>
        <v>9</v>
      </c>
      <c r="AA275" s="272">
        <f t="shared" ca="1" si="48"/>
        <v>0</v>
      </c>
      <c r="AB275" s="265">
        <f t="shared" ca="1" si="54"/>
        <v>2039</v>
      </c>
      <c r="AC275" s="265">
        <f t="shared" ca="1" si="55"/>
        <v>12</v>
      </c>
      <c r="AD275" s="276">
        <f ca="1">IF(     OR(               AND(MAX(AF$6:AF275)&lt;2,  AC275=12),                 AF275=2),                   SUMIF(AB:AB,AB275,AA:AA),                       0)</f>
        <v>0</v>
      </c>
      <c r="AE275" s="277">
        <f t="shared" ca="1" si="56"/>
        <v>0</v>
      </c>
      <c r="AF275" s="277">
        <f t="shared" ca="1" si="49"/>
        <v>0</v>
      </c>
      <c r="AG275" s="402">
        <f ca="1">IF(  AND(AC275=AdóHó,   MAX(AF$1:AF274)&lt;2),   SUMIF(AB:AB,AB275-1,AE:AE),0  )
+ IF(AND(AC275&lt;AdóHó,                            AF275=2),   SUMIF(AB:AB,AB275-1,AE:AE),0  )
+ IF(                                                                  AF275=2,    SUMIF(AB:AB,AB275,AE:AE   ),0  )</f>
        <v>0</v>
      </c>
      <c r="AH275" s="272">
        <f ca="1">SUM(AG$2:AG275)</f>
        <v>1139324.2410681627</v>
      </c>
    </row>
    <row r="276" spans="1:34">
      <c r="A276" s="265">
        <f t="shared" si="50"/>
        <v>23</v>
      </c>
      <c r="B276" s="265">
        <f t="shared" si="51"/>
        <v>10</v>
      </c>
      <c r="C276" s="265">
        <f t="shared" ca="1" si="52"/>
        <v>24</v>
      </c>
      <c r="D276" s="265">
        <f t="shared" ca="1" si="53"/>
        <v>1</v>
      </c>
      <c r="E276" s="266">
        <v>5.0000000000000001E-3</v>
      </c>
      <c r="F276" s="267">
        <f>ÉV!$B$12</f>
        <v>0</v>
      </c>
      <c r="G276" s="271">
        <f ca="1">VLOOKUP(A276,ÉV!$A$18:$B$65,2,0)</f>
        <v>0</v>
      </c>
      <c r="H276" s="271">
        <f ca="1">IF(OR(A276=1,AND(C276=ÉV!$I$2,D276&gt;ÉV!$J$2),C276&gt;ÉV!$I$2),0,INDEX(Pz!$B$2:$AM$48,A276-1,ÉV!$G$2-9)/100000*ÉV!$B$10)</f>
        <v>0</v>
      </c>
      <c r="I276" s="271">
        <f ca="1">INDEX(Pz!$B$2:$AM$48,HÓ!A276,ÉV!$G$2-9)/100000*ÉV!$B$10</f>
        <v>0</v>
      </c>
      <c r="J276" s="273">
        <f ca="1">IF(OR(A276=1,A276=2,AND(C276=ÉV!$I$2,D276&gt;ÉV!$J$2),C276&gt;ÉV!$I$2),0,VLOOKUP(A276-2,ÉV!$A$18:$C$65,3,0))</f>
        <v>0</v>
      </c>
      <c r="K276" s="273">
        <f ca="1">IF(OR(A276=1,AND(C276=ÉV!$I$2,D276&gt;ÉV!$J$2),C276&gt;ÉV!$I$2),0,VLOOKUP(A276-1,ÉV!$A$18:$C$65,3,0))</f>
        <v>0</v>
      </c>
      <c r="L276" s="273">
        <f ca="1">VLOOKUP(A276,ÉV!$A$18:$C$65,3,0)*IF(OR(AND(C276=ÉV!$I$2,D276&gt;ÉV!$J$2),C276&gt;ÉV!$I$2),0,1)</f>
        <v>0</v>
      </c>
      <c r="M276" s="273">
        <f ca="1">(K276*(12-B276)/12+L276*B276/12)*IF(A276&gt;ÉV!$G$2,0,1)+IF(A276&gt;ÉV!$G$2,M275,0)*IF(OR(AND(C276=ÉV!$I$2,D276&gt;ÉV!$J$2),C276&gt;ÉV!$I$2),0,1)</f>
        <v>0</v>
      </c>
      <c r="N276" s="274">
        <f ca="1">IF(AND(C276=1,D276&lt;12),0,1)*IF(D276=12,MAX(0,F276-E276-0.003)*0.9*((K276+I276)*(B276/12)+(J276+H276)*(1-B276/12))+MAX(0,F276-0.003)*0.9*N275+N275,IF(AND(C276=ÉV!$I$2,D276=ÉV!$J$2),(M276+N275)*MAX(0,F276-0.003)*0.9*(D276/12)+N275,N275))*IF(OR(C276&gt;ÉV!$I$2,AND(C276=ÉV!$I$2,D276&gt;ÉV!$J$2)),0,1)</f>
        <v>0</v>
      </c>
      <c r="O276" s="313">
        <f ca="1">IF(MAX(AF$2:AF275)=2,      0,IF(OR(AC276=7, AF276=2),    SUM(AE$2:AE276),    O275)   )</f>
        <v>0</v>
      </c>
      <c r="P276" s="271">
        <f ca="1">IF(D276=12,V276+P275+P275*(F276-0.003)*0.9,IF(AND(C276=ÉV!$I$2,D276=ÉV!$J$2),V276+P275+P275*(F276-0.003)*0.9*D276/12,P275))*IF(OR(C276&gt;ÉV!$I$2,AND(C276=ÉV!$I$2,D276&gt;ÉV!$J$2)),0,1)</f>
        <v>0</v>
      </c>
      <c r="Q276" s="275">
        <f ca="1">(N276+P276)*IF(OR(AND(C276=ÉV!$I$2,D276&gt;ÉV!$J$2),C276&gt;ÉV!$I$2),0,1)</f>
        <v>0</v>
      </c>
      <c r="R276" s="271">
        <f ca="1">(MAX(0,F276-E276-0.003)*0.9*((K276+I276)*(1/12)))*IF(OR(C276&gt;ÉV!$I$2,AND(C276=ÉV!$I$2,D276&gt;ÉV!$J$2)),0,1)</f>
        <v>0</v>
      </c>
      <c r="S276" s="271">
        <f ca="1">(MAX(0,F276-0.003)*0.9*((O276)*(1/12)))*IF(OR(C276&gt;ÉV!$I$2,AND(C276=ÉV!$I$2,D276&gt;ÉV!$J$2)),0,1)</f>
        <v>0</v>
      </c>
      <c r="T276" s="271">
        <f ca="1">(MAX(0,F276-0.003)*0.9*((Q275)*(1/12)))*IF(OR(C276&gt;ÉV!$I$2,AND(C276=ÉV!$I$2,D276&gt;ÉV!$J$2)),0,1)</f>
        <v>0</v>
      </c>
      <c r="U276" s="271">
        <f ca="1">IF($D276=1,R276,R276+U275)*IF(OR(C276&gt;ÉV!$I$2,AND(C276=ÉV!$I$2,D276&gt;ÉV!$J$2)),0,1)</f>
        <v>0</v>
      </c>
      <c r="V276" s="271">
        <f ca="1">IF($D276=1,S276,S276+V275)*IF(OR(C276&gt;ÉV!$I$2,AND(C276=ÉV!$I$2,D276&gt;ÉV!$J$2)),0,1)</f>
        <v>0</v>
      </c>
      <c r="W276" s="271">
        <f ca="1">IF($D276=1,T276,T276+W275)*IF(OR(C276&gt;ÉV!$I$2,AND(C276=ÉV!$I$2,D276&gt;ÉV!$J$2)),0,1)</f>
        <v>0</v>
      </c>
      <c r="X276" s="271">
        <f ca="1">IF(OR(D276=12,AND(C276=ÉV!$I$2,D276=ÉV!$J$2)),SUM(U276:W276)+X275,X275)*IF(OR(C276&gt;ÉV!$I$2,AND(C276=ÉV!$I$2,D276&gt;ÉV!$J$2)),0,1)</f>
        <v>0</v>
      </c>
      <c r="Y276" s="271">
        <f t="shared" ca="1" si="46"/>
        <v>0</v>
      </c>
      <c r="Z276" s="265">
        <f t="shared" si="47"/>
        <v>10</v>
      </c>
      <c r="AA276" s="272">
        <f t="shared" ca="1" si="48"/>
        <v>0</v>
      </c>
      <c r="AB276" s="265">
        <f t="shared" ca="1" si="54"/>
        <v>2040</v>
      </c>
      <c r="AC276" s="265">
        <f t="shared" ca="1" si="55"/>
        <v>1</v>
      </c>
      <c r="AD276" s="276">
        <f ca="1">IF(     OR(               AND(MAX(AF$6:AF276)&lt;2,  AC276=12),                 AF276=2),                   SUMIF(AB:AB,AB276,AA:AA),                       0)</f>
        <v>0</v>
      </c>
      <c r="AE276" s="277">
        <f t="shared" ca="1" si="56"/>
        <v>0</v>
      </c>
      <c r="AF276" s="277">
        <f t="shared" ca="1" si="49"/>
        <v>0</v>
      </c>
      <c r="AG276" s="402">
        <f ca="1">IF(  AND(AC276=AdóHó,   MAX(AF$1:AF275)&lt;2),   SUMIF(AB:AB,AB276-1,AE:AE),0  )
+ IF(AND(AC276&lt;AdóHó,                            AF276=2),   SUMIF(AB:AB,AB276-1,AE:AE),0  )
+ IF(                                                                  AF276=2,    SUMIF(AB:AB,AB276,AE:AE   ),0  )</f>
        <v>0</v>
      </c>
      <c r="AH276" s="272">
        <f ca="1">SUM(AG$2:AG276)</f>
        <v>1139324.2410681627</v>
      </c>
    </row>
    <row r="277" spans="1:34">
      <c r="A277" s="265">
        <f t="shared" si="50"/>
        <v>23</v>
      </c>
      <c r="B277" s="265">
        <f t="shared" si="51"/>
        <v>11</v>
      </c>
      <c r="C277" s="265">
        <f t="shared" ca="1" si="52"/>
        <v>24</v>
      </c>
      <c r="D277" s="265">
        <f t="shared" ca="1" si="53"/>
        <v>2</v>
      </c>
      <c r="E277" s="266">
        <v>5.0000000000000001E-3</v>
      </c>
      <c r="F277" s="267">
        <f>ÉV!$B$12</f>
        <v>0</v>
      </c>
      <c r="G277" s="271">
        <f ca="1">VLOOKUP(A277,ÉV!$A$18:$B$65,2,0)</f>
        <v>0</v>
      </c>
      <c r="H277" s="271">
        <f ca="1">IF(OR(A277=1,AND(C277=ÉV!$I$2,D277&gt;ÉV!$J$2),C277&gt;ÉV!$I$2),0,INDEX(Pz!$B$2:$AM$48,A277-1,ÉV!$G$2-9)/100000*ÉV!$B$10)</f>
        <v>0</v>
      </c>
      <c r="I277" s="271">
        <f ca="1">INDEX(Pz!$B$2:$AM$48,HÓ!A277,ÉV!$G$2-9)/100000*ÉV!$B$10</f>
        <v>0</v>
      </c>
      <c r="J277" s="273">
        <f ca="1">IF(OR(A277=1,A277=2,AND(C277=ÉV!$I$2,D277&gt;ÉV!$J$2),C277&gt;ÉV!$I$2),0,VLOOKUP(A277-2,ÉV!$A$18:$C$65,3,0))</f>
        <v>0</v>
      </c>
      <c r="K277" s="273">
        <f ca="1">IF(OR(A277=1,AND(C277=ÉV!$I$2,D277&gt;ÉV!$J$2),C277&gt;ÉV!$I$2),0,VLOOKUP(A277-1,ÉV!$A$18:$C$65,3,0))</f>
        <v>0</v>
      </c>
      <c r="L277" s="273">
        <f ca="1">VLOOKUP(A277,ÉV!$A$18:$C$65,3,0)*IF(OR(AND(C277=ÉV!$I$2,D277&gt;ÉV!$J$2),C277&gt;ÉV!$I$2),0,1)</f>
        <v>0</v>
      </c>
      <c r="M277" s="273">
        <f ca="1">(K277*(12-B277)/12+L277*B277/12)*IF(A277&gt;ÉV!$G$2,0,1)+IF(A277&gt;ÉV!$G$2,M276,0)*IF(OR(AND(C277=ÉV!$I$2,D277&gt;ÉV!$J$2),C277&gt;ÉV!$I$2),0,1)</f>
        <v>0</v>
      </c>
      <c r="N277" s="274">
        <f ca="1">IF(AND(C277=1,D277&lt;12),0,1)*IF(D277=12,MAX(0,F277-E277-0.003)*0.9*((K277+I277)*(B277/12)+(J277+H277)*(1-B277/12))+MAX(0,F277-0.003)*0.9*N276+N276,IF(AND(C277=ÉV!$I$2,D277=ÉV!$J$2),(M277+N276)*MAX(0,F277-0.003)*0.9*(D277/12)+N276,N276))*IF(OR(C277&gt;ÉV!$I$2,AND(C277=ÉV!$I$2,D277&gt;ÉV!$J$2)),0,1)</f>
        <v>0</v>
      </c>
      <c r="O277" s="313">
        <f ca="1">IF(MAX(AF$2:AF276)=2,      0,IF(OR(AC277=7, AF277=2),    SUM(AE$2:AE277),    O276)   )</f>
        <v>0</v>
      </c>
      <c r="P277" s="271">
        <f ca="1">IF(D277=12,V277+P276+P276*(F277-0.003)*0.9,IF(AND(C277=ÉV!$I$2,D277=ÉV!$J$2),V277+P276+P276*(F277-0.003)*0.9*D277/12,P276))*IF(OR(C277&gt;ÉV!$I$2,AND(C277=ÉV!$I$2,D277&gt;ÉV!$J$2)),0,1)</f>
        <v>0</v>
      </c>
      <c r="Q277" s="275">
        <f ca="1">(N277+P277)*IF(OR(AND(C277=ÉV!$I$2,D277&gt;ÉV!$J$2),C277&gt;ÉV!$I$2),0,1)</f>
        <v>0</v>
      </c>
      <c r="R277" s="271">
        <f ca="1">(MAX(0,F277-E277-0.003)*0.9*((K277+I277)*(1/12)))*IF(OR(C277&gt;ÉV!$I$2,AND(C277=ÉV!$I$2,D277&gt;ÉV!$J$2)),0,1)</f>
        <v>0</v>
      </c>
      <c r="S277" s="271">
        <f ca="1">(MAX(0,F277-0.003)*0.9*((O277)*(1/12)))*IF(OR(C277&gt;ÉV!$I$2,AND(C277=ÉV!$I$2,D277&gt;ÉV!$J$2)),0,1)</f>
        <v>0</v>
      </c>
      <c r="T277" s="271">
        <f ca="1">(MAX(0,F277-0.003)*0.9*((Q276)*(1/12)))*IF(OR(C277&gt;ÉV!$I$2,AND(C277=ÉV!$I$2,D277&gt;ÉV!$J$2)),0,1)</f>
        <v>0</v>
      </c>
      <c r="U277" s="271">
        <f ca="1">IF($D277=1,R277,R277+U276)*IF(OR(C277&gt;ÉV!$I$2,AND(C277=ÉV!$I$2,D277&gt;ÉV!$J$2)),0,1)</f>
        <v>0</v>
      </c>
      <c r="V277" s="271">
        <f ca="1">IF($D277=1,S277,S277+V276)*IF(OR(C277&gt;ÉV!$I$2,AND(C277=ÉV!$I$2,D277&gt;ÉV!$J$2)),0,1)</f>
        <v>0</v>
      </c>
      <c r="W277" s="271">
        <f ca="1">IF($D277=1,T277,T277+W276)*IF(OR(C277&gt;ÉV!$I$2,AND(C277=ÉV!$I$2,D277&gt;ÉV!$J$2)),0,1)</f>
        <v>0</v>
      </c>
      <c r="X277" s="271">
        <f ca="1">IF(OR(D277=12,AND(C277=ÉV!$I$2,D277=ÉV!$J$2)),SUM(U277:W277)+X276,X276)*IF(OR(C277&gt;ÉV!$I$2,AND(C277=ÉV!$I$2,D277&gt;ÉV!$J$2)),0,1)</f>
        <v>0</v>
      </c>
      <c r="Y277" s="271">
        <f t="shared" ca="1" si="46"/>
        <v>0</v>
      </c>
      <c r="Z277" s="265">
        <f t="shared" si="47"/>
        <v>11</v>
      </c>
      <c r="AA277" s="272">
        <f t="shared" ca="1" si="48"/>
        <v>0</v>
      </c>
      <c r="AB277" s="265">
        <f t="shared" ca="1" si="54"/>
        <v>2040</v>
      </c>
      <c r="AC277" s="265">
        <f t="shared" ca="1" si="55"/>
        <v>2</v>
      </c>
      <c r="AD277" s="276">
        <f ca="1">IF(     OR(               AND(MAX(AF$6:AF277)&lt;2,  AC277=12),                 AF277=2),                   SUMIF(AB:AB,AB277,AA:AA),                       0)</f>
        <v>0</v>
      </c>
      <c r="AE277" s="277">
        <f t="shared" ca="1" si="56"/>
        <v>0</v>
      </c>
      <c r="AF277" s="277">
        <f t="shared" ca="1" si="49"/>
        <v>0</v>
      </c>
      <c r="AG277" s="402">
        <f ca="1">IF(  AND(AC277=AdóHó,   MAX(AF$1:AF276)&lt;2),   SUMIF(AB:AB,AB277-1,AE:AE),0  )
+ IF(AND(AC277&lt;AdóHó,                            AF277=2),   SUMIF(AB:AB,AB277-1,AE:AE),0  )
+ IF(                                                                  AF277=2,    SUMIF(AB:AB,AB277,AE:AE   ),0  )</f>
        <v>0</v>
      </c>
      <c r="AH277" s="272">
        <f ca="1">SUM(AG$2:AG277)</f>
        <v>1139324.2410681627</v>
      </c>
    </row>
    <row r="278" spans="1:34">
      <c r="A278" s="265">
        <f t="shared" si="50"/>
        <v>23</v>
      </c>
      <c r="B278" s="265">
        <f t="shared" si="51"/>
        <v>12</v>
      </c>
      <c r="C278" s="265">
        <f t="shared" ca="1" si="52"/>
        <v>24</v>
      </c>
      <c r="D278" s="265">
        <f t="shared" ca="1" si="53"/>
        <v>3</v>
      </c>
      <c r="E278" s="266">
        <v>5.0000000000000001E-3</v>
      </c>
      <c r="F278" s="267">
        <f>ÉV!$B$12</f>
        <v>0</v>
      </c>
      <c r="G278" s="271">
        <f ca="1">VLOOKUP(A278,ÉV!$A$18:$B$65,2,0)</f>
        <v>0</v>
      </c>
      <c r="H278" s="271">
        <f ca="1">IF(OR(A278=1,AND(C278=ÉV!$I$2,D278&gt;ÉV!$J$2),C278&gt;ÉV!$I$2),0,INDEX(Pz!$B$2:$AM$48,A278-1,ÉV!$G$2-9)/100000*ÉV!$B$10)</f>
        <v>0</v>
      </c>
      <c r="I278" s="271">
        <f ca="1">INDEX(Pz!$B$2:$AM$48,HÓ!A278,ÉV!$G$2-9)/100000*ÉV!$B$10</f>
        <v>0</v>
      </c>
      <c r="J278" s="273">
        <f ca="1">IF(OR(A278=1,A278=2,AND(C278=ÉV!$I$2,D278&gt;ÉV!$J$2),C278&gt;ÉV!$I$2),0,VLOOKUP(A278-2,ÉV!$A$18:$C$65,3,0))</f>
        <v>0</v>
      </c>
      <c r="K278" s="273">
        <f ca="1">IF(OR(A278=1,AND(C278=ÉV!$I$2,D278&gt;ÉV!$J$2),C278&gt;ÉV!$I$2),0,VLOOKUP(A278-1,ÉV!$A$18:$C$65,3,0))</f>
        <v>0</v>
      </c>
      <c r="L278" s="273">
        <f ca="1">VLOOKUP(A278,ÉV!$A$18:$C$65,3,0)*IF(OR(AND(C278=ÉV!$I$2,D278&gt;ÉV!$J$2),C278&gt;ÉV!$I$2),0,1)</f>
        <v>0</v>
      </c>
      <c r="M278" s="273">
        <f ca="1">(K278*(12-B278)/12+L278*B278/12)*IF(A278&gt;ÉV!$G$2,0,1)+IF(A278&gt;ÉV!$G$2,M277,0)*IF(OR(AND(C278=ÉV!$I$2,D278&gt;ÉV!$J$2),C278&gt;ÉV!$I$2),0,1)</f>
        <v>0</v>
      </c>
      <c r="N278" s="274">
        <f ca="1">IF(AND(C278=1,D278&lt;12),0,1)*IF(D278=12,MAX(0,F278-E278-0.003)*0.9*((K278+I278)*(B278/12)+(J278+H278)*(1-B278/12))+MAX(0,F278-0.003)*0.9*N277+N277,IF(AND(C278=ÉV!$I$2,D278=ÉV!$J$2),(M278+N277)*MAX(0,F278-0.003)*0.9*(D278/12)+N277,N277))*IF(OR(C278&gt;ÉV!$I$2,AND(C278=ÉV!$I$2,D278&gt;ÉV!$J$2)),0,1)</f>
        <v>0</v>
      </c>
      <c r="O278" s="313">
        <f ca="1">IF(MAX(AF$2:AF277)=2,      0,IF(OR(AC278=7, AF278=2),    SUM(AE$2:AE278),    O277)   )</f>
        <v>0</v>
      </c>
      <c r="P278" s="271">
        <f ca="1">IF(D278=12,V278+P277+P277*(F278-0.003)*0.9,IF(AND(C278=ÉV!$I$2,D278=ÉV!$J$2),V278+P277+P277*(F278-0.003)*0.9*D278/12,P277))*IF(OR(C278&gt;ÉV!$I$2,AND(C278=ÉV!$I$2,D278&gt;ÉV!$J$2)),0,1)</f>
        <v>0</v>
      </c>
      <c r="Q278" s="275">
        <f ca="1">(N278+P278)*IF(OR(AND(C278=ÉV!$I$2,D278&gt;ÉV!$J$2),C278&gt;ÉV!$I$2),0,1)</f>
        <v>0</v>
      </c>
      <c r="R278" s="271">
        <f ca="1">(MAX(0,F278-E278-0.003)*0.9*((K278+I278)*(1/12)))*IF(OR(C278&gt;ÉV!$I$2,AND(C278=ÉV!$I$2,D278&gt;ÉV!$J$2)),0,1)</f>
        <v>0</v>
      </c>
      <c r="S278" s="271">
        <f ca="1">(MAX(0,F278-0.003)*0.9*((O278)*(1/12)))*IF(OR(C278&gt;ÉV!$I$2,AND(C278=ÉV!$I$2,D278&gt;ÉV!$J$2)),0,1)</f>
        <v>0</v>
      </c>
      <c r="T278" s="271">
        <f ca="1">(MAX(0,F278-0.003)*0.9*((Q277)*(1/12)))*IF(OR(C278&gt;ÉV!$I$2,AND(C278=ÉV!$I$2,D278&gt;ÉV!$J$2)),0,1)</f>
        <v>0</v>
      </c>
      <c r="U278" s="271">
        <f ca="1">IF($D278=1,R278,R278+U277)*IF(OR(C278&gt;ÉV!$I$2,AND(C278=ÉV!$I$2,D278&gt;ÉV!$J$2)),0,1)</f>
        <v>0</v>
      </c>
      <c r="V278" s="271">
        <f ca="1">IF($D278=1,S278,S278+V277)*IF(OR(C278&gt;ÉV!$I$2,AND(C278=ÉV!$I$2,D278&gt;ÉV!$J$2)),0,1)</f>
        <v>0</v>
      </c>
      <c r="W278" s="271">
        <f ca="1">IF($D278=1,T278,T278+W277)*IF(OR(C278&gt;ÉV!$I$2,AND(C278=ÉV!$I$2,D278&gt;ÉV!$J$2)),0,1)</f>
        <v>0</v>
      </c>
      <c r="X278" s="271">
        <f ca="1">IF(OR(D278=12,AND(C278=ÉV!$I$2,D278=ÉV!$J$2)),SUM(U278:W278)+X277,X277)*IF(OR(C278&gt;ÉV!$I$2,AND(C278=ÉV!$I$2,D278&gt;ÉV!$J$2)),0,1)</f>
        <v>0</v>
      </c>
      <c r="Y278" s="271">
        <f t="shared" ca="1" si="46"/>
        <v>0</v>
      </c>
      <c r="Z278" s="265">
        <f t="shared" si="47"/>
        <v>12</v>
      </c>
      <c r="AA278" s="272">
        <f t="shared" ca="1" si="48"/>
        <v>0</v>
      </c>
      <c r="AB278" s="265">
        <f t="shared" ca="1" si="54"/>
        <v>2040</v>
      </c>
      <c r="AC278" s="265">
        <f t="shared" ca="1" si="55"/>
        <v>3</v>
      </c>
      <c r="AD278" s="276">
        <f ca="1">IF(     OR(               AND(MAX(AF$6:AF278)&lt;2,  AC278=12),                 AF278=2),                   SUMIF(AB:AB,AB278,AA:AA),                       0)</f>
        <v>0</v>
      </c>
      <c r="AE278" s="277">
        <f t="shared" ca="1" si="56"/>
        <v>0</v>
      </c>
      <c r="AF278" s="277">
        <f t="shared" ca="1" si="49"/>
        <v>0</v>
      </c>
      <c r="AG278" s="402">
        <f ca="1">IF(  AND(AC278=AdóHó,   MAX(AF$1:AF277)&lt;2),   SUMIF(AB:AB,AB278-1,AE:AE),0  )
+ IF(AND(AC278&lt;AdóHó,                            AF278=2),   SUMIF(AB:AB,AB278-1,AE:AE),0  )
+ IF(                                                                  AF278=2,    SUMIF(AB:AB,AB278,AE:AE   ),0  )</f>
        <v>0</v>
      </c>
      <c r="AH278" s="272">
        <f ca="1">SUM(AG$2:AG278)</f>
        <v>1139324.2410681627</v>
      </c>
    </row>
    <row r="279" spans="1:34">
      <c r="A279" s="265">
        <f t="shared" si="50"/>
        <v>24</v>
      </c>
      <c r="B279" s="265">
        <f t="shared" si="51"/>
        <v>1</v>
      </c>
      <c r="C279" s="265">
        <f t="shared" ca="1" si="52"/>
        <v>24</v>
      </c>
      <c r="D279" s="265">
        <f t="shared" ca="1" si="53"/>
        <v>4</v>
      </c>
      <c r="E279" s="266">
        <v>5.0000000000000001E-3</v>
      </c>
      <c r="F279" s="267">
        <f>ÉV!$B$12</f>
        <v>0</v>
      </c>
      <c r="G279" s="271">
        <f ca="1">VLOOKUP(A279,ÉV!$A$18:$B$65,2,0)</f>
        <v>0</v>
      </c>
      <c r="H279" s="271">
        <f ca="1">IF(OR(A279=1,AND(C279=ÉV!$I$2,D279&gt;ÉV!$J$2),C279&gt;ÉV!$I$2),0,INDEX(Pz!$B$2:$AM$48,A279-1,ÉV!$G$2-9)/100000*ÉV!$B$10)</f>
        <v>0</v>
      </c>
      <c r="I279" s="271">
        <f ca="1">INDEX(Pz!$B$2:$AM$48,HÓ!A279,ÉV!$G$2-9)/100000*ÉV!$B$10</f>
        <v>0</v>
      </c>
      <c r="J279" s="273">
        <f ca="1">IF(OR(A279=1,A279=2,AND(C279=ÉV!$I$2,D279&gt;ÉV!$J$2),C279&gt;ÉV!$I$2),0,VLOOKUP(A279-2,ÉV!$A$18:$C$65,3,0))</f>
        <v>0</v>
      </c>
      <c r="K279" s="273">
        <f ca="1">IF(OR(A279=1,AND(C279=ÉV!$I$2,D279&gt;ÉV!$J$2),C279&gt;ÉV!$I$2),0,VLOOKUP(A279-1,ÉV!$A$18:$C$65,3,0))</f>
        <v>0</v>
      </c>
      <c r="L279" s="273">
        <f ca="1">VLOOKUP(A279,ÉV!$A$18:$C$65,3,0)*IF(OR(AND(C279=ÉV!$I$2,D279&gt;ÉV!$J$2),C279&gt;ÉV!$I$2),0,1)</f>
        <v>0</v>
      </c>
      <c r="M279" s="273">
        <f ca="1">(K279*(12-B279)/12+L279*B279/12)*IF(A279&gt;ÉV!$G$2,0,1)+IF(A279&gt;ÉV!$G$2,M278,0)*IF(OR(AND(C279=ÉV!$I$2,D279&gt;ÉV!$J$2),C279&gt;ÉV!$I$2),0,1)</f>
        <v>0</v>
      </c>
      <c r="N279" s="274">
        <f ca="1">IF(AND(C279=1,D279&lt;12),0,1)*IF(D279=12,MAX(0,F279-E279-0.003)*0.9*((K279+I279)*(B279/12)+(J279+H279)*(1-B279/12))+MAX(0,F279-0.003)*0.9*N278+N278,IF(AND(C279=ÉV!$I$2,D279=ÉV!$J$2),(M279+N278)*MAX(0,F279-0.003)*0.9*(D279/12)+N278,N278))*IF(OR(C279&gt;ÉV!$I$2,AND(C279=ÉV!$I$2,D279&gt;ÉV!$J$2)),0,1)</f>
        <v>0</v>
      </c>
      <c r="O279" s="313">
        <f ca="1">IF(MAX(AF$2:AF278)=2,      0,IF(OR(AC279=7, AF279=2),    SUM(AE$2:AE279),    O278)   )</f>
        <v>0</v>
      </c>
      <c r="P279" s="271">
        <f ca="1">IF(D279=12,V279+P278+P278*(F279-0.003)*0.9,IF(AND(C279=ÉV!$I$2,D279=ÉV!$J$2),V279+P278+P278*(F279-0.003)*0.9*D279/12,P278))*IF(OR(C279&gt;ÉV!$I$2,AND(C279=ÉV!$I$2,D279&gt;ÉV!$J$2)),0,1)</f>
        <v>0</v>
      </c>
      <c r="Q279" s="275">
        <f ca="1">(N279+P279)*IF(OR(AND(C279=ÉV!$I$2,D279&gt;ÉV!$J$2),C279&gt;ÉV!$I$2),0,1)</f>
        <v>0</v>
      </c>
      <c r="R279" s="271">
        <f ca="1">(MAX(0,F279-E279-0.003)*0.9*((K279+I279)*(1/12)))*IF(OR(C279&gt;ÉV!$I$2,AND(C279=ÉV!$I$2,D279&gt;ÉV!$J$2)),0,1)</f>
        <v>0</v>
      </c>
      <c r="S279" s="271">
        <f ca="1">(MAX(0,F279-0.003)*0.9*((O279)*(1/12)))*IF(OR(C279&gt;ÉV!$I$2,AND(C279=ÉV!$I$2,D279&gt;ÉV!$J$2)),0,1)</f>
        <v>0</v>
      </c>
      <c r="T279" s="271">
        <f ca="1">(MAX(0,F279-0.003)*0.9*((Q278)*(1/12)))*IF(OR(C279&gt;ÉV!$I$2,AND(C279=ÉV!$I$2,D279&gt;ÉV!$J$2)),0,1)</f>
        <v>0</v>
      </c>
      <c r="U279" s="271">
        <f ca="1">IF($D279=1,R279,R279+U278)*IF(OR(C279&gt;ÉV!$I$2,AND(C279=ÉV!$I$2,D279&gt;ÉV!$J$2)),0,1)</f>
        <v>0</v>
      </c>
      <c r="V279" s="271">
        <f ca="1">IF($D279=1,S279,S279+V278)*IF(OR(C279&gt;ÉV!$I$2,AND(C279=ÉV!$I$2,D279&gt;ÉV!$J$2)),0,1)</f>
        <v>0</v>
      </c>
      <c r="W279" s="271">
        <f ca="1">IF($D279=1,T279,T279+W278)*IF(OR(C279&gt;ÉV!$I$2,AND(C279=ÉV!$I$2,D279&gt;ÉV!$J$2)),0,1)</f>
        <v>0</v>
      </c>
      <c r="X279" s="271">
        <f ca="1">IF(OR(D279=12,AND(C279=ÉV!$I$2,D279=ÉV!$J$2)),SUM(U279:W279)+X278,X278)*IF(OR(C279&gt;ÉV!$I$2,AND(C279=ÉV!$I$2,D279&gt;ÉV!$J$2)),0,1)</f>
        <v>0</v>
      </c>
      <c r="Y279" s="271">
        <f t="shared" ca="1" si="46"/>
        <v>0</v>
      </c>
      <c r="Z279" s="265">
        <f t="shared" si="47"/>
        <v>1</v>
      </c>
      <c r="AA279" s="272">
        <f t="shared" ca="1" si="48"/>
        <v>0</v>
      </c>
      <c r="AB279" s="265">
        <f t="shared" ca="1" si="54"/>
        <v>2040</v>
      </c>
      <c r="AC279" s="265">
        <f t="shared" ca="1" si="55"/>
        <v>4</v>
      </c>
      <c r="AD279" s="276">
        <f ca="1">IF(     OR(               AND(MAX(AF$6:AF279)&lt;2,  AC279=12),                 AF279=2),                   SUMIF(AB:AB,AB279,AA:AA),                       0)</f>
        <v>0</v>
      </c>
      <c r="AE279" s="277">
        <f t="shared" ca="1" si="56"/>
        <v>0</v>
      </c>
      <c r="AF279" s="277">
        <f t="shared" ca="1" si="49"/>
        <v>0</v>
      </c>
      <c r="AG279" s="402">
        <f ca="1">IF(  AND(AC279=AdóHó,   MAX(AF$1:AF278)&lt;2),   SUMIF(AB:AB,AB279-1,AE:AE),0  )
+ IF(AND(AC279&lt;AdóHó,                            AF279=2),   SUMIF(AB:AB,AB279-1,AE:AE),0  )
+ IF(                                                                  AF279=2,    SUMIF(AB:AB,AB279,AE:AE   ),0  )</f>
        <v>0</v>
      </c>
      <c r="AH279" s="272">
        <f ca="1">SUM(AG$2:AG279)</f>
        <v>1139324.2410681627</v>
      </c>
    </row>
    <row r="280" spans="1:34">
      <c r="A280" s="265">
        <f t="shared" si="50"/>
        <v>24</v>
      </c>
      <c r="B280" s="265">
        <f t="shared" si="51"/>
        <v>2</v>
      </c>
      <c r="C280" s="265">
        <f t="shared" ca="1" si="52"/>
        <v>24</v>
      </c>
      <c r="D280" s="265">
        <f t="shared" ca="1" si="53"/>
        <v>5</v>
      </c>
      <c r="E280" s="266">
        <v>5.0000000000000001E-3</v>
      </c>
      <c r="F280" s="267">
        <f>ÉV!$B$12</f>
        <v>0</v>
      </c>
      <c r="G280" s="271">
        <f ca="1">VLOOKUP(A280,ÉV!$A$18:$B$65,2,0)</f>
        <v>0</v>
      </c>
      <c r="H280" s="271">
        <f ca="1">IF(OR(A280=1,AND(C280=ÉV!$I$2,D280&gt;ÉV!$J$2),C280&gt;ÉV!$I$2),0,INDEX(Pz!$B$2:$AM$48,A280-1,ÉV!$G$2-9)/100000*ÉV!$B$10)</f>
        <v>0</v>
      </c>
      <c r="I280" s="271">
        <f ca="1">INDEX(Pz!$B$2:$AM$48,HÓ!A280,ÉV!$G$2-9)/100000*ÉV!$B$10</f>
        <v>0</v>
      </c>
      <c r="J280" s="273">
        <f ca="1">IF(OR(A280=1,A280=2,AND(C280=ÉV!$I$2,D280&gt;ÉV!$J$2),C280&gt;ÉV!$I$2),0,VLOOKUP(A280-2,ÉV!$A$18:$C$65,3,0))</f>
        <v>0</v>
      </c>
      <c r="K280" s="273">
        <f ca="1">IF(OR(A280=1,AND(C280=ÉV!$I$2,D280&gt;ÉV!$J$2),C280&gt;ÉV!$I$2),0,VLOOKUP(A280-1,ÉV!$A$18:$C$65,3,0))</f>
        <v>0</v>
      </c>
      <c r="L280" s="273">
        <f ca="1">VLOOKUP(A280,ÉV!$A$18:$C$65,3,0)*IF(OR(AND(C280=ÉV!$I$2,D280&gt;ÉV!$J$2),C280&gt;ÉV!$I$2),0,1)</f>
        <v>0</v>
      </c>
      <c r="M280" s="273">
        <f ca="1">(K280*(12-B280)/12+L280*B280/12)*IF(A280&gt;ÉV!$G$2,0,1)+IF(A280&gt;ÉV!$G$2,M279,0)*IF(OR(AND(C280=ÉV!$I$2,D280&gt;ÉV!$J$2),C280&gt;ÉV!$I$2),0,1)</f>
        <v>0</v>
      </c>
      <c r="N280" s="274">
        <f ca="1">IF(AND(C280=1,D280&lt;12),0,1)*IF(D280=12,MAX(0,F280-E280-0.003)*0.9*((K280+I280)*(B280/12)+(J280+H280)*(1-B280/12))+MAX(0,F280-0.003)*0.9*N279+N279,IF(AND(C280=ÉV!$I$2,D280=ÉV!$J$2),(M280+N279)*MAX(0,F280-0.003)*0.9*(D280/12)+N279,N279))*IF(OR(C280&gt;ÉV!$I$2,AND(C280=ÉV!$I$2,D280&gt;ÉV!$J$2)),0,1)</f>
        <v>0</v>
      </c>
      <c r="O280" s="313">
        <f ca="1">IF(MAX(AF$2:AF279)=2,      0,IF(OR(AC280=7, AF280=2),    SUM(AE$2:AE280),    O279)   )</f>
        <v>0</v>
      </c>
      <c r="P280" s="271">
        <f ca="1">IF(D280=12,V280+P279+P279*(F280-0.003)*0.9,IF(AND(C280=ÉV!$I$2,D280=ÉV!$J$2),V280+P279+P279*(F280-0.003)*0.9*D280/12,P279))*IF(OR(C280&gt;ÉV!$I$2,AND(C280=ÉV!$I$2,D280&gt;ÉV!$J$2)),0,1)</f>
        <v>0</v>
      </c>
      <c r="Q280" s="275">
        <f ca="1">(N280+P280)*IF(OR(AND(C280=ÉV!$I$2,D280&gt;ÉV!$J$2),C280&gt;ÉV!$I$2),0,1)</f>
        <v>0</v>
      </c>
      <c r="R280" s="271">
        <f ca="1">(MAX(0,F280-E280-0.003)*0.9*((K280+I280)*(1/12)))*IF(OR(C280&gt;ÉV!$I$2,AND(C280=ÉV!$I$2,D280&gt;ÉV!$J$2)),0,1)</f>
        <v>0</v>
      </c>
      <c r="S280" s="271">
        <f ca="1">(MAX(0,F280-0.003)*0.9*((O280)*(1/12)))*IF(OR(C280&gt;ÉV!$I$2,AND(C280=ÉV!$I$2,D280&gt;ÉV!$J$2)),0,1)</f>
        <v>0</v>
      </c>
      <c r="T280" s="271">
        <f ca="1">(MAX(0,F280-0.003)*0.9*((Q279)*(1/12)))*IF(OR(C280&gt;ÉV!$I$2,AND(C280=ÉV!$I$2,D280&gt;ÉV!$J$2)),0,1)</f>
        <v>0</v>
      </c>
      <c r="U280" s="271">
        <f ca="1">IF($D280=1,R280,R280+U279)*IF(OR(C280&gt;ÉV!$I$2,AND(C280=ÉV!$I$2,D280&gt;ÉV!$J$2)),0,1)</f>
        <v>0</v>
      </c>
      <c r="V280" s="271">
        <f ca="1">IF($D280=1,S280,S280+V279)*IF(OR(C280&gt;ÉV!$I$2,AND(C280=ÉV!$I$2,D280&gt;ÉV!$J$2)),0,1)</f>
        <v>0</v>
      </c>
      <c r="W280" s="271">
        <f ca="1">IF($D280=1,T280,T280+W279)*IF(OR(C280&gt;ÉV!$I$2,AND(C280=ÉV!$I$2,D280&gt;ÉV!$J$2)),0,1)</f>
        <v>0</v>
      </c>
      <c r="X280" s="271">
        <f ca="1">IF(OR(D280=12,AND(C280=ÉV!$I$2,D280=ÉV!$J$2)),SUM(U280:W280)+X279,X279)*IF(OR(C280&gt;ÉV!$I$2,AND(C280=ÉV!$I$2,D280&gt;ÉV!$J$2)),0,1)</f>
        <v>0</v>
      </c>
      <c r="Y280" s="271">
        <f t="shared" ca="1" si="46"/>
        <v>0</v>
      </c>
      <c r="Z280" s="265">
        <f t="shared" si="47"/>
        <v>2</v>
      </c>
      <c r="AA280" s="272">
        <f t="shared" ca="1" si="48"/>
        <v>0</v>
      </c>
      <c r="AB280" s="265">
        <f t="shared" ca="1" si="54"/>
        <v>2040</v>
      </c>
      <c r="AC280" s="265">
        <f t="shared" ca="1" si="55"/>
        <v>5</v>
      </c>
      <c r="AD280" s="276">
        <f ca="1">IF(     OR(               AND(MAX(AF$6:AF280)&lt;2,  AC280=12),                 AF280=2),                   SUMIF(AB:AB,AB280,AA:AA),                       0)</f>
        <v>0</v>
      </c>
      <c r="AE280" s="277">
        <f t="shared" ca="1" si="56"/>
        <v>0</v>
      </c>
      <c r="AF280" s="277">
        <f t="shared" ca="1" si="49"/>
        <v>0</v>
      </c>
      <c r="AG280" s="402">
        <f ca="1">IF(  AND(AC280=AdóHó,   MAX(AF$1:AF279)&lt;2),   SUMIF(AB:AB,AB280-1,AE:AE),0  )
+ IF(AND(AC280&lt;AdóHó,                            AF280=2),   SUMIF(AB:AB,AB280-1,AE:AE),0  )
+ IF(                                                                  AF280=2,    SUMIF(AB:AB,AB280,AE:AE   ),0  )</f>
        <v>0</v>
      </c>
      <c r="AH280" s="272">
        <f ca="1">SUM(AG$2:AG280)</f>
        <v>1139324.2410681627</v>
      </c>
    </row>
    <row r="281" spans="1:34">
      <c r="A281" s="265">
        <f t="shared" si="50"/>
        <v>24</v>
      </c>
      <c r="B281" s="265">
        <f t="shared" si="51"/>
        <v>3</v>
      </c>
      <c r="C281" s="265">
        <f t="shared" ca="1" si="52"/>
        <v>24</v>
      </c>
      <c r="D281" s="265">
        <f t="shared" ca="1" si="53"/>
        <v>6</v>
      </c>
      <c r="E281" s="266">
        <v>5.0000000000000001E-3</v>
      </c>
      <c r="F281" s="267">
        <f>ÉV!$B$12</f>
        <v>0</v>
      </c>
      <c r="G281" s="271">
        <f ca="1">VLOOKUP(A281,ÉV!$A$18:$B$65,2,0)</f>
        <v>0</v>
      </c>
      <c r="H281" s="271">
        <f ca="1">IF(OR(A281=1,AND(C281=ÉV!$I$2,D281&gt;ÉV!$J$2),C281&gt;ÉV!$I$2),0,INDEX(Pz!$B$2:$AM$48,A281-1,ÉV!$G$2-9)/100000*ÉV!$B$10)</f>
        <v>0</v>
      </c>
      <c r="I281" s="271">
        <f ca="1">INDEX(Pz!$B$2:$AM$48,HÓ!A281,ÉV!$G$2-9)/100000*ÉV!$B$10</f>
        <v>0</v>
      </c>
      <c r="J281" s="273">
        <f ca="1">IF(OR(A281=1,A281=2,AND(C281=ÉV!$I$2,D281&gt;ÉV!$J$2),C281&gt;ÉV!$I$2),0,VLOOKUP(A281-2,ÉV!$A$18:$C$65,3,0))</f>
        <v>0</v>
      </c>
      <c r="K281" s="273">
        <f ca="1">IF(OR(A281=1,AND(C281=ÉV!$I$2,D281&gt;ÉV!$J$2),C281&gt;ÉV!$I$2),0,VLOOKUP(A281-1,ÉV!$A$18:$C$65,3,0))</f>
        <v>0</v>
      </c>
      <c r="L281" s="273">
        <f ca="1">VLOOKUP(A281,ÉV!$A$18:$C$65,3,0)*IF(OR(AND(C281=ÉV!$I$2,D281&gt;ÉV!$J$2),C281&gt;ÉV!$I$2),0,1)</f>
        <v>0</v>
      </c>
      <c r="M281" s="273">
        <f ca="1">(K281*(12-B281)/12+L281*B281/12)*IF(A281&gt;ÉV!$G$2,0,1)+IF(A281&gt;ÉV!$G$2,M280,0)*IF(OR(AND(C281=ÉV!$I$2,D281&gt;ÉV!$J$2),C281&gt;ÉV!$I$2),0,1)</f>
        <v>0</v>
      </c>
      <c r="N281" s="274">
        <f ca="1">IF(AND(C281=1,D281&lt;12),0,1)*IF(D281=12,MAX(0,F281-E281-0.003)*0.9*((K281+I281)*(B281/12)+(J281+H281)*(1-B281/12))+MAX(0,F281-0.003)*0.9*N280+N280,IF(AND(C281=ÉV!$I$2,D281=ÉV!$J$2),(M281+N280)*MAX(0,F281-0.003)*0.9*(D281/12)+N280,N280))*IF(OR(C281&gt;ÉV!$I$2,AND(C281=ÉV!$I$2,D281&gt;ÉV!$J$2)),0,1)</f>
        <v>0</v>
      </c>
      <c r="O281" s="313">
        <f ca="1">IF(MAX(AF$2:AF280)=2,      0,IF(OR(AC281=7, AF281=2),    SUM(AE$2:AE281),    O280)   )</f>
        <v>0</v>
      </c>
      <c r="P281" s="271">
        <f ca="1">IF(D281=12,V281+P280+P280*(F281-0.003)*0.9,IF(AND(C281=ÉV!$I$2,D281=ÉV!$J$2),V281+P280+P280*(F281-0.003)*0.9*D281/12,P280))*IF(OR(C281&gt;ÉV!$I$2,AND(C281=ÉV!$I$2,D281&gt;ÉV!$J$2)),0,1)</f>
        <v>0</v>
      </c>
      <c r="Q281" s="275">
        <f ca="1">(N281+P281)*IF(OR(AND(C281=ÉV!$I$2,D281&gt;ÉV!$J$2),C281&gt;ÉV!$I$2),0,1)</f>
        <v>0</v>
      </c>
      <c r="R281" s="271">
        <f ca="1">(MAX(0,F281-E281-0.003)*0.9*((K281+I281)*(1/12)))*IF(OR(C281&gt;ÉV!$I$2,AND(C281=ÉV!$I$2,D281&gt;ÉV!$J$2)),0,1)</f>
        <v>0</v>
      </c>
      <c r="S281" s="271">
        <f ca="1">(MAX(0,F281-0.003)*0.9*((O281)*(1/12)))*IF(OR(C281&gt;ÉV!$I$2,AND(C281=ÉV!$I$2,D281&gt;ÉV!$J$2)),0,1)</f>
        <v>0</v>
      </c>
      <c r="T281" s="271">
        <f ca="1">(MAX(0,F281-0.003)*0.9*((Q280)*(1/12)))*IF(OR(C281&gt;ÉV!$I$2,AND(C281=ÉV!$I$2,D281&gt;ÉV!$J$2)),0,1)</f>
        <v>0</v>
      </c>
      <c r="U281" s="271">
        <f ca="1">IF($D281=1,R281,R281+U280)*IF(OR(C281&gt;ÉV!$I$2,AND(C281=ÉV!$I$2,D281&gt;ÉV!$J$2)),0,1)</f>
        <v>0</v>
      </c>
      <c r="V281" s="271">
        <f ca="1">IF($D281=1,S281,S281+V280)*IF(OR(C281&gt;ÉV!$I$2,AND(C281=ÉV!$I$2,D281&gt;ÉV!$J$2)),0,1)</f>
        <v>0</v>
      </c>
      <c r="W281" s="271">
        <f ca="1">IF($D281=1,T281,T281+W280)*IF(OR(C281&gt;ÉV!$I$2,AND(C281=ÉV!$I$2,D281&gt;ÉV!$J$2)),0,1)</f>
        <v>0</v>
      </c>
      <c r="X281" s="271">
        <f ca="1">IF(OR(D281=12,AND(C281=ÉV!$I$2,D281=ÉV!$J$2)),SUM(U281:W281)+X280,X280)*IF(OR(C281&gt;ÉV!$I$2,AND(C281=ÉV!$I$2,D281&gt;ÉV!$J$2)),0,1)</f>
        <v>0</v>
      </c>
      <c r="Y281" s="271">
        <f t="shared" ca="1" si="46"/>
        <v>0</v>
      </c>
      <c r="Z281" s="265">
        <f t="shared" si="47"/>
        <v>3</v>
      </c>
      <c r="AA281" s="272">
        <f t="shared" ca="1" si="48"/>
        <v>0</v>
      </c>
      <c r="AB281" s="265">
        <f t="shared" ca="1" si="54"/>
        <v>2040</v>
      </c>
      <c r="AC281" s="265">
        <f t="shared" ca="1" si="55"/>
        <v>6</v>
      </c>
      <c r="AD281" s="276">
        <f ca="1">IF(     OR(               AND(MAX(AF$6:AF281)&lt;2,  AC281=12),                 AF281=2),                   SUMIF(AB:AB,AB281,AA:AA),                       0)</f>
        <v>0</v>
      </c>
      <c r="AE281" s="277">
        <f t="shared" ca="1" si="56"/>
        <v>0</v>
      </c>
      <c r="AF281" s="277">
        <f t="shared" ca="1" si="49"/>
        <v>0</v>
      </c>
      <c r="AG281" s="402">
        <f ca="1">IF(  AND(AC281=AdóHó,   MAX(AF$1:AF280)&lt;2),   SUMIF(AB:AB,AB281-1,AE:AE),0  )
+ IF(AND(AC281&lt;AdóHó,                            AF281=2),   SUMIF(AB:AB,AB281-1,AE:AE),0  )
+ IF(                                                                  AF281=2,    SUMIF(AB:AB,AB281,AE:AE   ),0  )</f>
        <v>0</v>
      </c>
      <c r="AH281" s="272">
        <f ca="1">SUM(AG$2:AG281)</f>
        <v>1139324.2410681627</v>
      </c>
    </row>
    <row r="282" spans="1:34">
      <c r="A282" s="265">
        <f t="shared" si="50"/>
        <v>24</v>
      </c>
      <c r="B282" s="265">
        <f t="shared" si="51"/>
        <v>4</v>
      </c>
      <c r="C282" s="265">
        <f t="shared" ca="1" si="52"/>
        <v>24</v>
      </c>
      <c r="D282" s="265">
        <f t="shared" ca="1" si="53"/>
        <v>7</v>
      </c>
      <c r="E282" s="266">
        <v>5.0000000000000001E-3</v>
      </c>
      <c r="F282" s="267">
        <f>ÉV!$B$12</f>
        <v>0</v>
      </c>
      <c r="G282" s="271">
        <f ca="1">VLOOKUP(A282,ÉV!$A$18:$B$65,2,0)</f>
        <v>0</v>
      </c>
      <c r="H282" s="271">
        <f ca="1">IF(OR(A282=1,AND(C282=ÉV!$I$2,D282&gt;ÉV!$J$2),C282&gt;ÉV!$I$2),0,INDEX(Pz!$B$2:$AM$48,A282-1,ÉV!$G$2-9)/100000*ÉV!$B$10)</f>
        <v>0</v>
      </c>
      <c r="I282" s="271">
        <f ca="1">INDEX(Pz!$B$2:$AM$48,HÓ!A282,ÉV!$G$2-9)/100000*ÉV!$B$10</f>
        <v>0</v>
      </c>
      <c r="J282" s="273">
        <f ca="1">IF(OR(A282=1,A282=2,AND(C282=ÉV!$I$2,D282&gt;ÉV!$J$2),C282&gt;ÉV!$I$2),0,VLOOKUP(A282-2,ÉV!$A$18:$C$65,3,0))</f>
        <v>0</v>
      </c>
      <c r="K282" s="273">
        <f ca="1">IF(OR(A282=1,AND(C282=ÉV!$I$2,D282&gt;ÉV!$J$2),C282&gt;ÉV!$I$2),0,VLOOKUP(A282-1,ÉV!$A$18:$C$65,3,0))</f>
        <v>0</v>
      </c>
      <c r="L282" s="273">
        <f ca="1">VLOOKUP(A282,ÉV!$A$18:$C$65,3,0)*IF(OR(AND(C282=ÉV!$I$2,D282&gt;ÉV!$J$2),C282&gt;ÉV!$I$2),0,1)</f>
        <v>0</v>
      </c>
      <c r="M282" s="273">
        <f ca="1">(K282*(12-B282)/12+L282*B282/12)*IF(A282&gt;ÉV!$G$2,0,1)+IF(A282&gt;ÉV!$G$2,M281,0)*IF(OR(AND(C282=ÉV!$I$2,D282&gt;ÉV!$J$2),C282&gt;ÉV!$I$2),0,1)</f>
        <v>0</v>
      </c>
      <c r="N282" s="274">
        <f ca="1">IF(AND(C282=1,D282&lt;12),0,1)*IF(D282=12,MAX(0,F282-E282-0.003)*0.9*((K282+I282)*(B282/12)+(J282+H282)*(1-B282/12))+MAX(0,F282-0.003)*0.9*N281+N281,IF(AND(C282=ÉV!$I$2,D282=ÉV!$J$2),(M282+N281)*MAX(0,F282-0.003)*0.9*(D282/12)+N281,N281))*IF(OR(C282&gt;ÉV!$I$2,AND(C282=ÉV!$I$2,D282&gt;ÉV!$J$2)),0,1)</f>
        <v>0</v>
      </c>
      <c r="O282" s="313">
        <f ca="1">IF(MAX(AF$2:AF281)=2,      0,IF(OR(AC282=7, AF282=2),    SUM(AE$2:AE282),    O281)   )</f>
        <v>0</v>
      </c>
      <c r="P282" s="271">
        <f ca="1">IF(D282=12,V282+P281+P281*(F282-0.003)*0.9,IF(AND(C282=ÉV!$I$2,D282=ÉV!$J$2),V282+P281+P281*(F282-0.003)*0.9*D282/12,P281))*IF(OR(C282&gt;ÉV!$I$2,AND(C282=ÉV!$I$2,D282&gt;ÉV!$J$2)),0,1)</f>
        <v>0</v>
      </c>
      <c r="Q282" s="275">
        <f ca="1">(N282+P282)*IF(OR(AND(C282=ÉV!$I$2,D282&gt;ÉV!$J$2),C282&gt;ÉV!$I$2),0,1)</f>
        <v>0</v>
      </c>
      <c r="R282" s="271">
        <f ca="1">(MAX(0,F282-E282-0.003)*0.9*((K282+I282)*(1/12)))*IF(OR(C282&gt;ÉV!$I$2,AND(C282=ÉV!$I$2,D282&gt;ÉV!$J$2)),0,1)</f>
        <v>0</v>
      </c>
      <c r="S282" s="271">
        <f ca="1">(MAX(0,F282-0.003)*0.9*((O282)*(1/12)))*IF(OR(C282&gt;ÉV!$I$2,AND(C282=ÉV!$I$2,D282&gt;ÉV!$J$2)),0,1)</f>
        <v>0</v>
      </c>
      <c r="T282" s="271">
        <f ca="1">(MAX(0,F282-0.003)*0.9*((Q281)*(1/12)))*IF(OR(C282&gt;ÉV!$I$2,AND(C282=ÉV!$I$2,D282&gt;ÉV!$J$2)),0,1)</f>
        <v>0</v>
      </c>
      <c r="U282" s="271">
        <f ca="1">IF($D282=1,R282,R282+U281)*IF(OR(C282&gt;ÉV!$I$2,AND(C282=ÉV!$I$2,D282&gt;ÉV!$J$2)),0,1)</f>
        <v>0</v>
      </c>
      <c r="V282" s="271">
        <f ca="1">IF($D282=1,S282,S282+V281)*IF(OR(C282&gt;ÉV!$I$2,AND(C282=ÉV!$I$2,D282&gt;ÉV!$J$2)),0,1)</f>
        <v>0</v>
      </c>
      <c r="W282" s="271">
        <f ca="1">IF($D282=1,T282,T282+W281)*IF(OR(C282&gt;ÉV!$I$2,AND(C282=ÉV!$I$2,D282&gt;ÉV!$J$2)),0,1)</f>
        <v>0</v>
      </c>
      <c r="X282" s="271">
        <f ca="1">IF(OR(D282=12,AND(C282=ÉV!$I$2,D282=ÉV!$J$2)),SUM(U282:W282)+X281,X281)*IF(OR(C282&gt;ÉV!$I$2,AND(C282=ÉV!$I$2,D282&gt;ÉV!$J$2)),0,1)</f>
        <v>0</v>
      </c>
      <c r="Y282" s="271">
        <f t="shared" ca="1" si="46"/>
        <v>0</v>
      </c>
      <c r="Z282" s="265">
        <f t="shared" si="47"/>
        <v>4</v>
      </c>
      <c r="AA282" s="272">
        <f t="shared" ca="1" si="48"/>
        <v>0</v>
      </c>
      <c r="AB282" s="265">
        <f t="shared" ca="1" si="54"/>
        <v>2040</v>
      </c>
      <c r="AC282" s="265">
        <f t="shared" ca="1" si="55"/>
        <v>7</v>
      </c>
      <c r="AD282" s="276">
        <f ca="1">IF(     OR(               AND(MAX(AF$6:AF282)&lt;2,  AC282=12),                 AF282=2),                   SUMIF(AB:AB,AB282,AA:AA),                       0)</f>
        <v>0</v>
      </c>
      <c r="AE282" s="277">
        <f t="shared" ca="1" si="56"/>
        <v>0</v>
      </c>
      <c r="AF282" s="277">
        <f t="shared" ca="1" si="49"/>
        <v>0</v>
      </c>
      <c r="AG282" s="402">
        <f ca="1">IF(  AND(AC282=AdóHó,   MAX(AF$1:AF281)&lt;2),   SUMIF(AB:AB,AB282-1,AE:AE),0  )
+ IF(AND(AC282&lt;AdóHó,                            AF282=2),   SUMIF(AB:AB,AB282-1,AE:AE),0  )
+ IF(                                                                  AF282=2,    SUMIF(AB:AB,AB282,AE:AE   ),0  )</f>
        <v>0</v>
      </c>
      <c r="AH282" s="272">
        <f ca="1">SUM(AG$2:AG282)</f>
        <v>1139324.2410681627</v>
      </c>
    </row>
    <row r="283" spans="1:34">
      <c r="A283" s="265">
        <f t="shared" si="50"/>
        <v>24</v>
      </c>
      <c r="B283" s="265">
        <f t="shared" si="51"/>
        <v>5</v>
      </c>
      <c r="C283" s="265">
        <f t="shared" ca="1" si="52"/>
        <v>24</v>
      </c>
      <c r="D283" s="265">
        <f t="shared" ca="1" si="53"/>
        <v>8</v>
      </c>
      <c r="E283" s="266">
        <v>5.0000000000000001E-3</v>
      </c>
      <c r="F283" s="267">
        <f>ÉV!$B$12</f>
        <v>0</v>
      </c>
      <c r="G283" s="271">
        <f ca="1">VLOOKUP(A283,ÉV!$A$18:$B$65,2,0)</f>
        <v>0</v>
      </c>
      <c r="H283" s="271">
        <f ca="1">IF(OR(A283=1,AND(C283=ÉV!$I$2,D283&gt;ÉV!$J$2),C283&gt;ÉV!$I$2),0,INDEX(Pz!$B$2:$AM$48,A283-1,ÉV!$G$2-9)/100000*ÉV!$B$10)</f>
        <v>0</v>
      </c>
      <c r="I283" s="271">
        <f ca="1">INDEX(Pz!$B$2:$AM$48,HÓ!A283,ÉV!$G$2-9)/100000*ÉV!$B$10</f>
        <v>0</v>
      </c>
      <c r="J283" s="273">
        <f ca="1">IF(OR(A283=1,A283=2,AND(C283=ÉV!$I$2,D283&gt;ÉV!$J$2),C283&gt;ÉV!$I$2),0,VLOOKUP(A283-2,ÉV!$A$18:$C$65,3,0))</f>
        <v>0</v>
      </c>
      <c r="K283" s="273">
        <f ca="1">IF(OR(A283=1,AND(C283=ÉV!$I$2,D283&gt;ÉV!$J$2),C283&gt;ÉV!$I$2),0,VLOOKUP(A283-1,ÉV!$A$18:$C$65,3,0))</f>
        <v>0</v>
      </c>
      <c r="L283" s="273">
        <f ca="1">VLOOKUP(A283,ÉV!$A$18:$C$65,3,0)*IF(OR(AND(C283=ÉV!$I$2,D283&gt;ÉV!$J$2),C283&gt;ÉV!$I$2),0,1)</f>
        <v>0</v>
      </c>
      <c r="M283" s="273">
        <f ca="1">(K283*(12-B283)/12+L283*B283/12)*IF(A283&gt;ÉV!$G$2,0,1)+IF(A283&gt;ÉV!$G$2,M282,0)*IF(OR(AND(C283=ÉV!$I$2,D283&gt;ÉV!$J$2),C283&gt;ÉV!$I$2),0,1)</f>
        <v>0</v>
      </c>
      <c r="N283" s="274">
        <f ca="1">IF(AND(C283=1,D283&lt;12),0,1)*IF(D283=12,MAX(0,F283-E283-0.003)*0.9*((K283+I283)*(B283/12)+(J283+H283)*(1-B283/12))+MAX(0,F283-0.003)*0.9*N282+N282,IF(AND(C283=ÉV!$I$2,D283=ÉV!$J$2),(M283+N282)*MAX(0,F283-0.003)*0.9*(D283/12)+N282,N282))*IF(OR(C283&gt;ÉV!$I$2,AND(C283=ÉV!$I$2,D283&gt;ÉV!$J$2)),0,1)</f>
        <v>0</v>
      </c>
      <c r="O283" s="313">
        <f ca="1">IF(MAX(AF$2:AF282)=2,      0,IF(OR(AC283=7, AF283=2),    SUM(AE$2:AE283),    O282)   )</f>
        <v>0</v>
      </c>
      <c r="P283" s="271">
        <f ca="1">IF(D283=12,V283+P282+P282*(F283-0.003)*0.9,IF(AND(C283=ÉV!$I$2,D283=ÉV!$J$2),V283+P282+P282*(F283-0.003)*0.9*D283/12,P282))*IF(OR(C283&gt;ÉV!$I$2,AND(C283=ÉV!$I$2,D283&gt;ÉV!$J$2)),0,1)</f>
        <v>0</v>
      </c>
      <c r="Q283" s="275">
        <f ca="1">(N283+P283)*IF(OR(AND(C283=ÉV!$I$2,D283&gt;ÉV!$J$2),C283&gt;ÉV!$I$2),0,1)</f>
        <v>0</v>
      </c>
      <c r="R283" s="271">
        <f ca="1">(MAX(0,F283-E283-0.003)*0.9*((K283+I283)*(1/12)))*IF(OR(C283&gt;ÉV!$I$2,AND(C283=ÉV!$I$2,D283&gt;ÉV!$J$2)),0,1)</f>
        <v>0</v>
      </c>
      <c r="S283" s="271">
        <f ca="1">(MAX(0,F283-0.003)*0.9*((O283)*(1/12)))*IF(OR(C283&gt;ÉV!$I$2,AND(C283=ÉV!$I$2,D283&gt;ÉV!$J$2)),0,1)</f>
        <v>0</v>
      </c>
      <c r="T283" s="271">
        <f ca="1">(MAX(0,F283-0.003)*0.9*((Q282)*(1/12)))*IF(OR(C283&gt;ÉV!$I$2,AND(C283=ÉV!$I$2,D283&gt;ÉV!$J$2)),0,1)</f>
        <v>0</v>
      </c>
      <c r="U283" s="271">
        <f ca="1">IF($D283=1,R283,R283+U282)*IF(OR(C283&gt;ÉV!$I$2,AND(C283=ÉV!$I$2,D283&gt;ÉV!$J$2)),0,1)</f>
        <v>0</v>
      </c>
      <c r="V283" s="271">
        <f ca="1">IF($D283=1,S283,S283+V282)*IF(OR(C283&gt;ÉV!$I$2,AND(C283=ÉV!$I$2,D283&gt;ÉV!$J$2)),0,1)</f>
        <v>0</v>
      </c>
      <c r="W283" s="271">
        <f ca="1">IF($D283=1,T283,T283+W282)*IF(OR(C283&gt;ÉV!$I$2,AND(C283=ÉV!$I$2,D283&gt;ÉV!$J$2)),0,1)</f>
        <v>0</v>
      </c>
      <c r="X283" s="271">
        <f ca="1">IF(OR(D283=12,AND(C283=ÉV!$I$2,D283=ÉV!$J$2)),SUM(U283:W283)+X282,X282)*IF(OR(C283&gt;ÉV!$I$2,AND(C283=ÉV!$I$2,D283&gt;ÉV!$J$2)),0,1)</f>
        <v>0</v>
      </c>
      <c r="Y283" s="271">
        <f t="shared" ca="1" si="46"/>
        <v>0</v>
      </c>
      <c r="Z283" s="265">
        <f t="shared" si="47"/>
        <v>5</v>
      </c>
      <c r="AA283" s="272">
        <f t="shared" ca="1" si="48"/>
        <v>0</v>
      </c>
      <c r="AB283" s="265">
        <f t="shared" ca="1" si="54"/>
        <v>2040</v>
      </c>
      <c r="AC283" s="265">
        <f t="shared" ca="1" si="55"/>
        <v>8</v>
      </c>
      <c r="AD283" s="276">
        <f ca="1">IF(     OR(               AND(MAX(AF$6:AF283)&lt;2,  AC283=12),                 AF283=2),                   SUMIF(AB:AB,AB283,AA:AA),                       0)</f>
        <v>0</v>
      </c>
      <c r="AE283" s="277">
        <f t="shared" ca="1" si="56"/>
        <v>0</v>
      </c>
      <c r="AF283" s="277">
        <f t="shared" ca="1" si="49"/>
        <v>0</v>
      </c>
      <c r="AG283" s="402">
        <f ca="1">IF(  AND(AC283=AdóHó,   MAX(AF$1:AF282)&lt;2),   SUMIF(AB:AB,AB283-1,AE:AE),0  )
+ IF(AND(AC283&lt;AdóHó,                            AF283=2),   SUMIF(AB:AB,AB283-1,AE:AE),0  )
+ IF(                                                                  AF283=2,    SUMIF(AB:AB,AB283,AE:AE   ),0  )</f>
        <v>0</v>
      </c>
      <c r="AH283" s="272">
        <f ca="1">SUM(AG$2:AG283)</f>
        <v>1139324.2410681627</v>
      </c>
    </row>
    <row r="284" spans="1:34">
      <c r="A284" s="265">
        <f t="shared" si="50"/>
        <v>24</v>
      </c>
      <c r="B284" s="265">
        <f t="shared" si="51"/>
        <v>6</v>
      </c>
      <c r="C284" s="265">
        <f t="shared" ca="1" si="52"/>
        <v>24</v>
      </c>
      <c r="D284" s="265">
        <f t="shared" ca="1" si="53"/>
        <v>9</v>
      </c>
      <c r="E284" s="266">
        <v>5.0000000000000001E-3</v>
      </c>
      <c r="F284" s="267">
        <f>ÉV!$B$12</f>
        <v>0</v>
      </c>
      <c r="G284" s="271">
        <f ca="1">VLOOKUP(A284,ÉV!$A$18:$B$65,2,0)</f>
        <v>0</v>
      </c>
      <c r="H284" s="271">
        <f ca="1">IF(OR(A284=1,AND(C284=ÉV!$I$2,D284&gt;ÉV!$J$2),C284&gt;ÉV!$I$2),0,INDEX(Pz!$B$2:$AM$48,A284-1,ÉV!$G$2-9)/100000*ÉV!$B$10)</f>
        <v>0</v>
      </c>
      <c r="I284" s="271">
        <f ca="1">INDEX(Pz!$B$2:$AM$48,HÓ!A284,ÉV!$G$2-9)/100000*ÉV!$B$10</f>
        <v>0</v>
      </c>
      <c r="J284" s="273">
        <f ca="1">IF(OR(A284=1,A284=2,AND(C284=ÉV!$I$2,D284&gt;ÉV!$J$2),C284&gt;ÉV!$I$2),0,VLOOKUP(A284-2,ÉV!$A$18:$C$65,3,0))</f>
        <v>0</v>
      </c>
      <c r="K284" s="273">
        <f ca="1">IF(OR(A284=1,AND(C284=ÉV!$I$2,D284&gt;ÉV!$J$2),C284&gt;ÉV!$I$2),0,VLOOKUP(A284-1,ÉV!$A$18:$C$65,3,0))</f>
        <v>0</v>
      </c>
      <c r="L284" s="273">
        <f ca="1">VLOOKUP(A284,ÉV!$A$18:$C$65,3,0)*IF(OR(AND(C284=ÉV!$I$2,D284&gt;ÉV!$J$2),C284&gt;ÉV!$I$2),0,1)</f>
        <v>0</v>
      </c>
      <c r="M284" s="273">
        <f ca="1">(K284*(12-B284)/12+L284*B284/12)*IF(A284&gt;ÉV!$G$2,0,1)+IF(A284&gt;ÉV!$G$2,M283,0)*IF(OR(AND(C284=ÉV!$I$2,D284&gt;ÉV!$J$2),C284&gt;ÉV!$I$2),0,1)</f>
        <v>0</v>
      </c>
      <c r="N284" s="274">
        <f ca="1">IF(AND(C284=1,D284&lt;12),0,1)*IF(D284=12,MAX(0,F284-E284-0.003)*0.9*((K284+I284)*(B284/12)+(J284+H284)*(1-B284/12))+MAX(0,F284-0.003)*0.9*N283+N283,IF(AND(C284=ÉV!$I$2,D284=ÉV!$J$2),(M284+N283)*MAX(0,F284-0.003)*0.9*(D284/12)+N283,N283))*IF(OR(C284&gt;ÉV!$I$2,AND(C284=ÉV!$I$2,D284&gt;ÉV!$J$2)),0,1)</f>
        <v>0</v>
      </c>
      <c r="O284" s="313">
        <f ca="1">IF(MAX(AF$2:AF283)=2,      0,IF(OR(AC284=7, AF284=2),    SUM(AE$2:AE284),    O283)   )</f>
        <v>0</v>
      </c>
      <c r="P284" s="271">
        <f ca="1">IF(D284=12,V284+P283+P283*(F284-0.003)*0.9,IF(AND(C284=ÉV!$I$2,D284=ÉV!$J$2),V284+P283+P283*(F284-0.003)*0.9*D284/12,P283))*IF(OR(C284&gt;ÉV!$I$2,AND(C284=ÉV!$I$2,D284&gt;ÉV!$J$2)),0,1)</f>
        <v>0</v>
      </c>
      <c r="Q284" s="275">
        <f ca="1">(N284+P284)*IF(OR(AND(C284=ÉV!$I$2,D284&gt;ÉV!$J$2),C284&gt;ÉV!$I$2),0,1)</f>
        <v>0</v>
      </c>
      <c r="R284" s="271">
        <f ca="1">(MAX(0,F284-E284-0.003)*0.9*((K284+I284)*(1/12)))*IF(OR(C284&gt;ÉV!$I$2,AND(C284=ÉV!$I$2,D284&gt;ÉV!$J$2)),0,1)</f>
        <v>0</v>
      </c>
      <c r="S284" s="271">
        <f ca="1">(MAX(0,F284-0.003)*0.9*((O284)*(1/12)))*IF(OR(C284&gt;ÉV!$I$2,AND(C284=ÉV!$I$2,D284&gt;ÉV!$J$2)),0,1)</f>
        <v>0</v>
      </c>
      <c r="T284" s="271">
        <f ca="1">(MAX(0,F284-0.003)*0.9*((Q283)*(1/12)))*IF(OR(C284&gt;ÉV!$I$2,AND(C284=ÉV!$I$2,D284&gt;ÉV!$J$2)),0,1)</f>
        <v>0</v>
      </c>
      <c r="U284" s="271">
        <f ca="1">IF($D284=1,R284,R284+U283)*IF(OR(C284&gt;ÉV!$I$2,AND(C284=ÉV!$I$2,D284&gt;ÉV!$J$2)),0,1)</f>
        <v>0</v>
      </c>
      <c r="V284" s="271">
        <f ca="1">IF($D284=1,S284,S284+V283)*IF(OR(C284&gt;ÉV!$I$2,AND(C284=ÉV!$I$2,D284&gt;ÉV!$J$2)),0,1)</f>
        <v>0</v>
      </c>
      <c r="W284" s="271">
        <f ca="1">IF($D284=1,T284,T284+W283)*IF(OR(C284&gt;ÉV!$I$2,AND(C284=ÉV!$I$2,D284&gt;ÉV!$J$2)),0,1)</f>
        <v>0</v>
      </c>
      <c r="X284" s="271">
        <f ca="1">IF(OR(D284=12,AND(C284=ÉV!$I$2,D284=ÉV!$J$2)),SUM(U284:W284)+X283,X283)*IF(OR(C284&gt;ÉV!$I$2,AND(C284=ÉV!$I$2,D284&gt;ÉV!$J$2)),0,1)</f>
        <v>0</v>
      </c>
      <c r="Y284" s="271">
        <f t="shared" ca="1" si="46"/>
        <v>0</v>
      </c>
      <c r="Z284" s="265">
        <f t="shared" si="47"/>
        <v>6</v>
      </c>
      <c r="AA284" s="272">
        <f t="shared" ca="1" si="48"/>
        <v>0</v>
      </c>
      <c r="AB284" s="265">
        <f t="shared" ca="1" si="54"/>
        <v>2040</v>
      </c>
      <c r="AC284" s="265">
        <f t="shared" ca="1" si="55"/>
        <v>9</v>
      </c>
      <c r="AD284" s="276">
        <f ca="1">IF(     OR(               AND(MAX(AF$6:AF284)&lt;2,  AC284=12),                 AF284=2),                   SUMIF(AB:AB,AB284,AA:AA),                       0)</f>
        <v>0</v>
      </c>
      <c r="AE284" s="277">
        <f t="shared" ca="1" si="56"/>
        <v>0</v>
      </c>
      <c r="AF284" s="277">
        <f t="shared" ca="1" si="49"/>
        <v>0</v>
      </c>
      <c r="AG284" s="402">
        <f ca="1">IF(  AND(AC284=AdóHó,   MAX(AF$1:AF283)&lt;2),   SUMIF(AB:AB,AB284-1,AE:AE),0  )
+ IF(AND(AC284&lt;AdóHó,                            AF284=2),   SUMIF(AB:AB,AB284-1,AE:AE),0  )
+ IF(                                                                  AF284=2,    SUMIF(AB:AB,AB284,AE:AE   ),0  )</f>
        <v>0</v>
      </c>
      <c r="AH284" s="272">
        <f ca="1">SUM(AG$2:AG284)</f>
        <v>1139324.2410681627</v>
      </c>
    </row>
    <row r="285" spans="1:34">
      <c r="A285" s="265">
        <f t="shared" si="50"/>
        <v>24</v>
      </c>
      <c r="B285" s="265">
        <f t="shared" si="51"/>
        <v>7</v>
      </c>
      <c r="C285" s="265">
        <f t="shared" ca="1" si="52"/>
        <v>24</v>
      </c>
      <c r="D285" s="265">
        <f t="shared" ca="1" si="53"/>
        <v>10</v>
      </c>
      <c r="E285" s="266">
        <v>5.0000000000000001E-3</v>
      </c>
      <c r="F285" s="267">
        <f>ÉV!$B$12</f>
        <v>0</v>
      </c>
      <c r="G285" s="271">
        <f ca="1">VLOOKUP(A285,ÉV!$A$18:$B$65,2,0)</f>
        <v>0</v>
      </c>
      <c r="H285" s="271">
        <f ca="1">IF(OR(A285=1,AND(C285=ÉV!$I$2,D285&gt;ÉV!$J$2),C285&gt;ÉV!$I$2),0,INDEX(Pz!$B$2:$AM$48,A285-1,ÉV!$G$2-9)/100000*ÉV!$B$10)</f>
        <v>0</v>
      </c>
      <c r="I285" s="271">
        <f ca="1">INDEX(Pz!$B$2:$AM$48,HÓ!A285,ÉV!$G$2-9)/100000*ÉV!$B$10</f>
        <v>0</v>
      </c>
      <c r="J285" s="273">
        <f ca="1">IF(OR(A285=1,A285=2,AND(C285=ÉV!$I$2,D285&gt;ÉV!$J$2),C285&gt;ÉV!$I$2),0,VLOOKUP(A285-2,ÉV!$A$18:$C$65,3,0))</f>
        <v>0</v>
      </c>
      <c r="K285" s="273">
        <f ca="1">IF(OR(A285=1,AND(C285=ÉV!$I$2,D285&gt;ÉV!$J$2),C285&gt;ÉV!$I$2),0,VLOOKUP(A285-1,ÉV!$A$18:$C$65,3,0))</f>
        <v>0</v>
      </c>
      <c r="L285" s="273">
        <f ca="1">VLOOKUP(A285,ÉV!$A$18:$C$65,3,0)*IF(OR(AND(C285=ÉV!$I$2,D285&gt;ÉV!$J$2),C285&gt;ÉV!$I$2),0,1)</f>
        <v>0</v>
      </c>
      <c r="M285" s="273">
        <f ca="1">(K285*(12-B285)/12+L285*B285/12)*IF(A285&gt;ÉV!$G$2,0,1)+IF(A285&gt;ÉV!$G$2,M284,0)*IF(OR(AND(C285=ÉV!$I$2,D285&gt;ÉV!$J$2),C285&gt;ÉV!$I$2),0,1)</f>
        <v>0</v>
      </c>
      <c r="N285" s="274">
        <f ca="1">IF(AND(C285=1,D285&lt;12),0,1)*IF(D285=12,MAX(0,F285-E285-0.003)*0.9*((K285+I285)*(B285/12)+(J285+H285)*(1-B285/12))+MAX(0,F285-0.003)*0.9*N284+N284,IF(AND(C285=ÉV!$I$2,D285=ÉV!$J$2),(M285+N284)*MAX(0,F285-0.003)*0.9*(D285/12)+N284,N284))*IF(OR(C285&gt;ÉV!$I$2,AND(C285=ÉV!$I$2,D285&gt;ÉV!$J$2)),0,1)</f>
        <v>0</v>
      </c>
      <c r="O285" s="313">
        <f ca="1">IF(MAX(AF$2:AF284)=2,      0,IF(OR(AC285=7, AF285=2),    SUM(AE$2:AE285),    O284)   )</f>
        <v>0</v>
      </c>
      <c r="P285" s="271">
        <f ca="1">IF(D285=12,V285+P284+P284*(F285-0.003)*0.9,IF(AND(C285=ÉV!$I$2,D285=ÉV!$J$2),V285+P284+P284*(F285-0.003)*0.9*D285/12,P284))*IF(OR(C285&gt;ÉV!$I$2,AND(C285=ÉV!$I$2,D285&gt;ÉV!$J$2)),0,1)</f>
        <v>0</v>
      </c>
      <c r="Q285" s="275">
        <f ca="1">(N285+P285)*IF(OR(AND(C285=ÉV!$I$2,D285&gt;ÉV!$J$2),C285&gt;ÉV!$I$2),0,1)</f>
        <v>0</v>
      </c>
      <c r="R285" s="271">
        <f ca="1">(MAX(0,F285-E285-0.003)*0.9*((K285+I285)*(1/12)))*IF(OR(C285&gt;ÉV!$I$2,AND(C285=ÉV!$I$2,D285&gt;ÉV!$J$2)),0,1)</f>
        <v>0</v>
      </c>
      <c r="S285" s="271">
        <f ca="1">(MAX(0,F285-0.003)*0.9*((O285)*(1/12)))*IF(OR(C285&gt;ÉV!$I$2,AND(C285=ÉV!$I$2,D285&gt;ÉV!$J$2)),0,1)</f>
        <v>0</v>
      </c>
      <c r="T285" s="271">
        <f ca="1">(MAX(0,F285-0.003)*0.9*((Q284)*(1/12)))*IF(OR(C285&gt;ÉV!$I$2,AND(C285=ÉV!$I$2,D285&gt;ÉV!$J$2)),0,1)</f>
        <v>0</v>
      </c>
      <c r="U285" s="271">
        <f ca="1">IF($D285=1,R285,R285+U284)*IF(OR(C285&gt;ÉV!$I$2,AND(C285=ÉV!$I$2,D285&gt;ÉV!$J$2)),0,1)</f>
        <v>0</v>
      </c>
      <c r="V285" s="271">
        <f ca="1">IF($D285=1,S285,S285+V284)*IF(OR(C285&gt;ÉV!$I$2,AND(C285=ÉV!$I$2,D285&gt;ÉV!$J$2)),0,1)</f>
        <v>0</v>
      </c>
      <c r="W285" s="271">
        <f ca="1">IF($D285=1,T285,T285+W284)*IF(OR(C285&gt;ÉV!$I$2,AND(C285=ÉV!$I$2,D285&gt;ÉV!$J$2)),0,1)</f>
        <v>0</v>
      </c>
      <c r="X285" s="271">
        <f ca="1">IF(OR(D285=12,AND(C285=ÉV!$I$2,D285=ÉV!$J$2)),SUM(U285:W285)+X284,X284)*IF(OR(C285&gt;ÉV!$I$2,AND(C285=ÉV!$I$2,D285&gt;ÉV!$J$2)),0,1)</f>
        <v>0</v>
      </c>
      <c r="Y285" s="271">
        <f t="shared" ca="1" si="46"/>
        <v>0</v>
      </c>
      <c r="Z285" s="265">
        <f t="shared" si="47"/>
        <v>7</v>
      </c>
      <c r="AA285" s="272">
        <f t="shared" ca="1" si="48"/>
        <v>0</v>
      </c>
      <c r="AB285" s="265">
        <f t="shared" ca="1" si="54"/>
        <v>2040</v>
      </c>
      <c r="AC285" s="265">
        <f t="shared" ca="1" si="55"/>
        <v>10</v>
      </c>
      <c r="AD285" s="276">
        <f ca="1">IF(     OR(               AND(MAX(AF$6:AF285)&lt;2,  AC285=12),                 AF285=2),                   SUMIF(AB:AB,AB285,AA:AA),                       0)</f>
        <v>0</v>
      </c>
      <c r="AE285" s="277">
        <f t="shared" ca="1" si="56"/>
        <v>0</v>
      </c>
      <c r="AF285" s="277">
        <f t="shared" ca="1" si="49"/>
        <v>0</v>
      </c>
      <c r="AG285" s="402">
        <f ca="1">IF(  AND(AC285=AdóHó,   MAX(AF$1:AF284)&lt;2),   SUMIF(AB:AB,AB285-1,AE:AE),0  )
+ IF(AND(AC285&lt;AdóHó,                            AF285=2),   SUMIF(AB:AB,AB285-1,AE:AE),0  )
+ IF(                                                                  AF285=2,    SUMIF(AB:AB,AB285,AE:AE   ),0  )</f>
        <v>0</v>
      </c>
      <c r="AH285" s="272">
        <f ca="1">SUM(AG$2:AG285)</f>
        <v>1139324.2410681627</v>
      </c>
    </row>
    <row r="286" spans="1:34">
      <c r="A286" s="265">
        <f t="shared" si="50"/>
        <v>24</v>
      </c>
      <c r="B286" s="265">
        <f t="shared" si="51"/>
        <v>8</v>
      </c>
      <c r="C286" s="265">
        <f t="shared" ca="1" si="52"/>
        <v>24</v>
      </c>
      <c r="D286" s="265">
        <f t="shared" ca="1" si="53"/>
        <v>11</v>
      </c>
      <c r="E286" s="266">
        <v>5.0000000000000001E-3</v>
      </c>
      <c r="F286" s="267">
        <f>ÉV!$B$12</f>
        <v>0</v>
      </c>
      <c r="G286" s="271">
        <f ca="1">VLOOKUP(A286,ÉV!$A$18:$B$65,2,0)</f>
        <v>0</v>
      </c>
      <c r="H286" s="271">
        <f ca="1">IF(OR(A286=1,AND(C286=ÉV!$I$2,D286&gt;ÉV!$J$2),C286&gt;ÉV!$I$2),0,INDEX(Pz!$B$2:$AM$48,A286-1,ÉV!$G$2-9)/100000*ÉV!$B$10)</f>
        <v>0</v>
      </c>
      <c r="I286" s="271">
        <f ca="1">INDEX(Pz!$B$2:$AM$48,HÓ!A286,ÉV!$G$2-9)/100000*ÉV!$B$10</f>
        <v>0</v>
      </c>
      <c r="J286" s="273">
        <f ca="1">IF(OR(A286=1,A286=2,AND(C286=ÉV!$I$2,D286&gt;ÉV!$J$2),C286&gt;ÉV!$I$2),0,VLOOKUP(A286-2,ÉV!$A$18:$C$65,3,0))</f>
        <v>0</v>
      </c>
      <c r="K286" s="273">
        <f ca="1">IF(OR(A286=1,AND(C286=ÉV!$I$2,D286&gt;ÉV!$J$2),C286&gt;ÉV!$I$2),0,VLOOKUP(A286-1,ÉV!$A$18:$C$65,3,0))</f>
        <v>0</v>
      </c>
      <c r="L286" s="273">
        <f ca="1">VLOOKUP(A286,ÉV!$A$18:$C$65,3,0)*IF(OR(AND(C286=ÉV!$I$2,D286&gt;ÉV!$J$2),C286&gt;ÉV!$I$2),0,1)</f>
        <v>0</v>
      </c>
      <c r="M286" s="273">
        <f ca="1">(K286*(12-B286)/12+L286*B286/12)*IF(A286&gt;ÉV!$G$2,0,1)+IF(A286&gt;ÉV!$G$2,M285,0)*IF(OR(AND(C286=ÉV!$I$2,D286&gt;ÉV!$J$2),C286&gt;ÉV!$I$2),0,1)</f>
        <v>0</v>
      </c>
      <c r="N286" s="274">
        <f ca="1">IF(AND(C286=1,D286&lt;12),0,1)*IF(D286=12,MAX(0,F286-E286-0.003)*0.9*((K286+I286)*(B286/12)+(J286+H286)*(1-B286/12))+MAX(0,F286-0.003)*0.9*N285+N285,IF(AND(C286=ÉV!$I$2,D286=ÉV!$J$2),(M286+N285)*MAX(0,F286-0.003)*0.9*(D286/12)+N285,N285))*IF(OR(C286&gt;ÉV!$I$2,AND(C286=ÉV!$I$2,D286&gt;ÉV!$J$2)),0,1)</f>
        <v>0</v>
      </c>
      <c r="O286" s="313">
        <f ca="1">IF(MAX(AF$2:AF285)=2,      0,IF(OR(AC286=7, AF286=2),    SUM(AE$2:AE286),    O285)   )</f>
        <v>0</v>
      </c>
      <c r="P286" s="271">
        <f ca="1">IF(D286=12,V286+P285+P285*(F286-0.003)*0.9,IF(AND(C286=ÉV!$I$2,D286=ÉV!$J$2),V286+P285+P285*(F286-0.003)*0.9*D286/12,P285))*IF(OR(C286&gt;ÉV!$I$2,AND(C286=ÉV!$I$2,D286&gt;ÉV!$J$2)),0,1)</f>
        <v>0</v>
      </c>
      <c r="Q286" s="275">
        <f ca="1">(N286+P286)*IF(OR(AND(C286=ÉV!$I$2,D286&gt;ÉV!$J$2),C286&gt;ÉV!$I$2),0,1)</f>
        <v>0</v>
      </c>
      <c r="R286" s="271">
        <f ca="1">(MAX(0,F286-E286-0.003)*0.9*((K286+I286)*(1/12)))*IF(OR(C286&gt;ÉV!$I$2,AND(C286=ÉV!$I$2,D286&gt;ÉV!$J$2)),0,1)</f>
        <v>0</v>
      </c>
      <c r="S286" s="271">
        <f ca="1">(MAX(0,F286-0.003)*0.9*((O286)*(1/12)))*IF(OR(C286&gt;ÉV!$I$2,AND(C286=ÉV!$I$2,D286&gt;ÉV!$J$2)),0,1)</f>
        <v>0</v>
      </c>
      <c r="T286" s="271">
        <f ca="1">(MAX(0,F286-0.003)*0.9*((Q285)*(1/12)))*IF(OR(C286&gt;ÉV!$I$2,AND(C286=ÉV!$I$2,D286&gt;ÉV!$J$2)),0,1)</f>
        <v>0</v>
      </c>
      <c r="U286" s="271">
        <f ca="1">IF($D286=1,R286,R286+U285)*IF(OR(C286&gt;ÉV!$I$2,AND(C286=ÉV!$I$2,D286&gt;ÉV!$J$2)),0,1)</f>
        <v>0</v>
      </c>
      <c r="V286" s="271">
        <f ca="1">IF($D286=1,S286,S286+V285)*IF(OR(C286&gt;ÉV!$I$2,AND(C286=ÉV!$I$2,D286&gt;ÉV!$J$2)),0,1)</f>
        <v>0</v>
      </c>
      <c r="W286" s="271">
        <f ca="1">IF($D286=1,T286,T286+W285)*IF(OR(C286&gt;ÉV!$I$2,AND(C286=ÉV!$I$2,D286&gt;ÉV!$J$2)),0,1)</f>
        <v>0</v>
      </c>
      <c r="X286" s="271">
        <f ca="1">IF(OR(D286=12,AND(C286=ÉV!$I$2,D286=ÉV!$J$2)),SUM(U286:W286)+X285,X285)*IF(OR(C286&gt;ÉV!$I$2,AND(C286=ÉV!$I$2,D286&gt;ÉV!$J$2)),0,1)</f>
        <v>0</v>
      </c>
      <c r="Y286" s="271">
        <f t="shared" ca="1" si="46"/>
        <v>0</v>
      </c>
      <c r="Z286" s="265">
        <f t="shared" si="47"/>
        <v>8</v>
      </c>
      <c r="AA286" s="272">
        <f t="shared" ca="1" si="48"/>
        <v>0</v>
      </c>
      <c r="AB286" s="265">
        <f t="shared" ca="1" si="54"/>
        <v>2040</v>
      </c>
      <c r="AC286" s="265">
        <f t="shared" ca="1" si="55"/>
        <v>11</v>
      </c>
      <c r="AD286" s="276">
        <f ca="1">IF(     OR(               AND(MAX(AF$6:AF286)&lt;2,  AC286=12),                 AF286=2),                   SUMIF(AB:AB,AB286,AA:AA),                       0)</f>
        <v>0</v>
      </c>
      <c r="AE286" s="277">
        <f t="shared" ca="1" si="56"/>
        <v>0</v>
      </c>
      <c r="AF286" s="277">
        <f t="shared" ca="1" si="49"/>
        <v>0</v>
      </c>
      <c r="AG286" s="402">
        <f ca="1">IF(  AND(AC286=AdóHó,   MAX(AF$1:AF285)&lt;2),   SUMIF(AB:AB,AB286-1,AE:AE),0  )
+ IF(AND(AC286&lt;AdóHó,                            AF286=2),   SUMIF(AB:AB,AB286-1,AE:AE),0  )
+ IF(                                                                  AF286=2,    SUMIF(AB:AB,AB286,AE:AE   ),0  )</f>
        <v>0</v>
      </c>
      <c r="AH286" s="272">
        <f ca="1">SUM(AG$2:AG286)</f>
        <v>1139324.2410681627</v>
      </c>
    </row>
    <row r="287" spans="1:34">
      <c r="A287" s="265">
        <f t="shared" si="50"/>
        <v>24</v>
      </c>
      <c r="B287" s="265">
        <f t="shared" si="51"/>
        <v>9</v>
      </c>
      <c r="C287" s="265">
        <f t="shared" ca="1" si="52"/>
        <v>24</v>
      </c>
      <c r="D287" s="265">
        <f t="shared" ca="1" si="53"/>
        <v>12</v>
      </c>
      <c r="E287" s="266">
        <v>5.0000000000000001E-3</v>
      </c>
      <c r="F287" s="267">
        <f>ÉV!$B$12</f>
        <v>0</v>
      </c>
      <c r="G287" s="271">
        <f ca="1">VLOOKUP(A287,ÉV!$A$18:$B$65,2,0)</f>
        <v>0</v>
      </c>
      <c r="H287" s="271">
        <f ca="1">IF(OR(A287=1,AND(C287=ÉV!$I$2,D287&gt;ÉV!$J$2),C287&gt;ÉV!$I$2),0,INDEX(Pz!$B$2:$AM$48,A287-1,ÉV!$G$2-9)/100000*ÉV!$B$10)</f>
        <v>0</v>
      </c>
      <c r="I287" s="271">
        <f ca="1">INDEX(Pz!$B$2:$AM$48,HÓ!A287,ÉV!$G$2-9)/100000*ÉV!$B$10</f>
        <v>0</v>
      </c>
      <c r="J287" s="273">
        <f ca="1">IF(OR(A287=1,A287=2,AND(C287=ÉV!$I$2,D287&gt;ÉV!$J$2),C287&gt;ÉV!$I$2),0,VLOOKUP(A287-2,ÉV!$A$18:$C$65,3,0))</f>
        <v>0</v>
      </c>
      <c r="K287" s="273">
        <f ca="1">IF(OR(A287=1,AND(C287=ÉV!$I$2,D287&gt;ÉV!$J$2),C287&gt;ÉV!$I$2),0,VLOOKUP(A287-1,ÉV!$A$18:$C$65,3,0))</f>
        <v>0</v>
      </c>
      <c r="L287" s="273">
        <f ca="1">VLOOKUP(A287,ÉV!$A$18:$C$65,3,0)*IF(OR(AND(C287=ÉV!$I$2,D287&gt;ÉV!$J$2),C287&gt;ÉV!$I$2),0,1)</f>
        <v>0</v>
      </c>
      <c r="M287" s="273">
        <f ca="1">(K287*(12-B287)/12+L287*B287/12)*IF(A287&gt;ÉV!$G$2,0,1)+IF(A287&gt;ÉV!$G$2,M286,0)*IF(OR(AND(C287=ÉV!$I$2,D287&gt;ÉV!$J$2),C287&gt;ÉV!$I$2),0,1)</f>
        <v>0</v>
      </c>
      <c r="N287" s="274">
        <f ca="1">IF(AND(C287=1,D287&lt;12),0,1)*IF(D287=12,MAX(0,F287-E287-0.003)*0.9*((K287+I287)*(B287/12)+(J287+H287)*(1-B287/12))+MAX(0,F287-0.003)*0.9*N286+N286,IF(AND(C287=ÉV!$I$2,D287=ÉV!$J$2),(M287+N286)*MAX(0,F287-0.003)*0.9*(D287/12)+N286,N286))*IF(OR(C287&gt;ÉV!$I$2,AND(C287=ÉV!$I$2,D287&gt;ÉV!$J$2)),0,1)</f>
        <v>0</v>
      </c>
      <c r="O287" s="313">
        <f ca="1">IF(MAX(AF$2:AF286)=2,      0,IF(OR(AC287=7, AF287=2),    SUM(AE$2:AE287),    O286)   )</f>
        <v>0</v>
      </c>
      <c r="P287" s="271">
        <f ca="1">IF(D287=12,V287+P286+P286*(F287-0.003)*0.9,IF(AND(C287=ÉV!$I$2,D287=ÉV!$J$2),V287+P286+P286*(F287-0.003)*0.9*D287/12,P286))*IF(OR(C287&gt;ÉV!$I$2,AND(C287=ÉV!$I$2,D287&gt;ÉV!$J$2)),0,1)</f>
        <v>0</v>
      </c>
      <c r="Q287" s="275">
        <f ca="1">(N287+P287)*IF(OR(AND(C287=ÉV!$I$2,D287&gt;ÉV!$J$2),C287&gt;ÉV!$I$2),0,1)</f>
        <v>0</v>
      </c>
      <c r="R287" s="271">
        <f ca="1">(MAX(0,F287-E287-0.003)*0.9*((K287+I287)*(1/12)))*IF(OR(C287&gt;ÉV!$I$2,AND(C287=ÉV!$I$2,D287&gt;ÉV!$J$2)),0,1)</f>
        <v>0</v>
      </c>
      <c r="S287" s="271">
        <f ca="1">(MAX(0,F287-0.003)*0.9*((O287)*(1/12)))*IF(OR(C287&gt;ÉV!$I$2,AND(C287=ÉV!$I$2,D287&gt;ÉV!$J$2)),0,1)</f>
        <v>0</v>
      </c>
      <c r="T287" s="271">
        <f ca="1">(MAX(0,F287-0.003)*0.9*((Q286)*(1/12)))*IF(OR(C287&gt;ÉV!$I$2,AND(C287=ÉV!$I$2,D287&gt;ÉV!$J$2)),0,1)</f>
        <v>0</v>
      </c>
      <c r="U287" s="271">
        <f ca="1">IF($D287=1,R287,R287+U286)*IF(OR(C287&gt;ÉV!$I$2,AND(C287=ÉV!$I$2,D287&gt;ÉV!$J$2)),0,1)</f>
        <v>0</v>
      </c>
      <c r="V287" s="271">
        <f ca="1">IF($D287=1,S287,S287+V286)*IF(OR(C287&gt;ÉV!$I$2,AND(C287=ÉV!$I$2,D287&gt;ÉV!$J$2)),0,1)</f>
        <v>0</v>
      </c>
      <c r="W287" s="271">
        <f ca="1">IF($D287=1,T287,T287+W286)*IF(OR(C287&gt;ÉV!$I$2,AND(C287=ÉV!$I$2,D287&gt;ÉV!$J$2)),0,1)</f>
        <v>0</v>
      </c>
      <c r="X287" s="271">
        <f ca="1">IF(OR(D287=12,AND(C287=ÉV!$I$2,D287=ÉV!$J$2)),SUM(U287:W287)+X286,X286)*IF(OR(C287&gt;ÉV!$I$2,AND(C287=ÉV!$I$2,D287&gt;ÉV!$J$2)),0,1)</f>
        <v>0</v>
      </c>
      <c r="Y287" s="271">
        <f t="shared" ca="1" si="46"/>
        <v>0</v>
      </c>
      <c r="Z287" s="265">
        <f t="shared" si="47"/>
        <v>9</v>
      </c>
      <c r="AA287" s="272">
        <f t="shared" ca="1" si="48"/>
        <v>0</v>
      </c>
      <c r="AB287" s="265">
        <f t="shared" ca="1" si="54"/>
        <v>2040</v>
      </c>
      <c r="AC287" s="265">
        <f t="shared" ca="1" si="55"/>
        <v>12</v>
      </c>
      <c r="AD287" s="276">
        <f ca="1">IF(     OR(               AND(MAX(AF$6:AF287)&lt;2,  AC287=12),                 AF287=2),                   SUMIF(AB:AB,AB287,AA:AA),                       0)</f>
        <v>0</v>
      </c>
      <c r="AE287" s="277">
        <f t="shared" ca="1" si="56"/>
        <v>0</v>
      </c>
      <c r="AF287" s="277">
        <f t="shared" ca="1" si="49"/>
        <v>0</v>
      </c>
      <c r="AG287" s="402">
        <f ca="1">IF(  AND(AC287=AdóHó,   MAX(AF$1:AF286)&lt;2),   SUMIF(AB:AB,AB287-1,AE:AE),0  )
+ IF(AND(AC287&lt;AdóHó,                            AF287=2),   SUMIF(AB:AB,AB287-1,AE:AE),0  )
+ IF(                                                                  AF287=2,    SUMIF(AB:AB,AB287,AE:AE   ),0  )</f>
        <v>0</v>
      </c>
      <c r="AH287" s="272">
        <f ca="1">SUM(AG$2:AG287)</f>
        <v>1139324.2410681627</v>
      </c>
    </row>
    <row r="288" spans="1:34">
      <c r="A288" s="265">
        <f t="shared" si="50"/>
        <v>24</v>
      </c>
      <c r="B288" s="265">
        <f t="shared" si="51"/>
        <v>10</v>
      </c>
      <c r="C288" s="265">
        <f t="shared" ca="1" si="52"/>
        <v>25</v>
      </c>
      <c r="D288" s="265">
        <f t="shared" ca="1" si="53"/>
        <v>1</v>
      </c>
      <c r="E288" s="266">
        <v>5.0000000000000001E-3</v>
      </c>
      <c r="F288" s="267">
        <f>ÉV!$B$12</f>
        <v>0</v>
      </c>
      <c r="G288" s="271">
        <f ca="1">VLOOKUP(A288,ÉV!$A$18:$B$65,2,0)</f>
        <v>0</v>
      </c>
      <c r="H288" s="271">
        <f ca="1">IF(OR(A288=1,AND(C288=ÉV!$I$2,D288&gt;ÉV!$J$2),C288&gt;ÉV!$I$2),0,INDEX(Pz!$B$2:$AM$48,A288-1,ÉV!$G$2-9)/100000*ÉV!$B$10)</f>
        <v>0</v>
      </c>
      <c r="I288" s="271">
        <f ca="1">INDEX(Pz!$B$2:$AM$48,HÓ!A288,ÉV!$G$2-9)/100000*ÉV!$B$10</f>
        <v>0</v>
      </c>
      <c r="J288" s="273">
        <f ca="1">IF(OR(A288=1,A288=2,AND(C288=ÉV!$I$2,D288&gt;ÉV!$J$2),C288&gt;ÉV!$I$2),0,VLOOKUP(A288-2,ÉV!$A$18:$C$65,3,0))</f>
        <v>0</v>
      </c>
      <c r="K288" s="273">
        <f ca="1">IF(OR(A288=1,AND(C288=ÉV!$I$2,D288&gt;ÉV!$J$2),C288&gt;ÉV!$I$2),0,VLOOKUP(A288-1,ÉV!$A$18:$C$65,3,0))</f>
        <v>0</v>
      </c>
      <c r="L288" s="273">
        <f ca="1">VLOOKUP(A288,ÉV!$A$18:$C$65,3,0)*IF(OR(AND(C288=ÉV!$I$2,D288&gt;ÉV!$J$2),C288&gt;ÉV!$I$2),0,1)</f>
        <v>0</v>
      </c>
      <c r="M288" s="273">
        <f ca="1">(K288*(12-B288)/12+L288*B288/12)*IF(A288&gt;ÉV!$G$2,0,1)+IF(A288&gt;ÉV!$G$2,M287,0)*IF(OR(AND(C288=ÉV!$I$2,D288&gt;ÉV!$J$2),C288&gt;ÉV!$I$2),0,1)</f>
        <v>0</v>
      </c>
      <c r="N288" s="274">
        <f ca="1">IF(AND(C288=1,D288&lt;12),0,1)*IF(D288=12,MAX(0,F288-E288-0.003)*0.9*((K288+I288)*(B288/12)+(J288+H288)*(1-B288/12))+MAX(0,F288-0.003)*0.9*N287+N287,IF(AND(C288=ÉV!$I$2,D288=ÉV!$J$2),(M288+N287)*MAX(0,F288-0.003)*0.9*(D288/12)+N287,N287))*IF(OR(C288&gt;ÉV!$I$2,AND(C288=ÉV!$I$2,D288&gt;ÉV!$J$2)),0,1)</f>
        <v>0</v>
      </c>
      <c r="O288" s="313">
        <f ca="1">IF(MAX(AF$2:AF287)=2,      0,IF(OR(AC288=7, AF288=2),    SUM(AE$2:AE288),    O287)   )</f>
        <v>0</v>
      </c>
      <c r="P288" s="271">
        <f ca="1">IF(D288=12,V288+P287+P287*(F288-0.003)*0.9,IF(AND(C288=ÉV!$I$2,D288=ÉV!$J$2),V288+P287+P287*(F288-0.003)*0.9*D288/12,P287))*IF(OR(C288&gt;ÉV!$I$2,AND(C288=ÉV!$I$2,D288&gt;ÉV!$J$2)),0,1)</f>
        <v>0</v>
      </c>
      <c r="Q288" s="275">
        <f ca="1">(N288+P288)*IF(OR(AND(C288=ÉV!$I$2,D288&gt;ÉV!$J$2),C288&gt;ÉV!$I$2),0,1)</f>
        <v>0</v>
      </c>
      <c r="R288" s="271">
        <f ca="1">(MAX(0,F288-E288-0.003)*0.9*((K288+I288)*(1/12)))*IF(OR(C288&gt;ÉV!$I$2,AND(C288=ÉV!$I$2,D288&gt;ÉV!$J$2)),0,1)</f>
        <v>0</v>
      </c>
      <c r="S288" s="271">
        <f ca="1">(MAX(0,F288-0.003)*0.9*((O288)*(1/12)))*IF(OR(C288&gt;ÉV!$I$2,AND(C288=ÉV!$I$2,D288&gt;ÉV!$J$2)),0,1)</f>
        <v>0</v>
      </c>
      <c r="T288" s="271">
        <f ca="1">(MAX(0,F288-0.003)*0.9*((Q287)*(1/12)))*IF(OR(C288&gt;ÉV!$I$2,AND(C288=ÉV!$I$2,D288&gt;ÉV!$J$2)),0,1)</f>
        <v>0</v>
      </c>
      <c r="U288" s="271">
        <f ca="1">IF($D288=1,R288,R288+U287)*IF(OR(C288&gt;ÉV!$I$2,AND(C288=ÉV!$I$2,D288&gt;ÉV!$J$2)),0,1)</f>
        <v>0</v>
      </c>
      <c r="V288" s="271">
        <f ca="1">IF($D288=1,S288,S288+V287)*IF(OR(C288&gt;ÉV!$I$2,AND(C288=ÉV!$I$2,D288&gt;ÉV!$J$2)),0,1)</f>
        <v>0</v>
      </c>
      <c r="W288" s="271">
        <f ca="1">IF($D288=1,T288,T288+W287)*IF(OR(C288&gt;ÉV!$I$2,AND(C288=ÉV!$I$2,D288&gt;ÉV!$J$2)),0,1)</f>
        <v>0</v>
      </c>
      <c r="X288" s="271">
        <f ca="1">IF(OR(D288=12,AND(C288=ÉV!$I$2,D288=ÉV!$J$2)),SUM(U288:W288)+X287,X287)*IF(OR(C288&gt;ÉV!$I$2,AND(C288=ÉV!$I$2,D288&gt;ÉV!$J$2)),0,1)</f>
        <v>0</v>
      </c>
      <c r="Y288" s="271">
        <f t="shared" ca="1" si="46"/>
        <v>0</v>
      </c>
      <c r="Z288" s="265">
        <f t="shared" si="47"/>
        <v>10</v>
      </c>
      <c r="AA288" s="272">
        <f t="shared" ca="1" si="48"/>
        <v>0</v>
      </c>
      <c r="AB288" s="265">
        <f t="shared" ca="1" si="54"/>
        <v>2041</v>
      </c>
      <c r="AC288" s="265">
        <f t="shared" ca="1" si="55"/>
        <v>1</v>
      </c>
      <c r="AD288" s="276">
        <f ca="1">IF(     OR(               AND(MAX(AF$6:AF288)&lt;2,  AC288=12),                 AF288=2),                   SUMIF(AB:AB,AB288,AA:AA),                       0)</f>
        <v>0</v>
      </c>
      <c r="AE288" s="277">
        <f t="shared" ca="1" si="56"/>
        <v>0</v>
      </c>
      <c r="AF288" s="277">
        <f t="shared" ca="1" si="49"/>
        <v>0</v>
      </c>
      <c r="AG288" s="402">
        <f ca="1">IF(  AND(AC288=AdóHó,   MAX(AF$1:AF287)&lt;2),   SUMIF(AB:AB,AB288-1,AE:AE),0  )
+ IF(AND(AC288&lt;AdóHó,                            AF288=2),   SUMIF(AB:AB,AB288-1,AE:AE),0  )
+ IF(                                                                  AF288=2,    SUMIF(AB:AB,AB288,AE:AE   ),0  )</f>
        <v>0</v>
      </c>
      <c r="AH288" s="272">
        <f ca="1">SUM(AG$2:AG288)</f>
        <v>1139324.2410681627</v>
      </c>
    </row>
    <row r="289" spans="1:34">
      <c r="A289" s="265">
        <f t="shared" si="50"/>
        <v>24</v>
      </c>
      <c r="B289" s="265">
        <f t="shared" si="51"/>
        <v>11</v>
      </c>
      <c r="C289" s="265">
        <f t="shared" ca="1" si="52"/>
        <v>25</v>
      </c>
      <c r="D289" s="265">
        <f t="shared" ca="1" si="53"/>
        <v>2</v>
      </c>
      <c r="E289" s="266">
        <v>5.0000000000000001E-3</v>
      </c>
      <c r="F289" s="267">
        <f>ÉV!$B$12</f>
        <v>0</v>
      </c>
      <c r="G289" s="271">
        <f ca="1">VLOOKUP(A289,ÉV!$A$18:$B$65,2,0)</f>
        <v>0</v>
      </c>
      <c r="H289" s="271">
        <f ca="1">IF(OR(A289=1,AND(C289=ÉV!$I$2,D289&gt;ÉV!$J$2),C289&gt;ÉV!$I$2),0,INDEX(Pz!$B$2:$AM$48,A289-1,ÉV!$G$2-9)/100000*ÉV!$B$10)</f>
        <v>0</v>
      </c>
      <c r="I289" s="271">
        <f ca="1">INDEX(Pz!$B$2:$AM$48,HÓ!A289,ÉV!$G$2-9)/100000*ÉV!$B$10</f>
        <v>0</v>
      </c>
      <c r="J289" s="273">
        <f ca="1">IF(OR(A289=1,A289=2,AND(C289=ÉV!$I$2,D289&gt;ÉV!$J$2),C289&gt;ÉV!$I$2),0,VLOOKUP(A289-2,ÉV!$A$18:$C$65,3,0))</f>
        <v>0</v>
      </c>
      <c r="K289" s="273">
        <f ca="1">IF(OR(A289=1,AND(C289=ÉV!$I$2,D289&gt;ÉV!$J$2),C289&gt;ÉV!$I$2),0,VLOOKUP(A289-1,ÉV!$A$18:$C$65,3,0))</f>
        <v>0</v>
      </c>
      <c r="L289" s="273">
        <f ca="1">VLOOKUP(A289,ÉV!$A$18:$C$65,3,0)*IF(OR(AND(C289=ÉV!$I$2,D289&gt;ÉV!$J$2),C289&gt;ÉV!$I$2),0,1)</f>
        <v>0</v>
      </c>
      <c r="M289" s="273">
        <f ca="1">(K289*(12-B289)/12+L289*B289/12)*IF(A289&gt;ÉV!$G$2,0,1)+IF(A289&gt;ÉV!$G$2,M288,0)*IF(OR(AND(C289=ÉV!$I$2,D289&gt;ÉV!$J$2),C289&gt;ÉV!$I$2),0,1)</f>
        <v>0</v>
      </c>
      <c r="N289" s="274">
        <f ca="1">IF(AND(C289=1,D289&lt;12),0,1)*IF(D289=12,MAX(0,F289-E289-0.003)*0.9*((K289+I289)*(B289/12)+(J289+H289)*(1-B289/12))+MAX(0,F289-0.003)*0.9*N288+N288,IF(AND(C289=ÉV!$I$2,D289=ÉV!$J$2),(M289+N288)*MAX(0,F289-0.003)*0.9*(D289/12)+N288,N288))*IF(OR(C289&gt;ÉV!$I$2,AND(C289=ÉV!$I$2,D289&gt;ÉV!$J$2)),0,1)</f>
        <v>0</v>
      </c>
      <c r="O289" s="313">
        <f ca="1">IF(MAX(AF$2:AF288)=2,      0,IF(OR(AC289=7, AF289=2),    SUM(AE$2:AE289),    O288)   )</f>
        <v>0</v>
      </c>
      <c r="P289" s="271">
        <f ca="1">IF(D289=12,V289+P288+P288*(F289-0.003)*0.9,IF(AND(C289=ÉV!$I$2,D289=ÉV!$J$2),V289+P288+P288*(F289-0.003)*0.9*D289/12,P288))*IF(OR(C289&gt;ÉV!$I$2,AND(C289=ÉV!$I$2,D289&gt;ÉV!$J$2)),0,1)</f>
        <v>0</v>
      </c>
      <c r="Q289" s="275">
        <f ca="1">(N289+P289)*IF(OR(AND(C289=ÉV!$I$2,D289&gt;ÉV!$J$2),C289&gt;ÉV!$I$2),0,1)</f>
        <v>0</v>
      </c>
      <c r="R289" s="271">
        <f ca="1">(MAX(0,F289-E289-0.003)*0.9*((K289+I289)*(1/12)))*IF(OR(C289&gt;ÉV!$I$2,AND(C289=ÉV!$I$2,D289&gt;ÉV!$J$2)),0,1)</f>
        <v>0</v>
      </c>
      <c r="S289" s="271">
        <f ca="1">(MAX(0,F289-0.003)*0.9*((O289)*(1/12)))*IF(OR(C289&gt;ÉV!$I$2,AND(C289=ÉV!$I$2,D289&gt;ÉV!$J$2)),0,1)</f>
        <v>0</v>
      </c>
      <c r="T289" s="271">
        <f ca="1">(MAX(0,F289-0.003)*0.9*((Q288)*(1/12)))*IF(OR(C289&gt;ÉV!$I$2,AND(C289=ÉV!$I$2,D289&gt;ÉV!$J$2)),0,1)</f>
        <v>0</v>
      </c>
      <c r="U289" s="271">
        <f ca="1">IF($D289=1,R289,R289+U288)*IF(OR(C289&gt;ÉV!$I$2,AND(C289=ÉV!$I$2,D289&gt;ÉV!$J$2)),0,1)</f>
        <v>0</v>
      </c>
      <c r="V289" s="271">
        <f ca="1">IF($D289=1,S289,S289+V288)*IF(OR(C289&gt;ÉV!$I$2,AND(C289=ÉV!$I$2,D289&gt;ÉV!$J$2)),0,1)</f>
        <v>0</v>
      </c>
      <c r="W289" s="271">
        <f ca="1">IF($D289=1,T289,T289+W288)*IF(OR(C289&gt;ÉV!$I$2,AND(C289=ÉV!$I$2,D289&gt;ÉV!$J$2)),0,1)</f>
        <v>0</v>
      </c>
      <c r="X289" s="271">
        <f ca="1">IF(OR(D289=12,AND(C289=ÉV!$I$2,D289=ÉV!$J$2)),SUM(U289:W289)+X288,X288)*IF(OR(C289&gt;ÉV!$I$2,AND(C289=ÉV!$I$2,D289&gt;ÉV!$J$2)),0,1)</f>
        <v>0</v>
      </c>
      <c r="Y289" s="271">
        <f t="shared" ca="1" si="46"/>
        <v>0</v>
      </c>
      <c r="Z289" s="265">
        <f t="shared" si="47"/>
        <v>11</v>
      </c>
      <c r="AA289" s="272">
        <f t="shared" ca="1" si="48"/>
        <v>0</v>
      </c>
      <c r="AB289" s="265">
        <f t="shared" ca="1" si="54"/>
        <v>2041</v>
      </c>
      <c r="AC289" s="265">
        <f t="shared" ca="1" si="55"/>
        <v>2</v>
      </c>
      <c r="AD289" s="276">
        <f ca="1">IF(     OR(               AND(MAX(AF$6:AF289)&lt;2,  AC289=12),                 AF289=2),                   SUMIF(AB:AB,AB289,AA:AA),                       0)</f>
        <v>0</v>
      </c>
      <c r="AE289" s="277">
        <f t="shared" ca="1" si="56"/>
        <v>0</v>
      </c>
      <c r="AF289" s="277">
        <f t="shared" ca="1" si="49"/>
        <v>0</v>
      </c>
      <c r="AG289" s="402">
        <f ca="1">IF(  AND(AC289=AdóHó,   MAX(AF$1:AF288)&lt;2),   SUMIF(AB:AB,AB289-1,AE:AE),0  )
+ IF(AND(AC289&lt;AdóHó,                            AF289=2),   SUMIF(AB:AB,AB289-1,AE:AE),0  )
+ IF(                                                                  AF289=2,    SUMIF(AB:AB,AB289,AE:AE   ),0  )</f>
        <v>0</v>
      </c>
      <c r="AH289" s="272">
        <f ca="1">SUM(AG$2:AG289)</f>
        <v>1139324.2410681627</v>
      </c>
    </row>
    <row r="290" spans="1:34">
      <c r="A290" s="265">
        <f t="shared" si="50"/>
        <v>24</v>
      </c>
      <c r="B290" s="265">
        <f t="shared" si="51"/>
        <v>12</v>
      </c>
      <c r="C290" s="265">
        <f t="shared" ca="1" si="52"/>
        <v>25</v>
      </c>
      <c r="D290" s="265">
        <f t="shared" ca="1" si="53"/>
        <v>3</v>
      </c>
      <c r="E290" s="266">
        <v>5.0000000000000001E-3</v>
      </c>
      <c r="F290" s="267">
        <f>ÉV!$B$12</f>
        <v>0</v>
      </c>
      <c r="G290" s="271">
        <f ca="1">VLOOKUP(A290,ÉV!$A$18:$B$65,2,0)</f>
        <v>0</v>
      </c>
      <c r="H290" s="271">
        <f ca="1">IF(OR(A290=1,AND(C290=ÉV!$I$2,D290&gt;ÉV!$J$2),C290&gt;ÉV!$I$2),0,INDEX(Pz!$B$2:$AM$48,A290-1,ÉV!$G$2-9)/100000*ÉV!$B$10)</f>
        <v>0</v>
      </c>
      <c r="I290" s="271">
        <f ca="1">INDEX(Pz!$B$2:$AM$48,HÓ!A290,ÉV!$G$2-9)/100000*ÉV!$B$10</f>
        <v>0</v>
      </c>
      <c r="J290" s="273">
        <f ca="1">IF(OR(A290=1,A290=2,AND(C290=ÉV!$I$2,D290&gt;ÉV!$J$2),C290&gt;ÉV!$I$2),0,VLOOKUP(A290-2,ÉV!$A$18:$C$65,3,0))</f>
        <v>0</v>
      </c>
      <c r="K290" s="273">
        <f ca="1">IF(OR(A290=1,AND(C290=ÉV!$I$2,D290&gt;ÉV!$J$2),C290&gt;ÉV!$I$2),0,VLOOKUP(A290-1,ÉV!$A$18:$C$65,3,0))</f>
        <v>0</v>
      </c>
      <c r="L290" s="273">
        <f ca="1">VLOOKUP(A290,ÉV!$A$18:$C$65,3,0)*IF(OR(AND(C290=ÉV!$I$2,D290&gt;ÉV!$J$2),C290&gt;ÉV!$I$2),0,1)</f>
        <v>0</v>
      </c>
      <c r="M290" s="273">
        <f ca="1">(K290*(12-B290)/12+L290*B290/12)*IF(A290&gt;ÉV!$G$2,0,1)+IF(A290&gt;ÉV!$G$2,M289,0)*IF(OR(AND(C290=ÉV!$I$2,D290&gt;ÉV!$J$2),C290&gt;ÉV!$I$2),0,1)</f>
        <v>0</v>
      </c>
      <c r="N290" s="274">
        <f ca="1">IF(AND(C290=1,D290&lt;12),0,1)*IF(D290=12,MAX(0,F290-E290-0.003)*0.9*((K290+I290)*(B290/12)+(J290+H290)*(1-B290/12))+MAX(0,F290-0.003)*0.9*N289+N289,IF(AND(C290=ÉV!$I$2,D290=ÉV!$J$2),(M290+N289)*MAX(0,F290-0.003)*0.9*(D290/12)+N289,N289))*IF(OR(C290&gt;ÉV!$I$2,AND(C290=ÉV!$I$2,D290&gt;ÉV!$J$2)),0,1)</f>
        <v>0</v>
      </c>
      <c r="O290" s="313">
        <f ca="1">IF(MAX(AF$2:AF289)=2,      0,IF(OR(AC290=7, AF290=2),    SUM(AE$2:AE290),    O289)   )</f>
        <v>0</v>
      </c>
      <c r="P290" s="271">
        <f ca="1">IF(D290=12,V290+P289+P289*(F290-0.003)*0.9,IF(AND(C290=ÉV!$I$2,D290=ÉV!$J$2),V290+P289+P289*(F290-0.003)*0.9*D290/12,P289))*IF(OR(C290&gt;ÉV!$I$2,AND(C290=ÉV!$I$2,D290&gt;ÉV!$J$2)),0,1)</f>
        <v>0</v>
      </c>
      <c r="Q290" s="275">
        <f ca="1">(N290+P290)*IF(OR(AND(C290=ÉV!$I$2,D290&gt;ÉV!$J$2),C290&gt;ÉV!$I$2),0,1)</f>
        <v>0</v>
      </c>
      <c r="R290" s="271">
        <f ca="1">(MAX(0,F290-E290-0.003)*0.9*((K290+I290)*(1/12)))*IF(OR(C290&gt;ÉV!$I$2,AND(C290=ÉV!$I$2,D290&gt;ÉV!$J$2)),0,1)</f>
        <v>0</v>
      </c>
      <c r="S290" s="271">
        <f ca="1">(MAX(0,F290-0.003)*0.9*((O290)*(1/12)))*IF(OR(C290&gt;ÉV!$I$2,AND(C290=ÉV!$I$2,D290&gt;ÉV!$J$2)),0,1)</f>
        <v>0</v>
      </c>
      <c r="T290" s="271">
        <f ca="1">(MAX(0,F290-0.003)*0.9*((Q289)*(1/12)))*IF(OR(C290&gt;ÉV!$I$2,AND(C290=ÉV!$I$2,D290&gt;ÉV!$J$2)),0,1)</f>
        <v>0</v>
      </c>
      <c r="U290" s="271">
        <f ca="1">IF($D290=1,R290,R290+U289)*IF(OR(C290&gt;ÉV!$I$2,AND(C290=ÉV!$I$2,D290&gt;ÉV!$J$2)),0,1)</f>
        <v>0</v>
      </c>
      <c r="V290" s="271">
        <f ca="1">IF($D290=1,S290,S290+V289)*IF(OR(C290&gt;ÉV!$I$2,AND(C290=ÉV!$I$2,D290&gt;ÉV!$J$2)),0,1)</f>
        <v>0</v>
      </c>
      <c r="W290" s="271">
        <f ca="1">IF($D290=1,T290,T290+W289)*IF(OR(C290&gt;ÉV!$I$2,AND(C290=ÉV!$I$2,D290&gt;ÉV!$J$2)),0,1)</f>
        <v>0</v>
      </c>
      <c r="X290" s="271">
        <f ca="1">IF(OR(D290=12,AND(C290=ÉV!$I$2,D290=ÉV!$J$2)),SUM(U290:W290)+X289,X289)*IF(OR(C290&gt;ÉV!$I$2,AND(C290=ÉV!$I$2,D290&gt;ÉV!$J$2)),0,1)</f>
        <v>0</v>
      </c>
      <c r="Y290" s="271">
        <f t="shared" ca="1" si="46"/>
        <v>0</v>
      </c>
      <c r="Z290" s="265">
        <f t="shared" si="47"/>
        <v>12</v>
      </c>
      <c r="AA290" s="272">
        <f t="shared" ca="1" si="48"/>
        <v>0</v>
      </c>
      <c r="AB290" s="265">
        <f t="shared" ca="1" si="54"/>
        <v>2041</v>
      </c>
      <c r="AC290" s="265">
        <f t="shared" ca="1" si="55"/>
        <v>3</v>
      </c>
      <c r="AD290" s="276">
        <f ca="1">IF(     OR(               AND(MAX(AF$6:AF290)&lt;2,  AC290=12),                 AF290=2),                   SUMIF(AB:AB,AB290,AA:AA),                       0)</f>
        <v>0</v>
      </c>
      <c r="AE290" s="277">
        <f t="shared" ca="1" si="56"/>
        <v>0</v>
      </c>
      <c r="AF290" s="277">
        <f t="shared" ca="1" si="49"/>
        <v>0</v>
      </c>
      <c r="AG290" s="402">
        <f ca="1">IF(  AND(AC290=AdóHó,   MAX(AF$1:AF289)&lt;2),   SUMIF(AB:AB,AB290-1,AE:AE),0  )
+ IF(AND(AC290&lt;AdóHó,                            AF290=2),   SUMIF(AB:AB,AB290-1,AE:AE),0  )
+ IF(                                                                  AF290=2,    SUMIF(AB:AB,AB290,AE:AE   ),0  )</f>
        <v>0</v>
      </c>
      <c r="AH290" s="272">
        <f ca="1">SUM(AG$2:AG290)</f>
        <v>1139324.2410681627</v>
      </c>
    </row>
    <row r="291" spans="1:34">
      <c r="A291" s="265">
        <f t="shared" si="50"/>
        <v>25</v>
      </c>
      <c r="B291" s="265">
        <f t="shared" si="51"/>
        <v>1</v>
      </c>
      <c r="C291" s="265">
        <f t="shared" ca="1" si="52"/>
        <v>25</v>
      </c>
      <c r="D291" s="265">
        <f t="shared" ca="1" si="53"/>
        <v>4</v>
      </c>
      <c r="E291" s="266">
        <v>5.0000000000000001E-3</v>
      </c>
      <c r="F291" s="267">
        <f>ÉV!$B$12</f>
        <v>0</v>
      </c>
      <c r="G291" s="271">
        <f ca="1">VLOOKUP(A291,ÉV!$A$18:$B$65,2,0)</f>
        <v>0</v>
      </c>
      <c r="H291" s="271">
        <f ca="1">IF(OR(A291=1,AND(C291=ÉV!$I$2,D291&gt;ÉV!$J$2),C291&gt;ÉV!$I$2),0,INDEX(Pz!$B$2:$AM$48,A291-1,ÉV!$G$2-9)/100000*ÉV!$B$10)</f>
        <v>0</v>
      </c>
      <c r="I291" s="271">
        <f ca="1">INDEX(Pz!$B$2:$AM$48,HÓ!A291,ÉV!$G$2-9)/100000*ÉV!$B$10</f>
        <v>0</v>
      </c>
      <c r="J291" s="273">
        <f ca="1">IF(OR(A291=1,A291=2,AND(C291=ÉV!$I$2,D291&gt;ÉV!$J$2),C291&gt;ÉV!$I$2),0,VLOOKUP(A291-2,ÉV!$A$18:$C$65,3,0))</f>
        <v>0</v>
      </c>
      <c r="K291" s="273">
        <f ca="1">IF(OR(A291=1,AND(C291=ÉV!$I$2,D291&gt;ÉV!$J$2),C291&gt;ÉV!$I$2),0,VLOOKUP(A291-1,ÉV!$A$18:$C$65,3,0))</f>
        <v>0</v>
      </c>
      <c r="L291" s="273">
        <f ca="1">VLOOKUP(A291,ÉV!$A$18:$C$65,3,0)*IF(OR(AND(C291=ÉV!$I$2,D291&gt;ÉV!$J$2),C291&gt;ÉV!$I$2),0,1)</f>
        <v>0</v>
      </c>
      <c r="M291" s="273">
        <f ca="1">(K291*(12-B291)/12+L291*B291/12)*IF(A291&gt;ÉV!$G$2,0,1)+IF(A291&gt;ÉV!$G$2,M290,0)*IF(OR(AND(C291=ÉV!$I$2,D291&gt;ÉV!$J$2),C291&gt;ÉV!$I$2),0,1)</f>
        <v>0</v>
      </c>
      <c r="N291" s="274">
        <f ca="1">IF(AND(C291=1,D291&lt;12),0,1)*IF(D291=12,MAX(0,F291-E291-0.003)*0.9*((K291+I291)*(B291/12)+(J291+H291)*(1-B291/12))+MAX(0,F291-0.003)*0.9*N290+N290,IF(AND(C291=ÉV!$I$2,D291=ÉV!$J$2),(M291+N290)*MAX(0,F291-0.003)*0.9*(D291/12)+N290,N290))*IF(OR(C291&gt;ÉV!$I$2,AND(C291=ÉV!$I$2,D291&gt;ÉV!$J$2)),0,1)</f>
        <v>0</v>
      </c>
      <c r="O291" s="313">
        <f ca="1">IF(MAX(AF$2:AF290)=2,      0,IF(OR(AC291=7, AF291=2),    SUM(AE$2:AE291),    O290)   )</f>
        <v>0</v>
      </c>
      <c r="P291" s="271">
        <f ca="1">IF(D291=12,V291+P290+P290*(F291-0.003)*0.9,IF(AND(C291=ÉV!$I$2,D291=ÉV!$J$2),V291+P290+P290*(F291-0.003)*0.9*D291/12,P290))*IF(OR(C291&gt;ÉV!$I$2,AND(C291=ÉV!$I$2,D291&gt;ÉV!$J$2)),0,1)</f>
        <v>0</v>
      </c>
      <c r="Q291" s="275">
        <f ca="1">(N291+P291)*IF(OR(AND(C291=ÉV!$I$2,D291&gt;ÉV!$J$2),C291&gt;ÉV!$I$2),0,1)</f>
        <v>0</v>
      </c>
      <c r="R291" s="271">
        <f ca="1">(MAX(0,F291-E291-0.003)*0.9*((K291+I291)*(1/12)))*IF(OR(C291&gt;ÉV!$I$2,AND(C291=ÉV!$I$2,D291&gt;ÉV!$J$2)),0,1)</f>
        <v>0</v>
      </c>
      <c r="S291" s="271">
        <f ca="1">(MAX(0,F291-0.003)*0.9*((O291)*(1/12)))*IF(OR(C291&gt;ÉV!$I$2,AND(C291=ÉV!$I$2,D291&gt;ÉV!$J$2)),0,1)</f>
        <v>0</v>
      </c>
      <c r="T291" s="271">
        <f ca="1">(MAX(0,F291-0.003)*0.9*((Q290)*(1/12)))*IF(OR(C291&gt;ÉV!$I$2,AND(C291=ÉV!$I$2,D291&gt;ÉV!$J$2)),0,1)</f>
        <v>0</v>
      </c>
      <c r="U291" s="271">
        <f ca="1">IF($D291=1,R291,R291+U290)*IF(OR(C291&gt;ÉV!$I$2,AND(C291=ÉV!$I$2,D291&gt;ÉV!$J$2)),0,1)</f>
        <v>0</v>
      </c>
      <c r="V291" s="271">
        <f ca="1">IF($D291=1,S291,S291+V290)*IF(OR(C291&gt;ÉV!$I$2,AND(C291=ÉV!$I$2,D291&gt;ÉV!$J$2)),0,1)</f>
        <v>0</v>
      </c>
      <c r="W291" s="271">
        <f ca="1">IF($D291=1,T291,T291+W290)*IF(OR(C291&gt;ÉV!$I$2,AND(C291=ÉV!$I$2,D291&gt;ÉV!$J$2)),0,1)</f>
        <v>0</v>
      </c>
      <c r="X291" s="271">
        <f ca="1">IF(OR(D291=12,AND(C291=ÉV!$I$2,D291=ÉV!$J$2)),SUM(U291:W291)+X290,X290)*IF(OR(C291&gt;ÉV!$I$2,AND(C291=ÉV!$I$2,D291&gt;ÉV!$J$2)),0,1)</f>
        <v>0</v>
      </c>
      <c r="Y291" s="271">
        <f t="shared" ca="1" si="46"/>
        <v>0</v>
      </c>
      <c r="Z291" s="265">
        <f t="shared" si="47"/>
        <v>1</v>
      </c>
      <c r="AA291" s="272">
        <f t="shared" ca="1" si="48"/>
        <v>0</v>
      </c>
      <c r="AB291" s="265">
        <f t="shared" ca="1" si="54"/>
        <v>2041</v>
      </c>
      <c r="AC291" s="265">
        <f t="shared" ca="1" si="55"/>
        <v>4</v>
      </c>
      <c r="AD291" s="276">
        <f ca="1">IF(     OR(               AND(MAX(AF$6:AF291)&lt;2,  AC291=12),                 AF291=2),                   SUMIF(AB:AB,AB291,AA:AA),                       0)</f>
        <v>0</v>
      </c>
      <c r="AE291" s="277">
        <f t="shared" ca="1" si="56"/>
        <v>0</v>
      </c>
      <c r="AF291" s="277">
        <f t="shared" ca="1" si="49"/>
        <v>0</v>
      </c>
      <c r="AG291" s="402">
        <f ca="1">IF(  AND(AC291=AdóHó,   MAX(AF$1:AF290)&lt;2),   SUMIF(AB:AB,AB291-1,AE:AE),0  )
+ IF(AND(AC291&lt;AdóHó,                            AF291=2),   SUMIF(AB:AB,AB291-1,AE:AE),0  )
+ IF(                                                                  AF291=2,    SUMIF(AB:AB,AB291,AE:AE   ),0  )</f>
        <v>0</v>
      </c>
      <c r="AH291" s="272">
        <f ca="1">SUM(AG$2:AG291)</f>
        <v>1139324.2410681627</v>
      </c>
    </row>
    <row r="292" spans="1:34">
      <c r="A292" s="265">
        <f t="shared" si="50"/>
        <v>25</v>
      </c>
      <c r="B292" s="265">
        <f t="shared" si="51"/>
        <v>2</v>
      </c>
      <c r="C292" s="265">
        <f t="shared" ca="1" si="52"/>
        <v>25</v>
      </c>
      <c r="D292" s="265">
        <f t="shared" ca="1" si="53"/>
        <v>5</v>
      </c>
      <c r="E292" s="266">
        <v>5.0000000000000001E-3</v>
      </c>
      <c r="F292" s="267">
        <f>ÉV!$B$12</f>
        <v>0</v>
      </c>
      <c r="G292" s="271">
        <f ca="1">VLOOKUP(A292,ÉV!$A$18:$B$65,2,0)</f>
        <v>0</v>
      </c>
      <c r="H292" s="271">
        <f ca="1">IF(OR(A292=1,AND(C292=ÉV!$I$2,D292&gt;ÉV!$J$2),C292&gt;ÉV!$I$2),0,INDEX(Pz!$B$2:$AM$48,A292-1,ÉV!$G$2-9)/100000*ÉV!$B$10)</f>
        <v>0</v>
      </c>
      <c r="I292" s="271">
        <f ca="1">INDEX(Pz!$B$2:$AM$48,HÓ!A292,ÉV!$G$2-9)/100000*ÉV!$B$10</f>
        <v>0</v>
      </c>
      <c r="J292" s="273">
        <f ca="1">IF(OR(A292=1,A292=2,AND(C292=ÉV!$I$2,D292&gt;ÉV!$J$2),C292&gt;ÉV!$I$2),0,VLOOKUP(A292-2,ÉV!$A$18:$C$65,3,0))</f>
        <v>0</v>
      </c>
      <c r="K292" s="273">
        <f ca="1">IF(OR(A292=1,AND(C292=ÉV!$I$2,D292&gt;ÉV!$J$2),C292&gt;ÉV!$I$2),0,VLOOKUP(A292-1,ÉV!$A$18:$C$65,3,0))</f>
        <v>0</v>
      </c>
      <c r="L292" s="273">
        <f ca="1">VLOOKUP(A292,ÉV!$A$18:$C$65,3,0)*IF(OR(AND(C292=ÉV!$I$2,D292&gt;ÉV!$J$2),C292&gt;ÉV!$I$2),0,1)</f>
        <v>0</v>
      </c>
      <c r="M292" s="273">
        <f ca="1">(K292*(12-B292)/12+L292*B292/12)*IF(A292&gt;ÉV!$G$2,0,1)+IF(A292&gt;ÉV!$G$2,M291,0)*IF(OR(AND(C292=ÉV!$I$2,D292&gt;ÉV!$J$2),C292&gt;ÉV!$I$2),0,1)</f>
        <v>0</v>
      </c>
      <c r="N292" s="274">
        <f ca="1">IF(AND(C292=1,D292&lt;12),0,1)*IF(D292=12,MAX(0,F292-E292-0.003)*0.9*((K292+I292)*(B292/12)+(J292+H292)*(1-B292/12))+MAX(0,F292-0.003)*0.9*N291+N291,IF(AND(C292=ÉV!$I$2,D292=ÉV!$J$2),(M292+N291)*MAX(0,F292-0.003)*0.9*(D292/12)+N291,N291))*IF(OR(C292&gt;ÉV!$I$2,AND(C292=ÉV!$I$2,D292&gt;ÉV!$J$2)),0,1)</f>
        <v>0</v>
      </c>
      <c r="O292" s="313">
        <f ca="1">IF(MAX(AF$2:AF291)=2,      0,IF(OR(AC292=7, AF292=2),    SUM(AE$2:AE292),    O291)   )</f>
        <v>0</v>
      </c>
      <c r="P292" s="271">
        <f ca="1">IF(D292=12,V292+P291+P291*(F292-0.003)*0.9,IF(AND(C292=ÉV!$I$2,D292=ÉV!$J$2),V292+P291+P291*(F292-0.003)*0.9*D292/12,P291))*IF(OR(C292&gt;ÉV!$I$2,AND(C292=ÉV!$I$2,D292&gt;ÉV!$J$2)),0,1)</f>
        <v>0</v>
      </c>
      <c r="Q292" s="275">
        <f ca="1">(N292+P292)*IF(OR(AND(C292=ÉV!$I$2,D292&gt;ÉV!$J$2),C292&gt;ÉV!$I$2),0,1)</f>
        <v>0</v>
      </c>
      <c r="R292" s="271">
        <f ca="1">(MAX(0,F292-E292-0.003)*0.9*((K292+I292)*(1/12)))*IF(OR(C292&gt;ÉV!$I$2,AND(C292=ÉV!$I$2,D292&gt;ÉV!$J$2)),0,1)</f>
        <v>0</v>
      </c>
      <c r="S292" s="271">
        <f ca="1">(MAX(0,F292-0.003)*0.9*((O292)*(1/12)))*IF(OR(C292&gt;ÉV!$I$2,AND(C292=ÉV!$I$2,D292&gt;ÉV!$J$2)),0,1)</f>
        <v>0</v>
      </c>
      <c r="T292" s="271">
        <f ca="1">(MAX(0,F292-0.003)*0.9*((Q291)*(1/12)))*IF(OR(C292&gt;ÉV!$I$2,AND(C292=ÉV!$I$2,D292&gt;ÉV!$J$2)),0,1)</f>
        <v>0</v>
      </c>
      <c r="U292" s="271">
        <f ca="1">IF($D292=1,R292,R292+U291)*IF(OR(C292&gt;ÉV!$I$2,AND(C292=ÉV!$I$2,D292&gt;ÉV!$J$2)),0,1)</f>
        <v>0</v>
      </c>
      <c r="V292" s="271">
        <f ca="1">IF($D292=1,S292,S292+V291)*IF(OR(C292&gt;ÉV!$I$2,AND(C292=ÉV!$I$2,D292&gt;ÉV!$J$2)),0,1)</f>
        <v>0</v>
      </c>
      <c r="W292" s="271">
        <f ca="1">IF($D292=1,T292,T292+W291)*IF(OR(C292&gt;ÉV!$I$2,AND(C292=ÉV!$I$2,D292&gt;ÉV!$J$2)),0,1)</f>
        <v>0</v>
      </c>
      <c r="X292" s="271">
        <f ca="1">IF(OR(D292=12,AND(C292=ÉV!$I$2,D292=ÉV!$J$2)),SUM(U292:W292)+X291,X291)*IF(OR(C292&gt;ÉV!$I$2,AND(C292=ÉV!$I$2,D292&gt;ÉV!$J$2)),0,1)</f>
        <v>0</v>
      </c>
      <c r="Y292" s="271">
        <f t="shared" ca="1" si="46"/>
        <v>0</v>
      </c>
      <c r="Z292" s="265">
        <f t="shared" si="47"/>
        <v>2</v>
      </c>
      <c r="AA292" s="272">
        <f t="shared" ca="1" si="48"/>
        <v>0</v>
      </c>
      <c r="AB292" s="265">
        <f t="shared" ca="1" si="54"/>
        <v>2041</v>
      </c>
      <c r="AC292" s="265">
        <f t="shared" ca="1" si="55"/>
        <v>5</v>
      </c>
      <c r="AD292" s="276">
        <f ca="1">IF(     OR(               AND(MAX(AF$6:AF292)&lt;2,  AC292=12),                 AF292=2),                   SUMIF(AB:AB,AB292,AA:AA),                       0)</f>
        <v>0</v>
      </c>
      <c r="AE292" s="277">
        <f t="shared" ca="1" si="56"/>
        <v>0</v>
      </c>
      <c r="AF292" s="277">
        <f t="shared" ca="1" si="49"/>
        <v>0</v>
      </c>
      <c r="AG292" s="402">
        <f ca="1">IF(  AND(AC292=AdóHó,   MAX(AF$1:AF291)&lt;2),   SUMIF(AB:AB,AB292-1,AE:AE),0  )
+ IF(AND(AC292&lt;AdóHó,                            AF292=2),   SUMIF(AB:AB,AB292-1,AE:AE),0  )
+ IF(                                                                  AF292=2,    SUMIF(AB:AB,AB292,AE:AE   ),0  )</f>
        <v>0</v>
      </c>
      <c r="AH292" s="272">
        <f ca="1">SUM(AG$2:AG292)</f>
        <v>1139324.2410681627</v>
      </c>
    </row>
    <row r="293" spans="1:34">
      <c r="A293" s="265">
        <f t="shared" si="50"/>
        <v>25</v>
      </c>
      <c r="B293" s="265">
        <f t="shared" si="51"/>
        <v>3</v>
      </c>
      <c r="C293" s="265">
        <f t="shared" ca="1" si="52"/>
        <v>25</v>
      </c>
      <c r="D293" s="265">
        <f t="shared" ca="1" si="53"/>
        <v>6</v>
      </c>
      <c r="E293" s="266">
        <v>5.0000000000000001E-3</v>
      </c>
      <c r="F293" s="267">
        <f>ÉV!$B$12</f>
        <v>0</v>
      </c>
      <c r="G293" s="271">
        <f ca="1">VLOOKUP(A293,ÉV!$A$18:$B$65,2,0)</f>
        <v>0</v>
      </c>
      <c r="H293" s="271">
        <f ca="1">IF(OR(A293=1,AND(C293=ÉV!$I$2,D293&gt;ÉV!$J$2),C293&gt;ÉV!$I$2),0,INDEX(Pz!$B$2:$AM$48,A293-1,ÉV!$G$2-9)/100000*ÉV!$B$10)</f>
        <v>0</v>
      </c>
      <c r="I293" s="271">
        <f ca="1">INDEX(Pz!$B$2:$AM$48,HÓ!A293,ÉV!$G$2-9)/100000*ÉV!$B$10</f>
        <v>0</v>
      </c>
      <c r="J293" s="273">
        <f ca="1">IF(OR(A293=1,A293=2,AND(C293=ÉV!$I$2,D293&gt;ÉV!$J$2),C293&gt;ÉV!$I$2),0,VLOOKUP(A293-2,ÉV!$A$18:$C$65,3,0))</f>
        <v>0</v>
      </c>
      <c r="K293" s="273">
        <f ca="1">IF(OR(A293=1,AND(C293=ÉV!$I$2,D293&gt;ÉV!$J$2),C293&gt;ÉV!$I$2),0,VLOOKUP(A293-1,ÉV!$A$18:$C$65,3,0))</f>
        <v>0</v>
      </c>
      <c r="L293" s="273">
        <f ca="1">VLOOKUP(A293,ÉV!$A$18:$C$65,3,0)*IF(OR(AND(C293=ÉV!$I$2,D293&gt;ÉV!$J$2),C293&gt;ÉV!$I$2),0,1)</f>
        <v>0</v>
      </c>
      <c r="M293" s="273">
        <f ca="1">(K293*(12-B293)/12+L293*B293/12)*IF(A293&gt;ÉV!$G$2,0,1)+IF(A293&gt;ÉV!$G$2,M292,0)*IF(OR(AND(C293=ÉV!$I$2,D293&gt;ÉV!$J$2),C293&gt;ÉV!$I$2),0,1)</f>
        <v>0</v>
      </c>
      <c r="N293" s="274">
        <f ca="1">IF(AND(C293=1,D293&lt;12),0,1)*IF(D293=12,MAX(0,F293-E293-0.003)*0.9*((K293+I293)*(B293/12)+(J293+H293)*(1-B293/12))+MAX(0,F293-0.003)*0.9*N292+N292,IF(AND(C293=ÉV!$I$2,D293=ÉV!$J$2),(M293+N292)*MAX(0,F293-0.003)*0.9*(D293/12)+N292,N292))*IF(OR(C293&gt;ÉV!$I$2,AND(C293=ÉV!$I$2,D293&gt;ÉV!$J$2)),0,1)</f>
        <v>0</v>
      </c>
      <c r="O293" s="313">
        <f ca="1">IF(MAX(AF$2:AF292)=2,      0,IF(OR(AC293=7, AF293=2),    SUM(AE$2:AE293),    O292)   )</f>
        <v>0</v>
      </c>
      <c r="P293" s="271">
        <f ca="1">IF(D293=12,V293+P292+P292*(F293-0.003)*0.9,IF(AND(C293=ÉV!$I$2,D293=ÉV!$J$2),V293+P292+P292*(F293-0.003)*0.9*D293/12,P292))*IF(OR(C293&gt;ÉV!$I$2,AND(C293=ÉV!$I$2,D293&gt;ÉV!$J$2)),0,1)</f>
        <v>0</v>
      </c>
      <c r="Q293" s="275">
        <f ca="1">(N293+P293)*IF(OR(AND(C293=ÉV!$I$2,D293&gt;ÉV!$J$2),C293&gt;ÉV!$I$2),0,1)</f>
        <v>0</v>
      </c>
      <c r="R293" s="271">
        <f ca="1">(MAX(0,F293-E293-0.003)*0.9*((K293+I293)*(1/12)))*IF(OR(C293&gt;ÉV!$I$2,AND(C293=ÉV!$I$2,D293&gt;ÉV!$J$2)),0,1)</f>
        <v>0</v>
      </c>
      <c r="S293" s="271">
        <f ca="1">(MAX(0,F293-0.003)*0.9*((O293)*(1/12)))*IF(OR(C293&gt;ÉV!$I$2,AND(C293=ÉV!$I$2,D293&gt;ÉV!$J$2)),0,1)</f>
        <v>0</v>
      </c>
      <c r="T293" s="271">
        <f ca="1">(MAX(0,F293-0.003)*0.9*((Q292)*(1/12)))*IF(OR(C293&gt;ÉV!$I$2,AND(C293=ÉV!$I$2,D293&gt;ÉV!$J$2)),0,1)</f>
        <v>0</v>
      </c>
      <c r="U293" s="271">
        <f ca="1">IF($D293=1,R293,R293+U292)*IF(OR(C293&gt;ÉV!$I$2,AND(C293=ÉV!$I$2,D293&gt;ÉV!$J$2)),0,1)</f>
        <v>0</v>
      </c>
      <c r="V293" s="271">
        <f ca="1">IF($D293=1,S293,S293+V292)*IF(OR(C293&gt;ÉV!$I$2,AND(C293=ÉV!$I$2,D293&gt;ÉV!$J$2)),0,1)</f>
        <v>0</v>
      </c>
      <c r="W293" s="271">
        <f ca="1">IF($D293=1,T293,T293+W292)*IF(OR(C293&gt;ÉV!$I$2,AND(C293=ÉV!$I$2,D293&gt;ÉV!$J$2)),0,1)</f>
        <v>0</v>
      </c>
      <c r="X293" s="271">
        <f ca="1">IF(OR(D293=12,AND(C293=ÉV!$I$2,D293=ÉV!$J$2)),SUM(U293:W293)+X292,X292)*IF(OR(C293&gt;ÉV!$I$2,AND(C293=ÉV!$I$2,D293&gt;ÉV!$J$2)),0,1)</f>
        <v>0</v>
      </c>
      <c r="Y293" s="271">
        <f t="shared" ca="1" si="46"/>
        <v>0</v>
      </c>
      <c r="Z293" s="265">
        <f t="shared" si="47"/>
        <v>3</v>
      </c>
      <c r="AA293" s="272">
        <f t="shared" ca="1" si="48"/>
        <v>0</v>
      </c>
      <c r="AB293" s="265">
        <f t="shared" ca="1" si="54"/>
        <v>2041</v>
      </c>
      <c r="AC293" s="265">
        <f t="shared" ca="1" si="55"/>
        <v>6</v>
      </c>
      <c r="AD293" s="276">
        <f ca="1">IF(     OR(               AND(MAX(AF$6:AF293)&lt;2,  AC293=12),                 AF293=2),                   SUMIF(AB:AB,AB293,AA:AA),                       0)</f>
        <v>0</v>
      </c>
      <c r="AE293" s="277">
        <f t="shared" ca="1" si="56"/>
        <v>0</v>
      </c>
      <c r="AF293" s="277">
        <f t="shared" ca="1" si="49"/>
        <v>0</v>
      </c>
      <c r="AG293" s="402">
        <f ca="1">IF(  AND(AC293=AdóHó,   MAX(AF$1:AF292)&lt;2),   SUMIF(AB:AB,AB293-1,AE:AE),0  )
+ IF(AND(AC293&lt;AdóHó,                            AF293=2),   SUMIF(AB:AB,AB293-1,AE:AE),0  )
+ IF(                                                                  AF293=2,    SUMIF(AB:AB,AB293,AE:AE   ),0  )</f>
        <v>0</v>
      </c>
      <c r="AH293" s="272">
        <f ca="1">SUM(AG$2:AG293)</f>
        <v>1139324.2410681627</v>
      </c>
    </row>
    <row r="294" spans="1:34">
      <c r="A294" s="265">
        <f t="shared" si="50"/>
        <v>25</v>
      </c>
      <c r="B294" s="265">
        <f t="shared" si="51"/>
        <v>4</v>
      </c>
      <c r="C294" s="265">
        <f t="shared" ca="1" si="52"/>
        <v>25</v>
      </c>
      <c r="D294" s="265">
        <f t="shared" ca="1" si="53"/>
        <v>7</v>
      </c>
      <c r="E294" s="266">
        <v>5.0000000000000001E-3</v>
      </c>
      <c r="F294" s="267">
        <f>ÉV!$B$12</f>
        <v>0</v>
      </c>
      <c r="G294" s="271">
        <f ca="1">VLOOKUP(A294,ÉV!$A$18:$B$65,2,0)</f>
        <v>0</v>
      </c>
      <c r="H294" s="271">
        <f ca="1">IF(OR(A294=1,AND(C294=ÉV!$I$2,D294&gt;ÉV!$J$2),C294&gt;ÉV!$I$2),0,INDEX(Pz!$B$2:$AM$48,A294-1,ÉV!$G$2-9)/100000*ÉV!$B$10)</f>
        <v>0</v>
      </c>
      <c r="I294" s="271">
        <f ca="1">INDEX(Pz!$B$2:$AM$48,HÓ!A294,ÉV!$G$2-9)/100000*ÉV!$B$10</f>
        <v>0</v>
      </c>
      <c r="J294" s="273">
        <f ca="1">IF(OR(A294=1,A294=2,AND(C294=ÉV!$I$2,D294&gt;ÉV!$J$2),C294&gt;ÉV!$I$2),0,VLOOKUP(A294-2,ÉV!$A$18:$C$65,3,0))</f>
        <v>0</v>
      </c>
      <c r="K294" s="273">
        <f ca="1">IF(OR(A294=1,AND(C294=ÉV!$I$2,D294&gt;ÉV!$J$2),C294&gt;ÉV!$I$2),0,VLOOKUP(A294-1,ÉV!$A$18:$C$65,3,0))</f>
        <v>0</v>
      </c>
      <c r="L294" s="273">
        <f ca="1">VLOOKUP(A294,ÉV!$A$18:$C$65,3,0)*IF(OR(AND(C294=ÉV!$I$2,D294&gt;ÉV!$J$2),C294&gt;ÉV!$I$2),0,1)</f>
        <v>0</v>
      </c>
      <c r="M294" s="273">
        <f ca="1">(K294*(12-B294)/12+L294*B294/12)*IF(A294&gt;ÉV!$G$2,0,1)+IF(A294&gt;ÉV!$G$2,M293,0)*IF(OR(AND(C294=ÉV!$I$2,D294&gt;ÉV!$J$2),C294&gt;ÉV!$I$2),0,1)</f>
        <v>0</v>
      </c>
      <c r="N294" s="274">
        <f ca="1">IF(AND(C294=1,D294&lt;12),0,1)*IF(D294=12,MAX(0,F294-E294-0.003)*0.9*((K294+I294)*(B294/12)+(J294+H294)*(1-B294/12))+MAX(0,F294-0.003)*0.9*N293+N293,IF(AND(C294=ÉV!$I$2,D294=ÉV!$J$2),(M294+N293)*MAX(0,F294-0.003)*0.9*(D294/12)+N293,N293))*IF(OR(C294&gt;ÉV!$I$2,AND(C294=ÉV!$I$2,D294&gt;ÉV!$J$2)),0,1)</f>
        <v>0</v>
      </c>
      <c r="O294" s="313">
        <f ca="1">IF(MAX(AF$2:AF293)=2,      0,IF(OR(AC294=7, AF294=2),    SUM(AE$2:AE294),    O293)   )</f>
        <v>0</v>
      </c>
      <c r="P294" s="271">
        <f ca="1">IF(D294=12,V294+P293+P293*(F294-0.003)*0.9,IF(AND(C294=ÉV!$I$2,D294=ÉV!$J$2),V294+P293+P293*(F294-0.003)*0.9*D294/12,P293))*IF(OR(C294&gt;ÉV!$I$2,AND(C294=ÉV!$I$2,D294&gt;ÉV!$J$2)),0,1)</f>
        <v>0</v>
      </c>
      <c r="Q294" s="275">
        <f ca="1">(N294+P294)*IF(OR(AND(C294=ÉV!$I$2,D294&gt;ÉV!$J$2),C294&gt;ÉV!$I$2),0,1)</f>
        <v>0</v>
      </c>
      <c r="R294" s="271">
        <f ca="1">(MAX(0,F294-E294-0.003)*0.9*((K294+I294)*(1/12)))*IF(OR(C294&gt;ÉV!$I$2,AND(C294=ÉV!$I$2,D294&gt;ÉV!$J$2)),0,1)</f>
        <v>0</v>
      </c>
      <c r="S294" s="271">
        <f ca="1">(MAX(0,F294-0.003)*0.9*((O294)*(1/12)))*IF(OR(C294&gt;ÉV!$I$2,AND(C294=ÉV!$I$2,D294&gt;ÉV!$J$2)),0,1)</f>
        <v>0</v>
      </c>
      <c r="T294" s="271">
        <f ca="1">(MAX(0,F294-0.003)*0.9*((Q293)*(1/12)))*IF(OR(C294&gt;ÉV!$I$2,AND(C294=ÉV!$I$2,D294&gt;ÉV!$J$2)),0,1)</f>
        <v>0</v>
      </c>
      <c r="U294" s="271">
        <f ca="1">IF($D294=1,R294,R294+U293)*IF(OR(C294&gt;ÉV!$I$2,AND(C294=ÉV!$I$2,D294&gt;ÉV!$J$2)),0,1)</f>
        <v>0</v>
      </c>
      <c r="V294" s="271">
        <f ca="1">IF($D294=1,S294,S294+V293)*IF(OR(C294&gt;ÉV!$I$2,AND(C294=ÉV!$I$2,D294&gt;ÉV!$J$2)),0,1)</f>
        <v>0</v>
      </c>
      <c r="W294" s="271">
        <f ca="1">IF($D294=1,T294,T294+W293)*IF(OR(C294&gt;ÉV!$I$2,AND(C294=ÉV!$I$2,D294&gt;ÉV!$J$2)),0,1)</f>
        <v>0</v>
      </c>
      <c r="X294" s="271">
        <f ca="1">IF(OR(D294=12,AND(C294=ÉV!$I$2,D294=ÉV!$J$2)),SUM(U294:W294)+X293,X293)*IF(OR(C294&gt;ÉV!$I$2,AND(C294=ÉV!$I$2,D294&gt;ÉV!$J$2)),0,1)</f>
        <v>0</v>
      </c>
      <c r="Y294" s="271">
        <f t="shared" ca="1" si="46"/>
        <v>0</v>
      </c>
      <c r="Z294" s="265">
        <f t="shared" si="47"/>
        <v>4</v>
      </c>
      <c r="AA294" s="272">
        <f t="shared" ca="1" si="48"/>
        <v>0</v>
      </c>
      <c r="AB294" s="265">
        <f t="shared" ca="1" si="54"/>
        <v>2041</v>
      </c>
      <c r="AC294" s="265">
        <f t="shared" ca="1" si="55"/>
        <v>7</v>
      </c>
      <c r="AD294" s="276">
        <f ca="1">IF(     OR(               AND(MAX(AF$6:AF294)&lt;2,  AC294=12),                 AF294=2),                   SUMIF(AB:AB,AB294,AA:AA),                       0)</f>
        <v>0</v>
      </c>
      <c r="AE294" s="277">
        <f t="shared" ca="1" si="56"/>
        <v>0</v>
      </c>
      <c r="AF294" s="277">
        <f t="shared" ca="1" si="49"/>
        <v>0</v>
      </c>
      <c r="AG294" s="402">
        <f ca="1">IF(  AND(AC294=AdóHó,   MAX(AF$1:AF293)&lt;2),   SUMIF(AB:AB,AB294-1,AE:AE),0  )
+ IF(AND(AC294&lt;AdóHó,                            AF294=2),   SUMIF(AB:AB,AB294-1,AE:AE),0  )
+ IF(                                                                  AF294=2,    SUMIF(AB:AB,AB294,AE:AE   ),0  )</f>
        <v>0</v>
      </c>
      <c r="AH294" s="272">
        <f ca="1">SUM(AG$2:AG294)</f>
        <v>1139324.2410681627</v>
      </c>
    </row>
    <row r="295" spans="1:34">
      <c r="A295" s="265">
        <f t="shared" si="50"/>
        <v>25</v>
      </c>
      <c r="B295" s="265">
        <f t="shared" si="51"/>
        <v>5</v>
      </c>
      <c r="C295" s="265">
        <f t="shared" ca="1" si="52"/>
        <v>25</v>
      </c>
      <c r="D295" s="265">
        <f t="shared" ca="1" si="53"/>
        <v>8</v>
      </c>
      <c r="E295" s="266">
        <v>5.0000000000000001E-3</v>
      </c>
      <c r="F295" s="267">
        <f>ÉV!$B$12</f>
        <v>0</v>
      </c>
      <c r="G295" s="271">
        <f ca="1">VLOOKUP(A295,ÉV!$A$18:$B$65,2,0)</f>
        <v>0</v>
      </c>
      <c r="H295" s="271">
        <f ca="1">IF(OR(A295=1,AND(C295=ÉV!$I$2,D295&gt;ÉV!$J$2),C295&gt;ÉV!$I$2),0,INDEX(Pz!$B$2:$AM$48,A295-1,ÉV!$G$2-9)/100000*ÉV!$B$10)</f>
        <v>0</v>
      </c>
      <c r="I295" s="271">
        <f ca="1">INDEX(Pz!$B$2:$AM$48,HÓ!A295,ÉV!$G$2-9)/100000*ÉV!$B$10</f>
        <v>0</v>
      </c>
      <c r="J295" s="273">
        <f ca="1">IF(OR(A295=1,A295=2,AND(C295=ÉV!$I$2,D295&gt;ÉV!$J$2),C295&gt;ÉV!$I$2),0,VLOOKUP(A295-2,ÉV!$A$18:$C$65,3,0))</f>
        <v>0</v>
      </c>
      <c r="K295" s="273">
        <f ca="1">IF(OR(A295=1,AND(C295=ÉV!$I$2,D295&gt;ÉV!$J$2),C295&gt;ÉV!$I$2),0,VLOOKUP(A295-1,ÉV!$A$18:$C$65,3,0))</f>
        <v>0</v>
      </c>
      <c r="L295" s="273">
        <f ca="1">VLOOKUP(A295,ÉV!$A$18:$C$65,3,0)*IF(OR(AND(C295=ÉV!$I$2,D295&gt;ÉV!$J$2),C295&gt;ÉV!$I$2),0,1)</f>
        <v>0</v>
      </c>
      <c r="M295" s="273">
        <f ca="1">(K295*(12-B295)/12+L295*B295/12)*IF(A295&gt;ÉV!$G$2,0,1)+IF(A295&gt;ÉV!$G$2,M294,0)*IF(OR(AND(C295=ÉV!$I$2,D295&gt;ÉV!$J$2),C295&gt;ÉV!$I$2),0,1)</f>
        <v>0</v>
      </c>
      <c r="N295" s="274">
        <f ca="1">IF(AND(C295=1,D295&lt;12),0,1)*IF(D295=12,MAX(0,F295-E295-0.003)*0.9*((K295+I295)*(B295/12)+(J295+H295)*(1-B295/12))+MAX(0,F295-0.003)*0.9*N294+N294,IF(AND(C295=ÉV!$I$2,D295=ÉV!$J$2),(M295+N294)*MAX(0,F295-0.003)*0.9*(D295/12)+N294,N294))*IF(OR(C295&gt;ÉV!$I$2,AND(C295=ÉV!$I$2,D295&gt;ÉV!$J$2)),0,1)</f>
        <v>0</v>
      </c>
      <c r="O295" s="313">
        <f ca="1">IF(MAX(AF$2:AF294)=2,      0,IF(OR(AC295=7, AF295=2),    SUM(AE$2:AE295),    O294)   )</f>
        <v>0</v>
      </c>
      <c r="P295" s="271">
        <f ca="1">IF(D295=12,V295+P294+P294*(F295-0.003)*0.9,IF(AND(C295=ÉV!$I$2,D295=ÉV!$J$2),V295+P294+P294*(F295-0.003)*0.9*D295/12,P294))*IF(OR(C295&gt;ÉV!$I$2,AND(C295=ÉV!$I$2,D295&gt;ÉV!$J$2)),0,1)</f>
        <v>0</v>
      </c>
      <c r="Q295" s="275">
        <f ca="1">(N295+P295)*IF(OR(AND(C295=ÉV!$I$2,D295&gt;ÉV!$J$2),C295&gt;ÉV!$I$2),0,1)</f>
        <v>0</v>
      </c>
      <c r="R295" s="271">
        <f ca="1">(MAX(0,F295-E295-0.003)*0.9*((K295+I295)*(1/12)))*IF(OR(C295&gt;ÉV!$I$2,AND(C295=ÉV!$I$2,D295&gt;ÉV!$J$2)),0,1)</f>
        <v>0</v>
      </c>
      <c r="S295" s="271">
        <f ca="1">(MAX(0,F295-0.003)*0.9*((O295)*(1/12)))*IF(OR(C295&gt;ÉV!$I$2,AND(C295=ÉV!$I$2,D295&gt;ÉV!$J$2)),0,1)</f>
        <v>0</v>
      </c>
      <c r="T295" s="271">
        <f ca="1">(MAX(0,F295-0.003)*0.9*((Q294)*(1/12)))*IF(OR(C295&gt;ÉV!$I$2,AND(C295=ÉV!$I$2,D295&gt;ÉV!$J$2)),0,1)</f>
        <v>0</v>
      </c>
      <c r="U295" s="271">
        <f ca="1">IF($D295=1,R295,R295+U294)*IF(OR(C295&gt;ÉV!$I$2,AND(C295=ÉV!$I$2,D295&gt;ÉV!$J$2)),0,1)</f>
        <v>0</v>
      </c>
      <c r="V295" s="271">
        <f ca="1">IF($D295=1,S295,S295+V294)*IF(OR(C295&gt;ÉV!$I$2,AND(C295=ÉV!$I$2,D295&gt;ÉV!$J$2)),0,1)</f>
        <v>0</v>
      </c>
      <c r="W295" s="271">
        <f ca="1">IF($D295=1,T295,T295+W294)*IF(OR(C295&gt;ÉV!$I$2,AND(C295=ÉV!$I$2,D295&gt;ÉV!$J$2)),0,1)</f>
        <v>0</v>
      </c>
      <c r="X295" s="271">
        <f ca="1">IF(OR(D295=12,AND(C295=ÉV!$I$2,D295=ÉV!$J$2)),SUM(U295:W295)+X294,X294)*IF(OR(C295&gt;ÉV!$I$2,AND(C295=ÉV!$I$2,D295&gt;ÉV!$J$2)),0,1)</f>
        <v>0</v>
      </c>
      <c r="Y295" s="271">
        <f t="shared" ca="1" si="46"/>
        <v>0</v>
      </c>
      <c r="Z295" s="265">
        <f t="shared" si="47"/>
        <v>5</v>
      </c>
      <c r="AA295" s="272">
        <f t="shared" ca="1" si="48"/>
        <v>0</v>
      </c>
      <c r="AB295" s="265">
        <f t="shared" ca="1" si="54"/>
        <v>2041</v>
      </c>
      <c r="AC295" s="265">
        <f t="shared" ca="1" si="55"/>
        <v>8</v>
      </c>
      <c r="AD295" s="276">
        <f ca="1">IF(     OR(               AND(MAX(AF$6:AF295)&lt;2,  AC295=12),                 AF295=2),                   SUMIF(AB:AB,AB295,AA:AA),                       0)</f>
        <v>0</v>
      </c>
      <c r="AE295" s="277">
        <f t="shared" ca="1" si="56"/>
        <v>0</v>
      </c>
      <c r="AF295" s="277">
        <f t="shared" ca="1" si="49"/>
        <v>0</v>
      </c>
      <c r="AG295" s="402">
        <f ca="1">IF(  AND(AC295=AdóHó,   MAX(AF$1:AF294)&lt;2),   SUMIF(AB:AB,AB295-1,AE:AE),0  )
+ IF(AND(AC295&lt;AdóHó,                            AF295=2),   SUMIF(AB:AB,AB295-1,AE:AE),0  )
+ IF(                                                                  AF295=2,    SUMIF(AB:AB,AB295,AE:AE   ),0  )</f>
        <v>0</v>
      </c>
      <c r="AH295" s="272">
        <f ca="1">SUM(AG$2:AG295)</f>
        <v>1139324.2410681627</v>
      </c>
    </row>
    <row r="296" spans="1:34">
      <c r="A296" s="265">
        <f t="shared" si="50"/>
        <v>25</v>
      </c>
      <c r="B296" s="265">
        <f t="shared" si="51"/>
        <v>6</v>
      </c>
      <c r="C296" s="265">
        <f t="shared" ca="1" si="52"/>
        <v>25</v>
      </c>
      <c r="D296" s="265">
        <f t="shared" ca="1" si="53"/>
        <v>9</v>
      </c>
      <c r="E296" s="266">
        <v>5.0000000000000001E-3</v>
      </c>
      <c r="F296" s="267">
        <f>ÉV!$B$12</f>
        <v>0</v>
      </c>
      <c r="G296" s="271">
        <f ca="1">VLOOKUP(A296,ÉV!$A$18:$B$65,2,0)</f>
        <v>0</v>
      </c>
      <c r="H296" s="271">
        <f ca="1">IF(OR(A296=1,AND(C296=ÉV!$I$2,D296&gt;ÉV!$J$2),C296&gt;ÉV!$I$2),0,INDEX(Pz!$B$2:$AM$48,A296-1,ÉV!$G$2-9)/100000*ÉV!$B$10)</f>
        <v>0</v>
      </c>
      <c r="I296" s="271">
        <f ca="1">INDEX(Pz!$B$2:$AM$48,HÓ!A296,ÉV!$G$2-9)/100000*ÉV!$B$10</f>
        <v>0</v>
      </c>
      <c r="J296" s="273">
        <f ca="1">IF(OR(A296=1,A296=2,AND(C296=ÉV!$I$2,D296&gt;ÉV!$J$2),C296&gt;ÉV!$I$2),0,VLOOKUP(A296-2,ÉV!$A$18:$C$65,3,0))</f>
        <v>0</v>
      </c>
      <c r="K296" s="273">
        <f ca="1">IF(OR(A296=1,AND(C296=ÉV!$I$2,D296&gt;ÉV!$J$2),C296&gt;ÉV!$I$2),0,VLOOKUP(A296-1,ÉV!$A$18:$C$65,3,0))</f>
        <v>0</v>
      </c>
      <c r="L296" s="273">
        <f ca="1">VLOOKUP(A296,ÉV!$A$18:$C$65,3,0)*IF(OR(AND(C296=ÉV!$I$2,D296&gt;ÉV!$J$2),C296&gt;ÉV!$I$2),0,1)</f>
        <v>0</v>
      </c>
      <c r="M296" s="273">
        <f ca="1">(K296*(12-B296)/12+L296*B296/12)*IF(A296&gt;ÉV!$G$2,0,1)+IF(A296&gt;ÉV!$G$2,M295,0)*IF(OR(AND(C296=ÉV!$I$2,D296&gt;ÉV!$J$2),C296&gt;ÉV!$I$2),0,1)</f>
        <v>0</v>
      </c>
      <c r="N296" s="274">
        <f ca="1">IF(AND(C296=1,D296&lt;12),0,1)*IF(D296=12,MAX(0,F296-E296-0.003)*0.9*((K296+I296)*(B296/12)+(J296+H296)*(1-B296/12))+MAX(0,F296-0.003)*0.9*N295+N295,IF(AND(C296=ÉV!$I$2,D296=ÉV!$J$2),(M296+N295)*MAX(0,F296-0.003)*0.9*(D296/12)+N295,N295))*IF(OR(C296&gt;ÉV!$I$2,AND(C296=ÉV!$I$2,D296&gt;ÉV!$J$2)),0,1)</f>
        <v>0</v>
      </c>
      <c r="O296" s="313">
        <f ca="1">IF(MAX(AF$2:AF295)=2,      0,IF(OR(AC296=7, AF296=2),    SUM(AE$2:AE296),    O295)   )</f>
        <v>0</v>
      </c>
      <c r="P296" s="271">
        <f ca="1">IF(D296=12,V296+P295+P295*(F296-0.003)*0.9,IF(AND(C296=ÉV!$I$2,D296=ÉV!$J$2),V296+P295+P295*(F296-0.003)*0.9*D296/12,P295))*IF(OR(C296&gt;ÉV!$I$2,AND(C296=ÉV!$I$2,D296&gt;ÉV!$J$2)),0,1)</f>
        <v>0</v>
      </c>
      <c r="Q296" s="275">
        <f ca="1">(N296+P296)*IF(OR(AND(C296=ÉV!$I$2,D296&gt;ÉV!$J$2),C296&gt;ÉV!$I$2),0,1)</f>
        <v>0</v>
      </c>
      <c r="R296" s="271">
        <f ca="1">(MAX(0,F296-E296-0.003)*0.9*((K296+I296)*(1/12)))*IF(OR(C296&gt;ÉV!$I$2,AND(C296=ÉV!$I$2,D296&gt;ÉV!$J$2)),0,1)</f>
        <v>0</v>
      </c>
      <c r="S296" s="271">
        <f ca="1">(MAX(0,F296-0.003)*0.9*((O296)*(1/12)))*IF(OR(C296&gt;ÉV!$I$2,AND(C296=ÉV!$I$2,D296&gt;ÉV!$J$2)),0,1)</f>
        <v>0</v>
      </c>
      <c r="T296" s="271">
        <f ca="1">(MAX(0,F296-0.003)*0.9*((Q295)*(1/12)))*IF(OR(C296&gt;ÉV!$I$2,AND(C296=ÉV!$I$2,D296&gt;ÉV!$J$2)),0,1)</f>
        <v>0</v>
      </c>
      <c r="U296" s="271">
        <f ca="1">IF($D296=1,R296,R296+U295)*IF(OR(C296&gt;ÉV!$I$2,AND(C296=ÉV!$I$2,D296&gt;ÉV!$J$2)),0,1)</f>
        <v>0</v>
      </c>
      <c r="V296" s="271">
        <f ca="1">IF($D296=1,S296,S296+V295)*IF(OR(C296&gt;ÉV!$I$2,AND(C296=ÉV!$I$2,D296&gt;ÉV!$J$2)),0,1)</f>
        <v>0</v>
      </c>
      <c r="W296" s="271">
        <f ca="1">IF($D296=1,T296,T296+W295)*IF(OR(C296&gt;ÉV!$I$2,AND(C296=ÉV!$I$2,D296&gt;ÉV!$J$2)),0,1)</f>
        <v>0</v>
      </c>
      <c r="X296" s="271">
        <f ca="1">IF(OR(D296=12,AND(C296=ÉV!$I$2,D296=ÉV!$J$2)),SUM(U296:W296)+X295,X295)*IF(OR(C296&gt;ÉV!$I$2,AND(C296=ÉV!$I$2,D296&gt;ÉV!$J$2)),0,1)</f>
        <v>0</v>
      </c>
      <c r="Y296" s="271">
        <f t="shared" ca="1" si="46"/>
        <v>0</v>
      </c>
      <c r="Z296" s="265">
        <f t="shared" si="47"/>
        <v>6</v>
      </c>
      <c r="AA296" s="272">
        <f t="shared" ca="1" si="48"/>
        <v>0</v>
      </c>
      <c r="AB296" s="265">
        <f t="shared" ca="1" si="54"/>
        <v>2041</v>
      </c>
      <c r="AC296" s="265">
        <f t="shared" ca="1" si="55"/>
        <v>9</v>
      </c>
      <c r="AD296" s="276">
        <f ca="1">IF(     OR(               AND(MAX(AF$6:AF296)&lt;2,  AC296=12),                 AF296=2),                   SUMIF(AB:AB,AB296,AA:AA),                       0)</f>
        <v>0</v>
      </c>
      <c r="AE296" s="277">
        <f t="shared" ca="1" si="56"/>
        <v>0</v>
      </c>
      <c r="AF296" s="277">
        <f t="shared" ca="1" si="49"/>
        <v>0</v>
      </c>
      <c r="AG296" s="402">
        <f ca="1">IF(  AND(AC296=AdóHó,   MAX(AF$1:AF295)&lt;2),   SUMIF(AB:AB,AB296-1,AE:AE),0  )
+ IF(AND(AC296&lt;AdóHó,                            AF296=2),   SUMIF(AB:AB,AB296-1,AE:AE),0  )
+ IF(                                                                  AF296=2,    SUMIF(AB:AB,AB296,AE:AE   ),0  )</f>
        <v>0</v>
      </c>
      <c r="AH296" s="272">
        <f ca="1">SUM(AG$2:AG296)</f>
        <v>1139324.2410681627</v>
      </c>
    </row>
    <row r="297" spans="1:34">
      <c r="A297" s="265">
        <f t="shared" si="50"/>
        <v>25</v>
      </c>
      <c r="B297" s="265">
        <f t="shared" si="51"/>
        <v>7</v>
      </c>
      <c r="C297" s="265">
        <f t="shared" ca="1" si="52"/>
        <v>25</v>
      </c>
      <c r="D297" s="265">
        <f t="shared" ca="1" si="53"/>
        <v>10</v>
      </c>
      <c r="E297" s="266">
        <v>5.0000000000000001E-3</v>
      </c>
      <c r="F297" s="267">
        <f>ÉV!$B$12</f>
        <v>0</v>
      </c>
      <c r="G297" s="271">
        <f ca="1">VLOOKUP(A297,ÉV!$A$18:$B$65,2,0)</f>
        <v>0</v>
      </c>
      <c r="H297" s="271">
        <f ca="1">IF(OR(A297=1,AND(C297=ÉV!$I$2,D297&gt;ÉV!$J$2),C297&gt;ÉV!$I$2),0,INDEX(Pz!$B$2:$AM$48,A297-1,ÉV!$G$2-9)/100000*ÉV!$B$10)</f>
        <v>0</v>
      </c>
      <c r="I297" s="271">
        <f ca="1">INDEX(Pz!$B$2:$AM$48,HÓ!A297,ÉV!$G$2-9)/100000*ÉV!$B$10</f>
        <v>0</v>
      </c>
      <c r="J297" s="273">
        <f ca="1">IF(OR(A297=1,A297=2,AND(C297=ÉV!$I$2,D297&gt;ÉV!$J$2),C297&gt;ÉV!$I$2),0,VLOOKUP(A297-2,ÉV!$A$18:$C$65,3,0))</f>
        <v>0</v>
      </c>
      <c r="K297" s="273">
        <f ca="1">IF(OR(A297=1,AND(C297=ÉV!$I$2,D297&gt;ÉV!$J$2),C297&gt;ÉV!$I$2),0,VLOOKUP(A297-1,ÉV!$A$18:$C$65,3,0))</f>
        <v>0</v>
      </c>
      <c r="L297" s="273">
        <f ca="1">VLOOKUP(A297,ÉV!$A$18:$C$65,3,0)*IF(OR(AND(C297=ÉV!$I$2,D297&gt;ÉV!$J$2),C297&gt;ÉV!$I$2),0,1)</f>
        <v>0</v>
      </c>
      <c r="M297" s="273">
        <f ca="1">(K297*(12-B297)/12+L297*B297/12)*IF(A297&gt;ÉV!$G$2,0,1)+IF(A297&gt;ÉV!$G$2,M296,0)*IF(OR(AND(C297=ÉV!$I$2,D297&gt;ÉV!$J$2),C297&gt;ÉV!$I$2),0,1)</f>
        <v>0</v>
      </c>
      <c r="N297" s="274">
        <f ca="1">IF(AND(C297=1,D297&lt;12),0,1)*IF(D297=12,MAX(0,F297-E297-0.003)*0.9*((K297+I297)*(B297/12)+(J297+H297)*(1-B297/12))+MAX(0,F297-0.003)*0.9*N296+N296,IF(AND(C297=ÉV!$I$2,D297=ÉV!$J$2),(M297+N296)*MAX(0,F297-0.003)*0.9*(D297/12)+N296,N296))*IF(OR(C297&gt;ÉV!$I$2,AND(C297=ÉV!$I$2,D297&gt;ÉV!$J$2)),0,1)</f>
        <v>0</v>
      </c>
      <c r="O297" s="313">
        <f ca="1">IF(MAX(AF$2:AF296)=2,      0,IF(OR(AC297=7, AF297=2),    SUM(AE$2:AE297),    O296)   )</f>
        <v>0</v>
      </c>
      <c r="P297" s="271">
        <f ca="1">IF(D297=12,V297+P296+P296*(F297-0.003)*0.9,IF(AND(C297=ÉV!$I$2,D297=ÉV!$J$2),V297+P296+P296*(F297-0.003)*0.9*D297/12,P296))*IF(OR(C297&gt;ÉV!$I$2,AND(C297=ÉV!$I$2,D297&gt;ÉV!$J$2)),0,1)</f>
        <v>0</v>
      </c>
      <c r="Q297" s="275">
        <f ca="1">(N297+P297)*IF(OR(AND(C297=ÉV!$I$2,D297&gt;ÉV!$J$2),C297&gt;ÉV!$I$2),0,1)</f>
        <v>0</v>
      </c>
      <c r="R297" s="271">
        <f ca="1">(MAX(0,F297-E297-0.003)*0.9*((K297+I297)*(1/12)))*IF(OR(C297&gt;ÉV!$I$2,AND(C297=ÉV!$I$2,D297&gt;ÉV!$J$2)),0,1)</f>
        <v>0</v>
      </c>
      <c r="S297" s="271">
        <f ca="1">(MAX(0,F297-0.003)*0.9*((O297)*(1/12)))*IF(OR(C297&gt;ÉV!$I$2,AND(C297=ÉV!$I$2,D297&gt;ÉV!$J$2)),0,1)</f>
        <v>0</v>
      </c>
      <c r="T297" s="271">
        <f ca="1">(MAX(0,F297-0.003)*0.9*((Q296)*(1/12)))*IF(OR(C297&gt;ÉV!$I$2,AND(C297=ÉV!$I$2,D297&gt;ÉV!$J$2)),0,1)</f>
        <v>0</v>
      </c>
      <c r="U297" s="271">
        <f ca="1">IF($D297=1,R297,R297+U296)*IF(OR(C297&gt;ÉV!$I$2,AND(C297=ÉV!$I$2,D297&gt;ÉV!$J$2)),0,1)</f>
        <v>0</v>
      </c>
      <c r="V297" s="271">
        <f ca="1">IF($D297=1,S297,S297+V296)*IF(OR(C297&gt;ÉV!$I$2,AND(C297=ÉV!$I$2,D297&gt;ÉV!$J$2)),0,1)</f>
        <v>0</v>
      </c>
      <c r="W297" s="271">
        <f ca="1">IF($D297=1,T297,T297+W296)*IF(OR(C297&gt;ÉV!$I$2,AND(C297=ÉV!$I$2,D297&gt;ÉV!$J$2)),0,1)</f>
        <v>0</v>
      </c>
      <c r="X297" s="271">
        <f ca="1">IF(OR(D297=12,AND(C297=ÉV!$I$2,D297=ÉV!$J$2)),SUM(U297:W297)+X296,X296)*IF(OR(C297&gt;ÉV!$I$2,AND(C297=ÉV!$I$2,D297&gt;ÉV!$J$2)),0,1)</f>
        <v>0</v>
      </c>
      <c r="Y297" s="271">
        <f t="shared" ca="1" si="46"/>
        <v>0</v>
      </c>
      <c r="Z297" s="265">
        <f t="shared" si="47"/>
        <v>7</v>
      </c>
      <c r="AA297" s="272">
        <f t="shared" ca="1" si="48"/>
        <v>0</v>
      </c>
      <c r="AB297" s="265">
        <f t="shared" ca="1" si="54"/>
        <v>2041</v>
      </c>
      <c r="AC297" s="265">
        <f t="shared" ca="1" si="55"/>
        <v>10</v>
      </c>
      <c r="AD297" s="276">
        <f ca="1">IF(     OR(               AND(MAX(AF$6:AF297)&lt;2,  AC297=12),                 AF297=2),                   SUMIF(AB:AB,AB297,AA:AA),                       0)</f>
        <v>0</v>
      </c>
      <c r="AE297" s="277">
        <f t="shared" ca="1" si="56"/>
        <v>0</v>
      </c>
      <c r="AF297" s="277">
        <f t="shared" ca="1" si="49"/>
        <v>0</v>
      </c>
      <c r="AG297" s="402">
        <f ca="1">IF(  AND(AC297=AdóHó,   MAX(AF$1:AF296)&lt;2),   SUMIF(AB:AB,AB297-1,AE:AE),0  )
+ IF(AND(AC297&lt;AdóHó,                            AF297=2),   SUMIF(AB:AB,AB297-1,AE:AE),0  )
+ IF(                                                                  AF297=2,    SUMIF(AB:AB,AB297,AE:AE   ),0  )</f>
        <v>0</v>
      </c>
      <c r="AH297" s="272">
        <f ca="1">SUM(AG$2:AG297)</f>
        <v>1139324.2410681627</v>
      </c>
    </row>
    <row r="298" spans="1:34">
      <c r="A298" s="265">
        <f t="shared" si="50"/>
        <v>25</v>
      </c>
      <c r="B298" s="265">
        <f t="shared" si="51"/>
        <v>8</v>
      </c>
      <c r="C298" s="265">
        <f t="shared" ca="1" si="52"/>
        <v>25</v>
      </c>
      <c r="D298" s="265">
        <f t="shared" ca="1" si="53"/>
        <v>11</v>
      </c>
      <c r="E298" s="266">
        <v>5.0000000000000001E-3</v>
      </c>
      <c r="F298" s="267">
        <f>ÉV!$B$12</f>
        <v>0</v>
      </c>
      <c r="G298" s="271">
        <f ca="1">VLOOKUP(A298,ÉV!$A$18:$B$65,2,0)</f>
        <v>0</v>
      </c>
      <c r="H298" s="271">
        <f ca="1">IF(OR(A298=1,AND(C298=ÉV!$I$2,D298&gt;ÉV!$J$2),C298&gt;ÉV!$I$2),0,INDEX(Pz!$B$2:$AM$48,A298-1,ÉV!$G$2-9)/100000*ÉV!$B$10)</f>
        <v>0</v>
      </c>
      <c r="I298" s="271">
        <f ca="1">INDEX(Pz!$B$2:$AM$48,HÓ!A298,ÉV!$G$2-9)/100000*ÉV!$B$10</f>
        <v>0</v>
      </c>
      <c r="J298" s="273">
        <f ca="1">IF(OR(A298=1,A298=2,AND(C298=ÉV!$I$2,D298&gt;ÉV!$J$2),C298&gt;ÉV!$I$2),0,VLOOKUP(A298-2,ÉV!$A$18:$C$65,3,0))</f>
        <v>0</v>
      </c>
      <c r="K298" s="273">
        <f ca="1">IF(OR(A298=1,AND(C298=ÉV!$I$2,D298&gt;ÉV!$J$2),C298&gt;ÉV!$I$2),0,VLOOKUP(A298-1,ÉV!$A$18:$C$65,3,0))</f>
        <v>0</v>
      </c>
      <c r="L298" s="273">
        <f ca="1">VLOOKUP(A298,ÉV!$A$18:$C$65,3,0)*IF(OR(AND(C298=ÉV!$I$2,D298&gt;ÉV!$J$2),C298&gt;ÉV!$I$2),0,1)</f>
        <v>0</v>
      </c>
      <c r="M298" s="273">
        <f ca="1">(K298*(12-B298)/12+L298*B298/12)*IF(A298&gt;ÉV!$G$2,0,1)+IF(A298&gt;ÉV!$G$2,M297,0)*IF(OR(AND(C298=ÉV!$I$2,D298&gt;ÉV!$J$2),C298&gt;ÉV!$I$2),0,1)</f>
        <v>0</v>
      </c>
      <c r="N298" s="274">
        <f ca="1">IF(AND(C298=1,D298&lt;12),0,1)*IF(D298=12,MAX(0,F298-E298-0.003)*0.9*((K298+I298)*(B298/12)+(J298+H298)*(1-B298/12))+MAX(0,F298-0.003)*0.9*N297+N297,IF(AND(C298=ÉV!$I$2,D298=ÉV!$J$2),(M298+N297)*MAX(0,F298-0.003)*0.9*(D298/12)+N297,N297))*IF(OR(C298&gt;ÉV!$I$2,AND(C298=ÉV!$I$2,D298&gt;ÉV!$J$2)),0,1)</f>
        <v>0</v>
      </c>
      <c r="O298" s="313">
        <f ca="1">IF(MAX(AF$2:AF297)=2,      0,IF(OR(AC298=7, AF298=2),    SUM(AE$2:AE298),    O297)   )</f>
        <v>0</v>
      </c>
      <c r="P298" s="271">
        <f ca="1">IF(D298=12,V298+P297+P297*(F298-0.003)*0.9,IF(AND(C298=ÉV!$I$2,D298=ÉV!$J$2),V298+P297+P297*(F298-0.003)*0.9*D298/12,P297))*IF(OR(C298&gt;ÉV!$I$2,AND(C298=ÉV!$I$2,D298&gt;ÉV!$J$2)),0,1)</f>
        <v>0</v>
      </c>
      <c r="Q298" s="275">
        <f ca="1">(N298+P298)*IF(OR(AND(C298=ÉV!$I$2,D298&gt;ÉV!$J$2),C298&gt;ÉV!$I$2),0,1)</f>
        <v>0</v>
      </c>
      <c r="R298" s="271">
        <f ca="1">(MAX(0,F298-E298-0.003)*0.9*((K298+I298)*(1/12)))*IF(OR(C298&gt;ÉV!$I$2,AND(C298=ÉV!$I$2,D298&gt;ÉV!$J$2)),0,1)</f>
        <v>0</v>
      </c>
      <c r="S298" s="271">
        <f ca="1">(MAX(0,F298-0.003)*0.9*((O298)*(1/12)))*IF(OR(C298&gt;ÉV!$I$2,AND(C298=ÉV!$I$2,D298&gt;ÉV!$J$2)),0,1)</f>
        <v>0</v>
      </c>
      <c r="T298" s="271">
        <f ca="1">(MAX(0,F298-0.003)*0.9*((Q297)*(1/12)))*IF(OR(C298&gt;ÉV!$I$2,AND(C298=ÉV!$I$2,D298&gt;ÉV!$J$2)),0,1)</f>
        <v>0</v>
      </c>
      <c r="U298" s="271">
        <f ca="1">IF($D298=1,R298,R298+U297)*IF(OR(C298&gt;ÉV!$I$2,AND(C298=ÉV!$I$2,D298&gt;ÉV!$J$2)),0,1)</f>
        <v>0</v>
      </c>
      <c r="V298" s="271">
        <f ca="1">IF($D298=1,S298,S298+V297)*IF(OR(C298&gt;ÉV!$I$2,AND(C298=ÉV!$I$2,D298&gt;ÉV!$J$2)),0,1)</f>
        <v>0</v>
      </c>
      <c r="W298" s="271">
        <f ca="1">IF($D298=1,T298,T298+W297)*IF(OR(C298&gt;ÉV!$I$2,AND(C298=ÉV!$I$2,D298&gt;ÉV!$J$2)),0,1)</f>
        <v>0</v>
      </c>
      <c r="X298" s="271">
        <f ca="1">IF(OR(D298=12,AND(C298=ÉV!$I$2,D298=ÉV!$J$2)),SUM(U298:W298)+X297,X297)*IF(OR(C298&gt;ÉV!$I$2,AND(C298=ÉV!$I$2,D298&gt;ÉV!$J$2)),0,1)</f>
        <v>0</v>
      </c>
      <c r="Y298" s="271">
        <f t="shared" ca="1" si="46"/>
        <v>0</v>
      </c>
      <c r="Z298" s="265">
        <f t="shared" si="47"/>
        <v>8</v>
      </c>
      <c r="AA298" s="272">
        <f t="shared" ca="1" si="48"/>
        <v>0</v>
      </c>
      <c r="AB298" s="265">
        <f t="shared" ca="1" si="54"/>
        <v>2041</v>
      </c>
      <c r="AC298" s="265">
        <f t="shared" ca="1" si="55"/>
        <v>11</v>
      </c>
      <c r="AD298" s="276">
        <f ca="1">IF(     OR(               AND(MAX(AF$6:AF298)&lt;2,  AC298=12),                 AF298=2),                   SUMIF(AB:AB,AB298,AA:AA),                       0)</f>
        <v>0</v>
      </c>
      <c r="AE298" s="277">
        <f t="shared" ca="1" si="56"/>
        <v>0</v>
      </c>
      <c r="AF298" s="277">
        <f t="shared" ca="1" si="49"/>
        <v>0</v>
      </c>
      <c r="AG298" s="402">
        <f ca="1">IF(  AND(AC298=AdóHó,   MAX(AF$1:AF297)&lt;2),   SUMIF(AB:AB,AB298-1,AE:AE),0  )
+ IF(AND(AC298&lt;AdóHó,                            AF298=2),   SUMIF(AB:AB,AB298-1,AE:AE),0  )
+ IF(                                                                  AF298=2,    SUMIF(AB:AB,AB298,AE:AE   ),0  )</f>
        <v>0</v>
      </c>
      <c r="AH298" s="272">
        <f ca="1">SUM(AG$2:AG298)</f>
        <v>1139324.2410681627</v>
      </c>
    </row>
    <row r="299" spans="1:34">
      <c r="A299" s="265">
        <f t="shared" si="50"/>
        <v>25</v>
      </c>
      <c r="B299" s="265">
        <f t="shared" si="51"/>
        <v>9</v>
      </c>
      <c r="C299" s="265">
        <f t="shared" ca="1" si="52"/>
        <v>25</v>
      </c>
      <c r="D299" s="265">
        <f t="shared" ca="1" si="53"/>
        <v>12</v>
      </c>
      <c r="E299" s="266">
        <v>5.0000000000000001E-3</v>
      </c>
      <c r="F299" s="267">
        <f>ÉV!$B$12</f>
        <v>0</v>
      </c>
      <c r="G299" s="271">
        <f ca="1">VLOOKUP(A299,ÉV!$A$18:$B$65,2,0)</f>
        <v>0</v>
      </c>
      <c r="H299" s="271">
        <f ca="1">IF(OR(A299=1,AND(C299=ÉV!$I$2,D299&gt;ÉV!$J$2),C299&gt;ÉV!$I$2),0,INDEX(Pz!$B$2:$AM$48,A299-1,ÉV!$G$2-9)/100000*ÉV!$B$10)</f>
        <v>0</v>
      </c>
      <c r="I299" s="271">
        <f ca="1">INDEX(Pz!$B$2:$AM$48,HÓ!A299,ÉV!$G$2-9)/100000*ÉV!$B$10</f>
        <v>0</v>
      </c>
      <c r="J299" s="273">
        <f ca="1">IF(OR(A299=1,A299=2,AND(C299=ÉV!$I$2,D299&gt;ÉV!$J$2),C299&gt;ÉV!$I$2),0,VLOOKUP(A299-2,ÉV!$A$18:$C$65,3,0))</f>
        <v>0</v>
      </c>
      <c r="K299" s="273">
        <f ca="1">IF(OR(A299=1,AND(C299=ÉV!$I$2,D299&gt;ÉV!$J$2),C299&gt;ÉV!$I$2),0,VLOOKUP(A299-1,ÉV!$A$18:$C$65,3,0))</f>
        <v>0</v>
      </c>
      <c r="L299" s="273">
        <f ca="1">VLOOKUP(A299,ÉV!$A$18:$C$65,3,0)*IF(OR(AND(C299=ÉV!$I$2,D299&gt;ÉV!$J$2),C299&gt;ÉV!$I$2),0,1)</f>
        <v>0</v>
      </c>
      <c r="M299" s="273">
        <f ca="1">(K299*(12-B299)/12+L299*B299/12)*IF(A299&gt;ÉV!$G$2,0,1)+IF(A299&gt;ÉV!$G$2,M298,0)*IF(OR(AND(C299=ÉV!$I$2,D299&gt;ÉV!$J$2),C299&gt;ÉV!$I$2),0,1)</f>
        <v>0</v>
      </c>
      <c r="N299" s="274">
        <f ca="1">IF(AND(C299=1,D299&lt;12),0,1)*IF(D299=12,MAX(0,F299-E299-0.003)*0.9*((K299+I299)*(B299/12)+(J299+H299)*(1-B299/12))+MAX(0,F299-0.003)*0.9*N298+N298,IF(AND(C299=ÉV!$I$2,D299=ÉV!$J$2),(M299+N298)*MAX(0,F299-0.003)*0.9*(D299/12)+N298,N298))*IF(OR(C299&gt;ÉV!$I$2,AND(C299=ÉV!$I$2,D299&gt;ÉV!$J$2)),0,1)</f>
        <v>0</v>
      </c>
      <c r="O299" s="313">
        <f ca="1">IF(MAX(AF$2:AF298)=2,      0,IF(OR(AC299=7, AF299=2),    SUM(AE$2:AE299),    O298)   )</f>
        <v>0</v>
      </c>
      <c r="P299" s="271">
        <f ca="1">IF(D299=12,V299+P298+P298*(F299-0.003)*0.9,IF(AND(C299=ÉV!$I$2,D299=ÉV!$J$2),V299+P298+P298*(F299-0.003)*0.9*D299/12,P298))*IF(OR(C299&gt;ÉV!$I$2,AND(C299=ÉV!$I$2,D299&gt;ÉV!$J$2)),0,1)</f>
        <v>0</v>
      </c>
      <c r="Q299" s="275">
        <f ca="1">(N299+P299)*IF(OR(AND(C299=ÉV!$I$2,D299&gt;ÉV!$J$2),C299&gt;ÉV!$I$2),0,1)</f>
        <v>0</v>
      </c>
      <c r="R299" s="271">
        <f ca="1">(MAX(0,F299-E299-0.003)*0.9*((K299+I299)*(1/12)))*IF(OR(C299&gt;ÉV!$I$2,AND(C299=ÉV!$I$2,D299&gt;ÉV!$J$2)),0,1)</f>
        <v>0</v>
      </c>
      <c r="S299" s="271">
        <f ca="1">(MAX(0,F299-0.003)*0.9*((O299)*(1/12)))*IF(OR(C299&gt;ÉV!$I$2,AND(C299=ÉV!$I$2,D299&gt;ÉV!$J$2)),0,1)</f>
        <v>0</v>
      </c>
      <c r="T299" s="271">
        <f ca="1">(MAX(0,F299-0.003)*0.9*((Q298)*(1/12)))*IF(OR(C299&gt;ÉV!$I$2,AND(C299=ÉV!$I$2,D299&gt;ÉV!$J$2)),0,1)</f>
        <v>0</v>
      </c>
      <c r="U299" s="271">
        <f ca="1">IF($D299=1,R299,R299+U298)*IF(OR(C299&gt;ÉV!$I$2,AND(C299=ÉV!$I$2,D299&gt;ÉV!$J$2)),0,1)</f>
        <v>0</v>
      </c>
      <c r="V299" s="271">
        <f ca="1">IF($D299=1,S299,S299+V298)*IF(OR(C299&gt;ÉV!$I$2,AND(C299=ÉV!$I$2,D299&gt;ÉV!$J$2)),0,1)</f>
        <v>0</v>
      </c>
      <c r="W299" s="271">
        <f ca="1">IF($D299=1,T299,T299+W298)*IF(OR(C299&gt;ÉV!$I$2,AND(C299=ÉV!$I$2,D299&gt;ÉV!$J$2)),0,1)</f>
        <v>0</v>
      </c>
      <c r="X299" s="271">
        <f ca="1">IF(OR(D299=12,AND(C299=ÉV!$I$2,D299=ÉV!$J$2)),SUM(U299:W299)+X298,X298)*IF(OR(C299&gt;ÉV!$I$2,AND(C299=ÉV!$I$2,D299&gt;ÉV!$J$2)),0,1)</f>
        <v>0</v>
      </c>
      <c r="Y299" s="271">
        <f t="shared" ca="1" si="46"/>
        <v>0</v>
      </c>
      <c r="Z299" s="265">
        <f t="shared" si="47"/>
        <v>9</v>
      </c>
      <c r="AA299" s="272">
        <f t="shared" ca="1" si="48"/>
        <v>0</v>
      </c>
      <c r="AB299" s="265">
        <f t="shared" ca="1" si="54"/>
        <v>2041</v>
      </c>
      <c r="AC299" s="265">
        <f t="shared" ca="1" si="55"/>
        <v>12</v>
      </c>
      <c r="AD299" s="276">
        <f ca="1">IF(     OR(               AND(MAX(AF$6:AF299)&lt;2,  AC299=12),                 AF299=2),                   SUMIF(AB:AB,AB299,AA:AA),                       0)</f>
        <v>0</v>
      </c>
      <c r="AE299" s="277">
        <f t="shared" ca="1" si="56"/>
        <v>0</v>
      </c>
      <c r="AF299" s="277">
        <f t="shared" ca="1" si="49"/>
        <v>0</v>
      </c>
      <c r="AG299" s="402">
        <f ca="1">IF(  AND(AC299=AdóHó,   MAX(AF$1:AF298)&lt;2),   SUMIF(AB:AB,AB299-1,AE:AE),0  )
+ IF(AND(AC299&lt;AdóHó,                            AF299=2),   SUMIF(AB:AB,AB299-1,AE:AE),0  )
+ IF(                                                                  AF299=2,    SUMIF(AB:AB,AB299,AE:AE   ),0  )</f>
        <v>0</v>
      </c>
      <c r="AH299" s="272">
        <f ca="1">SUM(AG$2:AG299)</f>
        <v>1139324.2410681627</v>
      </c>
    </row>
    <row r="300" spans="1:34">
      <c r="A300" s="265">
        <f t="shared" si="50"/>
        <v>25</v>
      </c>
      <c r="B300" s="265">
        <f t="shared" si="51"/>
        <v>10</v>
      </c>
      <c r="C300" s="265">
        <f t="shared" ca="1" si="52"/>
        <v>26</v>
      </c>
      <c r="D300" s="265">
        <f t="shared" ca="1" si="53"/>
        <v>1</v>
      </c>
      <c r="E300" s="266">
        <v>5.0000000000000001E-3</v>
      </c>
      <c r="F300" s="267">
        <f>ÉV!$B$12</f>
        <v>0</v>
      </c>
      <c r="G300" s="271">
        <f ca="1">VLOOKUP(A300,ÉV!$A$18:$B$65,2,0)</f>
        <v>0</v>
      </c>
      <c r="H300" s="271">
        <f ca="1">IF(OR(A300=1,AND(C300=ÉV!$I$2,D300&gt;ÉV!$J$2),C300&gt;ÉV!$I$2),0,INDEX(Pz!$B$2:$AM$48,A300-1,ÉV!$G$2-9)/100000*ÉV!$B$10)</f>
        <v>0</v>
      </c>
      <c r="I300" s="271">
        <f ca="1">INDEX(Pz!$B$2:$AM$48,HÓ!A300,ÉV!$G$2-9)/100000*ÉV!$B$10</f>
        <v>0</v>
      </c>
      <c r="J300" s="273">
        <f ca="1">IF(OR(A300=1,A300=2,AND(C300=ÉV!$I$2,D300&gt;ÉV!$J$2),C300&gt;ÉV!$I$2),0,VLOOKUP(A300-2,ÉV!$A$18:$C$65,3,0))</f>
        <v>0</v>
      </c>
      <c r="K300" s="273">
        <f ca="1">IF(OR(A300=1,AND(C300=ÉV!$I$2,D300&gt;ÉV!$J$2),C300&gt;ÉV!$I$2),0,VLOOKUP(A300-1,ÉV!$A$18:$C$65,3,0))</f>
        <v>0</v>
      </c>
      <c r="L300" s="273">
        <f ca="1">VLOOKUP(A300,ÉV!$A$18:$C$65,3,0)*IF(OR(AND(C300=ÉV!$I$2,D300&gt;ÉV!$J$2),C300&gt;ÉV!$I$2),0,1)</f>
        <v>0</v>
      </c>
      <c r="M300" s="273">
        <f ca="1">(K300*(12-B300)/12+L300*B300/12)*IF(A300&gt;ÉV!$G$2,0,1)+IF(A300&gt;ÉV!$G$2,M299,0)*IF(OR(AND(C300=ÉV!$I$2,D300&gt;ÉV!$J$2),C300&gt;ÉV!$I$2),0,1)</f>
        <v>0</v>
      </c>
      <c r="N300" s="274">
        <f ca="1">IF(AND(C300=1,D300&lt;12),0,1)*IF(D300=12,MAX(0,F300-E300-0.003)*0.9*((K300+I300)*(B300/12)+(J300+H300)*(1-B300/12))+MAX(0,F300-0.003)*0.9*N299+N299,IF(AND(C300=ÉV!$I$2,D300=ÉV!$J$2),(M300+N299)*MAX(0,F300-0.003)*0.9*(D300/12)+N299,N299))*IF(OR(C300&gt;ÉV!$I$2,AND(C300=ÉV!$I$2,D300&gt;ÉV!$J$2)),0,1)</f>
        <v>0</v>
      </c>
      <c r="O300" s="313">
        <f ca="1">IF(MAX(AF$2:AF299)=2,      0,IF(OR(AC300=7, AF300=2),    SUM(AE$2:AE300),    O299)   )</f>
        <v>0</v>
      </c>
      <c r="P300" s="271">
        <f ca="1">IF(D300=12,V300+P299+P299*(F300-0.003)*0.9,IF(AND(C300=ÉV!$I$2,D300=ÉV!$J$2),V300+P299+P299*(F300-0.003)*0.9*D300/12,P299))*IF(OR(C300&gt;ÉV!$I$2,AND(C300=ÉV!$I$2,D300&gt;ÉV!$J$2)),0,1)</f>
        <v>0</v>
      </c>
      <c r="Q300" s="275">
        <f ca="1">(N300+P300)*IF(OR(AND(C300=ÉV!$I$2,D300&gt;ÉV!$J$2),C300&gt;ÉV!$I$2),0,1)</f>
        <v>0</v>
      </c>
      <c r="R300" s="271">
        <f ca="1">(MAX(0,F300-E300-0.003)*0.9*((K300+I300)*(1/12)))*IF(OR(C300&gt;ÉV!$I$2,AND(C300=ÉV!$I$2,D300&gt;ÉV!$J$2)),0,1)</f>
        <v>0</v>
      </c>
      <c r="S300" s="271">
        <f ca="1">(MAX(0,F300-0.003)*0.9*((O300)*(1/12)))*IF(OR(C300&gt;ÉV!$I$2,AND(C300=ÉV!$I$2,D300&gt;ÉV!$J$2)),0,1)</f>
        <v>0</v>
      </c>
      <c r="T300" s="271">
        <f ca="1">(MAX(0,F300-0.003)*0.9*((Q299)*(1/12)))*IF(OR(C300&gt;ÉV!$I$2,AND(C300=ÉV!$I$2,D300&gt;ÉV!$J$2)),0,1)</f>
        <v>0</v>
      </c>
      <c r="U300" s="271">
        <f ca="1">IF($D300=1,R300,R300+U299)*IF(OR(C300&gt;ÉV!$I$2,AND(C300=ÉV!$I$2,D300&gt;ÉV!$J$2)),0,1)</f>
        <v>0</v>
      </c>
      <c r="V300" s="271">
        <f ca="1">IF($D300=1,S300,S300+V299)*IF(OR(C300&gt;ÉV!$I$2,AND(C300=ÉV!$I$2,D300&gt;ÉV!$J$2)),0,1)</f>
        <v>0</v>
      </c>
      <c r="W300" s="271">
        <f ca="1">IF($D300=1,T300,T300+W299)*IF(OR(C300&gt;ÉV!$I$2,AND(C300=ÉV!$I$2,D300&gt;ÉV!$J$2)),0,1)</f>
        <v>0</v>
      </c>
      <c r="X300" s="271">
        <f ca="1">IF(OR(D300=12,AND(C300=ÉV!$I$2,D300=ÉV!$J$2)),SUM(U300:W300)+X299,X299)*IF(OR(C300&gt;ÉV!$I$2,AND(C300=ÉV!$I$2,D300&gt;ÉV!$J$2)),0,1)</f>
        <v>0</v>
      </c>
      <c r="Y300" s="271">
        <f t="shared" ca="1" si="46"/>
        <v>0</v>
      </c>
      <c r="Z300" s="265">
        <f t="shared" si="47"/>
        <v>10</v>
      </c>
      <c r="AA300" s="272">
        <f t="shared" ca="1" si="48"/>
        <v>0</v>
      </c>
      <c r="AB300" s="265">
        <f t="shared" ca="1" si="54"/>
        <v>2042</v>
      </c>
      <c r="AC300" s="265">
        <f t="shared" ca="1" si="55"/>
        <v>1</v>
      </c>
      <c r="AD300" s="276">
        <f ca="1">IF(     OR(               AND(MAX(AF$6:AF300)&lt;2,  AC300=12),                 AF300=2),                   SUMIF(AB:AB,AB300,AA:AA),                       0)</f>
        <v>0</v>
      </c>
      <c r="AE300" s="277">
        <f ca="1">MIN(AD300*0.2,130000)</f>
        <v>0</v>
      </c>
      <c r="AF300" s="277">
        <f t="shared" ca="1" si="49"/>
        <v>0</v>
      </c>
      <c r="AG300" s="402">
        <f ca="1">IF(  AND(AC300=AdóHó,   MAX(AF$1:AF299)&lt;2),   SUMIF(AB:AB,AB300-1,AE:AE),0  )
+ IF(AND(AC300&lt;AdóHó,                            AF300=2),   SUMIF(AB:AB,AB300-1,AE:AE),0  )
+ IF(                                                                  AF300=2,    SUMIF(AB:AB,AB300,AE:AE   ),0  )</f>
        <v>0</v>
      </c>
      <c r="AH300" s="272">
        <f ca="1">SUM(AG$2:AG300)</f>
        <v>1139324.2410681627</v>
      </c>
    </row>
    <row r="301" spans="1:34">
      <c r="A301" s="265">
        <f t="shared" si="50"/>
        <v>25</v>
      </c>
      <c r="B301" s="265">
        <f t="shared" si="51"/>
        <v>11</v>
      </c>
      <c r="C301" s="265">
        <f t="shared" ca="1" si="52"/>
        <v>26</v>
      </c>
      <c r="D301" s="265">
        <f t="shared" ca="1" si="53"/>
        <v>2</v>
      </c>
      <c r="E301" s="266">
        <v>5.0000000000000001E-3</v>
      </c>
      <c r="F301" s="267">
        <f>ÉV!$B$12</f>
        <v>0</v>
      </c>
      <c r="G301" s="271">
        <f ca="1">VLOOKUP(A301,ÉV!$A$18:$B$65,2,0)</f>
        <v>0</v>
      </c>
      <c r="H301" s="271">
        <f ca="1">IF(OR(A301=1,AND(C301=ÉV!$I$2,D301&gt;ÉV!$J$2),C301&gt;ÉV!$I$2),0,INDEX(Pz!$B$2:$AM$48,A301-1,ÉV!$G$2-9)/100000*ÉV!$B$10)</f>
        <v>0</v>
      </c>
      <c r="I301" s="271">
        <f ca="1">INDEX(Pz!$B$2:$AM$48,HÓ!A301,ÉV!$G$2-9)/100000*ÉV!$B$10</f>
        <v>0</v>
      </c>
      <c r="J301" s="273">
        <f ca="1">IF(OR(A301=1,A301=2,AND(C301=ÉV!$I$2,D301&gt;ÉV!$J$2),C301&gt;ÉV!$I$2),0,VLOOKUP(A301-2,ÉV!$A$18:$C$65,3,0))</f>
        <v>0</v>
      </c>
      <c r="K301" s="273">
        <f ca="1">IF(OR(A301=1,AND(C301=ÉV!$I$2,D301&gt;ÉV!$J$2),C301&gt;ÉV!$I$2),0,VLOOKUP(A301-1,ÉV!$A$18:$C$65,3,0))</f>
        <v>0</v>
      </c>
      <c r="L301" s="273">
        <f ca="1">VLOOKUP(A301,ÉV!$A$18:$C$65,3,0)*IF(OR(AND(C301=ÉV!$I$2,D301&gt;ÉV!$J$2),C301&gt;ÉV!$I$2),0,1)</f>
        <v>0</v>
      </c>
      <c r="M301" s="273">
        <f ca="1">(K301*(12-B301)/12+L301*B301/12)*IF(A301&gt;ÉV!$G$2,0,1)+IF(A301&gt;ÉV!$G$2,M300,0)*IF(OR(AND(C301=ÉV!$I$2,D301&gt;ÉV!$J$2),C301&gt;ÉV!$I$2),0,1)</f>
        <v>0</v>
      </c>
      <c r="N301" s="274">
        <f ca="1">IF(AND(C301=1,D301&lt;12),0,1)*IF(D301=12,MAX(0,F301-E301-0.003)*0.9*((K301+I301)*(B301/12)+(J301+H301)*(1-B301/12))+MAX(0,F301-0.003)*0.9*N300+N300,IF(AND(C301=ÉV!$I$2,D301=ÉV!$J$2),(M301+N300)*MAX(0,F301-0.003)*0.9*(D301/12)+N300,N300))*IF(OR(C301&gt;ÉV!$I$2,AND(C301=ÉV!$I$2,D301&gt;ÉV!$J$2)),0,1)</f>
        <v>0</v>
      </c>
      <c r="O301" s="313">
        <f ca="1">IF(MAX(AF$2:AF300)=2,      0,IF(OR(AC301=7, AF301=2),    SUM(AE$2:AE301),    O300)   )</f>
        <v>0</v>
      </c>
      <c r="P301" s="271">
        <f ca="1">IF(D301=12,V301+P300+P300*(F301-0.003)*0.9,IF(AND(C301=ÉV!$I$2,D301=ÉV!$J$2),V301+P300+P300*(F301-0.003)*0.9*D301/12,P300))*IF(OR(C301&gt;ÉV!$I$2,AND(C301=ÉV!$I$2,D301&gt;ÉV!$J$2)),0,1)</f>
        <v>0</v>
      </c>
      <c r="Q301" s="275">
        <f ca="1">(N301+P301)*IF(OR(AND(C301=ÉV!$I$2,D301&gt;ÉV!$J$2),C301&gt;ÉV!$I$2),0,1)</f>
        <v>0</v>
      </c>
      <c r="R301" s="271">
        <f ca="1">(MAX(0,F301-E301-0.003)*0.9*((K301+I301)*(1/12)))*IF(OR(C301&gt;ÉV!$I$2,AND(C301=ÉV!$I$2,D301&gt;ÉV!$J$2)),0,1)</f>
        <v>0</v>
      </c>
      <c r="S301" s="271">
        <f ca="1">(MAX(0,F301-0.003)*0.9*((O301)*(1/12)))*IF(OR(C301&gt;ÉV!$I$2,AND(C301=ÉV!$I$2,D301&gt;ÉV!$J$2)),0,1)</f>
        <v>0</v>
      </c>
      <c r="T301" s="271">
        <f ca="1">(MAX(0,F301-0.003)*0.9*((Q300)*(1/12)))*IF(OR(C301&gt;ÉV!$I$2,AND(C301=ÉV!$I$2,D301&gt;ÉV!$J$2)),0,1)</f>
        <v>0</v>
      </c>
      <c r="U301" s="271">
        <f ca="1">IF($D301=1,R301,R301+U300)*IF(OR(C301&gt;ÉV!$I$2,AND(C301=ÉV!$I$2,D301&gt;ÉV!$J$2)),0,1)</f>
        <v>0</v>
      </c>
      <c r="V301" s="271">
        <f ca="1">IF($D301=1,S301,S301+V300)*IF(OR(C301&gt;ÉV!$I$2,AND(C301=ÉV!$I$2,D301&gt;ÉV!$J$2)),0,1)</f>
        <v>0</v>
      </c>
      <c r="W301" s="271">
        <f ca="1">IF($D301=1,T301,T301+W300)*IF(OR(C301&gt;ÉV!$I$2,AND(C301=ÉV!$I$2,D301&gt;ÉV!$J$2)),0,1)</f>
        <v>0</v>
      </c>
      <c r="X301" s="271">
        <f ca="1">IF(OR(D301=12,AND(C301=ÉV!$I$2,D301=ÉV!$J$2)),SUM(U301:W301)+X300,X300)*IF(OR(C301&gt;ÉV!$I$2,AND(C301=ÉV!$I$2,D301&gt;ÉV!$J$2)),0,1)</f>
        <v>0</v>
      </c>
      <c r="Y301" s="271">
        <f t="shared" ca="1" si="46"/>
        <v>0</v>
      </c>
      <c r="Z301" s="265">
        <f t="shared" si="47"/>
        <v>11</v>
      </c>
      <c r="AA301" s="272">
        <f t="shared" ca="1" si="48"/>
        <v>0</v>
      </c>
      <c r="AB301" s="265">
        <f t="shared" ca="1" si="54"/>
        <v>2042</v>
      </c>
      <c r="AC301" s="265">
        <f t="shared" ca="1" si="55"/>
        <v>2</v>
      </c>
      <c r="AD301" s="276">
        <f ca="1">IF(     OR(               AND(MAX(AF$6:AF301)&lt;2,  AC301=12),                 AF301=2),                   SUMIF(AB:AB,AB301,AA:AA),                       0)</f>
        <v>0</v>
      </c>
      <c r="AE301" s="277">
        <f t="shared" ca="1" si="56"/>
        <v>0</v>
      </c>
      <c r="AF301" s="277">
        <f t="shared" ca="1" si="49"/>
        <v>0</v>
      </c>
      <c r="AG301" s="402">
        <f ca="1">IF(  AND(AC301=AdóHó,   MAX(AF$1:AF300)&lt;2),   SUMIF(AB:AB,AB301-1,AE:AE),0  )
+ IF(AND(AC301&lt;AdóHó,                            AF301=2),   SUMIF(AB:AB,AB301-1,AE:AE),0  )
+ IF(                                                                  AF301=2,    SUMIF(AB:AB,AB301,AE:AE   ),0  )</f>
        <v>0</v>
      </c>
      <c r="AH301" s="272">
        <f ca="1">SUM(AG$2:AG301)</f>
        <v>1139324.2410681627</v>
      </c>
    </row>
    <row r="302" spans="1:34">
      <c r="A302" s="265">
        <f t="shared" si="50"/>
        <v>25</v>
      </c>
      <c r="B302" s="265">
        <f t="shared" si="51"/>
        <v>12</v>
      </c>
      <c r="C302" s="265">
        <f t="shared" ca="1" si="52"/>
        <v>26</v>
      </c>
      <c r="D302" s="265">
        <f t="shared" ca="1" si="53"/>
        <v>3</v>
      </c>
      <c r="E302" s="266">
        <v>5.0000000000000001E-3</v>
      </c>
      <c r="F302" s="267">
        <f>ÉV!$B$12</f>
        <v>0</v>
      </c>
      <c r="G302" s="271">
        <f ca="1">VLOOKUP(A302,ÉV!$A$18:$B$65,2,0)</f>
        <v>0</v>
      </c>
      <c r="H302" s="271">
        <f ca="1">IF(OR(A302=1,AND(C302=ÉV!$I$2,D302&gt;ÉV!$J$2),C302&gt;ÉV!$I$2),0,INDEX(Pz!$B$2:$AM$48,A302-1,ÉV!$G$2-9)/100000*ÉV!$B$10)</f>
        <v>0</v>
      </c>
      <c r="I302" s="271">
        <f ca="1">INDEX(Pz!$B$2:$AM$48,HÓ!A302,ÉV!$G$2-9)/100000*ÉV!$B$10</f>
        <v>0</v>
      </c>
      <c r="J302" s="273">
        <f ca="1">IF(OR(A302=1,A302=2,AND(C302=ÉV!$I$2,D302&gt;ÉV!$J$2),C302&gt;ÉV!$I$2),0,VLOOKUP(A302-2,ÉV!$A$18:$C$65,3,0))</f>
        <v>0</v>
      </c>
      <c r="K302" s="273">
        <f ca="1">IF(OR(A302=1,AND(C302=ÉV!$I$2,D302&gt;ÉV!$J$2),C302&gt;ÉV!$I$2),0,VLOOKUP(A302-1,ÉV!$A$18:$C$65,3,0))</f>
        <v>0</v>
      </c>
      <c r="L302" s="273">
        <f ca="1">VLOOKUP(A302,ÉV!$A$18:$C$65,3,0)*IF(OR(AND(C302=ÉV!$I$2,D302&gt;ÉV!$J$2),C302&gt;ÉV!$I$2),0,1)</f>
        <v>0</v>
      </c>
      <c r="M302" s="273">
        <f ca="1">(K302*(12-B302)/12+L302*B302/12)*IF(A302&gt;ÉV!$G$2,0,1)+IF(A302&gt;ÉV!$G$2,M301,0)*IF(OR(AND(C302=ÉV!$I$2,D302&gt;ÉV!$J$2),C302&gt;ÉV!$I$2),0,1)</f>
        <v>0</v>
      </c>
      <c r="N302" s="274">
        <f ca="1">IF(AND(C302=1,D302&lt;12),0,1)*IF(D302=12,MAX(0,F302-E302-0.003)*0.9*((K302+I302)*(B302/12)+(J302+H302)*(1-B302/12))+MAX(0,F302-0.003)*0.9*N301+N301,IF(AND(C302=ÉV!$I$2,D302=ÉV!$J$2),(M302+N301)*MAX(0,F302-0.003)*0.9*(D302/12)+N301,N301))*IF(OR(C302&gt;ÉV!$I$2,AND(C302=ÉV!$I$2,D302&gt;ÉV!$J$2)),0,1)</f>
        <v>0</v>
      </c>
      <c r="O302" s="313">
        <f ca="1">IF(MAX(AF$2:AF301)=2,      0,IF(OR(AC302=7, AF302=2),    SUM(AE$2:AE302),    O301)   )</f>
        <v>0</v>
      </c>
      <c r="P302" s="271">
        <f ca="1">IF(D302=12,V302+P301+P301*(F302-0.003)*0.9,IF(AND(C302=ÉV!$I$2,D302=ÉV!$J$2),V302+P301+P301*(F302-0.003)*0.9*D302/12,P301))*IF(OR(C302&gt;ÉV!$I$2,AND(C302=ÉV!$I$2,D302&gt;ÉV!$J$2)),0,1)</f>
        <v>0</v>
      </c>
      <c r="Q302" s="275">
        <f ca="1">(N302+P302)*IF(OR(AND(C302=ÉV!$I$2,D302&gt;ÉV!$J$2),C302&gt;ÉV!$I$2),0,1)</f>
        <v>0</v>
      </c>
      <c r="R302" s="271">
        <f ca="1">(MAX(0,F302-E302-0.003)*0.9*((K302+I302)*(1/12)))*IF(OR(C302&gt;ÉV!$I$2,AND(C302=ÉV!$I$2,D302&gt;ÉV!$J$2)),0,1)</f>
        <v>0</v>
      </c>
      <c r="S302" s="271">
        <f ca="1">(MAX(0,F302-0.003)*0.9*((O302)*(1/12)))*IF(OR(C302&gt;ÉV!$I$2,AND(C302=ÉV!$I$2,D302&gt;ÉV!$J$2)),0,1)</f>
        <v>0</v>
      </c>
      <c r="T302" s="271">
        <f ca="1">(MAX(0,F302-0.003)*0.9*((Q301)*(1/12)))*IF(OR(C302&gt;ÉV!$I$2,AND(C302=ÉV!$I$2,D302&gt;ÉV!$J$2)),0,1)</f>
        <v>0</v>
      </c>
      <c r="U302" s="271">
        <f ca="1">IF($D302=1,R302,R302+U301)*IF(OR(C302&gt;ÉV!$I$2,AND(C302=ÉV!$I$2,D302&gt;ÉV!$J$2)),0,1)</f>
        <v>0</v>
      </c>
      <c r="V302" s="271">
        <f ca="1">IF($D302=1,S302,S302+V301)*IF(OR(C302&gt;ÉV!$I$2,AND(C302=ÉV!$I$2,D302&gt;ÉV!$J$2)),0,1)</f>
        <v>0</v>
      </c>
      <c r="W302" s="271">
        <f ca="1">IF($D302=1,T302,T302+W301)*IF(OR(C302&gt;ÉV!$I$2,AND(C302=ÉV!$I$2,D302&gt;ÉV!$J$2)),0,1)</f>
        <v>0</v>
      </c>
      <c r="X302" s="271">
        <f ca="1">IF(OR(D302=12,AND(C302=ÉV!$I$2,D302=ÉV!$J$2)),SUM(U302:W302)+X301,X301)*IF(OR(C302&gt;ÉV!$I$2,AND(C302=ÉV!$I$2,D302&gt;ÉV!$J$2)),0,1)</f>
        <v>0</v>
      </c>
      <c r="Y302" s="271">
        <f t="shared" ca="1" si="46"/>
        <v>0</v>
      </c>
      <c r="Z302" s="265">
        <f t="shared" si="47"/>
        <v>12</v>
      </c>
      <c r="AA302" s="272">
        <f t="shared" ca="1" si="48"/>
        <v>0</v>
      </c>
      <c r="AB302" s="265">
        <f t="shared" ca="1" si="54"/>
        <v>2042</v>
      </c>
      <c r="AC302" s="265">
        <f t="shared" ca="1" si="55"/>
        <v>3</v>
      </c>
      <c r="AD302" s="276">
        <f ca="1">IF(     OR(               AND(MAX(AF$6:AF302)&lt;2,  AC302=12),                 AF302=2),                   SUMIF(AB:AB,AB302,AA:AA),                       0)</f>
        <v>0</v>
      </c>
      <c r="AE302" s="277">
        <f t="shared" ca="1" si="56"/>
        <v>0</v>
      </c>
      <c r="AF302" s="277">
        <f t="shared" ca="1" si="49"/>
        <v>0</v>
      </c>
      <c r="AG302" s="402">
        <f ca="1">IF(  AND(AC302=AdóHó,   MAX(AF$1:AF301)&lt;2),   SUMIF(AB:AB,AB302-1,AE:AE),0  )
+ IF(AND(AC302&lt;AdóHó,                            AF302=2),   SUMIF(AB:AB,AB302-1,AE:AE),0  )
+ IF(                                                                  AF302=2,    SUMIF(AB:AB,AB302,AE:AE   ),0  )</f>
        <v>0</v>
      </c>
      <c r="AH302" s="272">
        <f ca="1">SUM(AG$2:AG302)</f>
        <v>1139324.2410681627</v>
      </c>
    </row>
    <row r="303" spans="1:34">
      <c r="A303" s="265">
        <f t="shared" si="50"/>
        <v>26</v>
      </c>
      <c r="B303" s="265">
        <f t="shared" si="51"/>
        <v>1</v>
      </c>
      <c r="C303" s="265">
        <f t="shared" ca="1" si="52"/>
        <v>26</v>
      </c>
      <c r="D303" s="265">
        <f t="shared" ca="1" si="53"/>
        <v>4</v>
      </c>
      <c r="E303" s="266">
        <v>5.0000000000000001E-3</v>
      </c>
      <c r="F303" s="267">
        <f>ÉV!$B$12</f>
        <v>0</v>
      </c>
      <c r="G303" s="271">
        <f ca="1">VLOOKUP(A303,ÉV!$A$18:$B$65,2,0)</f>
        <v>0</v>
      </c>
      <c r="H303" s="271">
        <f ca="1">IF(OR(A303=1,AND(C303=ÉV!$I$2,D303&gt;ÉV!$J$2),C303&gt;ÉV!$I$2),0,INDEX(Pz!$B$2:$AM$48,A303-1,ÉV!$G$2-9)/100000*ÉV!$B$10)</f>
        <v>0</v>
      </c>
      <c r="I303" s="271">
        <f ca="1">INDEX(Pz!$B$2:$AM$48,HÓ!A303,ÉV!$G$2-9)/100000*ÉV!$B$10</f>
        <v>0</v>
      </c>
      <c r="J303" s="273">
        <f ca="1">IF(OR(A303=1,A303=2,AND(C303=ÉV!$I$2,D303&gt;ÉV!$J$2),C303&gt;ÉV!$I$2),0,VLOOKUP(A303-2,ÉV!$A$18:$C$65,3,0))</f>
        <v>0</v>
      </c>
      <c r="K303" s="273">
        <f ca="1">IF(OR(A303=1,AND(C303=ÉV!$I$2,D303&gt;ÉV!$J$2),C303&gt;ÉV!$I$2),0,VLOOKUP(A303-1,ÉV!$A$18:$C$65,3,0))</f>
        <v>0</v>
      </c>
      <c r="L303" s="273">
        <f ca="1">VLOOKUP(A303,ÉV!$A$18:$C$65,3,0)*IF(OR(AND(C303=ÉV!$I$2,D303&gt;ÉV!$J$2),C303&gt;ÉV!$I$2),0,1)</f>
        <v>0</v>
      </c>
      <c r="M303" s="273">
        <f ca="1">(K303*(12-B303)/12+L303*B303/12)*IF(A303&gt;ÉV!$G$2,0,1)+IF(A303&gt;ÉV!$G$2,M302,0)*IF(OR(AND(C303=ÉV!$I$2,D303&gt;ÉV!$J$2),C303&gt;ÉV!$I$2),0,1)</f>
        <v>0</v>
      </c>
      <c r="N303" s="274">
        <f ca="1">IF(AND(C303=1,D303&lt;12),0,1)*IF(D303=12,MAX(0,F303-E303-0.003)*0.9*((K303+I303)*(B303/12)+(J303+H303)*(1-B303/12))+MAX(0,F303-0.003)*0.9*N302+N302,IF(AND(C303=ÉV!$I$2,D303=ÉV!$J$2),(M303+N302)*MAX(0,F303-0.003)*0.9*(D303/12)+N302,N302))*IF(OR(C303&gt;ÉV!$I$2,AND(C303=ÉV!$I$2,D303&gt;ÉV!$J$2)),0,1)</f>
        <v>0</v>
      </c>
      <c r="O303" s="313">
        <f ca="1">IF(MAX(AF$2:AF302)=2,      0,IF(OR(AC303=7, AF303=2),    SUM(AE$2:AE303),    O302)   )</f>
        <v>0</v>
      </c>
      <c r="P303" s="271">
        <f ca="1">IF(D303=12,V303+P302+P302*(F303-0.003)*0.9,IF(AND(C303=ÉV!$I$2,D303=ÉV!$J$2),V303+P302+P302*(F303-0.003)*0.9*D303/12,P302))*IF(OR(C303&gt;ÉV!$I$2,AND(C303=ÉV!$I$2,D303&gt;ÉV!$J$2)),0,1)</f>
        <v>0</v>
      </c>
      <c r="Q303" s="275">
        <f ca="1">(N303+P303)*IF(OR(AND(C303=ÉV!$I$2,D303&gt;ÉV!$J$2),C303&gt;ÉV!$I$2),0,1)</f>
        <v>0</v>
      </c>
      <c r="R303" s="271">
        <f ca="1">(MAX(0,F303-E303-0.003)*0.9*((K303+I303)*(1/12)))*IF(OR(C303&gt;ÉV!$I$2,AND(C303=ÉV!$I$2,D303&gt;ÉV!$J$2)),0,1)</f>
        <v>0</v>
      </c>
      <c r="S303" s="271">
        <f ca="1">(MAX(0,F303-0.003)*0.9*((O303)*(1/12)))*IF(OR(C303&gt;ÉV!$I$2,AND(C303=ÉV!$I$2,D303&gt;ÉV!$J$2)),0,1)</f>
        <v>0</v>
      </c>
      <c r="T303" s="271">
        <f ca="1">(MAX(0,F303-0.003)*0.9*((Q302)*(1/12)))*IF(OR(C303&gt;ÉV!$I$2,AND(C303=ÉV!$I$2,D303&gt;ÉV!$J$2)),0,1)</f>
        <v>0</v>
      </c>
      <c r="U303" s="271">
        <f ca="1">IF($D303=1,R303,R303+U302)*IF(OR(C303&gt;ÉV!$I$2,AND(C303=ÉV!$I$2,D303&gt;ÉV!$J$2)),0,1)</f>
        <v>0</v>
      </c>
      <c r="V303" s="271">
        <f ca="1">IF($D303=1,S303,S303+V302)*IF(OR(C303&gt;ÉV!$I$2,AND(C303=ÉV!$I$2,D303&gt;ÉV!$J$2)),0,1)</f>
        <v>0</v>
      </c>
      <c r="W303" s="271">
        <f ca="1">IF($D303=1,T303,T303+W302)*IF(OR(C303&gt;ÉV!$I$2,AND(C303=ÉV!$I$2,D303&gt;ÉV!$J$2)),0,1)</f>
        <v>0</v>
      </c>
      <c r="X303" s="271">
        <f ca="1">IF(OR(D303=12,AND(C303=ÉV!$I$2,D303=ÉV!$J$2)),SUM(U303:W303)+X302,X302)*IF(OR(C303&gt;ÉV!$I$2,AND(C303=ÉV!$I$2,D303&gt;ÉV!$J$2)),0,1)</f>
        <v>0</v>
      </c>
      <c r="Y303" s="271">
        <f t="shared" ca="1" si="46"/>
        <v>0</v>
      </c>
      <c r="Z303" s="265">
        <f t="shared" si="47"/>
        <v>1</v>
      </c>
      <c r="AA303" s="272">
        <f t="shared" ca="1" si="48"/>
        <v>0</v>
      </c>
      <c r="AB303" s="265">
        <f t="shared" ca="1" si="54"/>
        <v>2042</v>
      </c>
      <c r="AC303" s="265">
        <f t="shared" ca="1" si="55"/>
        <v>4</v>
      </c>
      <c r="AD303" s="276">
        <f ca="1">IF(     OR(               AND(MAX(AF$6:AF303)&lt;2,  AC303=12),                 AF303=2),                   SUMIF(AB:AB,AB303,AA:AA),                       0)</f>
        <v>0</v>
      </c>
      <c r="AE303" s="277">
        <f t="shared" ca="1" si="56"/>
        <v>0</v>
      </c>
      <c r="AF303" s="277">
        <f t="shared" ca="1" si="49"/>
        <v>0</v>
      </c>
      <c r="AG303" s="402">
        <f ca="1">IF(  AND(AC303=AdóHó,   MAX(AF$1:AF302)&lt;2),   SUMIF(AB:AB,AB303-1,AE:AE),0  )
+ IF(AND(AC303&lt;AdóHó,                            AF303=2),   SUMIF(AB:AB,AB303-1,AE:AE),0  )
+ IF(                                                                  AF303=2,    SUMIF(AB:AB,AB303,AE:AE   ),0  )</f>
        <v>0</v>
      </c>
      <c r="AH303" s="272">
        <f ca="1">SUM(AG$2:AG303)</f>
        <v>1139324.2410681627</v>
      </c>
    </row>
    <row r="304" spans="1:34">
      <c r="A304" s="265">
        <f t="shared" si="50"/>
        <v>26</v>
      </c>
      <c r="B304" s="265">
        <f t="shared" si="51"/>
        <v>2</v>
      </c>
      <c r="C304" s="265">
        <f t="shared" ca="1" si="52"/>
        <v>26</v>
      </c>
      <c r="D304" s="265">
        <f t="shared" ca="1" si="53"/>
        <v>5</v>
      </c>
      <c r="E304" s="266">
        <v>5.0000000000000001E-3</v>
      </c>
      <c r="F304" s="267">
        <f>ÉV!$B$12</f>
        <v>0</v>
      </c>
      <c r="G304" s="271">
        <f ca="1">VLOOKUP(A304,ÉV!$A$18:$B$65,2,0)</f>
        <v>0</v>
      </c>
      <c r="H304" s="271">
        <f ca="1">IF(OR(A304=1,AND(C304=ÉV!$I$2,D304&gt;ÉV!$J$2),C304&gt;ÉV!$I$2),0,INDEX(Pz!$B$2:$AM$48,A304-1,ÉV!$G$2-9)/100000*ÉV!$B$10)</f>
        <v>0</v>
      </c>
      <c r="I304" s="271">
        <f ca="1">INDEX(Pz!$B$2:$AM$48,HÓ!A304,ÉV!$G$2-9)/100000*ÉV!$B$10</f>
        <v>0</v>
      </c>
      <c r="J304" s="273">
        <f ca="1">IF(OR(A304=1,A304=2,AND(C304=ÉV!$I$2,D304&gt;ÉV!$J$2),C304&gt;ÉV!$I$2),0,VLOOKUP(A304-2,ÉV!$A$18:$C$65,3,0))</f>
        <v>0</v>
      </c>
      <c r="K304" s="273">
        <f ca="1">IF(OR(A304=1,AND(C304=ÉV!$I$2,D304&gt;ÉV!$J$2),C304&gt;ÉV!$I$2),0,VLOOKUP(A304-1,ÉV!$A$18:$C$65,3,0))</f>
        <v>0</v>
      </c>
      <c r="L304" s="273">
        <f ca="1">VLOOKUP(A304,ÉV!$A$18:$C$65,3,0)*IF(OR(AND(C304=ÉV!$I$2,D304&gt;ÉV!$J$2),C304&gt;ÉV!$I$2),0,1)</f>
        <v>0</v>
      </c>
      <c r="M304" s="273">
        <f ca="1">(K304*(12-B304)/12+L304*B304/12)*IF(A304&gt;ÉV!$G$2,0,1)+IF(A304&gt;ÉV!$G$2,M303,0)*IF(OR(AND(C304=ÉV!$I$2,D304&gt;ÉV!$J$2),C304&gt;ÉV!$I$2),0,1)</f>
        <v>0</v>
      </c>
      <c r="N304" s="274">
        <f ca="1">IF(AND(C304=1,D304&lt;12),0,1)*IF(D304=12,MAX(0,F304-E304-0.003)*0.9*((K304+I304)*(B304/12)+(J304+H304)*(1-B304/12))+MAX(0,F304-0.003)*0.9*N303+N303,IF(AND(C304=ÉV!$I$2,D304=ÉV!$J$2),(M304+N303)*MAX(0,F304-0.003)*0.9*(D304/12)+N303,N303))*IF(OR(C304&gt;ÉV!$I$2,AND(C304=ÉV!$I$2,D304&gt;ÉV!$J$2)),0,1)</f>
        <v>0</v>
      </c>
      <c r="O304" s="313">
        <f ca="1">IF(MAX(AF$2:AF303)=2,      0,IF(OR(AC304=7, AF304=2),    SUM(AE$2:AE304),    O303)   )</f>
        <v>0</v>
      </c>
      <c r="P304" s="271">
        <f ca="1">IF(D304=12,V304+P303+P303*(F304-0.003)*0.9,IF(AND(C304=ÉV!$I$2,D304=ÉV!$J$2),V304+P303+P303*(F304-0.003)*0.9*D304/12,P303))*IF(OR(C304&gt;ÉV!$I$2,AND(C304=ÉV!$I$2,D304&gt;ÉV!$J$2)),0,1)</f>
        <v>0</v>
      </c>
      <c r="Q304" s="275">
        <f ca="1">(N304+P304)*IF(OR(AND(C304=ÉV!$I$2,D304&gt;ÉV!$J$2),C304&gt;ÉV!$I$2),0,1)</f>
        <v>0</v>
      </c>
      <c r="R304" s="271">
        <f ca="1">(MAX(0,F304-E304-0.003)*0.9*((K304+I304)*(1/12)))*IF(OR(C304&gt;ÉV!$I$2,AND(C304=ÉV!$I$2,D304&gt;ÉV!$J$2)),0,1)</f>
        <v>0</v>
      </c>
      <c r="S304" s="271">
        <f ca="1">(MAX(0,F304-0.003)*0.9*((O304)*(1/12)))*IF(OR(C304&gt;ÉV!$I$2,AND(C304=ÉV!$I$2,D304&gt;ÉV!$J$2)),0,1)</f>
        <v>0</v>
      </c>
      <c r="T304" s="271">
        <f ca="1">(MAX(0,F304-0.003)*0.9*((Q303)*(1/12)))*IF(OR(C304&gt;ÉV!$I$2,AND(C304=ÉV!$I$2,D304&gt;ÉV!$J$2)),0,1)</f>
        <v>0</v>
      </c>
      <c r="U304" s="271">
        <f ca="1">IF($D304=1,R304,R304+U303)*IF(OR(C304&gt;ÉV!$I$2,AND(C304=ÉV!$I$2,D304&gt;ÉV!$J$2)),0,1)</f>
        <v>0</v>
      </c>
      <c r="V304" s="271">
        <f ca="1">IF($D304=1,S304,S304+V303)*IF(OR(C304&gt;ÉV!$I$2,AND(C304=ÉV!$I$2,D304&gt;ÉV!$J$2)),0,1)</f>
        <v>0</v>
      </c>
      <c r="W304" s="271">
        <f ca="1">IF($D304=1,T304,T304+W303)*IF(OR(C304&gt;ÉV!$I$2,AND(C304=ÉV!$I$2,D304&gt;ÉV!$J$2)),0,1)</f>
        <v>0</v>
      </c>
      <c r="X304" s="271">
        <f ca="1">IF(OR(D304=12,AND(C304=ÉV!$I$2,D304=ÉV!$J$2)),SUM(U304:W304)+X303,X303)*IF(OR(C304&gt;ÉV!$I$2,AND(C304=ÉV!$I$2,D304&gt;ÉV!$J$2)),0,1)</f>
        <v>0</v>
      </c>
      <c r="Y304" s="271">
        <f t="shared" ca="1" si="46"/>
        <v>0</v>
      </c>
      <c r="Z304" s="265">
        <f t="shared" si="47"/>
        <v>2</v>
      </c>
      <c r="AA304" s="272">
        <f t="shared" ca="1" si="48"/>
        <v>0</v>
      </c>
      <c r="AB304" s="265">
        <f t="shared" ca="1" si="54"/>
        <v>2042</v>
      </c>
      <c r="AC304" s="265">
        <f t="shared" ca="1" si="55"/>
        <v>5</v>
      </c>
      <c r="AD304" s="276">
        <f ca="1">IF(     OR(               AND(MAX(AF$6:AF304)&lt;2,  AC304=12),                 AF304=2),                   SUMIF(AB:AB,AB304,AA:AA),                       0)</f>
        <v>0</v>
      </c>
      <c r="AE304" s="277">
        <f t="shared" ca="1" si="56"/>
        <v>0</v>
      </c>
      <c r="AF304" s="277">
        <f t="shared" ca="1" si="49"/>
        <v>0</v>
      </c>
      <c r="AG304" s="402">
        <f ca="1">IF(  AND(AC304=AdóHó,   MAX(AF$1:AF303)&lt;2),   SUMIF(AB:AB,AB304-1,AE:AE),0  )
+ IF(AND(AC304&lt;AdóHó,                            AF304=2),   SUMIF(AB:AB,AB304-1,AE:AE),0  )
+ IF(                                                                  AF304=2,    SUMIF(AB:AB,AB304,AE:AE   ),0  )</f>
        <v>0</v>
      </c>
      <c r="AH304" s="272">
        <f ca="1">SUM(AG$2:AG304)</f>
        <v>1139324.2410681627</v>
      </c>
    </row>
    <row r="305" spans="1:34">
      <c r="A305" s="265">
        <f t="shared" si="50"/>
        <v>26</v>
      </c>
      <c r="B305" s="265">
        <f t="shared" si="51"/>
        <v>3</v>
      </c>
      <c r="C305" s="265">
        <f t="shared" ca="1" si="52"/>
        <v>26</v>
      </c>
      <c r="D305" s="265">
        <f t="shared" ca="1" si="53"/>
        <v>6</v>
      </c>
      <c r="E305" s="266">
        <v>5.0000000000000001E-3</v>
      </c>
      <c r="F305" s="267">
        <f>ÉV!$B$12</f>
        <v>0</v>
      </c>
      <c r="G305" s="271">
        <f ca="1">VLOOKUP(A305,ÉV!$A$18:$B$65,2,0)</f>
        <v>0</v>
      </c>
      <c r="H305" s="271">
        <f ca="1">IF(OR(A305=1,AND(C305=ÉV!$I$2,D305&gt;ÉV!$J$2),C305&gt;ÉV!$I$2),0,INDEX(Pz!$B$2:$AM$48,A305-1,ÉV!$G$2-9)/100000*ÉV!$B$10)</f>
        <v>0</v>
      </c>
      <c r="I305" s="271">
        <f ca="1">INDEX(Pz!$B$2:$AM$48,HÓ!A305,ÉV!$G$2-9)/100000*ÉV!$B$10</f>
        <v>0</v>
      </c>
      <c r="J305" s="273">
        <f ca="1">IF(OR(A305=1,A305=2,AND(C305=ÉV!$I$2,D305&gt;ÉV!$J$2),C305&gt;ÉV!$I$2),0,VLOOKUP(A305-2,ÉV!$A$18:$C$65,3,0))</f>
        <v>0</v>
      </c>
      <c r="K305" s="273">
        <f ca="1">IF(OR(A305=1,AND(C305=ÉV!$I$2,D305&gt;ÉV!$J$2),C305&gt;ÉV!$I$2),0,VLOOKUP(A305-1,ÉV!$A$18:$C$65,3,0))</f>
        <v>0</v>
      </c>
      <c r="L305" s="273">
        <f ca="1">VLOOKUP(A305,ÉV!$A$18:$C$65,3,0)*IF(OR(AND(C305=ÉV!$I$2,D305&gt;ÉV!$J$2),C305&gt;ÉV!$I$2),0,1)</f>
        <v>0</v>
      </c>
      <c r="M305" s="273">
        <f ca="1">(K305*(12-B305)/12+L305*B305/12)*IF(A305&gt;ÉV!$G$2,0,1)+IF(A305&gt;ÉV!$G$2,M304,0)*IF(OR(AND(C305=ÉV!$I$2,D305&gt;ÉV!$J$2),C305&gt;ÉV!$I$2),0,1)</f>
        <v>0</v>
      </c>
      <c r="N305" s="274">
        <f ca="1">IF(AND(C305=1,D305&lt;12),0,1)*IF(D305=12,MAX(0,F305-E305-0.003)*0.9*((K305+I305)*(B305/12)+(J305+H305)*(1-B305/12))+MAX(0,F305-0.003)*0.9*N304+N304,IF(AND(C305=ÉV!$I$2,D305=ÉV!$J$2),(M305+N304)*MAX(0,F305-0.003)*0.9*(D305/12)+N304,N304))*IF(OR(C305&gt;ÉV!$I$2,AND(C305=ÉV!$I$2,D305&gt;ÉV!$J$2)),0,1)</f>
        <v>0</v>
      </c>
      <c r="O305" s="313">
        <f ca="1">IF(MAX(AF$2:AF304)=2,      0,IF(OR(AC305=7, AF305=2),    SUM(AE$2:AE305),    O304)   )</f>
        <v>0</v>
      </c>
      <c r="P305" s="271">
        <f ca="1">IF(D305=12,V305+P304+P304*(F305-0.003)*0.9,IF(AND(C305=ÉV!$I$2,D305=ÉV!$J$2),V305+P304+P304*(F305-0.003)*0.9*D305/12,P304))*IF(OR(C305&gt;ÉV!$I$2,AND(C305=ÉV!$I$2,D305&gt;ÉV!$J$2)),0,1)</f>
        <v>0</v>
      </c>
      <c r="Q305" s="275">
        <f ca="1">(N305+P305)*IF(OR(AND(C305=ÉV!$I$2,D305&gt;ÉV!$J$2),C305&gt;ÉV!$I$2),0,1)</f>
        <v>0</v>
      </c>
      <c r="R305" s="271">
        <f ca="1">(MAX(0,F305-E305-0.003)*0.9*((K305+I305)*(1/12)))*IF(OR(C305&gt;ÉV!$I$2,AND(C305=ÉV!$I$2,D305&gt;ÉV!$J$2)),0,1)</f>
        <v>0</v>
      </c>
      <c r="S305" s="271">
        <f ca="1">(MAX(0,F305-0.003)*0.9*((O305)*(1/12)))*IF(OR(C305&gt;ÉV!$I$2,AND(C305=ÉV!$I$2,D305&gt;ÉV!$J$2)),0,1)</f>
        <v>0</v>
      </c>
      <c r="T305" s="271">
        <f ca="1">(MAX(0,F305-0.003)*0.9*((Q304)*(1/12)))*IF(OR(C305&gt;ÉV!$I$2,AND(C305=ÉV!$I$2,D305&gt;ÉV!$J$2)),0,1)</f>
        <v>0</v>
      </c>
      <c r="U305" s="271">
        <f ca="1">IF($D305=1,R305,R305+U304)*IF(OR(C305&gt;ÉV!$I$2,AND(C305=ÉV!$I$2,D305&gt;ÉV!$J$2)),0,1)</f>
        <v>0</v>
      </c>
      <c r="V305" s="271">
        <f ca="1">IF($D305=1,S305,S305+V304)*IF(OR(C305&gt;ÉV!$I$2,AND(C305=ÉV!$I$2,D305&gt;ÉV!$J$2)),0,1)</f>
        <v>0</v>
      </c>
      <c r="W305" s="271">
        <f ca="1">IF($D305=1,T305,T305+W304)*IF(OR(C305&gt;ÉV!$I$2,AND(C305=ÉV!$I$2,D305&gt;ÉV!$J$2)),0,1)</f>
        <v>0</v>
      </c>
      <c r="X305" s="271">
        <f ca="1">IF(OR(D305=12,AND(C305=ÉV!$I$2,D305=ÉV!$J$2)),SUM(U305:W305)+X304,X304)*IF(OR(C305&gt;ÉV!$I$2,AND(C305=ÉV!$I$2,D305&gt;ÉV!$J$2)),0,1)</f>
        <v>0</v>
      </c>
      <c r="Y305" s="271">
        <f t="shared" ca="1" si="46"/>
        <v>0</v>
      </c>
      <c r="Z305" s="265">
        <f t="shared" si="47"/>
        <v>3</v>
      </c>
      <c r="AA305" s="272">
        <f t="shared" ca="1" si="48"/>
        <v>0</v>
      </c>
      <c r="AB305" s="265">
        <f t="shared" ca="1" si="54"/>
        <v>2042</v>
      </c>
      <c r="AC305" s="265">
        <f t="shared" ca="1" si="55"/>
        <v>6</v>
      </c>
      <c r="AD305" s="276">
        <f ca="1">IF(     OR(               AND(MAX(AF$6:AF305)&lt;2,  AC305=12),                 AF305=2),                   SUMIF(AB:AB,AB305,AA:AA),                       0)</f>
        <v>0</v>
      </c>
      <c r="AE305" s="277">
        <f t="shared" ca="1" si="56"/>
        <v>0</v>
      </c>
      <c r="AF305" s="277">
        <f t="shared" ca="1" si="49"/>
        <v>0</v>
      </c>
      <c r="AG305" s="402">
        <f ca="1">IF(  AND(AC305=AdóHó,   MAX(AF$1:AF304)&lt;2),   SUMIF(AB:AB,AB305-1,AE:AE),0  )
+ IF(AND(AC305&lt;AdóHó,                            AF305=2),   SUMIF(AB:AB,AB305-1,AE:AE),0  )
+ IF(                                                                  AF305=2,    SUMIF(AB:AB,AB305,AE:AE   ),0  )</f>
        <v>0</v>
      </c>
      <c r="AH305" s="272">
        <f ca="1">SUM(AG$2:AG305)</f>
        <v>1139324.2410681627</v>
      </c>
    </row>
    <row r="306" spans="1:34">
      <c r="A306" s="265">
        <f t="shared" si="50"/>
        <v>26</v>
      </c>
      <c r="B306" s="265">
        <f t="shared" si="51"/>
        <v>4</v>
      </c>
      <c r="C306" s="265">
        <f t="shared" ca="1" si="52"/>
        <v>26</v>
      </c>
      <c r="D306" s="265">
        <f t="shared" ca="1" si="53"/>
        <v>7</v>
      </c>
      <c r="E306" s="266">
        <v>5.0000000000000001E-3</v>
      </c>
      <c r="F306" s="267">
        <f>ÉV!$B$12</f>
        <v>0</v>
      </c>
      <c r="G306" s="271">
        <f ca="1">VLOOKUP(A306,ÉV!$A$18:$B$65,2,0)</f>
        <v>0</v>
      </c>
      <c r="H306" s="271">
        <f ca="1">IF(OR(A306=1,AND(C306=ÉV!$I$2,D306&gt;ÉV!$J$2),C306&gt;ÉV!$I$2),0,INDEX(Pz!$B$2:$AM$48,A306-1,ÉV!$G$2-9)/100000*ÉV!$B$10)</f>
        <v>0</v>
      </c>
      <c r="I306" s="271">
        <f ca="1">INDEX(Pz!$B$2:$AM$48,HÓ!A306,ÉV!$G$2-9)/100000*ÉV!$B$10</f>
        <v>0</v>
      </c>
      <c r="J306" s="273">
        <f ca="1">IF(OR(A306=1,A306=2,AND(C306=ÉV!$I$2,D306&gt;ÉV!$J$2),C306&gt;ÉV!$I$2),0,VLOOKUP(A306-2,ÉV!$A$18:$C$65,3,0))</f>
        <v>0</v>
      </c>
      <c r="K306" s="273">
        <f ca="1">IF(OR(A306=1,AND(C306=ÉV!$I$2,D306&gt;ÉV!$J$2),C306&gt;ÉV!$I$2),0,VLOOKUP(A306-1,ÉV!$A$18:$C$65,3,0))</f>
        <v>0</v>
      </c>
      <c r="L306" s="273">
        <f ca="1">VLOOKUP(A306,ÉV!$A$18:$C$65,3,0)*IF(OR(AND(C306=ÉV!$I$2,D306&gt;ÉV!$J$2),C306&gt;ÉV!$I$2),0,1)</f>
        <v>0</v>
      </c>
      <c r="M306" s="273">
        <f ca="1">(K306*(12-B306)/12+L306*B306/12)*IF(A306&gt;ÉV!$G$2,0,1)+IF(A306&gt;ÉV!$G$2,M305,0)*IF(OR(AND(C306=ÉV!$I$2,D306&gt;ÉV!$J$2),C306&gt;ÉV!$I$2),0,1)</f>
        <v>0</v>
      </c>
      <c r="N306" s="274">
        <f ca="1">IF(AND(C306=1,D306&lt;12),0,1)*IF(D306=12,MAX(0,F306-E306-0.003)*0.9*((K306+I306)*(B306/12)+(J306+H306)*(1-B306/12))+MAX(0,F306-0.003)*0.9*N305+N305,IF(AND(C306=ÉV!$I$2,D306=ÉV!$J$2),(M306+N305)*MAX(0,F306-0.003)*0.9*(D306/12)+N305,N305))*IF(OR(C306&gt;ÉV!$I$2,AND(C306=ÉV!$I$2,D306&gt;ÉV!$J$2)),0,1)</f>
        <v>0</v>
      </c>
      <c r="O306" s="313">
        <f ca="1">IF(MAX(AF$2:AF305)=2,      0,IF(OR(AC306=7, AF306=2),    SUM(AE$2:AE306),    O305)   )</f>
        <v>0</v>
      </c>
      <c r="P306" s="271">
        <f ca="1">IF(D306=12,V306+P305+P305*(F306-0.003)*0.9,IF(AND(C306=ÉV!$I$2,D306=ÉV!$J$2),V306+P305+P305*(F306-0.003)*0.9*D306/12,P305))*IF(OR(C306&gt;ÉV!$I$2,AND(C306=ÉV!$I$2,D306&gt;ÉV!$J$2)),0,1)</f>
        <v>0</v>
      </c>
      <c r="Q306" s="275">
        <f ca="1">(N306+P306)*IF(OR(AND(C306=ÉV!$I$2,D306&gt;ÉV!$J$2),C306&gt;ÉV!$I$2),0,1)</f>
        <v>0</v>
      </c>
      <c r="R306" s="271">
        <f ca="1">(MAX(0,F306-E306-0.003)*0.9*((K306+I306)*(1/12)))*IF(OR(C306&gt;ÉV!$I$2,AND(C306=ÉV!$I$2,D306&gt;ÉV!$J$2)),0,1)</f>
        <v>0</v>
      </c>
      <c r="S306" s="271">
        <f ca="1">(MAX(0,F306-0.003)*0.9*((O306)*(1/12)))*IF(OR(C306&gt;ÉV!$I$2,AND(C306=ÉV!$I$2,D306&gt;ÉV!$J$2)),0,1)</f>
        <v>0</v>
      </c>
      <c r="T306" s="271">
        <f ca="1">(MAX(0,F306-0.003)*0.9*((Q305)*(1/12)))*IF(OR(C306&gt;ÉV!$I$2,AND(C306=ÉV!$I$2,D306&gt;ÉV!$J$2)),0,1)</f>
        <v>0</v>
      </c>
      <c r="U306" s="271">
        <f ca="1">IF($D306=1,R306,R306+U305)*IF(OR(C306&gt;ÉV!$I$2,AND(C306=ÉV!$I$2,D306&gt;ÉV!$J$2)),0,1)</f>
        <v>0</v>
      </c>
      <c r="V306" s="271">
        <f ca="1">IF($D306=1,S306,S306+V305)*IF(OR(C306&gt;ÉV!$I$2,AND(C306=ÉV!$I$2,D306&gt;ÉV!$J$2)),0,1)</f>
        <v>0</v>
      </c>
      <c r="W306" s="271">
        <f ca="1">IF($D306=1,T306,T306+W305)*IF(OR(C306&gt;ÉV!$I$2,AND(C306=ÉV!$I$2,D306&gt;ÉV!$J$2)),0,1)</f>
        <v>0</v>
      </c>
      <c r="X306" s="271">
        <f ca="1">IF(OR(D306=12,AND(C306=ÉV!$I$2,D306=ÉV!$J$2)),SUM(U306:W306)+X305,X305)*IF(OR(C306&gt;ÉV!$I$2,AND(C306=ÉV!$I$2,D306&gt;ÉV!$J$2)),0,1)</f>
        <v>0</v>
      </c>
      <c r="Y306" s="271">
        <f t="shared" ca="1" si="46"/>
        <v>0</v>
      </c>
      <c r="Z306" s="265">
        <f t="shared" si="47"/>
        <v>4</v>
      </c>
      <c r="AA306" s="272">
        <f t="shared" ca="1" si="48"/>
        <v>0</v>
      </c>
      <c r="AB306" s="265">
        <f t="shared" ca="1" si="54"/>
        <v>2042</v>
      </c>
      <c r="AC306" s="265">
        <f t="shared" ca="1" si="55"/>
        <v>7</v>
      </c>
      <c r="AD306" s="276">
        <f ca="1">IF(     OR(               AND(MAX(AF$6:AF306)&lt;2,  AC306=12),                 AF306=2),                   SUMIF(AB:AB,AB306,AA:AA),                       0)</f>
        <v>0</v>
      </c>
      <c r="AE306" s="277">
        <f t="shared" ca="1" si="56"/>
        <v>0</v>
      </c>
      <c r="AF306" s="277">
        <f t="shared" ca="1" si="49"/>
        <v>0</v>
      </c>
      <c r="AG306" s="402">
        <f ca="1">IF(  AND(AC306=AdóHó,   MAX(AF$1:AF305)&lt;2),   SUMIF(AB:AB,AB306-1,AE:AE),0  )
+ IF(AND(AC306&lt;AdóHó,                            AF306=2),   SUMIF(AB:AB,AB306-1,AE:AE),0  )
+ IF(                                                                  AF306=2,    SUMIF(AB:AB,AB306,AE:AE   ),0  )</f>
        <v>0</v>
      </c>
      <c r="AH306" s="272">
        <f ca="1">SUM(AG$2:AG306)</f>
        <v>1139324.2410681627</v>
      </c>
    </row>
    <row r="307" spans="1:34">
      <c r="A307" s="265">
        <f t="shared" si="50"/>
        <v>26</v>
      </c>
      <c r="B307" s="265">
        <f t="shared" si="51"/>
        <v>5</v>
      </c>
      <c r="C307" s="265">
        <f t="shared" ca="1" si="52"/>
        <v>26</v>
      </c>
      <c r="D307" s="265">
        <f t="shared" ca="1" si="53"/>
        <v>8</v>
      </c>
      <c r="E307" s="266">
        <v>5.0000000000000001E-3</v>
      </c>
      <c r="F307" s="267">
        <f>ÉV!$B$12</f>
        <v>0</v>
      </c>
      <c r="G307" s="271">
        <f ca="1">VLOOKUP(A307,ÉV!$A$18:$B$65,2,0)</f>
        <v>0</v>
      </c>
      <c r="H307" s="271">
        <f ca="1">IF(OR(A307=1,AND(C307=ÉV!$I$2,D307&gt;ÉV!$J$2),C307&gt;ÉV!$I$2),0,INDEX(Pz!$B$2:$AM$48,A307-1,ÉV!$G$2-9)/100000*ÉV!$B$10)</f>
        <v>0</v>
      </c>
      <c r="I307" s="271">
        <f ca="1">INDEX(Pz!$B$2:$AM$48,HÓ!A307,ÉV!$G$2-9)/100000*ÉV!$B$10</f>
        <v>0</v>
      </c>
      <c r="J307" s="273">
        <f ca="1">IF(OR(A307=1,A307=2,AND(C307=ÉV!$I$2,D307&gt;ÉV!$J$2),C307&gt;ÉV!$I$2),0,VLOOKUP(A307-2,ÉV!$A$18:$C$65,3,0))</f>
        <v>0</v>
      </c>
      <c r="K307" s="273">
        <f ca="1">IF(OR(A307=1,AND(C307=ÉV!$I$2,D307&gt;ÉV!$J$2),C307&gt;ÉV!$I$2),0,VLOOKUP(A307-1,ÉV!$A$18:$C$65,3,0))</f>
        <v>0</v>
      </c>
      <c r="L307" s="273">
        <f ca="1">VLOOKUP(A307,ÉV!$A$18:$C$65,3,0)*IF(OR(AND(C307=ÉV!$I$2,D307&gt;ÉV!$J$2),C307&gt;ÉV!$I$2),0,1)</f>
        <v>0</v>
      </c>
      <c r="M307" s="273">
        <f ca="1">(K307*(12-B307)/12+L307*B307/12)*IF(A307&gt;ÉV!$G$2,0,1)+IF(A307&gt;ÉV!$G$2,M306,0)*IF(OR(AND(C307=ÉV!$I$2,D307&gt;ÉV!$J$2),C307&gt;ÉV!$I$2),0,1)</f>
        <v>0</v>
      </c>
      <c r="N307" s="274">
        <f ca="1">IF(AND(C307=1,D307&lt;12),0,1)*IF(D307=12,MAX(0,F307-E307-0.003)*0.9*((K307+I307)*(B307/12)+(J307+H307)*(1-B307/12))+MAX(0,F307-0.003)*0.9*N306+N306,IF(AND(C307=ÉV!$I$2,D307=ÉV!$J$2),(M307+N306)*MAX(0,F307-0.003)*0.9*(D307/12)+N306,N306))*IF(OR(C307&gt;ÉV!$I$2,AND(C307=ÉV!$I$2,D307&gt;ÉV!$J$2)),0,1)</f>
        <v>0</v>
      </c>
      <c r="O307" s="313">
        <f ca="1">IF(MAX(AF$2:AF306)=2,      0,IF(OR(AC307=7, AF307=2),    SUM(AE$2:AE307),    O306)   )</f>
        <v>0</v>
      </c>
      <c r="P307" s="271">
        <f ca="1">IF(D307=12,V307+P306+P306*(F307-0.003)*0.9,IF(AND(C307=ÉV!$I$2,D307=ÉV!$J$2),V307+P306+P306*(F307-0.003)*0.9*D307/12,P306))*IF(OR(C307&gt;ÉV!$I$2,AND(C307=ÉV!$I$2,D307&gt;ÉV!$J$2)),0,1)</f>
        <v>0</v>
      </c>
      <c r="Q307" s="275">
        <f ca="1">(N307+P307)*IF(OR(AND(C307=ÉV!$I$2,D307&gt;ÉV!$J$2),C307&gt;ÉV!$I$2),0,1)</f>
        <v>0</v>
      </c>
      <c r="R307" s="271">
        <f ca="1">(MAX(0,F307-E307-0.003)*0.9*((K307+I307)*(1/12)))*IF(OR(C307&gt;ÉV!$I$2,AND(C307=ÉV!$I$2,D307&gt;ÉV!$J$2)),0,1)</f>
        <v>0</v>
      </c>
      <c r="S307" s="271">
        <f ca="1">(MAX(0,F307-0.003)*0.9*((O307)*(1/12)))*IF(OR(C307&gt;ÉV!$I$2,AND(C307=ÉV!$I$2,D307&gt;ÉV!$J$2)),0,1)</f>
        <v>0</v>
      </c>
      <c r="T307" s="271">
        <f ca="1">(MAX(0,F307-0.003)*0.9*((Q306)*(1/12)))*IF(OR(C307&gt;ÉV!$I$2,AND(C307=ÉV!$I$2,D307&gt;ÉV!$J$2)),0,1)</f>
        <v>0</v>
      </c>
      <c r="U307" s="271">
        <f ca="1">IF($D307=1,R307,R307+U306)*IF(OR(C307&gt;ÉV!$I$2,AND(C307=ÉV!$I$2,D307&gt;ÉV!$J$2)),0,1)</f>
        <v>0</v>
      </c>
      <c r="V307" s="271">
        <f ca="1">IF($D307=1,S307,S307+V306)*IF(OR(C307&gt;ÉV!$I$2,AND(C307=ÉV!$I$2,D307&gt;ÉV!$J$2)),0,1)</f>
        <v>0</v>
      </c>
      <c r="W307" s="271">
        <f ca="1">IF($D307=1,T307,T307+W306)*IF(OR(C307&gt;ÉV!$I$2,AND(C307=ÉV!$I$2,D307&gt;ÉV!$J$2)),0,1)</f>
        <v>0</v>
      </c>
      <c r="X307" s="271">
        <f ca="1">IF(OR(D307=12,AND(C307=ÉV!$I$2,D307=ÉV!$J$2)),SUM(U307:W307)+X306,X306)*IF(OR(C307&gt;ÉV!$I$2,AND(C307=ÉV!$I$2,D307&gt;ÉV!$J$2)),0,1)</f>
        <v>0</v>
      </c>
      <c r="Y307" s="271">
        <f t="shared" ca="1" si="46"/>
        <v>0</v>
      </c>
      <c r="Z307" s="265">
        <f t="shared" si="47"/>
        <v>5</v>
      </c>
      <c r="AA307" s="272">
        <f t="shared" ca="1" si="48"/>
        <v>0</v>
      </c>
      <c r="AB307" s="265">
        <f t="shared" ca="1" si="54"/>
        <v>2042</v>
      </c>
      <c r="AC307" s="265">
        <f t="shared" ca="1" si="55"/>
        <v>8</v>
      </c>
      <c r="AD307" s="276">
        <f ca="1">IF(     OR(               AND(MAX(AF$6:AF307)&lt;2,  AC307=12),                 AF307=2),                   SUMIF(AB:AB,AB307,AA:AA),                       0)</f>
        <v>0</v>
      </c>
      <c r="AE307" s="277">
        <f t="shared" ca="1" si="56"/>
        <v>0</v>
      </c>
      <c r="AF307" s="277">
        <f t="shared" ca="1" si="49"/>
        <v>0</v>
      </c>
      <c r="AG307" s="402">
        <f ca="1">IF(  AND(AC307=AdóHó,   MAX(AF$1:AF306)&lt;2),   SUMIF(AB:AB,AB307-1,AE:AE),0  )
+ IF(AND(AC307&lt;AdóHó,                            AF307=2),   SUMIF(AB:AB,AB307-1,AE:AE),0  )
+ IF(                                                                  AF307=2,    SUMIF(AB:AB,AB307,AE:AE   ),0  )</f>
        <v>0</v>
      </c>
      <c r="AH307" s="272">
        <f ca="1">SUM(AG$2:AG307)</f>
        <v>1139324.2410681627</v>
      </c>
    </row>
    <row r="308" spans="1:34">
      <c r="A308" s="265">
        <f t="shared" si="50"/>
        <v>26</v>
      </c>
      <c r="B308" s="265">
        <f t="shared" si="51"/>
        <v>6</v>
      </c>
      <c r="C308" s="265">
        <f t="shared" ca="1" si="52"/>
        <v>26</v>
      </c>
      <c r="D308" s="265">
        <f t="shared" ca="1" si="53"/>
        <v>9</v>
      </c>
      <c r="E308" s="266">
        <v>5.0000000000000001E-3</v>
      </c>
      <c r="F308" s="267">
        <f>ÉV!$B$12</f>
        <v>0</v>
      </c>
      <c r="G308" s="271">
        <f ca="1">VLOOKUP(A308,ÉV!$A$18:$B$65,2,0)</f>
        <v>0</v>
      </c>
      <c r="H308" s="271">
        <f ca="1">IF(OR(A308=1,AND(C308=ÉV!$I$2,D308&gt;ÉV!$J$2),C308&gt;ÉV!$I$2),0,INDEX(Pz!$B$2:$AM$48,A308-1,ÉV!$G$2-9)/100000*ÉV!$B$10)</f>
        <v>0</v>
      </c>
      <c r="I308" s="271">
        <f ca="1">INDEX(Pz!$B$2:$AM$48,HÓ!A308,ÉV!$G$2-9)/100000*ÉV!$B$10</f>
        <v>0</v>
      </c>
      <c r="J308" s="273">
        <f ca="1">IF(OR(A308=1,A308=2,AND(C308=ÉV!$I$2,D308&gt;ÉV!$J$2),C308&gt;ÉV!$I$2),0,VLOOKUP(A308-2,ÉV!$A$18:$C$65,3,0))</f>
        <v>0</v>
      </c>
      <c r="K308" s="273">
        <f ca="1">IF(OR(A308=1,AND(C308=ÉV!$I$2,D308&gt;ÉV!$J$2),C308&gt;ÉV!$I$2),0,VLOOKUP(A308-1,ÉV!$A$18:$C$65,3,0))</f>
        <v>0</v>
      </c>
      <c r="L308" s="273">
        <f ca="1">VLOOKUP(A308,ÉV!$A$18:$C$65,3,0)*IF(OR(AND(C308=ÉV!$I$2,D308&gt;ÉV!$J$2),C308&gt;ÉV!$I$2),0,1)</f>
        <v>0</v>
      </c>
      <c r="M308" s="273">
        <f ca="1">(K308*(12-B308)/12+L308*B308/12)*IF(A308&gt;ÉV!$G$2,0,1)+IF(A308&gt;ÉV!$G$2,M307,0)*IF(OR(AND(C308=ÉV!$I$2,D308&gt;ÉV!$J$2),C308&gt;ÉV!$I$2),0,1)</f>
        <v>0</v>
      </c>
      <c r="N308" s="274">
        <f ca="1">IF(AND(C308=1,D308&lt;12),0,1)*IF(D308=12,MAX(0,F308-E308-0.003)*0.9*((K308+I308)*(B308/12)+(J308+H308)*(1-B308/12))+MAX(0,F308-0.003)*0.9*N307+N307,IF(AND(C308=ÉV!$I$2,D308=ÉV!$J$2),(M308+N307)*MAX(0,F308-0.003)*0.9*(D308/12)+N307,N307))*IF(OR(C308&gt;ÉV!$I$2,AND(C308=ÉV!$I$2,D308&gt;ÉV!$J$2)),0,1)</f>
        <v>0</v>
      </c>
      <c r="O308" s="313">
        <f ca="1">IF(MAX(AF$2:AF307)=2,      0,IF(OR(AC308=7, AF308=2),    SUM(AE$2:AE308),    O307)   )</f>
        <v>0</v>
      </c>
      <c r="P308" s="271">
        <f ca="1">IF(D308=12,V308+P307+P307*(F308-0.003)*0.9,IF(AND(C308=ÉV!$I$2,D308=ÉV!$J$2),V308+P307+P307*(F308-0.003)*0.9*D308/12,P307))*IF(OR(C308&gt;ÉV!$I$2,AND(C308=ÉV!$I$2,D308&gt;ÉV!$J$2)),0,1)</f>
        <v>0</v>
      </c>
      <c r="Q308" s="275">
        <f ca="1">(N308+P308)*IF(OR(AND(C308=ÉV!$I$2,D308&gt;ÉV!$J$2),C308&gt;ÉV!$I$2),0,1)</f>
        <v>0</v>
      </c>
      <c r="R308" s="271">
        <f ca="1">(MAX(0,F308-E308-0.003)*0.9*((K308+I308)*(1/12)))*IF(OR(C308&gt;ÉV!$I$2,AND(C308=ÉV!$I$2,D308&gt;ÉV!$J$2)),0,1)</f>
        <v>0</v>
      </c>
      <c r="S308" s="271">
        <f ca="1">(MAX(0,F308-0.003)*0.9*((O308)*(1/12)))*IF(OR(C308&gt;ÉV!$I$2,AND(C308=ÉV!$I$2,D308&gt;ÉV!$J$2)),0,1)</f>
        <v>0</v>
      </c>
      <c r="T308" s="271">
        <f ca="1">(MAX(0,F308-0.003)*0.9*((Q307)*(1/12)))*IF(OR(C308&gt;ÉV!$I$2,AND(C308=ÉV!$I$2,D308&gt;ÉV!$J$2)),0,1)</f>
        <v>0</v>
      </c>
      <c r="U308" s="271">
        <f ca="1">IF($D308=1,R308,R308+U307)*IF(OR(C308&gt;ÉV!$I$2,AND(C308=ÉV!$I$2,D308&gt;ÉV!$J$2)),0,1)</f>
        <v>0</v>
      </c>
      <c r="V308" s="271">
        <f ca="1">IF($D308=1,S308,S308+V307)*IF(OR(C308&gt;ÉV!$I$2,AND(C308=ÉV!$I$2,D308&gt;ÉV!$J$2)),0,1)</f>
        <v>0</v>
      </c>
      <c r="W308" s="271">
        <f ca="1">IF($D308=1,T308,T308+W307)*IF(OR(C308&gt;ÉV!$I$2,AND(C308=ÉV!$I$2,D308&gt;ÉV!$J$2)),0,1)</f>
        <v>0</v>
      </c>
      <c r="X308" s="271">
        <f ca="1">IF(OR(D308=12,AND(C308=ÉV!$I$2,D308=ÉV!$J$2)),SUM(U308:W308)+X307,X307)*IF(OR(C308&gt;ÉV!$I$2,AND(C308=ÉV!$I$2,D308&gt;ÉV!$J$2)),0,1)</f>
        <v>0</v>
      </c>
      <c r="Y308" s="271">
        <f t="shared" ca="1" si="46"/>
        <v>0</v>
      </c>
      <c r="Z308" s="265">
        <f t="shared" si="47"/>
        <v>6</v>
      </c>
      <c r="AA308" s="272">
        <f t="shared" ca="1" si="48"/>
        <v>0</v>
      </c>
      <c r="AB308" s="265">
        <f t="shared" ca="1" si="54"/>
        <v>2042</v>
      </c>
      <c r="AC308" s="265">
        <f t="shared" ca="1" si="55"/>
        <v>9</v>
      </c>
      <c r="AD308" s="276">
        <f ca="1">IF(     OR(               AND(MAX(AF$6:AF308)&lt;2,  AC308=12),                 AF308=2),                   SUMIF(AB:AB,AB308,AA:AA),                       0)</f>
        <v>0</v>
      </c>
      <c r="AE308" s="277">
        <f t="shared" ca="1" si="56"/>
        <v>0</v>
      </c>
      <c r="AF308" s="277">
        <f t="shared" ca="1" si="49"/>
        <v>0</v>
      </c>
      <c r="AG308" s="402">
        <f ca="1">IF(  AND(AC308=AdóHó,   MAX(AF$1:AF307)&lt;2),   SUMIF(AB:AB,AB308-1,AE:AE),0  )
+ IF(AND(AC308&lt;AdóHó,                            AF308=2),   SUMIF(AB:AB,AB308-1,AE:AE),0  )
+ IF(                                                                  AF308=2,    SUMIF(AB:AB,AB308,AE:AE   ),0  )</f>
        <v>0</v>
      </c>
      <c r="AH308" s="272">
        <f ca="1">SUM(AG$2:AG308)</f>
        <v>1139324.2410681627</v>
      </c>
    </row>
    <row r="309" spans="1:34">
      <c r="A309" s="265">
        <f t="shared" si="50"/>
        <v>26</v>
      </c>
      <c r="B309" s="265">
        <f t="shared" si="51"/>
        <v>7</v>
      </c>
      <c r="C309" s="265">
        <f t="shared" ca="1" si="52"/>
        <v>26</v>
      </c>
      <c r="D309" s="265">
        <f t="shared" ca="1" si="53"/>
        <v>10</v>
      </c>
      <c r="E309" s="266">
        <v>5.0000000000000001E-3</v>
      </c>
      <c r="F309" s="267">
        <f>ÉV!$B$12</f>
        <v>0</v>
      </c>
      <c r="G309" s="271">
        <f ca="1">VLOOKUP(A309,ÉV!$A$18:$B$65,2,0)</f>
        <v>0</v>
      </c>
      <c r="H309" s="271">
        <f ca="1">IF(OR(A309=1,AND(C309=ÉV!$I$2,D309&gt;ÉV!$J$2),C309&gt;ÉV!$I$2),0,INDEX(Pz!$B$2:$AM$48,A309-1,ÉV!$G$2-9)/100000*ÉV!$B$10)</f>
        <v>0</v>
      </c>
      <c r="I309" s="271">
        <f ca="1">INDEX(Pz!$B$2:$AM$48,HÓ!A309,ÉV!$G$2-9)/100000*ÉV!$B$10</f>
        <v>0</v>
      </c>
      <c r="J309" s="273">
        <f ca="1">IF(OR(A309=1,A309=2,AND(C309=ÉV!$I$2,D309&gt;ÉV!$J$2),C309&gt;ÉV!$I$2),0,VLOOKUP(A309-2,ÉV!$A$18:$C$65,3,0))</f>
        <v>0</v>
      </c>
      <c r="K309" s="273">
        <f ca="1">IF(OR(A309=1,AND(C309=ÉV!$I$2,D309&gt;ÉV!$J$2),C309&gt;ÉV!$I$2),0,VLOOKUP(A309-1,ÉV!$A$18:$C$65,3,0))</f>
        <v>0</v>
      </c>
      <c r="L309" s="273">
        <f ca="1">VLOOKUP(A309,ÉV!$A$18:$C$65,3,0)*IF(OR(AND(C309=ÉV!$I$2,D309&gt;ÉV!$J$2),C309&gt;ÉV!$I$2),0,1)</f>
        <v>0</v>
      </c>
      <c r="M309" s="273">
        <f ca="1">(K309*(12-B309)/12+L309*B309/12)*IF(A309&gt;ÉV!$G$2,0,1)+IF(A309&gt;ÉV!$G$2,M308,0)*IF(OR(AND(C309=ÉV!$I$2,D309&gt;ÉV!$J$2),C309&gt;ÉV!$I$2),0,1)</f>
        <v>0</v>
      </c>
      <c r="N309" s="274">
        <f ca="1">IF(AND(C309=1,D309&lt;12),0,1)*IF(D309=12,MAX(0,F309-E309-0.003)*0.9*((K309+I309)*(B309/12)+(J309+H309)*(1-B309/12))+MAX(0,F309-0.003)*0.9*N308+N308,IF(AND(C309=ÉV!$I$2,D309=ÉV!$J$2),(M309+N308)*MAX(0,F309-0.003)*0.9*(D309/12)+N308,N308))*IF(OR(C309&gt;ÉV!$I$2,AND(C309=ÉV!$I$2,D309&gt;ÉV!$J$2)),0,1)</f>
        <v>0</v>
      </c>
      <c r="O309" s="313">
        <f ca="1">IF(MAX(AF$2:AF308)=2,      0,IF(OR(AC309=7, AF309=2),    SUM(AE$2:AE309),    O308)   )</f>
        <v>0</v>
      </c>
      <c r="P309" s="271">
        <f ca="1">IF(D309=12,V309+P308+P308*(F309-0.003)*0.9,IF(AND(C309=ÉV!$I$2,D309=ÉV!$J$2),V309+P308+P308*(F309-0.003)*0.9*D309/12,P308))*IF(OR(C309&gt;ÉV!$I$2,AND(C309=ÉV!$I$2,D309&gt;ÉV!$J$2)),0,1)</f>
        <v>0</v>
      </c>
      <c r="Q309" s="275">
        <f ca="1">(N309+P309)*IF(OR(AND(C309=ÉV!$I$2,D309&gt;ÉV!$J$2),C309&gt;ÉV!$I$2),0,1)</f>
        <v>0</v>
      </c>
      <c r="R309" s="271">
        <f ca="1">(MAX(0,F309-E309-0.003)*0.9*((K309+I309)*(1/12)))*IF(OR(C309&gt;ÉV!$I$2,AND(C309=ÉV!$I$2,D309&gt;ÉV!$J$2)),0,1)</f>
        <v>0</v>
      </c>
      <c r="S309" s="271">
        <f ca="1">(MAX(0,F309-0.003)*0.9*((O309)*(1/12)))*IF(OR(C309&gt;ÉV!$I$2,AND(C309=ÉV!$I$2,D309&gt;ÉV!$J$2)),0,1)</f>
        <v>0</v>
      </c>
      <c r="T309" s="271">
        <f ca="1">(MAX(0,F309-0.003)*0.9*((Q308)*(1/12)))*IF(OR(C309&gt;ÉV!$I$2,AND(C309=ÉV!$I$2,D309&gt;ÉV!$J$2)),0,1)</f>
        <v>0</v>
      </c>
      <c r="U309" s="271">
        <f ca="1">IF($D309=1,R309,R309+U308)*IF(OR(C309&gt;ÉV!$I$2,AND(C309=ÉV!$I$2,D309&gt;ÉV!$J$2)),0,1)</f>
        <v>0</v>
      </c>
      <c r="V309" s="271">
        <f ca="1">IF($D309=1,S309,S309+V308)*IF(OR(C309&gt;ÉV!$I$2,AND(C309=ÉV!$I$2,D309&gt;ÉV!$J$2)),0,1)</f>
        <v>0</v>
      </c>
      <c r="W309" s="271">
        <f ca="1">IF($D309=1,T309,T309+W308)*IF(OR(C309&gt;ÉV!$I$2,AND(C309=ÉV!$I$2,D309&gt;ÉV!$J$2)),0,1)</f>
        <v>0</v>
      </c>
      <c r="X309" s="271">
        <f ca="1">IF(OR(D309=12,AND(C309=ÉV!$I$2,D309=ÉV!$J$2)),SUM(U309:W309)+X308,X308)*IF(OR(C309&gt;ÉV!$I$2,AND(C309=ÉV!$I$2,D309&gt;ÉV!$J$2)),0,1)</f>
        <v>0</v>
      </c>
      <c r="Y309" s="271">
        <f t="shared" ca="1" si="46"/>
        <v>0</v>
      </c>
      <c r="Z309" s="265">
        <f t="shared" si="47"/>
        <v>7</v>
      </c>
      <c r="AA309" s="272">
        <f t="shared" ca="1" si="48"/>
        <v>0</v>
      </c>
      <c r="AB309" s="265">
        <f t="shared" ca="1" si="54"/>
        <v>2042</v>
      </c>
      <c r="AC309" s="265">
        <f t="shared" ca="1" si="55"/>
        <v>10</v>
      </c>
      <c r="AD309" s="276">
        <f ca="1">IF(     OR(               AND(MAX(AF$6:AF309)&lt;2,  AC309=12),                 AF309=2),                   SUMIF(AB:AB,AB309,AA:AA),                       0)</f>
        <v>0</v>
      </c>
      <c r="AE309" s="277">
        <f t="shared" ca="1" si="56"/>
        <v>0</v>
      </c>
      <c r="AF309" s="277">
        <f t="shared" ca="1" si="49"/>
        <v>0</v>
      </c>
      <c r="AG309" s="402">
        <f ca="1">IF(  AND(AC309=AdóHó,   MAX(AF$1:AF308)&lt;2),   SUMIF(AB:AB,AB309-1,AE:AE),0  )
+ IF(AND(AC309&lt;AdóHó,                            AF309=2),   SUMIF(AB:AB,AB309-1,AE:AE),0  )
+ IF(                                                                  AF309=2,    SUMIF(AB:AB,AB309,AE:AE   ),0  )</f>
        <v>0</v>
      </c>
      <c r="AH309" s="272">
        <f ca="1">SUM(AG$2:AG309)</f>
        <v>1139324.2410681627</v>
      </c>
    </row>
    <row r="310" spans="1:34">
      <c r="A310" s="265">
        <f t="shared" si="50"/>
        <v>26</v>
      </c>
      <c r="B310" s="265">
        <f t="shared" si="51"/>
        <v>8</v>
      </c>
      <c r="C310" s="265">
        <f t="shared" ca="1" si="52"/>
        <v>26</v>
      </c>
      <c r="D310" s="265">
        <f t="shared" ca="1" si="53"/>
        <v>11</v>
      </c>
      <c r="E310" s="266">
        <v>5.0000000000000001E-3</v>
      </c>
      <c r="F310" s="267">
        <f>ÉV!$B$12</f>
        <v>0</v>
      </c>
      <c r="G310" s="271">
        <f ca="1">VLOOKUP(A310,ÉV!$A$18:$B$65,2,0)</f>
        <v>0</v>
      </c>
      <c r="H310" s="271">
        <f ca="1">IF(OR(A310=1,AND(C310=ÉV!$I$2,D310&gt;ÉV!$J$2),C310&gt;ÉV!$I$2),0,INDEX(Pz!$B$2:$AM$48,A310-1,ÉV!$G$2-9)/100000*ÉV!$B$10)</f>
        <v>0</v>
      </c>
      <c r="I310" s="271">
        <f ca="1">INDEX(Pz!$B$2:$AM$48,HÓ!A310,ÉV!$G$2-9)/100000*ÉV!$B$10</f>
        <v>0</v>
      </c>
      <c r="J310" s="273">
        <f ca="1">IF(OR(A310=1,A310=2,AND(C310=ÉV!$I$2,D310&gt;ÉV!$J$2),C310&gt;ÉV!$I$2),0,VLOOKUP(A310-2,ÉV!$A$18:$C$65,3,0))</f>
        <v>0</v>
      </c>
      <c r="K310" s="273">
        <f ca="1">IF(OR(A310=1,AND(C310=ÉV!$I$2,D310&gt;ÉV!$J$2),C310&gt;ÉV!$I$2),0,VLOOKUP(A310-1,ÉV!$A$18:$C$65,3,0))</f>
        <v>0</v>
      </c>
      <c r="L310" s="273">
        <f ca="1">VLOOKUP(A310,ÉV!$A$18:$C$65,3,0)*IF(OR(AND(C310=ÉV!$I$2,D310&gt;ÉV!$J$2),C310&gt;ÉV!$I$2),0,1)</f>
        <v>0</v>
      </c>
      <c r="M310" s="273">
        <f ca="1">(K310*(12-B310)/12+L310*B310/12)*IF(A310&gt;ÉV!$G$2,0,1)+IF(A310&gt;ÉV!$G$2,M309,0)*IF(OR(AND(C310=ÉV!$I$2,D310&gt;ÉV!$J$2),C310&gt;ÉV!$I$2),0,1)</f>
        <v>0</v>
      </c>
      <c r="N310" s="274">
        <f ca="1">IF(AND(C310=1,D310&lt;12),0,1)*IF(D310=12,MAX(0,F310-E310-0.003)*0.9*((K310+I310)*(B310/12)+(J310+H310)*(1-B310/12))+MAX(0,F310-0.003)*0.9*N309+N309,IF(AND(C310=ÉV!$I$2,D310=ÉV!$J$2),(M310+N309)*MAX(0,F310-0.003)*0.9*(D310/12)+N309,N309))*IF(OR(C310&gt;ÉV!$I$2,AND(C310=ÉV!$I$2,D310&gt;ÉV!$J$2)),0,1)</f>
        <v>0</v>
      </c>
      <c r="O310" s="313">
        <f ca="1">IF(MAX(AF$2:AF309)=2,      0,IF(OR(AC310=7, AF310=2),    SUM(AE$2:AE310),    O309)   )</f>
        <v>0</v>
      </c>
      <c r="P310" s="271">
        <f ca="1">IF(D310=12,V310+P309+P309*(F310-0.003)*0.9,IF(AND(C310=ÉV!$I$2,D310=ÉV!$J$2),V310+P309+P309*(F310-0.003)*0.9*D310/12,P309))*IF(OR(C310&gt;ÉV!$I$2,AND(C310=ÉV!$I$2,D310&gt;ÉV!$J$2)),0,1)</f>
        <v>0</v>
      </c>
      <c r="Q310" s="275">
        <f ca="1">(N310+P310)*IF(OR(AND(C310=ÉV!$I$2,D310&gt;ÉV!$J$2),C310&gt;ÉV!$I$2),0,1)</f>
        <v>0</v>
      </c>
      <c r="R310" s="271">
        <f ca="1">(MAX(0,F310-E310-0.003)*0.9*((K310+I310)*(1/12)))*IF(OR(C310&gt;ÉV!$I$2,AND(C310=ÉV!$I$2,D310&gt;ÉV!$J$2)),0,1)</f>
        <v>0</v>
      </c>
      <c r="S310" s="271">
        <f ca="1">(MAX(0,F310-0.003)*0.9*((O310)*(1/12)))*IF(OR(C310&gt;ÉV!$I$2,AND(C310=ÉV!$I$2,D310&gt;ÉV!$J$2)),0,1)</f>
        <v>0</v>
      </c>
      <c r="T310" s="271">
        <f ca="1">(MAX(0,F310-0.003)*0.9*((Q309)*(1/12)))*IF(OR(C310&gt;ÉV!$I$2,AND(C310=ÉV!$I$2,D310&gt;ÉV!$J$2)),0,1)</f>
        <v>0</v>
      </c>
      <c r="U310" s="271">
        <f ca="1">IF($D310=1,R310,R310+U309)*IF(OR(C310&gt;ÉV!$I$2,AND(C310=ÉV!$I$2,D310&gt;ÉV!$J$2)),0,1)</f>
        <v>0</v>
      </c>
      <c r="V310" s="271">
        <f ca="1">IF($D310=1,S310,S310+V309)*IF(OR(C310&gt;ÉV!$I$2,AND(C310=ÉV!$I$2,D310&gt;ÉV!$J$2)),0,1)</f>
        <v>0</v>
      </c>
      <c r="W310" s="271">
        <f ca="1">IF($D310=1,T310,T310+W309)*IF(OR(C310&gt;ÉV!$I$2,AND(C310=ÉV!$I$2,D310&gt;ÉV!$J$2)),0,1)</f>
        <v>0</v>
      </c>
      <c r="X310" s="271">
        <f ca="1">IF(OR(D310=12,AND(C310=ÉV!$I$2,D310=ÉV!$J$2)),SUM(U310:W310)+X309,X309)*IF(OR(C310&gt;ÉV!$I$2,AND(C310=ÉV!$I$2,D310&gt;ÉV!$J$2)),0,1)</f>
        <v>0</v>
      </c>
      <c r="Y310" s="271">
        <f t="shared" ca="1" si="46"/>
        <v>0</v>
      </c>
      <c r="Z310" s="265">
        <f t="shared" si="47"/>
        <v>8</v>
      </c>
      <c r="AA310" s="272">
        <f t="shared" ca="1" si="48"/>
        <v>0</v>
      </c>
      <c r="AB310" s="265">
        <f t="shared" ca="1" si="54"/>
        <v>2042</v>
      </c>
      <c r="AC310" s="265">
        <f t="shared" ca="1" si="55"/>
        <v>11</v>
      </c>
      <c r="AD310" s="276">
        <f ca="1">IF(     OR(               AND(MAX(AF$6:AF310)&lt;2,  AC310=12),                 AF310=2),                   SUMIF(AB:AB,AB310,AA:AA),                       0)</f>
        <v>0</v>
      </c>
      <c r="AE310" s="277">
        <f t="shared" ca="1" si="56"/>
        <v>0</v>
      </c>
      <c r="AF310" s="277">
        <f t="shared" ca="1" si="49"/>
        <v>0</v>
      </c>
      <c r="AG310" s="402">
        <f ca="1">IF(  AND(AC310=AdóHó,   MAX(AF$1:AF309)&lt;2),   SUMIF(AB:AB,AB310-1,AE:AE),0  )
+ IF(AND(AC310&lt;AdóHó,                            AF310=2),   SUMIF(AB:AB,AB310-1,AE:AE),0  )
+ IF(                                                                  AF310=2,    SUMIF(AB:AB,AB310,AE:AE   ),0  )</f>
        <v>0</v>
      </c>
      <c r="AH310" s="272">
        <f ca="1">SUM(AG$2:AG310)</f>
        <v>1139324.2410681627</v>
      </c>
    </row>
    <row r="311" spans="1:34">
      <c r="A311" s="265">
        <f t="shared" si="50"/>
        <v>26</v>
      </c>
      <c r="B311" s="265">
        <f t="shared" si="51"/>
        <v>9</v>
      </c>
      <c r="C311" s="265">
        <f t="shared" ca="1" si="52"/>
        <v>26</v>
      </c>
      <c r="D311" s="265">
        <f t="shared" ca="1" si="53"/>
        <v>12</v>
      </c>
      <c r="E311" s="266">
        <v>5.0000000000000001E-3</v>
      </c>
      <c r="F311" s="267">
        <f>ÉV!$B$12</f>
        <v>0</v>
      </c>
      <c r="G311" s="271">
        <f ca="1">VLOOKUP(A311,ÉV!$A$18:$B$65,2,0)</f>
        <v>0</v>
      </c>
      <c r="H311" s="271">
        <f ca="1">IF(OR(A311=1,AND(C311=ÉV!$I$2,D311&gt;ÉV!$J$2),C311&gt;ÉV!$I$2),0,INDEX(Pz!$B$2:$AM$48,A311-1,ÉV!$G$2-9)/100000*ÉV!$B$10)</f>
        <v>0</v>
      </c>
      <c r="I311" s="271">
        <f ca="1">INDEX(Pz!$B$2:$AM$48,HÓ!A311,ÉV!$G$2-9)/100000*ÉV!$B$10</f>
        <v>0</v>
      </c>
      <c r="J311" s="273">
        <f ca="1">IF(OR(A311=1,A311=2,AND(C311=ÉV!$I$2,D311&gt;ÉV!$J$2),C311&gt;ÉV!$I$2),0,VLOOKUP(A311-2,ÉV!$A$18:$C$65,3,0))</f>
        <v>0</v>
      </c>
      <c r="K311" s="273">
        <f ca="1">IF(OR(A311=1,AND(C311=ÉV!$I$2,D311&gt;ÉV!$J$2),C311&gt;ÉV!$I$2),0,VLOOKUP(A311-1,ÉV!$A$18:$C$65,3,0))</f>
        <v>0</v>
      </c>
      <c r="L311" s="273">
        <f ca="1">VLOOKUP(A311,ÉV!$A$18:$C$65,3,0)*IF(OR(AND(C311=ÉV!$I$2,D311&gt;ÉV!$J$2),C311&gt;ÉV!$I$2),0,1)</f>
        <v>0</v>
      </c>
      <c r="M311" s="273">
        <f ca="1">(K311*(12-B311)/12+L311*B311/12)*IF(A311&gt;ÉV!$G$2,0,1)+IF(A311&gt;ÉV!$G$2,M310,0)*IF(OR(AND(C311=ÉV!$I$2,D311&gt;ÉV!$J$2),C311&gt;ÉV!$I$2),0,1)</f>
        <v>0</v>
      </c>
      <c r="N311" s="274">
        <f ca="1">IF(AND(C311=1,D311&lt;12),0,1)*IF(D311=12,MAX(0,F311-E311-0.003)*0.9*((K311+I311)*(B311/12)+(J311+H311)*(1-B311/12))+MAX(0,F311-0.003)*0.9*N310+N310,IF(AND(C311=ÉV!$I$2,D311=ÉV!$J$2),(M311+N310)*MAX(0,F311-0.003)*0.9*(D311/12)+N310,N310))*IF(OR(C311&gt;ÉV!$I$2,AND(C311=ÉV!$I$2,D311&gt;ÉV!$J$2)),0,1)</f>
        <v>0</v>
      </c>
      <c r="O311" s="313">
        <f ca="1">IF(MAX(AF$2:AF310)=2,      0,IF(OR(AC311=7, AF311=2),    SUM(AE$2:AE311),    O310)   )</f>
        <v>0</v>
      </c>
      <c r="P311" s="271">
        <f ca="1">IF(D311=12,V311+P310+P310*(F311-0.003)*0.9,IF(AND(C311=ÉV!$I$2,D311=ÉV!$J$2),V311+P310+P310*(F311-0.003)*0.9*D311/12,P310))*IF(OR(C311&gt;ÉV!$I$2,AND(C311=ÉV!$I$2,D311&gt;ÉV!$J$2)),0,1)</f>
        <v>0</v>
      </c>
      <c r="Q311" s="275">
        <f ca="1">(N311+P311)*IF(OR(AND(C311=ÉV!$I$2,D311&gt;ÉV!$J$2),C311&gt;ÉV!$I$2),0,1)</f>
        <v>0</v>
      </c>
      <c r="R311" s="271">
        <f ca="1">(MAX(0,F311-E311-0.003)*0.9*((K311+I311)*(1/12)))*IF(OR(C311&gt;ÉV!$I$2,AND(C311=ÉV!$I$2,D311&gt;ÉV!$J$2)),0,1)</f>
        <v>0</v>
      </c>
      <c r="S311" s="271">
        <f ca="1">(MAX(0,F311-0.003)*0.9*((O311)*(1/12)))*IF(OR(C311&gt;ÉV!$I$2,AND(C311=ÉV!$I$2,D311&gt;ÉV!$J$2)),0,1)</f>
        <v>0</v>
      </c>
      <c r="T311" s="271">
        <f ca="1">(MAX(0,F311-0.003)*0.9*((Q310)*(1/12)))*IF(OR(C311&gt;ÉV!$I$2,AND(C311=ÉV!$I$2,D311&gt;ÉV!$J$2)),0,1)</f>
        <v>0</v>
      </c>
      <c r="U311" s="271">
        <f ca="1">IF($D311=1,R311,R311+U310)*IF(OR(C311&gt;ÉV!$I$2,AND(C311=ÉV!$I$2,D311&gt;ÉV!$J$2)),0,1)</f>
        <v>0</v>
      </c>
      <c r="V311" s="271">
        <f ca="1">IF($D311=1,S311,S311+V310)*IF(OR(C311&gt;ÉV!$I$2,AND(C311=ÉV!$I$2,D311&gt;ÉV!$J$2)),0,1)</f>
        <v>0</v>
      </c>
      <c r="W311" s="271">
        <f ca="1">IF($D311=1,T311,T311+W310)*IF(OR(C311&gt;ÉV!$I$2,AND(C311=ÉV!$I$2,D311&gt;ÉV!$J$2)),0,1)</f>
        <v>0</v>
      </c>
      <c r="X311" s="271">
        <f ca="1">IF(OR(D311=12,AND(C311=ÉV!$I$2,D311=ÉV!$J$2)),SUM(U311:W311)+X310,X310)*IF(OR(C311&gt;ÉV!$I$2,AND(C311=ÉV!$I$2,D311&gt;ÉV!$J$2)),0,1)</f>
        <v>0</v>
      </c>
      <c r="Y311" s="271">
        <f t="shared" ca="1" si="46"/>
        <v>0</v>
      </c>
      <c r="Z311" s="265">
        <f t="shared" si="47"/>
        <v>9</v>
      </c>
      <c r="AA311" s="272">
        <f t="shared" ca="1" si="48"/>
        <v>0</v>
      </c>
      <c r="AB311" s="265">
        <f t="shared" ca="1" si="54"/>
        <v>2042</v>
      </c>
      <c r="AC311" s="265">
        <f t="shared" ca="1" si="55"/>
        <v>12</v>
      </c>
      <c r="AD311" s="276">
        <f ca="1">IF(     OR(               AND(MAX(AF$6:AF311)&lt;2,  AC311=12),                 AF311=2),                   SUMIF(AB:AB,AB311,AA:AA),                       0)</f>
        <v>0</v>
      </c>
      <c r="AE311" s="277">
        <f t="shared" ca="1" si="56"/>
        <v>0</v>
      </c>
      <c r="AF311" s="277">
        <f t="shared" ca="1" si="49"/>
        <v>0</v>
      </c>
      <c r="AG311" s="402">
        <f ca="1">IF(  AND(AC311=AdóHó,   MAX(AF$1:AF310)&lt;2),   SUMIF(AB:AB,AB311-1,AE:AE),0  )
+ IF(AND(AC311&lt;AdóHó,                            AF311=2),   SUMIF(AB:AB,AB311-1,AE:AE),0  )
+ IF(                                                                  AF311=2,    SUMIF(AB:AB,AB311,AE:AE   ),0  )</f>
        <v>0</v>
      </c>
      <c r="AH311" s="272">
        <f ca="1">SUM(AG$2:AG311)</f>
        <v>1139324.2410681627</v>
      </c>
    </row>
    <row r="312" spans="1:34">
      <c r="A312" s="265">
        <f t="shared" si="50"/>
        <v>26</v>
      </c>
      <c r="B312" s="265">
        <f t="shared" si="51"/>
        <v>10</v>
      </c>
      <c r="C312" s="265">
        <f t="shared" ca="1" si="52"/>
        <v>27</v>
      </c>
      <c r="D312" s="265">
        <f t="shared" ca="1" si="53"/>
        <v>1</v>
      </c>
      <c r="E312" s="266">
        <v>5.0000000000000001E-3</v>
      </c>
      <c r="F312" s="267">
        <f>ÉV!$B$12</f>
        <v>0</v>
      </c>
      <c r="G312" s="271">
        <f ca="1">VLOOKUP(A312,ÉV!$A$18:$B$65,2,0)</f>
        <v>0</v>
      </c>
      <c r="H312" s="271">
        <f ca="1">IF(OR(A312=1,AND(C312=ÉV!$I$2,D312&gt;ÉV!$J$2),C312&gt;ÉV!$I$2),0,INDEX(Pz!$B$2:$AM$48,A312-1,ÉV!$G$2-9)/100000*ÉV!$B$10)</f>
        <v>0</v>
      </c>
      <c r="I312" s="271">
        <f ca="1">INDEX(Pz!$B$2:$AM$48,HÓ!A312,ÉV!$G$2-9)/100000*ÉV!$B$10</f>
        <v>0</v>
      </c>
      <c r="J312" s="273">
        <f ca="1">IF(OR(A312=1,A312=2,AND(C312=ÉV!$I$2,D312&gt;ÉV!$J$2),C312&gt;ÉV!$I$2),0,VLOOKUP(A312-2,ÉV!$A$18:$C$65,3,0))</f>
        <v>0</v>
      </c>
      <c r="K312" s="273">
        <f ca="1">IF(OR(A312=1,AND(C312=ÉV!$I$2,D312&gt;ÉV!$J$2),C312&gt;ÉV!$I$2),0,VLOOKUP(A312-1,ÉV!$A$18:$C$65,3,0))</f>
        <v>0</v>
      </c>
      <c r="L312" s="273">
        <f ca="1">VLOOKUP(A312,ÉV!$A$18:$C$65,3,0)*IF(OR(AND(C312=ÉV!$I$2,D312&gt;ÉV!$J$2),C312&gt;ÉV!$I$2),0,1)</f>
        <v>0</v>
      </c>
      <c r="M312" s="273">
        <f ca="1">(K312*(12-B312)/12+L312*B312/12)*IF(A312&gt;ÉV!$G$2,0,1)+IF(A312&gt;ÉV!$G$2,M311,0)*IF(OR(AND(C312=ÉV!$I$2,D312&gt;ÉV!$J$2),C312&gt;ÉV!$I$2),0,1)</f>
        <v>0</v>
      </c>
      <c r="N312" s="274">
        <f ca="1">IF(AND(C312=1,D312&lt;12),0,1)*IF(D312=12,MAX(0,F312-E312-0.003)*0.9*((K312+I312)*(B312/12)+(J312+H312)*(1-B312/12))+MAX(0,F312-0.003)*0.9*N311+N311,IF(AND(C312=ÉV!$I$2,D312=ÉV!$J$2),(M312+N311)*MAX(0,F312-0.003)*0.9*(D312/12)+N311,N311))*IF(OR(C312&gt;ÉV!$I$2,AND(C312=ÉV!$I$2,D312&gt;ÉV!$J$2)),0,1)</f>
        <v>0</v>
      </c>
      <c r="O312" s="313">
        <f ca="1">IF(MAX(AF$2:AF311)=2,      0,IF(OR(AC312=7, AF312=2),    SUM(AE$2:AE312),    O311)   )</f>
        <v>0</v>
      </c>
      <c r="P312" s="271">
        <f ca="1">IF(D312=12,V312+P311+P311*(F312-0.003)*0.9,IF(AND(C312=ÉV!$I$2,D312=ÉV!$J$2),V312+P311+P311*(F312-0.003)*0.9*D312/12,P311))*IF(OR(C312&gt;ÉV!$I$2,AND(C312=ÉV!$I$2,D312&gt;ÉV!$J$2)),0,1)</f>
        <v>0</v>
      </c>
      <c r="Q312" s="275">
        <f ca="1">(N312+P312)*IF(OR(AND(C312=ÉV!$I$2,D312&gt;ÉV!$J$2),C312&gt;ÉV!$I$2),0,1)</f>
        <v>0</v>
      </c>
      <c r="R312" s="271">
        <f ca="1">(MAX(0,F312-E312-0.003)*0.9*((K312+I312)*(1/12)))*IF(OR(C312&gt;ÉV!$I$2,AND(C312=ÉV!$I$2,D312&gt;ÉV!$J$2)),0,1)</f>
        <v>0</v>
      </c>
      <c r="S312" s="271">
        <f ca="1">(MAX(0,F312-0.003)*0.9*((O312)*(1/12)))*IF(OR(C312&gt;ÉV!$I$2,AND(C312=ÉV!$I$2,D312&gt;ÉV!$J$2)),0,1)</f>
        <v>0</v>
      </c>
      <c r="T312" s="271">
        <f ca="1">(MAX(0,F312-0.003)*0.9*((Q311)*(1/12)))*IF(OR(C312&gt;ÉV!$I$2,AND(C312=ÉV!$I$2,D312&gt;ÉV!$J$2)),0,1)</f>
        <v>0</v>
      </c>
      <c r="U312" s="271">
        <f ca="1">IF($D312=1,R312,R312+U311)*IF(OR(C312&gt;ÉV!$I$2,AND(C312=ÉV!$I$2,D312&gt;ÉV!$J$2)),0,1)</f>
        <v>0</v>
      </c>
      <c r="V312" s="271">
        <f ca="1">IF($D312=1,S312,S312+V311)*IF(OR(C312&gt;ÉV!$I$2,AND(C312=ÉV!$I$2,D312&gt;ÉV!$J$2)),0,1)</f>
        <v>0</v>
      </c>
      <c r="W312" s="271">
        <f ca="1">IF($D312=1,T312,T312+W311)*IF(OR(C312&gt;ÉV!$I$2,AND(C312=ÉV!$I$2,D312&gt;ÉV!$J$2)),0,1)</f>
        <v>0</v>
      </c>
      <c r="X312" s="271">
        <f ca="1">IF(OR(D312=12,AND(C312=ÉV!$I$2,D312=ÉV!$J$2)),SUM(U312:W312)+X311,X311)*IF(OR(C312&gt;ÉV!$I$2,AND(C312=ÉV!$I$2,D312&gt;ÉV!$J$2)),0,1)</f>
        <v>0</v>
      </c>
      <c r="Y312" s="271">
        <f t="shared" ca="1" si="46"/>
        <v>0</v>
      </c>
      <c r="Z312" s="265">
        <f t="shared" si="47"/>
        <v>10</v>
      </c>
      <c r="AA312" s="272">
        <f t="shared" ca="1" si="48"/>
        <v>0</v>
      </c>
      <c r="AB312" s="265">
        <f t="shared" ca="1" si="54"/>
        <v>2043</v>
      </c>
      <c r="AC312" s="265">
        <f t="shared" ca="1" si="55"/>
        <v>1</v>
      </c>
      <c r="AD312" s="276">
        <f ca="1">IF(     OR(               AND(MAX(AF$6:AF312)&lt;2,  AC312=12),                 AF312=2),                   SUMIF(AB:AB,AB312,AA:AA),                       0)</f>
        <v>0</v>
      </c>
      <c r="AE312" s="277">
        <f t="shared" ca="1" si="56"/>
        <v>0</v>
      </c>
      <c r="AF312" s="277">
        <f t="shared" ca="1" si="49"/>
        <v>0</v>
      </c>
      <c r="AG312" s="402">
        <f ca="1">IF(  AND(AC312=AdóHó,   MAX(AF$1:AF311)&lt;2),   SUMIF(AB:AB,AB312-1,AE:AE),0  )
+ IF(AND(AC312&lt;AdóHó,                            AF312=2),   SUMIF(AB:AB,AB312-1,AE:AE),0  )
+ IF(                                                                  AF312=2,    SUMIF(AB:AB,AB312,AE:AE   ),0  )</f>
        <v>0</v>
      </c>
      <c r="AH312" s="272">
        <f ca="1">SUM(AG$2:AG312)</f>
        <v>1139324.2410681627</v>
      </c>
    </row>
    <row r="313" spans="1:34">
      <c r="A313" s="265">
        <f t="shared" si="50"/>
        <v>26</v>
      </c>
      <c r="B313" s="265">
        <f t="shared" si="51"/>
        <v>11</v>
      </c>
      <c r="C313" s="265">
        <f t="shared" ca="1" si="52"/>
        <v>27</v>
      </c>
      <c r="D313" s="265">
        <f t="shared" ca="1" si="53"/>
        <v>2</v>
      </c>
      <c r="E313" s="266">
        <v>5.0000000000000001E-3</v>
      </c>
      <c r="F313" s="267">
        <f>ÉV!$B$12</f>
        <v>0</v>
      </c>
      <c r="G313" s="271">
        <f ca="1">VLOOKUP(A313,ÉV!$A$18:$B$65,2,0)</f>
        <v>0</v>
      </c>
      <c r="H313" s="271">
        <f ca="1">IF(OR(A313=1,AND(C313=ÉV!$I$2,D313&gt;ÉV!$J$2),C313&gt;ÉV!$I$2),0,INDEX(Pz!$B$2:$AM$48,A313-1,ÉV!$G$2-9)/100000*ÉV!$B$10)</f>
        <v>0</v>
      </c>
      <c r="I313" s="271">
        <f ca="1">INDEX(Pz!$B$2:$AM$48,HÓ!A313,ÉV!$G$2-9)/100000*ÉV!$B$10</f>
        <v>0</v>
      </c>
      <c r="J313" s="273">
        <f ca="1">IF(OR(A313=1,A313=2,AND(C313=ÉV!$I$2,D313&gt;ÉV!$J$2),C313&gt;ÉV!$I$2),0,VLOOKUP(A313-2,ÉV!$A$18:$C$65,3,0))</f>
        <v>0</v>
      </c>
      <c r="K313" s="273">
        <f ca="1">IF(OR(A313=1,AND(C313=ÉV!$I$2,D313&gt;ÉV!$J$2),C313&gt;ÉV!$I$2),0,VLOOKUP(A313-1,ÉV!$A$18:$C$65,3,0))</f>
        <v>0</v>
      </c>
      <c r="L313" s="273">
        <f ca="1">VLOOKUP(A313,ÉV!$A$18:$C$65,3,0)*IF(OR(AND(C313=ÉV!$I$2,D313&gt;ÉV!$J$2),C313&gt;ÉV!$I$2),0,1)</f>
        <v>0</v>
      </c>
      <c r="M313" s="273">
        <f ca="1">(K313*(12-B313)/12+L313*B313/12)*IF(A313&gt;ÉV!$G$2,0,1)+IF(A313&gt;ÉV!$G$2,M312,0)*IF(OR(AND(C313=ÉV!$I$2,D313&gt;ÉV!$J$2),C313&gt;ÉV!$I$2),0,1)</f>
        <v>0</v>
      </c>
      <c r="N313" s="274">
        <f ca="1">IF(AND(C313=1,D313&lt;12),0,1)*IF(D313=12,MAX(0,F313-E313-0.003)*0.9*((K313+I313)*(B313/12)+(J313+H313)*(1-B313/12))+MAX(0,F313-0.003)*0.9*N312+N312,IF(AND(C313=ÉV!$I$2,D313=ÉV!$J$2),(M313+N312)*MAX(0,F313-0.003)*0.9*(D313/12)+N312,N312))*IF(OR(C313&gt;ÉV!$I$2,AND(C313=ÉV!$I$2,D313&gt;ÉV!$J$2)),0,1)</f>
        <v>0</v>
      </c>
      <c r="O313" s="313">
        <f ca="1">IF(MAX(AF$2:AF312)=2,      0,IF(OR(AC313=7, AF313=2),    SUM(AE$2:AE313),    O312)   )</f>
        <v>0</v>
      </c>
      <c r="P313" s="271">
        <f ca="1">IF(D313=12,V313+P312+P312*(F313-0.003)*0.9,IF(AND(C313=ÉV!$I$2,D313=ÉV!$J$2),V313+P312+P312*(F313-0.003)*0.9*D313/12,P312))*IF(OR(C313&gt;ÉV!$I$2,AND(C313=ÉV!$I$2,D313&gt;ÉV!$J$2)),0,1)</f>
        <v>0</v>
      </c>
      <c r="Q313" s="275">
        <f ca="1">(N313+P313)*IF(OR(AND(C313=ÉV!$I$2,D313&gt;ÉV!$J$2),C313&gt;ÉV!$I$2),0,1)</f>
        <v>0</v>
      </c>
      <c r="R313" s="271">
        <f ca="1">(MAX(0,F313-E313-0.003)*0.9*((K313+I313)*(1/12)))*IF(OR(C313&gt;ÉV!$I$2,AND(C313=ÉV!$I$2,D313&gt;ÉV!$J$2)),0,1)</f>
        <v>0</v>
      </c>
      <c r="S313" s="271">
        <f ca="1">(MAX(0,F313-0.003)*0.9*((O313)*(1/12)))*IF(OR(C313&gt;ÉV!$I$2,AND(C313=ÉV!$I$2,D313&gt;ÉV!$J$2)),0,1)</f>
        <v>0</v>
      </c>
      <c r="T313" s="271">
        <f ca="1">(MAX(0,F313-0.003)*0.9*((Q312)*(1/12)))*IF(OR(C313&gt;ÉV!$I$2,AND(C313=ÉV!$I$2,D313&gt;ÉV!$J$2)),0,1)</f>
        <v>0</v>
      </c>
      <c r="U313" s="271">
        <f ca="1">IF($D313=1,R313,R313+U312)*IF(OR(C313&gt;ÉV!$I$2,AND(C313=ÉV!$I$2,D313&gt;ÉV!$J$2)),0,1)</f>
        <v>0</v>
      </c>
      <c r="V313" s="271">
        <f ca="1">IF($D313=1,S313,S313+V312)*IF(OR(C313&gt;ÉV!$I$2,AND(C313=ÉV!$I$2,D313&gt;ÉV!$J$2)),0,1)</f>
        <v>0</v>
      </c>
      <c r="W313" s="271">
        <f ca="1">IF($D313=1,T313,T313+W312)*IF(OR(C313&gt;ÉV!$I$2,AND(C313=ÉV!$I$2,D313&gt;ÉV!$J$2)),0,1)</f>
        <v>0</v>
      </c>
      <c r="X313" s="271">
        <f ca="1">IF(OR(D313=12,AND(C313=ÉV!$I$2,D313=ÉV!$J$2)),SUM(U313:W313)+X312,X312)*IF(OR(C313&gt;ÉV!$I$2,AND(C313=ÉV!$I$2,D313&gt;ÉV!$J$2)),0,1)</f>
        <v>0</v>
      </c>
      <c r="Y313" s="271">
        <f t="shared" ca="1" si="46"/>
        <v>0</v>
      </c>
      <c r="Z313" s="265">
        <f t="shared" si="47"/>
        <v>11</v>
      </c>
      <c r="AA313" s="272">
        <f t="shared" ca="1" si="48"/>
        <v>0</v>
      </c>
      <c r="AB313" s="265">
        <f t="shared" ca="1" si="54"/>
        <v>2043</v>
      </c>
      <c r="AC313" s="265">
        <f t="shared" ca="1" si="55"/>
        <v>2</v>
      </c>
      <c r="AD313" s="276">
        <f ca="1">IF(     OR(               AND(MAX(AF$6:AF313)&lt;2,  AC313=12),                 AF313=2),                   SUMIF(AB:AB,AB313,AA:AA),                       0)</f>
        <v>0</v>
      </c>
      <c r="AE313" s="277">
        <f t="shared" ca="1" si="56"/>
        <v>0</v>
      </c>
      <c r="AF313" s="277">
        <f t="shared" ca="1" si="49"/>
        <v>0</v>
      </c>
      <c r="AG313" s="402">
        <f ca="1">IF(  AND(AC313=AdóHó,   MAX(AF$1:AF312)&lt;2),   SUMIF(AB:AB,AB313-1,AE:AE),0  )
+ IF(AND(AC313&lt;AdóHó,                            AF313=2),   SUMIF(AB:AB,AB313-1,AE:AE),0  )
+ IF(                                                                  AF313=2,    SUMIF(AB:AB,AB313,AE:AE   ),0  )</f>
        <v>0</v>
      </c>
      <c r="AH313" s="272">
        <f ca="1">SUM(AG$2:AG313)</f>
        <v>1139324.2410681627</v>
      </c>
    </row>
    <row r="314" spans="1:34">
      <c r="A314" s="265">
        <f t="shared" si="50"/>
        <v>26</v>
      </c>
      <c r="B314" s="265">
        <f t="shared" si="51"/>
        <v>12</v>
      </c>
      <c r="C314" s="265">
        <f t="shared" ca="1" si="52"/>
        <v>27</v>
      </c>
      <c r="D314" s="265">
        <f t="shared" ca="1" si="53"/>
        <v>3</v>
      </c>
      <c r="E314" s="266">
        <v>5.0000000000000001E-3</v>
      </c>
      <c r="F314" s="267">
        <f>ÉV!$B$12</f>
        <v>0</v>
      </c>
      <c r="G314" s="271">
        <f ca="1">VLOOKUP(A314,ÉV!$A$18:$B$65,2,0)</f>
        <v>0</v>
      </c>
      <c r="H314" s="271">
        <f ca="1">IF(OR(A314=1,AND(C314=ÉV!$I$2,D314&gt;ÉV!$J$2),C314&gt;ÉV!$I$2),0,INDEX(Pz!$B$2:$AM$48,A314-1,ÉV!$G$2-9)/100000*ÉV!$B$10)</f>
        <v>0</v>
      </c>
      <c r="I314" s="271">
        <f ca="1">INDEX(Pz!$B$2:$AM$48,HÓ!A314,ÉV!$G$2-9)/100000*ÉV!$B$10</f>
        <v>0</v>
      </c>
      <c r="J314" s="273">
        <f ca="1">IF(OR(A314=1,A314=2,AND(C314=ÉV!$I$2,D314&gt;ÉV!$J$2),C314&gt;ÉV!$I$2),0,VLOOKUP(A314-2,ÉV!$A$18:$C$65,3,0))</f>
        <v>0</v>
      </c>
      <c r="K314" s="273">
        <f ca="1">IF(OR(A314=1,AND(C314=ÉV!$I$2,D314&gt;ÉV!$J$2),C314&gt;ÉV!$I$2),0,VLOOKUP(A314-1,ÉV!$A$18:$C$65,3,0))</f>
        <v>0</v>
      </c>
      <c r="L314" s="273">
        <f ca="1">VLOOKUP(A314,ÉV!$A$18:$C$65,3,0)*IF(OR(AND(C314=ÉV!$I$2,D314&gt;ÉV!$J$2),C314&gt;ÉV!$I$2),0,1)</f>
        <v>0</v>
      </c>
      <c r="M314" s="273">
        <f ca="1">(K314*(12-B314)/12+L314*B314/12)*IF(A314&gt;ÉV!$G$2,0,1)+IF(A314&gt;ÉV!$G$2,M313,0)*IF(OR(AND(C314=ÉV!$I$2,D314&gt;ÉV!$J$2),C314&gt;ÉV!$I$2),0,1)</f>
        <v>0</v>
      </c>
      <c r="N314" s="274">
        <f ca="1">IF(AND(C314=1,D314&lt;12),0,1)*IF(D314=12,MAX(0,F314-E314-0.003)*0.9*((K314+I314)*(B314/12)+(J314+H314)*(1-B314/12))+MAX(0,F314-0.003)*0.9*N313+N313,IF(AND(C314=ÉV!$I$2,D314=ÉV!$J$2),(M314+N313)*MAX(0,F314-0.003)*0.9*(D314/12)+N313,N313))*IF(OR(C314&gt;ÉV!$I$2,AND(C314=ÉV!$I$2,D314&gt;ÉV!$J$2)),0,1)</f>
        <v>0</v>
      </c>
      <c r="O314" s="313">
        <f ca="1">IF(MAX(AF$2:AF313)=2,      0,IF(OR(AC314=7, AF314=2),    SUM(AE$2:AE314),    O313)   )</f>
        <v>0</v>
      </c>
      <c r="P314" s="271">
        <f ca="1">IF(D314=12,V314+P313+P313*(F314-0.003)*0.9,IF(AND(C314=ÉV!$I$2,D314=ÉV!$J$2),V314+P313+P313*(F314-0.003)*0.9*D314/12,P313))*IF(OR(C314&gt;ÉV!$I$2,AND(C314=ÉV!$I$2,D314&gt;ÉV!$J$2)),0,1)</f>
        <v>0</v>
      </c>
      <c r="Q314" s="275">
        <f ca="1">(N314+P314)*IF(OR(AND(C314=ÉV!$I$2,D314&gt;ÉV!$J$2),C314&gt;ÉV!$I$2),0,1)</f>
        <v>0</v>
      </c>
      <c r="R314" s="271">
        <f ca="1">(MAX(0,F314-E314-0.003)*0.9*((K314+I314)*(1/12)))*IF(OR(C314&gt;ÉV!$I$2,AND(C314=ÉV!$I$2,D314&gt;ÉV!$J$2)),0,1)</f>
        <v>0</v>
      </c>
      <c r="S314" s="271">
        <f ca="1">(MAX(0,F314-0.003)*0.9*((O314)*(1/12)))*IF(OR(C314&gt;ÉV!$I$2,AND(C314=ÉV!$I$2,D314&gt;ÉV!$J$2)),0,1)</f>
        <v>0</v>
      </c>
      <c r="T314" s="271">
        <f ca="1">(MAX(0,F314-0.003)*0.9*((Q313)*(1/12)))*IF(OR(C314&gt;ÉV!$I$2,AND(C314=ÉV!$I$2,D314&gt;ÉV!$J$2)),0,1)</f>
        <v>0</v>
      </c>
      <c r="U314" s="271">
        <f ca="1">IF($D314=1,R314,R314+U313)*IF(OR(C314&gt;ÉV!$I$2,AND(C314=ÉV!$I$2,D314&gt;ÉV!$J$2)),0,1)</f>
        <v>0</v>
      </c>
      <c r="V314" s="271">
        <f ca="1">IF($D314=1,S314,S314+V313)*IF(OR(C314&gt;ÉV!$I$2,AND(C314=ÉV!$I$2,D314&gt;ÉV!$J$2)),0,1)</f>
        <v>0</v>
      </c>
      <c r="W314" s="271">
        <f ca="1">IF($D314=1,T314,T314+W313)*IF(OR(C314&gt;ÉV!$I$2,AND(C314=ÉV!$I$2,D314&gt;ÉV!$J$2)),0,1)</f>
        <v>0</v>
      </c>
      <c r="X314" s="271">
        <f ca="1">IF(OR(D314=12,AND(C314=ÉV!$I$2,D314=ÉV!$J$2)),SUM(U314:W314)+X313,X313)*IF(OR(C314&gt;ÉV!$I$2,AND(C314=ÉV!$I$2,D314&gt;ÉV!$J$2)),0,1)</f>
        <v>0</v>
      </c>
      <c r="Y314" s="271">
        <f t="shared" ca="1" si="46"/>
        <v>0</v>
      </c>
      <c r="Z314" s="265">
        <f t="shared" si="47"/>
        <v>12</v>
      </c>
      <c r="AA314" s="272">
        <f t="shared" ca="1" si="48"/>
        <v>0</v>
      </c>
      <c r="AB314" s="265">
        <f t="shared" ca="1" si="54"/>
        <v>2043</v>
      </c>
      <c r="AC314" s="265">
        <f t="shared" ca="1" si="55"/>
        <v>3</v>
      </c>
      <c r="AD314" s="276">
        <f ca="1">IF(     OR(               AND(MAX(AF$6:AF314)&lt;2,  AC314=12),                 AF314=2),                   SUMIF(AB:AB,AB314,AA:AA),                       0)</f>
        <v>0</v>
      </c>
      <c r="AE314" s="277">
        <f t="shared" ca="1" si="56"/>
        <v>0</v>
      </c>
      <c r="AF314" s="277">
        <f t="shared" ca="1" si="49"/>
        <v>0</v>
      </c>
      <c r="AG314" s="402">
        <f ca="1">IF(  AND(AC314=AdóHó,   MAX(AF$1:AF313)&lt;2),   SUMIF(AB:AB,AB314-1,AE:AE),0  )
+ IF(AND(AC314&lt;AdóHó,                            AF314=2),   SUMIF(AB:AB,AB314-1,AE:AE),0  )
+ IF(                                                                  AF314=2,    SUMIF(AB:AB,AB314,AE:AE   ),0  )</f>
        <v>0</v>
      </c>
      <c r="AH314" s="272">
        <f ca="1">SUM(AG$2:AG314)</f>
        <v>1139324.2410681627</v>
      </c>
    </row>
    <row r="315" spans="1:34">
      <c r="A315" s="265">
        <f t="shared" si="50"/>
        <v>27</v>
      </c>
      <c r="B315" s="265">
        <f t="shared" si="51"/>
        <v>1</v>
      </c>
      <c r="C315" s="265">
        <f t="shared" ca="1" si="52"/>
        <v>27</v>
      </c>
      <c r="D315" s="265">
        <f t="shared" ca="1" si="53"/>
        <v>4</v>
      </c>
      <c r="E315" s="266">
        <v>5.0000000000000001E-3</v>
      </c>
      <c r="F315" s="267">
        <f>ÉV!$B$12</f>
        <v>0</v>
      </c>
      <c r="G315" s="271">
        <f ca="1">VLOOKUP(A315,ÉV!$A$18:$B$65,2,0)</f>
        <v>0</v>
      </c>
      <c r="H315" s="271">
        <f ca="1">IF(OR(A315=1,AND(C315=ÉV!$I$2,D315&gt;ÉV!$J$2),C315&gt;ÉV!$I$2),0,INDEX(Pz!$B$2:$AM$48,A315-1,ÉV!$G$2-9)/100000*ÉV!$B$10)</f>
        <v>0</v>
      </c>
      <c r="I315" s="271">
        <f ca="1">INDEX(Pz!$B$2:$AM$48,HÓ!A315,ÉV!$G$2-9)/100000*ÉV!$B$10</f>
        <v>0</v>
      </c>
      <c r="J315" s="273">
        <f ca="1">IF(OR(A315=1,A315=2,AND(C315=ÉV!$I$2,D315&gt;ÉV!$J$2),C315&gt;ÉV!$I$2),0,VLOOKUP(A315-2,ÉV!$A$18:$C$65,3,0))</f>
        <v>0</v>
      </c>
      <c r="K315" s="273">
        <f ca="1">IF(OR(A315=1,AND(C315=ÉV!$I$2,D315&gt;ÉV!$J$2),C315&gt;ÉV!$I$2),0,VLOOKUP(A315-1,ÉV!$A$18:$C$65,3,0))</f>
        <v>0</v>
      </c>
      <c r="L315" s="273">
        <f ca="1">VLOOKUP(A315,ÉV!$A$18:$C$65,3,0)*IF(OR(AND(C315=ÉV!$I$2,D315&gt;ÉV!$J$2),C315&gt;ÉV!$I$2),0,1)</f>
        <v>0</v>
      </c>
      <c r="M315" s="273">
        <f ca="1">(K315*(12-B315)/12+L315*B315/12)*IF(A315&gt;ÉV!$G$2,0,1)+IF(A315&gt;ÉV!$G$2,M314,0)*IF(OR(AND(C315=ÉV!$I$2,D315&gt;ÉV!$J$2),C315&gt;ÉV!$I$2),0,1)</f>
        <v>0</v>
      </c>
      <c r="N315" s="274">
        <f ca="1">IF(AND(C315=1,D315&lt;12),0,1)*IF(D315=12,MAX(0,F315-E315-0.003)*0.9*((K315+I315)*(B315/12)+(J315+H315)*(1-B315/12))+MAX(0,F315-0.003)*0.9*N314+N314,IF(AND(C315=ÉV!$I$2,D315=ÉV!$J$2),(M315+N314)*MAX(0,F315-0.003)*0.9*(D315/12)+N314,N314))*IF(OR(C315&gt;ÉV!$I$2,AND(C315=ÉV!$I$2,D315&gt;ÉV!$J$2)),0,1)</f>
        <v>0</v>
      </c>
      <c r="O315" s="313">
        <f ca="1">IF(MAX(AF$2:AF314)=2,      0,IF(OR(AC315=7, AF315=2),    SUM(AE$2:AE315),    O314)   )</f>
        <v>0</v>
      </c>
      <c r="P315" s="271">
        <f ca="1">IF(D315=12,V315+P314+P314*(F315-0.003)*0.9,IF(AND(C315=ÉV!$I$2,D315=ÉV!$J$2),V315+P314+P314*(F315-0.003)*0.9*D315/12,P314))*IF(OR(C315&gt;ÉV!$I$2,AND(C315=ÉV!$I$2,D315&gt;ÉV!$J$2)),0,1)</f>
        <v>0</v>
      </c>
      <c r="Q315" s="275">
        <f ca="1">(N315+P315)*IF(OR(AND(C315=ÉV!$I$2,D315&gt;ÉV!$J$2),C315&gt;ÉV!$I$2),0,1)</f>
        <v>0</v>
      </c>
      <c r="R315" s="271">
        <f ca="1">(MAX(0,F315-E315-0.003)*0.9*((K315+I315)*(1/12)))*IF(OR(C315&gt;ÉV!$I$2,AND(C315=ÉV!$I$2,D315&gt;ÉV!$J$2)),0,1)</f>
        <v>0</v>
      </c>
      <c r="S315" s="271">
        <f ca="1">(MAX(0,F315-0.003)*0.9*((O315)*(1/12)))*IF(OR(C315&gt;ÉV!$I$2,AND(C315=ÉV!$I$2,D315&gt;ÉV!$J$2)),0,1)</f>
        <v>0</v>
      </c>
      <c r="T315" s="271">
        <f ca="1">(MAX(0,F315-0.003)*0.9*((Q314)*(1/12)))*IF(OR(C315&gt;ÉV!$I$2,AND(C315=ÉV!$I$2,D315&gt;ÉV!$J$2)),0,1)</f>
        <v>0</v>
      </c>
      <c r="U315" s="271">
        <f ca="1">IF($D315=1,R315,R315+U314)*IF(OR(C315&gt;ÉV!$I$2,AND(C315=ÉV!$I$2,D315&gt;ÉV!$J$2)),0,1)</f>
        <v>0</v>
      </c>
      <c r="V315" s="271">
        <f ca="1">IF($D315=1,S315,S315+V314)*IF(OR(C315&gt;ÉV!$I$2,AND(C315=ÉV!$I$2,D315&gt;ÉV!$J$2)),0,1)</f>
        <v>0</v>
      </c>
      <c r="W315" s="271">
        <f ca="1">IF($D315=1,T315,T315+W314)*IF(OR(C315&gt;ÉV!$I$2,AND(C315=ÉV!$I$2,D315&gt;ÉV!$J$2)),0,1)</f>
        <v>0</v>
      </c>
      <c r="X315" s="271">
        <f ca="1">IF(OR(D315=12,AND(C315=ÉV!$I$2,D315=ÉV!$J$2)),SUM(U315:W315)+X314,X314)*IF(OR(C315&gt;ÉV!$I$2,AND(C315=ÉV!$I$2,D315&gt;ÉV!$J$2)),0,1)</f>
        <v>0</v>
      </c>
      <c r="Y315" s="271">
        <f t="shared" ca="1" si="46"/>
        <v>0</v>
      </c>
      <c r="Z315" s="265">
        <f t="shared" si="47"/>
        <v>1</v>
      </c>
      <c r="AA315" s="272">
        <f t="shared" ca="1" si="48"/>
        <v>0</v>
      </c>
      <c r="AB315" s="265">
        <f t="shared" ca="1" si="54"/>
        <v>2043</v>
      </c>
      <c r="AC315" s="265">
        <f t="shared" ca="1" si="55"/>
        <v>4</v>
      </c>
      <c r="AD315" s="276">
        <f ca="1">IF(     OR(               AND(MAX(AF$6:AF315)&lt;2,  AC315=12),                 AF315=2),                   SUMIF(AB:AB,AB315,AA:AA),                       0)</f>
        <v>0</v>
      </c>
      <c r="AE315" s="277">
        <f t="shared" ca="1" si="56"/>
        <v>0</v>
      </c>
      <c r="AF315" s="277">
        <f t="shared" ca="1" si="49"/>
        <v>0</v>
      </c>
      <c r="AG315" s="402">
        <f ca="1">IF(  AND(AC315=AdóHó,   MAX(AF$1:AF314)&lt;2),   SUMIF(AB:AB,AB315-1,AE:AE),0  )
+ IF(AND(AC315&lt;AdóHó,                            AF315=2),   SUMIF(AB:AB,AB315-1,AE:AE),0  )
+ IF(                                                                  AF315=2,    SUMIF(AB:AB,AB315,AE:AE   ),0  )</f>
        <v>0</v>
      </c>
      <c r="AH315" s="272">
        <f ca="1">SUM(AG$2:AG315)</f>
        <v>1139324.2410681627</v>
      </c>
    </row>
    <row r="316" spans="1:34">
      <c r="A316" s="265">
        <f t="shared" si="50"/>
        <v>27</v>
      </c>
      <c r="B316" s="265">
        <f t="shared" si="51"/>
        <v>2</v>
      </c>
      <c r="C316" s="265">
        <f t="shared" ca="1" si="52"/>
        <v>27</v>
      </c>
      <c r="D316" s="265">
        <f t="shared" ca="1" si="53"/>
        <v>5</v>
      </c>
      <c r="E316" s="266">
        <v>5.0000000000000001E-3</v>
      </c>
      <c r="F316" s="267">
        <f>ÉV!$B$12</f>
        <v>0</v>
      </c>
      <c r="G316" s="271">
        <f ca="1">VLOOKUP(A316,ÉV!$A$18:$B$65,2,0)</f>
        <v>0</v>
      </c>
      <c r="H316" s="271">
        <f ca="1">IF(OR(A316=1,AND(C316=ÉV!$I$2,D316&gt;ÉV!$J$2),C316&gt;ÉV!$I$2),0,INDEX(Pz!$B$2:$AM$48,A316-1,ÉV!$G$2-9)/100000*ÉV!$B$10)</f>
        <v>0</v>
      </c>
      <c r="I316" s="271">
        <f ca="1">INDEX(Pz!$B$2:$AM$48,HÓ!A316,ÉV!$G$2-9)/100000*ÉV!$B$10</f>
        <v>0</v>
      </c>
      <c r="J316" s="273">
        <f ca="1">IF(OR(A316=1,A316=2,AND(C316=ÉV!$I$2,D316&gt;ÉV!$J$2),C316&gt;ÉV!$I$2),0,VLOOKUP(A316-2,ÉV!$A$18:$C$65,3,0))</f>
        <v>0</v>
      </c>
      <c r="K316" s="273">
        <f ca="1">IF(OR(A316=1,AND(C316=ÉV!$I$2,D316&gt;ÉV!$J$2),C316&gt;ÉV!$I$2),0,VLOOKUP(A316-1,ÉV!$A$18:$C$65,3,0))</f>
        <v>0</v>
      </c>
      <c r="L316" s="273">
        <f ca="1">VLOOKUP(A316,ÉV!$A$18:$C$65,3,0)*IF(OR(AND(C316=ÉV!$I$2,D316&gt;ÉV!$J$2),C316&gt;ÉV!$I$2),0,1)</f>
        <v>0</v>
      </c>
      <c r="M316" s="273">
        <f ca="1">(K316*(12-B316)/12+L316*B316/12)*IF(A316&gt;ÉV!$G$2,0,1)+IF(A316&gt;ÉV!$G$2,M315,0)*IF(OR(AND(C316=ÉV!$I$2,D316&gt;ÉV!$J$2),C316&gt;ÉV!$I$2),0,1)</f>
        <v>0</v>
      </c>
      <c r="N316" s="274">
        <f ca="1">IF(AND(C316=1,D316&lt;12),0,1)*IF(D316=12,MAX(0,F316-E316-0.003)*0.9*((K316+I316)*(B316/12)+(J316+H316)*(1-B316/12))+MAX(0,F316-0.003)*0.9*N315+N315,IF(AND(C316=ÉV!$I$2,D316=ÉV!$J$2),(M316+N315)*MAX(0,F316-0.003)*0.9*(D316/12)+N315,N315))*IF(OR(C316&gt;ÉV!$I$2,AND(C316=ÉV!$I$2,D316&gt;ÉV!$J$2)),0,1)</f>
        <v>0</v>
      </c>
      <c r="O316" s="313">
        <f ca="1">IF(MAX(AF$2:AF315)=2,      0,IF(OR(AC316=7, AF316=2),    SUM(AE$2:AE316),    O315)   )</f>
        <v>0</v>
      </c>
      <c r="P316" s="271">
        <f ca="1">IF(D316=12,V316+P315+P315*(F316-0.003)*0.9,IF(AND(C316=ÉV!$I$2,D316=ÉV!$J$2),V316+P315+P315*(F316-0.003)*0.9*D316/12,P315))*IF(OR(C316&gt;ÉV!$I$2,AND(C316=ÉV!$I$2,D316&gt;ÉV!$J$2)),0,1)</f>
        <v>0</v>
      </c>
      <c r="Q316" s="275">
        <f ca="1">(N316+P316)*IF(OR(AND(C316=ÉV!$I$2,D316&gt;ÉV!$J$2),C316&gt;ÉV!$I$2),0,1)</f>
        <v>0</v>
      </c>
      <c r="R316" s="271">
        <f ca="1">(MAX(0,F316-E316-0.003)*0.9*((K316+I316)*(1/12)))*IF(OR(C316&gt;ÉV!$I$2,AND(C316=ÉV!$I$2,D316&gt;ÉV!$J$2)),0,1)</f>
        <v>0</v>
      </c>
      <c r="S316" s="271">
        <f ca="1">(MAX(0,F316-0.003)*0.9*((O316)*(1/12)))*IF(OR(C316&gt;ÉV!$I$2,AND(C316=ÉV!$I$2,D316&gt;ÉV!$J$2)),0,1)</f>
        <v>0</v>
      </c>
      <c r="T316" s="271">
        <f ca="1">(MAX(0,F316-0.003)*0.9*((Q315)*(1/12)))*IF(OR(C316&gt;ÉV!$I$2,AND(C316=ÉV!$I$2,D316&gt;ÉV!$J$2)),0,1)</f>
        <v>0</v>
      </c>
      <c r="U316" s="271">
        <f ca="1">IF($D316=1,R316,R316+U315)*IF(OR(C316&gt;ÉV!$I$2,AND(C316=ÉV!$I$2,D316&gt;ÉV!$J$2)),0,1)</f>
        <v>0</v>
      </c>
      <c r="V316" s="271">
        <f ca="1">IF($D316=1,S316,S316+V315)*IF(OR(C316&gt;ÉV!$I$2,AND(C316=ÉV!$I$2,D316&gt;ÉV!$J$2)),0,1)</f>
        <v>0</v>
      </c>
      <c r="W316" s="271">
        <f ca="1">IF($D316=1,T316,T316+W315)*IF(OR(C316&gt;ÉV!$I$2,AND(C316=ÉV!$I$2,D316&gt;ÉV!$J$2)),0,1)</f>
        <v>0</v>
      </c>
      <c r="X316" s="271">
        <f ca="1">IF(OR(D316=12,AND(C316=ÉV!$I$2,D316=ÉV!$J$2)),SUM(U316:W316)+X315,X315)*IF(OR(C316&gt;ÉV!$I$2,AND(C316=ÉV!$I$2,D316&gt;ÉV!$J$2)),0,1)</f>
        <v>0</v>
      </c>
      <c r="Y316" s="271">
        <f t="shared" ca="1" si="46"/>
        <v>0</v>
      </c>
      <c r="Z316" s="265">
        <f t="shared" si="47"/>
        <v>2</v>
      </c>
      <c r="AA316" s="272">
        <f t="shared" ca="1" si="48"/>
        <v>0</v>
      </c>
      <c r="AB316" s="265">
        <f t="shared" ca="1" si="54"/>
        <v>2043</v>
      </c>
      <c r="AC316" s="265">
        <f t="shared" ca="1" si="55"/>
        <v>5</v>
      </c>
      <c r="AD316" s="276">
        <f ca="1">IF(     OR(               AND(MAX(AF$6:AF316)&lt;2,  AC316=12),                 AF316=2),                   SUMIF(AB:AB,AB316,AA:AA),                       0)</f>
        <v>0</v>
      </c>
      <c r="AE316" s="277">
        <f t="shared" ca="1" si="56"/>
        <v>0</v>
      </c>
      <c r="AF316" s="277">
        <f t="shared" ca="1" si="49"/>
        <v>0</v>
      </c>
      <c r="AG316" s="402">
        <f ca="1">IF(  AND(AC316=AdóHó,   MAX(AF$1:AF315)&lt;2),   SUMIF(AB:AB,AB316-1,AE:AE),0  )
+ IF(AND(AC316&lt;AdóHó,                            AF316=2),   SUMIF(AB:AB,AB316-1,AE:AE),0  )
+ IF(                                                                  AF316=2,    SUMIF(AB:AB,AB316,AE:AE   ),0  )</f>
        <v>0</v>
      </c>
      <c r="AH316" s="272">
        <f ca="1">SUM(AG$2:AG316)</f>
        <v>1139324.2410681627</v>
      </c>
    </row>
    <row r="317" spans="1:34">
      <c r="A317" s="265">
        <f t="shared" si="50"/>
        <v>27</v>
      </c>
      <c r="B317" s="265">
        <f t="shared" si="51"/>
        <v>3</v>
      </c>
      <c r="C317" s="265">
        <f t="shared" ca="1" si="52"/>
        <v>27</v>
      </c>
      <c r="D317" s="265">
        <f t="shared" ca="1" si="53"/>
        <v>6</v>
      </c>
      <c r="E317" s="266">
        <v>5.0000000000000001E-3</v>
      </c>
      <c r="F317" s="267">
        <f>ÉV!$B$12</f>
        <v>0</v>
      </c>
      <c r="G317" s="271">
        <f ca="1">VLOOKUP(A317,ÉV!$A$18:$B$65,2,0)</f>
        <v>0</v>
      </c>
      <c r="H317" s="271">
        <f ca="1">IF(OR(A317=1,AND(C317=ÉV!$I$2,D317&gt;ÉV!$J$2),C317&gt;ÉV!$I$2),0,INDEX(Pz!$B$2:$AM$48,A317-1,ÉV!$G$2-9)/100000*ÉV!$B$10)</f>
        <v>0</v>
      </c>
      <c r="I317" s="271">
        <f ca="1">INDEX(Pz!$B$2:$AM$48,HÓ!A317,ÉV!$G$2-9)/100000*ÉV!$B$10</f>
        <v>0</v>
      </c>
      <c r="J317" s="273">
        <f ca="1">IF(OR(A317=1,A317=2,AND(C317=ÉV!$I$2,D317&gt;ÉV!$J$2),C317&gt;ÉV!$I$2),0,VLOOKUP(A317-2,ÉV!$A$18:$C$65,3,0))</f>
        <v>0</v>
      </c>
      <c r="K317" s="273">
        <f ca="1">IF(OR(A317=1,AND(C317=ÉV!$I$2,D317&gt;ÉV!$J$2),C317&gt;ÉV!$I$2),0,VLOOKUP(A317-1,ÉV!$A$18:$C$65,3,0))</f>
        <v>0</v>
      </c>
      <c r="L317" s="273">
        <f ca="1">VLOOKUP(A317,ÉV!$A$18:$C$65,3,0)*IF(OR(AND(C317=ÉV!$I$2,D317&gt;ÉV!$J$2),C317&gt;ÉV!$I$2),0,1)</f>
        <v>0</v>
      </c>
      <c r="M317" s="273">
        <f ca="1">(K317*(12-B317)/12+L317*B317/12)*IF(A317&gt;ÉV!$G$2,0,1)+IF(A317&gt;ÉV!$G$2,M316,0)*IF(OR(AND(C317=ÉV!$I$2,D317&gt;ÉV!$J$2),C317&gt;ÉV!$I$2),0,1)</f>
        <v>0</v>
      </c>
      <c r="N317" s="274">
        <f ca="1">IF(AND(C317=1,D317&lt;12),0,1)*IF(D317=12,MAX(0,F317-E317-0.003)*0.9*((K317+I317)*(B317/12)+(J317+H317)*(1-B317/12))+MAX(0,F317-0.003)*0.9*N316+N316,IF(AND(C317=ÉV!$I$2,D317=ÉV!$J$2),(M317+N316)*MAX(0,F317-0.003)*0.9*(D317/12)+N316,N316))*IF(OR(C317&gt;ÉV!$I$2,AND(C317=ÉV!$I$2,D317&gt;ÉV!$J$2)),0,1)</f>
        <v>0</v>
      </c>
      <c r="O317" s="313">
        <f ca="1">IF(MAX(AF$2:AF316)=2,      0,IF(OR(AC317=7, AF317=2),    SUM(AE$2:AE317),    O316)   )</f>
        <v>0</v>
      </c>
      <c r="P317" s="271">
        <f ca="1">IF(D317=12,V317+P316+P316*(F317-0.003)*0.9,IF(AND(C317=ÉV!$I$2,D317=ÉV!$J$2),V317+P316+P316*(F317-0.003)*0.9*D317/12,P316))*IF(OR(C317&gt;ÉV!$I$2,AND(C317=ÉV!$I$2,D317&gt;ÉV!$J$2)),0,1)</f>
        <v>0</v>
      </c>
      <c r="Q317" s="275">
        <f ca="1">(N317+P317)*IF(OR(AND(C317=ÉV!$I$2,D317&gt;ÉV!$J$2),C317&gt;ÉV!$I$2),0,1)</f>
        <v>0</v>
      </c>
      <c r="R317" s="271">
        <f ca="1">(MAX(0,F317-E317-0.003)*0.9*((K317+I317)*(1/12)))*IF(OR(C317&gt;ÉV!$I$2,AND(C317=ÉV!$I$2,D317&gt;ÉV!$J$2)),0,1)</f>
        <v>0</v>
      </c>
      <c r="S317" s="271">
        <f ca="1">(MAX(0,F317-0.003)*0.9*((O317)*(1/12)))*IF(OR(C317&gt;ÉV!$I$2,AND(C317=ÉV!$I$2,D317&gt;ÉV!$J$2)),0,1)</f>
        <v>0</v>
      </c>
      <c r="T317" s="271">
        <f ca="1">(MAX(0,F317-0.003)*0.9*((Q316)*(1/12)))*IF(OR(C317&gt;ÉV!$I$2,AND(C317=ÉV!$I$2,D317&gt;ÉV!$J$2)),0,1)</f>
        <v>0</v>
      </c>
      <c r="U317" s="271">
        <f ca="1">IF($D317=1,R317,R317+U316)*IF(OR(C317&gt;ÉV!$I$2,AND(C317=ÉV!$I$2,D317&gt;ÉV!$J$2)),0,1)</f>
        <v>0</v>
      </c>
      <c r="V317" s="271">
        <f ca="1">IF($D317=1,S317,S317+V316)*IF(OR(C317&gt;ÉV!$I$2,AND(C317=ÉV!$I$2,D317&gt;ÉV!$J$2)),0,1)</f>
        <v>0</v>
      </c>
      <c r="W317" s="271">
        <f ca="1">IF($D317=1,T317,T317+W316)*IF(OR(C317&gt;ÉV!$I$2,AND(C317=ÉV!$I$2,D317&gt;ÉV!$J$2)),0,1)</f>
        <v>0</v>
      </c>
      <c r="X317" s="271">
        <f ca="1">IF(OR(D317=12,AND(C317=ÉV!$I$2,D317=ÉV!$J$2)),SUM(U317:W317)+X316,X316)*IF(OR(C317&gt;ÉV!$I$2,AND(C317=ÉV!$I$2,D317&gt;ÉV!$J$2)),0,1)</f>
        <v>0</v>
      </c>
      <c r="Y317" s="271">
        <f t="shared" ca="1" si="46"/>
        <v>0</v>
      </c>
      <c r="Z317" s="265">
        <f t="shared" si="47"/>
        <v>3</v>
      </c>
      <c r="AA317" s="272">
        <f t="shared" ca="1" si="48"/>
        <v>0</v>
      </c>
      <c r="AB317" s="265">
        <f t="shared" ca="1" si="54"/>
        <v>2043</v>
      </c>
      <c r="AC317" s="265">
        <f t="shared" ca="1" si="55"/>
        <v>6</v>
      </c>
      <c r="AD317" s="276">
        <f ca="1">IF(     OR(               AND(MAX(AF$6:AF317)&lt;2,  AC317=12),                 AF317=2),                   SUMIF(AB:AB,AB317,AA:AA),                       0)</f>
        <v>0</v>
      </c>
      <c r="AE317" s="277">
        <f t="shared" ca="1" si="56"/>
        <v>0</v>
      </c>
      <c r="AF317" s="277">
        <f t="shared" ca="1" si="49"/>
        <v>0</v>
      </c>
      <c r="AG317" s="402">
        <f ca="1">IF(  AND(AC317=AdóHó,   MAX(AF$1:AF316)&lt;2),   SUMIF(AB:AB,AB317-1,AE:AE),0  )
+ IF(AND(AC317&lt;AdóHó,                            AF317=2),   SUMIF(AB:AB,AB317-1,AE:AE),0  )
+ IF(                                                                  AF317=2,    SUMIF(AB:AB,AB317,AE:AE   ),0  )</f>
        <v>0</v>
      </c>
      <c r="AH317" s="272">
        <f ca="1">SUM(AG$2:AG317)</f>
        <v>1139324.2410681627</v>
      </c>
    </row>
    <row r="318" spans="1:34">
      <c r="A318" s="265">
        <f t="shared" si="50"/>
        <v>27</v>
      </c>
      <c r="B318" s="265">
        <f t="shared" si="51"/>
        <v>4</v>
      </c>
      <c r="C318" s="265">
        <f t="shared" ca="1" si="52"/>
        <v>27</v>
      </c>
      <c r="D318" s="265">
        <f t="shared" ca="1" si="53"/>
        <v>7</v>
      </c>
      <c r="E318" s="266">
        <v>5.0000000000000001E-3</v>
      </c>
      <c r="F318" s="267">
        <f>ÉV!$B$12</f>
        <v>0</v>
      </c>
      <c r="G318" s="271">
        <f ca="1">VLOOKUP(A318,ÉV!$A$18:$B$65,2,0)</f>
        <v>0</v>
      </c>
      <c r="H318" s="271">
        <f ca="1">IF(OR(A318=1,AND(C318=ÉV!$I$2,D318&gt;ÉV!$J$2),C318&gt;ÉV!$I$2),0,INDEX(Pz!$B$2:$AM$48,A318-1,ÉV!$G$2-9)/100000*ÉV!$B$10)</f>
        <v>0</v>
      </c>
      <c r="I318" s="271">
        <f ca="1">INDEX(Pz!$B$2:$AM$48,HÓ!A318,ÉV!$G$2-9)/100000*ÉV!$B$10</f>
        <v>0</v>
      </c>
      <c r="J318" s="273">
        <f ca="1">IF(OR(A318=1,A318=2,AND(C318=ÉV!$I$2,D318&gt;ÉV!$J$2),C318&gt;ÉV!$I$2),0,VLOOKUP(A318-2,ÉV!$A$18:$C$65,3,0))</f>
        <v>0</v>
      </c>
      <c r="K318" s="273">
        <f ca="1">IF(OR(A318=1,AND(C318=ÉV!$I$2,D318&gt;ÉV!$J$2),C318&gt;ÉV!$I$2),0,VLOOKUP(A318-1,ÉV!$A$18:$C$65,3,0))</f>
        <v>0</v>
      </c>
      <c r="L318" s="273">
        <f ca="1">VLOOKUP(A318,ÉV!$A$18:$C$65,3,0)*IF(OR(AND(C318=ÉV!$I$2,D318&gt;ÉV!$J$2),C318&gt;ÉV!$I$2),0,1)</f>
        <v>0</v>
      </c>
      <c r="M318" s="273">
        <f ca="1">(K318*(12-B318)/12+L318*B318/12)*IF(A318&gt;ÉV!$G$2,0,1)+IF(A318&gt;ÉV!$G$2,M317,0)*IF(OR(AND(C318=ÉV!$I$2,D318&gt;ÉV!$J$2),C318&gt;ÉV!$I$2),0,1)</f>
        <v>0</v>
      </c>
      <c r="N318" s="274">
        <f ca="1">IF(AND(C318=1,D318&lt;12),0,1)*IF(D318=12,MAX(0,F318-E318-0.003)*0.9*((K318+I318)*(B318/12)+(J318+H318)*(1-B318/12))+MAX(0,F318-0.003)*0.9*N317+N317,IF(AND(C318=ÉV!$I$2,D318=ÉV!$J$2),(M318+N317)*MAX(0,F318-0.003)*0.9*(D318/12)+N317,N317))*IF(OR(C318&gt;ÉV!$I$2,AND(C318=ÉV!$I$2,D318&gt;ÉV!$J$2)),0,1)</f>
        <v>0</v>
      </c>
      <c r="O318" s="313">
        <f ca="1">IF(MAX(AF$2:AF317)=2,      0,IF(OR(AC318=7, AF318=2),    SUM(AE$2:AE318),    O317)   )</f>
        <v>0</v>
      </c>
      <c r="P318" s="271">
        <f ca="1">IF(D318=12,V318+P317+P317*(F318-0.003)*0.9,IF(AND(C318=ÉV!$I$2,D318=ÉV!$J$2),V318+P317+P317*(F318-0.003)*0.9*D318/12,P317))*IF(OR(C318&gt;ÉV!$I$2,AND(C318=ÉV!$I$2,D318&gt;ÉV!$J$2)),0,1)</f>
        <v>0</v>
      </c>
      <c r="Q318" s="275">
        <f ca="1">(N318+P318)*IF(OR(AND(C318=ÉV!$I$2,D318&gt;ÉV!$J$2),C318&gt;ÉV!$I$2),0,1)</f>
        <v>0</v>
      </c>
      <c r="R318" s="271">
        <f ca="1">(MAX(0,F318-E318-0.003)*0.9*((K318+I318)*(1/12)))*IF(OR(C318&gt;ÉV!$I$2,AND(C318=ÉV!$I$2,D318&gt;ÉV!$J$2)),0,1)</f>
        <v>0</v>
      </c>
      <c r="S318" s="271">
        <f ca="1">(MAX(0,F318-0.003)*0.9*((O318)*(1/12)))*IF(OR(C318&gt;ÉV!$I$2,AND(C318=ÉV!$I$2,D318&gt;ÉV!$J$2)),0,1)</f>
        <v>0</v>
      </c>
      <c r="T318" s="271">
        <f ca="1">(MAX(0,F318-0.003)*0.9*((Q317)*(1/12)))*IF(OR(C318&gt;ÉV!$I$2,AND(C318=ÉV!$I$2,D318&gt;ÉV!$J$2)),0,1)</f>
        <v>0</v>
      </c>
      <c r="U318" s="271">
        <f ca="1">IF($D318=1,R318,R318+U317)*IF(OR(C318&gt;ÉV!$I$2,AND(C318=ÉV!$I$2,D318&gt;ÉV!$J$2)),0,1)</f>
        <v>0</v>
      </c>
      <c r="V318" s="271">
        <f ca="1">IF($D318=1,S318,S318+V317)*IF(OR(C318&gt;ÉV!$I$2,AND(C318=ÉV!$I$2,D318&gt;ÉV!$J$2)),0,1)</f>
        <v>0</v>
      </c>
      <c r="W318" s="271">
        <f ca="1">IF($D318=1,T318,T318+W317)*IF(OR(C318&gt;ÉV!$I$2,AND(C318=ÉV!$I$2,D318&gt;ÉV!$J$2)),0,1)</f>
        <v>0</v>
      </c>
      <c r="X318" s="271">
        <f ca="1">IF(OR(D318=12,AND(C318=ÉV!$I$2,D318=ÉV!$J$2)),SUM(U318:W318)+X317,X317)*IF(OR(C318&gt;ÉV!$I$2,AND(C318=ÉV!$I$2,D318&gt;ÉV!$J$2)),0,1)</f>
        <v>0</v>
      </c>
      <c r="Y318" s="271">
        <f t="shared" ca="1" si="46"/>
        <v>0</v>
      </c>
      <c r="Z318" s="265">
        <f t="shared" si="47"/>
        <v>4</v>
      </c>
      <c r="AA318" s="272">
        <f t="shared" ca="1" si="48"/>
        <v>0</v>
      </c>
      <c r="AB318" s="265">
        <f t="shared" ca="1" si="54"/>
        <v>2043</v>
      </c>
      <c r="AC318" s="265">
        <f t="shared" ca="1" si="55"/>
        <v>7</v>
      </c>
      <c r="AD318" s="276">
        <f ca="1">IF(     OR(               AND(MAX(AF$6:AF318)&lt;2,  AC318=12),                 AF318=2),                   SUMIF(AB:AB,AB318,AA:AA),                       0)</f>
        <v>0</v>
      </c>
      <c r="AE318" s="277">
        <f t="shared" ca="1" si="56"/>
        <v>0</v>
      </c>
      <c r="AF318" s="277">
        <f t="shared" ca="1" si="49"/>
        <v>0</v>
      </c>
      <c r="AG318" s="402">
        <f ca="1">IF(  AND(AC318=AdóHó,   MAX(AF$1:AF317)&lt;2),   SUMIF(AB:AB,AB318-1,AE:AE),0  )
+ IF(AND(AC318&lt;AdóHó,                            AF318=2),   SUMIF(AB:AB,AB318-1,AE:AE),0  )
+ IF(                                                                  AF318=2,    SUMIF(AB:AB,AB318,AE:AE   ),0  )</f>
        <v>0</v>
      </c>
      <c r="AH318" s="272">
        <f ca="1">SUM(AG$2:AG318)</f>
        <v>1139324.2410681627</v>
      </c>
    </row>
    <row r="319" spans="1:34">
      <c r="A319" s="265">
        <f t="shared" si="50"/>
        <v>27</v>
      </c>
      <c r="B319" s="265">
        <f t="shared" si="51"/>
        <v>5</v>
      </c>
      <c r="C319" s="265">
        <f t="shared" ca="1" si="52"/>
        <v>27</v>
      </c>
      <c r="D319" s="265">
        <f t="shared" ca="1" si="53"/>
        <v>8</v>
      </c>
      <c r="E319" s="266">
        <v>5.0000000000000001E-3</v>
      </c>
      <c r="F319" s="267">
        <f>ÉV!$B$12</f>
        <v>0</v>
      </c>
      <c r="G319" s="271">
        <f ca="1">VLOOKUP(A319,ÉV!$A$18:$B$65,2,0)</f>
        <v>0</v>
      </c>
      <c r="H319" s="271">
        <f ca="1">IF(OR(A319=1,AND(C319=ÉV!$I$2,D319&gt;ÉV!$J$2),C319&gt;ÉV!$I$2),0,INDEX(Pz!$B$2:$AM$48,A319-1,ÉV!$G$2-9)/100000*ÉV!$B$10)</f>
        <v>0</v>
      </c>
      <c r="I319" s="271">
        <f ca="1">INDEX(Pz!$B$2:$AM$48,HÓ!A319,ÉV!$G$2-9)/100000*ÉV!$B$10</f>
        <v>0</v>
      </c>
      <c r="J319" s="273">
        <f ca="1">IF(OR(A319=1,A319=2,AND(C319=ÉV!$I$2,D319&gt;ÉV!$J$2),C319&gt;ÉV!$I$2),0,VLOOKUP(A319-2,ÉV!$A$18:$C$65,3,0))</f>
        <v>0</v>
      </c>
      <c r="K319" s="273">
        <f ca="1">IF(OR(A319=1,AND(C319=ÉV!$I$2,D319&gt;ÉV!$J$2),C319&gt;ÉV!$I$2),0,VLOOKUP(A319-1,ÉV!$A$18:$C$65,3,0))</f>
        <v>0</v>
      </c>
      <c r="L319" s="273">
        <f ca="1">VLOOKUP(A319,ÉV!$A$18:$C$65,3,0)*IF(OR(AND(C319=ÉV!$I$2,D319&gt;ÉV!$J$2),C319&gt;ÉV!$I$2),0,1)</f>
        <v>0</v>
      </c>
      <c r="M319" s="273">
        <f ca="1">(K319*(12-B319)/12+L319*B319/12)*IF(A319&gt;ÉV!$G$2,0,1)+IF(A319&gt;ÉV!$G$2,M318,0)*IF(OR(AND(C319=ÉV!$I$2,D319&gt;ÉV!$J$2),C319&gt;ÉV!$I$2),0,1)</f>
        <v>0</v>
      </c>
      <c r="N319" s="274">
        <f ca="1">IF(AND(C319=1,D319&lt;12),0,1)*IF(D319=12,MAX(0,F319-E319-0.003)*0.9*((K319+I319)*(B319/12)+(J319+H319)*(1-B319/12))+MAX(0,F319-0.003)*0.9*N318+N318,IF(AND(C319=ÉV!$I$2,D319=ÉV!$J$2),(M319+N318)*MAX(0,F319-0.003)*0.9*(D319/12)+N318,N318))*IF(OR(C319&gt;ÉV!$I$2,AND(C319=ÉV!$I$2,D319&gt;ÉV!$J$2)),0,1)</f>
        <v>0</v>
      </c>
      <c r="O319" s="313">
        <f ca="1">IF(MAX(AF$2:AF318)=2,      0,IF(OR(AC319=7, AF319=2),    SUM(AE$2:AE319),    O318)   )</f>
        <v>0</v>
      </c>
      <c r="P319" s="271">
        <f ca="1">IF(D319=12,V319+P318+P318*(F319-0.003)*0.9,IF(AND(C319=ÉV!$I$2,D319=ÉV!$J$2),V319+P318+P318*(F319-0.003)*0.9*D319/12,P318))*IF(OR(C319&gt;ÉV!$I$2,AND(C319=ÉV!$I$2,D319&gt;ÉV!$J$2)),0,1)</f>
        <v>0</v>
      </c>
      <c r="Q319" s="275">
        <f ca="1">(N319+P319)*IF(OR(AND(C319=ÉV!$I$2,D319&gt;ÉV!$J$2),C319&gt;ÉV!$I$2),0,1)</f>
        <v>0</v>
      </c>
      <c r="R319" s="271">
        <f ca="1">(MAX(0,F319-E319-0.003)*0.9*((K319+I319)*(1/12)))*IF(OR(C319&gt;ÉV!$I$2,AND(C319=ÉV!$I$2,D319&gt;ÉV!$J$2)),0,1)</f>
        <v>0</v>
      </c>
      <c r="S319" s="271">
        <f ca="1">(MAX(0,F319-0.003)*0.9*((O319)*(1/12)))*IF(OR(C319&gt;ÉV!$I$2,AND(C319=ÉV!$I$2,D319&gt;ÉV!$J$2)),0,1)</f>
        <v>0</v>
      </c>
      <c r="T319" s="271">
        <f ca="1">(MAX(0,F319-0.003)*0.9*((Q318)*(1/12)))*IF(OR(C319&gt;ÉV!$I$2,AND(C319=ÉV!$I$2,D319&gt;ÉV!$J$2)),0,1)</f>
        <v>0</v>
      </c>
      <c r="U319" s="271">
        <f ca="1">IF($D319=1,R319,R319+U318)*IF(OR(C319&gt;ÉV!$I$2,AND(C319=ÉV!$I$2,D319&gt;ÉV!$J$2)),0,1)</f>
        <v>0</v>
      </c>
      <c r="V319" s="271">
        <f ca="1">IF($D319=1,S319,S319+V318)*IF(OR(C319&gt;ÉV!$I$2,AND(C319=ÉV!$I$2,D319&gt;ÉV!$J$2)),0,1)</f>
        <v>0</v>
      </c>
      <c r="W319" s="271">
        <f ca="1">IF($D319=1,T319,T319+W318)*IF(OR(C319&gt;ÉV!$I$2,AND(C319=ÉV!$I$2,D319&gt;ÉV!$J$2)),0,1)</f>
        <v>0</v>
      </c>
      <c r="X319" s="271">
        <f ca="1">IF(OR(D319=12,AND(C319=ÉV!$I$2,D319=ÉV!$J$2)),SUM(U319:W319)+X318,X318)*IF(OR(C319&gt;ÉV!$I$2,AND(C319=ÉV!$I$2,D319&gt;ÉV!$J$2)),0,1)</f>
        <v>0</v>
      </c>
      <c r="Y319" s="271">
        <f t="shared" ca="1" si="46"/>
        <v>0</v>
      </c>
      <c r="Z319" s="265">
        <f t="shared" si="47"/>
        <v>5</v>
      </c>
      <c r="AA319" s="272">
        <f t="shared" ca="1" si="48"/>
        <v>0</v>
      </c>
      <c r="AB319" s="265">
        <f t="shared" ca="1" si="54"/>
        <v>2043</v>
      </c>
      <c r="AC319" s="265">
        <f t="shared" ca="1" si="55"/>
        <v>8</v>
      </c>
      <c r="AD319" s="276">
        <f ca="1">IF(     OR(               AND(MAX(AF$6:AF319)&lt;2,  AC319=12),                 AF319=2),                   SUMIF(AB:AB,AB319,AA:AA),                       0)</f>
        <v>0</v>
      </c>
      <c r="AE319" s="277">
        <f t="shared" ca="1" si="56"/>
        <v>0</v>
      </c>
      <c r="AF319" s="277">
        <f t="shared" ca="1" si="49"/>
        <v>0</v>
      </c>
      <c r="AG319" s="402">
        <f ca="1">IF(  AND(AC319=AdóHó,   MAX(AF$1:AF318)&lt;2),   SUMIF(AB:AB,AB319-1,AE:AE),0  )
+ IF(AND(AC319&lt;AdóHó,                            AF319=2),   SUMIF(AB:AB,AB319-1,AE:AE),0  )
+ IF(                                                                  AF319=2,    SUMIF(AB:AB,AB319,AE:AE   ),0  )</f>
        <v>0</v>
      </c>
      <c r="AH319" s="272">
        <f ca="1">SUM(AG$2:AG319)</f>
        <v>1139324.2410681627</v>
      </c>
    </row>
    <row r="320" spans="1:34">
      <c r="A320" s="265">
        <f t="shared" si="50"/>
        <v>27</v>
      </c>
      <c r="B320" s="265">
        <f t="shared" si="51"/>
        <v>6</v>
      </c>
      <c r="C320" s="265">
        <f t="shared" ca="1" si="52"/>
        <v>27</v>
      </c>
      <c r="D320" s="265">
        <f t="shared" ca="1" si="53"/>
        <v>9</v>
      </c>
      <c r="E320" s="266">
        <v>5.0000000000000001E-3</v>
      </c>
      <c r="F320" s="267">
        <f>ÉV!$B$12</f>
        <v>0</v>
      </c>
      <c r="G320" s="271">
        <f ca="1">VLOOKUP(A320,ÉV!$A$18:$B$65,2,0)</f>
        <v>0</v>
      </c>
      <c r="H320" s="271">
        <f ca="1">IF(OR(A320=1,AND(C320=ÉV!$I$2,D320&gt;ÉV!$J$2),C320&gt;ÉV!$I$2),0,INDEX(Pz!$B$2:$AM$48,A320-1,ÉV!$G$2-9)/100000*ÉV!$B$10)</f>
        <v>0</v>
      </c>
      <c r="I320" s="271">
        <f ca="1">INDEX(Pz!$B$2:$AM$48,HÓ!A320,ÉV!$G$2-9)/100000*ÉV!$B$10</f>
        <v>0</v>
      </c>
      <c r="J320" s="273">
        <f ca="1">IF(OR(A320=1,A320=2,AND(C320=ÉV!$I$2,D320&gt;ÉV!$J$2),C320&gt;ÉV!$I$2),0,VLOOKUP(A320-2,ÉV!$A$18:$C$65,3,0))</f>
        <v>0</v>
      </c>
      <c r="K320" s="273">
        <f ca="1">IF(OR(A320=1,AND(C320=ÉV!$I$2,D320&gt;ÉV!$J$2),C320&gt;ÉV!$I$2),0,VLOOKUP(A320-1,ÉV!$A$18:$C$65,3,0))</f>
        <v>0</v>
      </c>
      <c r="L320" s="273">
        <f ca="1">VLOOKUP(A320,ÉV!$A$18:$C$65,3,0)*IF(OR(AND(C320=ÉV!$I$2,D320&gt;ÉV!$J$2),C320&gt;ÉV!$I$2),0,1)</f>
        <v>0</v>
      </c>
      <c r="M320" s="273">
        <f ca="1">(K320*(12-B320)/12+L320*B320/12)*IF(A320&gt;ÉV!$G$2,0,1)+IF(A320&gt;ÉV!$G$2,M319,0)*IF(OR(AND(C320=ÉV!$I$2,D320&gt;ÉV!$J$2),C320&gt;ÉV!$I$2),0,1)</f>
        <v>0</v>
      </c>
      <c r="N320" s="274">
        <f ca="1">IF(AND(C320=1,D320&lt;12),0,1)*IF(D320=12,MAX(0,F320-E320-0.003)*0.9*((K320+I320)*(B320/12)+(J320+H320)*(1-B320/12))+MAX(0,F320-0.003)*0.9*N319+N319,IF(AND(C320=ÉV!$I$2,D320=ÉV!$J$2),(M320+N319)*MAX(0,F320-0.003)*0.9*(D320/12)+N319,N319))*IF(OR(C320&gt;ÉV!$I$2,AND(C320=ÉV!$I$2,D320&gt;ÉV!$J$2)),0,1)</f>
        <v>0</v>
      </c>
      <c r="O320" s="313">
        <f ca="1">IF(MAX(AF$2:AF319)=2,      0,IF(OR(AC320=7, AF320=2),    SUM(AE$2:AE320),    O319)   )</f>
        <v>0</v>
      </c>
      <c r="P320" s="271">
        <f ca="1">IF(D320=12,V320+P319+P319*(F320-0.003)*0.9,IF(AND(C320=ÉV!$I$2,D320=ÉV!$J$2),V320+P319+P319*(F320-0.003)*0.9*D320/12,P319))*IF(OR(C320&gt;ÉV!$I$2,AND(C320=ÉV!$I$2,D320&gt;ÉV!$J$2)),0,1)</f>
        <v>0</v>
      </c>
      <c r="Q320" s="275">
        <f ca="1">(N320+P320)*IF(OR(AND(C320=ÉV!$I$2,D320&gt;ÉV!$J$2),C320&gt;ÉV!$I$2),0,1)</f>
        <v>0</v>
      </c>
      <c r="R320" s="271">
        <f ca="1">(MAX(0,F320-E320-0.003)*0.9*((K320+I320)*(1/12)))*IF(OR(C320&gt;ÉV!$I$2,AND(C320=ÉV!$I$2,D320&gt;ÉV!$J$2)),0,1)</f>
        <v>0</v>
      </c>
      <c r="S320" s="271">
        <f ca="1">(MAX(0,F320-0.003)*0.9*((O320)*(1/12)))*IF(OR(C320&gt;ÉV!$I$2,AND(C320=ÉV!$I$2,D320&gt;ÉV!$J$2)),0,1)</f>
        <v>0</v>
      </c>
      <c r="T320" s="271">
        <f ca="1">(MAX(0,F320-0.003)*0.9*((Q319)*(1/12)))*IF(OR(C320&gt;ÉV!$I$2,AND(C320=ÉV!$I$2,D320&gt;ÉV!$J$2)),0,1)</f>
        <v>0</v>
      </c>
      <c r="U320" s="271">
        <f ca="1">IF($D320=1,R320,R320+U319)*IF(OR(C320&gt;ÉV!$I$2,AND(C320=ÉV!$I$2,D320&gt;ÉV!$J$2)),0,1)</f>
        <v>0</v>
      </c>
      <c r="V320" s="271">
        <f ca="1">IF($D320=1,S320,S320+V319)*IF(OR(C320&gt;ÉV!$I$2,AND(C320=ÉV!$I$2,D320&gt;ÉV!$J$2)),0,1)</f>
        <v>0</v>
      </c>
      <c r="W320" s="271">
        <f ca="1">IF($D320=1,T320,T320+W319)*IF(OR(C320&gt;ÉV!$I$2,AND(C320=ÉV!$I$2,D320&gt;ÉV!$J$2)),0,1)</f>
        <v>0</v>
      </c>
      <c r="X320" s="271">
        <f ca="1">IF(OR(D320=12,AND(C320=ÉV!$I$2,D320=ÉV!$J$2)),SUM(U320:W320)+X319,X319)*IF(OR(C320&gt;ÉV!$I$2,AND(C320=ÉV!$I$2,D320&gt;ÉV!$J$2)),0,1)</f>
        <v>0</v>
      </c>
      <c r="Y320" s="271">
        <f t="shared" ca="1" si="46"/>
        <v>0</v>
      </c>
      <c r="Z320" s="265">
        <f t="shared" si="47"/>
        <v>6</v>
      </c>
      <c r="AA320" s="272">
        <f t="shared" ca="1" si="48"/>
        <v>0</v>
      </c>
      <c r="AB320" s="265">
        <f t="shared" ca="1" si="54"/>
        <v>2043</v>
      </c>
      <c r="AC320" s="265">
        <f t="shared" ca="1" si="55"/>
        <v>9</v>
      </c>
      <c r="AD320" s="276">
        <f ca="1">IF(     OR(               AND(MAX(AF$6:AF320)&lt;2,  AC320=12),                 AF320=2),                   SUMIF(AB:AB,AB320,AA:AA),                       0)</f>
        <v>0</v>
      </c>
      <c r="AE320" s="277">
        <f t="shared" ca="1" si="56"/>
        <v>0</v>
      </c>
      <c r="AF320" s="277">
        <f t="shared" ca="1" si="49"/>
        <v>0</v>
      </c>
      <c r="AG320" s="402">
        <f ca="1">IF(  AND(AC320=AdóHó,   MAX(AF$1:AF319)&lt;2),   SUMIF(AB:AB,AB320-1,AE:AE),0  )
+ IF(AND(AC320&lt;AdóHó,                            AF320=2),   SUMIF(AB:AB,AB320-1,AE:AE),0  )
+ IF(                                                                  AF320=2,    SUMIF(AB:AB,AB320,AE:AE   ),0  )</f>
        <v>0</v>
      </c>
      <c r="AH320" s="272">
        <f ca="1">SUM(AG$2:AG320)</f>
        <v>1139324.2410681627</v>
      </c>
    </row>
    <row r="321" spans="1:34">
      <c r="A321" s="265">
        <f t="shared" si="50"/>
        <v>27</v>
      </c>
      <c r="B321" s="265">
        <f t="shared" si="51"/>
        <v>7</v>
      </c>
      <c r="C321" s="265">
        <f t="shared" ca="1" si="52"/>
        <v>27</v>
      </c>
      <c r="D321" s="265">
        <f t="shared" ca="1" si="53"/>
        <v>10</v>
      </c>
      <c r="E321" s="266">
        <v>5.0000000000000001E-3</v>
      </c>
      <c r="F321" s="267">
        <f>ÉV!$B$12</f>
        <v>0</v>
      </c>
      <c r="G321" s="271">
        <f ca="1">VLOOKUP(A321,ÉV!$A$18:$B$65,2,0)</f>
        <v>0</v>
      </c>
      <c r="H321" s="271">
        <f ca="1">IF(OR(A321=1,AND(C321=ÉV!$I$2,D321&gt;ÉV!$J$2),C321&gt;ÉV!$I$2),0,INDEX(Pz!$B$2:$AM$48,A321-1,ÉV!$G$2-9)/100000*ÉV!$B$10)</f>
        <v>0</v>
      </c>
      <c r="I321" s="271">
        <f ca="1">INDEX(Pz!$B$2:$AM$48,HÓ!A321,ÉV!$G$2-9)/100000*ÉV!$B$10</f>
        <v>0</v>
      </c>
      <c r="J321" s="273">
        <f ca="1">IF(OR(A321=1,A321=2,AND(C321=ÉV!$I$2,D321&gt;ÉV!$J$2),C321&gt;ÉV!$I$2),0,VLOOKUP(A321-2,ÉV!$A$18:$C$65,3,0))</f>
        <v>0</v>
      </c>
      <c r="K321" s="273">
        <f ca="1">IF(OR(A321=1,AND(C321=ÉV!$I$2,D321&gt;ÉV!$J$2),C321&gt;ÉV!$I$2),0,VLOOKUP(A321-1,ÉV!$A$18:$C$65,3,0))</f>
        <v>0</v>
      </c>
      <c r="L321" s="273">
        <f ca="1">VLOOKUP(A321,ÉV!$A$18:$C$65,3,0)*IF(OR(AND(C321=ÉV!$I$2,D321&gt;ÉV!$J$2),C321&gt;ÉV!$I$2),0,1)</f>
        <v>0</v>
      </c>
      <c r="M321" s="273">
        <f ca="1">(K321*(12-B321)/12+L321*B321/12)*IF(A321&gt;ÉV!$G$2,0,1)+IF(A321&gt;ÉV!$G$2,M320,0)*IF(OR(AND(C321=ÉV!$I$2,D321&gt;ÉV!$J$2),C321&gt;ÉV!$I$2),0,1)</f>
        <v>0</v>
      </c>
      <c r="N321" s="274">
        <f ca="1">IF(AND(C321=1,D321&lt;12),0,1)*IF(D321=12,MAX(0,F321-E321-0.003)*0.9*((K321+I321)*(B321/12)+(J321+H321)*(1-B321/12))+MAX(0,F321-0.003)*0.9*N320+N320,IF(AND(C321=ÉV!$I$2,D321=ÉV!$J$2),(M321+N320)*MAX(0,F321-0.003)*0.9*(D321/12)+N320,N320))*IF(OR(C321&gt;ÉV!$I$2,AND(C321=ÉV!$I$2,D321&gt;ÉV!$J$2)),0,1)</f>
        <v>0</v>
      </c>
      <c r="O321" s="313">
        <f ca="1">IF(MAX(AF$2:AF320)=2,      0,IF(OR(AC321=7, AF321=2),    SUM(AE$2:AE321),    O320)   )</f>
        <v>0</v>
      </c>
      <c r="P321" s="271">
        <f ca="1">IF(D321=12,V321+P320+P320*(F321-0.003)*0.9,IF(AND(C321=ÉV!$I$2,D321=ÉV!$J$2),V321+P320+P320*(F321-0.003)*0.9*D321/12,P320))*IF(OR(C321&gt;ÉV!$I$2,AND(C321=ÉV!$I$2,D321&gt;ÉV!$J$2)),0,1)</f>
        <v>0</v>
      </c>
      <c r="Q321" s="275">
        <f ca="1">(N321+P321)*IF(OR(AND(C321=ÉV!$I$2,D321&gt;ÉV!$J$2),C321&gt;ÉV!$I$2),0,1)</f>
        <v>0</v>
      </c>
      <c r="R321" s="271">
        <f ca="1">(MAX(0,F321-E321-0.003)*0.9*((K321+I321)*(1/12)))*IF(OR(C321&gt;ÉV!$I$2,AND(C321=ÉV!$I$2,D321&gt;ÉV!$J$2)),0,1)</f>
        <v>0</v>
      </c>
      <c r="S321" s="271">
        <f ca="1">(MAX(0,F321-0.003)*0.9*((O321)*(1/12)))*IF(OR(C321&gt;ÉV!$I$2,AND(C321=ÉV!$I$2,D321&gt;ÉV!$J$2)),0,1)</f>
        <v>0</v>
      </c>
      <c r="T321" s="271">
        <f ca="1">(MAX(0,F321-0.003)*0.9*((Q320)*(1/12)))*IF(OR(C321&gt;ÉV!$I$2,AND(C321=ÉV!$I$2,D321&gt;ÉV!$J$2)),0,1)</f>
        <v>0</v>
      </c>
      <c r="U321" s="271">
        <f ca="1">IF($D321=1,R321,R321+U320)*IF(OR(C321&gt;ÉV!$I$2,AND(C321=ÉV!$I$2,D321&gt;ÉV!$J$2)),0,1)</f>
        <v>0</v>
      </c>
      <c r="V321" s="271">
        <f ca="1">IF($D321=1,S321,S321+V320)*IF(OR(C321&gt;ÉV!$I$2,AND(C321=ÉV!$I$2,D321&gt;ÉV!$J$2)),0,1)</f>
        <v>0</v>
      </c>
      <c r="W321" s="271">
        <f ca="1">IF($D321=1,T321,T321+W320)*IF(OR(C321&gt;ÉV!$I$2,AND(C321=ÉV!$I$2,D321&gt;ÉV!$J$2)),0,1)</f>
        <v>0</v>
      </c>
      <c r="X321" s="271">
        <f ca="1">IF(OR(D321=12,AND(C321=ÉV!$I$2,D321=ÉV!$J$2)),SUM(U321:W321)+X320,X320)*IF(OR(C321&gt;ÉV!$I$2,AND(C321=ÉV!$I$2,D321&gt;ÉV!$J$2)),0,1)</f>
        <v>0</v>
      </c>
      <c r="Y321" s="271">
        <f t="shared" ca="1" si="46"/>
        <v>0</v>
      </c>
      <c r="Z321" s="265">
        <f t="shared" si="47"/>
        <v>7</v>
      </c>
      <c r="AA321" s="272">
        <f t="shared" ca="1" si="48"/>
        <v>0</v>
      </c>
      <c r="AB321" s="265">
        <f t="shared" ca="1" si="54"/>
        <v>2043</v>
      </c>
      <c r="AC321" s="265">
        <f t="shared" ca="1" si="55"/>
        <v>10</v>
      </c>
      <c r="AD321" s="276">
        <f ca="1">IF(     OR(               AND(MAX(AF$6:AF321)&lt;2,  AC321=12),                 AF321=2),                   SUMIF(AB:AB,AB321,AA:AA),                       0)</f>
        <v>0</v>
      </c>
      <c r="AE321" s="277">
        <f t="shared" ca="1" si="56"/>
        <v>0</v>
      </c>
      <c r="AF321" s="277">
        <f t="shared" ca="1" si="49"/>
        <v>0</v>
      </c>
      <c r="AG321" s="402">
        <f ca="1">IF(  AND(AC321=AdóHó,   MAX(AF$1:AF320)&lt;2),   SUMIF(AB:AB,AB321-1,AE:AE),0  )
+ IF(AND(AC321&lt;AdóHó,                            AF321=2),   SUMIF(AB:AB,AB321-1,AE:AE),0  )
+ IF(                                                                  AF321=2,    SUMIF(AB:AB,AB321,AE:AE   ),0  )</f>
        <v>0</v>
      </c>
      <c r="AH321" s="272">
        <f ca="1">SUM(AG$2:AG321)</f>
        <v>1139324.2410681627</v>
      </c>
    </row>
    <row r="322" spans="1:34">
      <c r="A322" s="265">
        <f t="shared" si="50"/>
        <v>27</v>
      </c>
      <c r="B322" s="265">
        <f t="shared" si="51"/>
        <v>8</v>
      </c>
      <c r="C322" s="265">
        <f t="shared" ca="1" si="52"/>
        <v>27</v>
      </c>
      <c r="D322" s="265">
        <f t="shared" ca="1" si="53"/>
        <v>11</v>
      </c>
      <c r="E322" s="266">
        <v>5.0000000000000001E-3</v>
      </c>
      <c r="F322" s="267">
        <f>ÉV!$B$12</f>
        <v>0</v>
      </c>
      <c r="G322" s="271">
        <f ca="1">VLOOKUP(A322,ÉV!$A$18:$B$65,2,0)</f>
        <v>0</v>
      </c>
      <c r="H322" s="271">
        <f ca="1">IF(OR(A322=1,AND(C322=ÉV!$I$2,D322&gt;ÉV!$J$2),C322&gt;ÉV!$I$2),0,INDEX(Pz!$B$2:$AM$48,A322-1,ÉV!$G$2-9)/100000*ÉV!$B$10)</f>
        <v>0</v>
      </c>
      <c r="I322" s="271">
        <f ca="1">INDEX(Pz!$B$2:$AM$48,HÓ!A322,ÉV!$G$2-9)/100000*ÉV!$B$10</f>
        <v>0</v>
      </c>
      <c r="J322" s="273">
        <f ca="1">IF(OR(A322=1,A322=2,AND(C322=ÉV!$I$2,D322&gt;ÉV!$J$2),C322&gt;ÉV!$I$2),0,VLOOKUP(A322-2,ÉV!$A$18:$C$65,3,0))</f>
        <v>0</v>
      </c>
      <c r="K322" s="273">
        <f ca="1">IF(OR(A322=1,AND(C322=ÉV!$I$2,D322&gt;ÉV!$J$2),C322&gt;ÉV!$I$2),0,VLOOKUP(A322-1,ÉV!$A$18:$C$65,3,0))</f>
        <v>0</v>
      </c>
      <c r="L322" s="273">
        <f ca="1">VLOOKUP(A322,ÉV!$A$18:$C$65,3,0)*IF(OR(AND(C322=ÉV!$I$2,D322&gt;ÉV!$J$2),C322&gt;ÉV!$I$2),0,1)</f>
        <v>0</v>
      </c>
      <c r="M322" s="273">
        <f ca="1">(K322*(12-B322)/12+L322*B322/12)*IF(A322&gt;ÉV!$G$2,0,1)+IF(A322&gt;ÉV!$G$2,M321,0)*IF(OR(AND(C322=ÉV!$I$2,D322&gt;ÉV!$J$2),C322&gt;ÉV!$I$2),0,1)</f>
        <v>0</v>
      </c>
      <c r="N322" s="274">
        <f ca="1">IF(AND(C322=1,D322&lt;12),0,1)*IF(D322=12,MAX(0,F322-E322-0.003)*0.9*((K322+I322)*(B322/12)+(J322+H322)*(1-B322/12))+MAX(0,F322-0.003)*0.9*N321+N321,IF(AND(C322=ÉV!$I$2,D322=ÉV!$J$2),(M322+N321)*MAX(0,F322-0.003)*0.9*(D322/12)+N321,N321))*IF(OR(C322&gt;ÉV!$I$2,AND(C322=ÉV!$I$2,D322&gt;ÉV!$J$2)),0,1)</f>
        <v>0</v>
      </c>
      <c r="O322" s="313">
        <f ca="1">IF(MAX(AF$2:AF321)=2,      0,IF(OR(AC322=7, AF322=2),    SUM(AE$2:AE322),    O321)   )</f>
        <v>0</v>
      </c>
      <c r="P322" s="271">
        <f ca="1">IF(D322=12,V322+P321+P321*(F322-0.003)*0.9,IF(AND(C322=ÉV!$I$2,D322=ÉV!$J$2),V322+P321+P321*(F322-0.003)*0.9*D322/12,P321))*IF(OR(C322&gt;ÉV!$I$2,AND(C322=ÉV!$I$2,D322&gt;ÉV!$J$2)),0,1)</f>
        <v>0</v>
      </c>
      <c r="Q322" s="275">
        <f ca="1">(N322+P322)*IF(OR(AND(C322=ÉV!$I$2,D322&gt;ÉV!$J$2),C322&gt;ÉV!$I$2),0,1)</f>
        <v>0</v>
      </c>
      <c r="R322" s="271">
        <f ca="1">(MAX(0,F322-E322-0.003)*0.9*((K322+I322)*(1/12)))*IF(OR(C322&gt;ÉV!$I$2,AND(C322=ÉV!$I$2,D322&gt;ÉV!$J$2)),0,1)</f>
        <v>0</v>
      </c>
      <c r="S322" s="271">
        <f ca="1">(MAX(0,F322-0.003)*0.9*((O322)*(1/12)))*IF(OR(C322&gt;ÉV!$I$2,AND(C322=ÉV!$I$2,D322&gt;ÉV!$J$2)),0,1)</f>
        <v>0</v>
      </c>
      <c r="T322" s="271">
        <f ca="1">(MAX(0,F322-0.003)*0.9*((Q321)*(1/12)))*IF(OR(C322&gt;ÉV!$I$2,AND(C322=ÉV!$I$2,D322&gt;ÉV!$J$2)),0,1)</f>
        <v>0</v>
      </c>
      <c r="U322" s="271">
        <f ca="1">IF($D322=1,R322,R322+U321)*IF(OR(C322&gt;ÉV!$I$2,AND(C322=ÉV!$I$2,D322&gt;ÉV!$J$2)),0,1)</f>
        <v>0</v>
      </c>
      <c r="V322" s="271">
        <f ca="1">IF($D322=1,S322,S322+V321)*IF(OR(C322&gt;ÉV!$I$2,AND(C322=ÉV!$I$2,D322&gt;ÉV!$J$2)),0,1)</f>
        <v>0</v>
      </c>
      <c r="W322" s="271">
        <f ca="1">IF($D322=1,T322,T322+W321)*IF(OR(C322&gt;ÉV!$I$2,AND(C322=ÉV!$I$2,D322&gt;ÉV!$J$2)),0,1)</f>
        <v>0</v>
      </c>
      <c r="X322" s="271">
        <f ca="1">IF(OR(D322=12,AND(C322=ÉV!$I$2,D322=ÉV!$J$2)),SUM(U322:W322)+X321,X321)*IF(OR(C322&gt;ÉV!$I$2,AND(C322=ÉV!$I$2,D322&gt;ÉV!$J$2)),0,1)</f>
        <v>0</v>
      </c>
      <c r="Y322" s="271">
        <f t="shared" ca="1" si="46"/>
        <v>0</v>
      </c>
      <c r="Z322" s="265">
        <f t="shared" si="47"/>
        <v>8</v>
      </c>
      <c r="AA322" s="272">
        <f t="shared" ca="1" si="48"/>
        <v>0</v>
      </c>
      <c r="AB322" s="265">
        <f t="shared" ca="1" si="54"/>
        <v>2043</v>
      </c>
      <c r="AC322" s="265">
        <f t="shared" ca="1" si="55"/>
        <v>11</v>
      </c>
      <c r="AD322" s="276">
        <f ca="1">IF(     OR(               AND(MAX(AF$6:AF322)&lt;2,  AC322=12),                 AF322=2),                   SUMIF(AB:AB,AB322,AA:AA),                       0)</f>
        <v>0</v>
      </c>
      <c r="AE322" s="277">
        <f t="shared" ca="1" si="56"/>
        <v>0</v>
      </c>
      <c r="AF322" s="277">
        <f t="shared" ca="1" si="49"/>
        <v>0</v>
      </c>
      <c r="AG322" s="402">
        <f ca="1">IF(  AND(AC322=AdóHó,   MAX(AF$1:AF321)&lt;2),   SUMIF(AB:AB,AB322-1,AE:AE),0  )
+ IF(AND(AC322&lt;AdóHó,                            AF322=2),   SUMIF(AB:AB,AB322-1,AE:AE),0  )
+ IF(                                                                  AF322=2,    SUMIF(AB:AB,AB322,AE:AE   ),0  )</f>
        <v>0</v>
      </c>
      <c r="AH322" s="272">
        <f ca="1">SUM(AG$2:AG322)</f>
        <v>1139324.2410681627</v>
      </c>
    </row>
    <row r="323" spans="1:34">
      <c r="A323" s="265">
        <f t="shared" si="50"/>
        <v>27</v>
      </c>
      <c r="B323" s="265">
        <f t="shared" si="51"/>
        <v>9</v>
      </c>
      <c r="C323" s="265">
        <f t="shared" ca="1" si="52"/>
        <v>27</v>
      </c>
      <c r="D323" s="265">
        <f t="shared" ca="1" si="53"/>
        <v>12</v>
      </c>
      <c r="E323" s="266">
        <v>5.0000000000000001E-3</v>
      </c>
      <c r="F323" s="267">
        <f>ÉV!$B$12</f>
        <v>0</v>
      </c>
      <c r="G323" s="271">
        <f ca="1">VLOOKUP(A323,ÉV!$A$18:$B$65,2,0)</f>
        <v>0</v>
      </c>
      <c r="H323" s="271">
        <f ca="1">IF(OR(A323=1,AND(C323=ÉV!$I$2,D323&gt;ÉV!$J$2),C323&gt;ÉV!$I$2),0,INDEX(Pz!$B$2:$AM$48,A323-1,ÉV!$G$2-9)/100000*ÉV!$B$10)</f>
        <v>0</v>
      </c>
      <c r="I323" s="271">
        <f ca="1">INDEX(Pz!$B$2:$AM$48,HÓ!A323,ÉV!$G$2-9)/100000*ÉV!$B$10</f>
        <v>0</v>
      </c>
      <c r="J323" s="273">
        <f ca="1">IF(OR(A323=1,A323=2,AND(C323=ÉV!$I$2,D323&gt;ÉV!$J$2),C323&gt;ÉV!$I$2),0,VLOOKUP(A323-2,ÉV!$A$18:$C$65,3,0))</f>
        <v>0</v>
      </c>
      <c r="K323" s="273">
        <f ca="1">IF(OR(A323=1,AND(C323=ÉV!$I$2,D323&gt;ÉV!$J$2),C323&gt;ÉV!$I$2),0,VLOOKUP(A323-1,ÉV!$A$18:$C$65,3,0))</f>
        <v>0</v>
      </c>
      <c r="L323" s="273">
        <f ca="1">VLOOKUP(A323,ÉV!$A$18:$C$65,3,0)*IF(OR(AND(C323=ÉV!$I$2,D323&gt;ÉV!$J$2),C323&gt;ÉV!$I$2),0,1)</f>
        <v>0</v>
      </c>
      <c r="M323" s="273">
        <f ca="1">(K323*(12-B323)/12+L323*B323/12)*IF(A323&gt;ÉV!$G$2,0,1)+IF(A323&gt;ÉV!$G$2,M322,0)*IF(OR(AND(C323=ÉV!$I$2,D323&gt;ÉV!$J$2),C323&gt;ÉV!$I$2),0,1)</f>
        <v>0</v>
      </c>
      <c r="N323" s="274">
        <f ca="1">IF(AND(C323=1,D323&lt;12),0,1)*IF(D323=12,MAX(0,F323-E323-0.003)*0.9*((K323+I323)*(B323/12)+(J323+H323)*(1-B323/12))+MAX(0,F323-0.003)*0.9*N322+N322,IF(AND(C323=ÉV!$I$2,D323=ÉV!$J$2),(M323+N322)*MAX(0,F323-0.003)*0.9*(D323/12)+N322,N322))*IF(OR(C323&gt;ÉV!$I$2,AND(C323=ÉV!$I$2,D323&gt;ÉV!$J$2)),0,1)</f>
        <v>0</v>
      </c>
      <c r="O323" s="313">
        <f ca="1">IF(MAX(AF$2:AF322)=2,      0,IF(OR(AC323=7, AF323=2),    SUM(AE$2:AE323),    O322)   )</f>
        <v>0</v>
      </c>
      <c r="P323" s="271">
        <f ca="1">IF(D323=12,V323+P322+P322*(F323-0.003)*0.9,IF(AND(C323=ÉV!$I$2,D323=ÉV!$J$2),V323+P322+P322*(F323-0.003)*0.9*D323/12,P322))*IF(OR(C323&gt;ÉV!$I$2,AND(C323=ÉV!$I$2,D323&gt;ÉV!$J$2)),0,1)</f>
        <v>0</v>
      </c>
      <c r="Q323" s="275">
        <f ca="1">(N323+P323)*IF(OR(AND(C323=ÉV!$I$2,D323&gt;ÉV!$J$2),C323&gt;ÉV!$I$2),0,1)</f>
        <v>0</v>
      </c>
      <c r="R323" s="271">
        <f ca="1">(MAX(0,F323-E323-0.003)*0.9*((K323+I323)*(1/12)))*IF(OR(C323&gt;ÉV!$I$2,AND(C323=ÉV!$I$2,D323&gt;ÉV!$J$2)),0,1)</f>
        <v>0</v>
      </c>
      <c r="S323" s="271">
        <f ca="1">(MAX(0,F323-0.003)*0.9*((O323)*(1/12)))*IF(OR(C323&gt;ÉV!$I$2,AND(C323=ÉV!$I$2,D323&gt;ÉV!$J$2)),0,1)</f>
        <v>0</v>
      </c>
      <c r="T323" s="271">
        <f ca="1">(MAX(0,F323-0.003)*0.9*((Q322)*(1/12)))*IF(OR(C323&gt;ÉV!$I$2,AND(C323=ÉV!$I$2,D323&gt;ÉV!$J$2)),0,1)</f>
        <v>0</v>
      </c>
      <c r="U323" s="271">
        <f ca="1">IF($D323=1,R323,R323+U322)*IF(OR(C323&gt;ÉV!$I$2,AND(C323=ÉV!$I$2,D323&gt;ÉV!$J$2)),0,1)</f>
        <v>0</v>
      </c>
      <c r="V323" s="271">
        <f ca="1">IF($D323=1,S323,S323+V322)*IF(OR(C323&gt;ÉV!$I$2,AND(C323=ÉV!$I$2,D323&gt;ÉV!$J$2)),0,1)</f>
        <v>0</v>
      </c>
      <c r="W323" s="271">
        <f ca="1">IF($D323=1,T323,T323+W322)*IF(OR(C323&gt;ÉV!$I$2,AND(C323=ÉV!$I$2,D323&gt;ÉV!$J$2)),0,1)</f>
        <v>0</v>
      </c>
      <c r="X323" s="271">
        <f ca="1">IF(OR(D323=12,AND(C323=ÉV!$I$2,D323=ÉV!$J$2)),SUM(U323:W323)+X322,X322)*IF(OR(C323&gt;ÉV!$I$2,AND(C323=ÉV!$I$2,D323&gt;ÉV!$J$2)),0,1)</f>
        <v>0</v>
      </c>
      <c r="Y323" s="271">
        <f t="shared" ref="Y323:Y386" ca="1" si="57">X323-Q323</f>
        <v>0</v>
      </c>
      <c r="Z323" s="265">
        <f t="shared" ref="Z323:Z386" si="58">B323</f>
        <v>9</v>
      </c>
      <c r="AA323" s="272">
        <f t="shared" ref="AA323:AA386" ca="1" si="59">IF(OR(FizGyakNr=12, MOD(B323,12/FizGyakNr)=1),  1,0)    *      G323/FizGyakNr</f>
        <v>0</v>
      </c>
      <c r="AB323" s="265">
        <f t="shared" ca="1" si="54"/>
        <v>2043</v>
      </c>
      <c r="AC323" s="265">
        <f t="shared" ca="1" si="55"/>
        <v>12</v>
      </c>
      <c r="AD323" s="276">
        <f ca="1">IF(     OR(               AND(MAX(AF$6:AF323)&lt;2,  AC323=12),                 AF323=2),                   SUMIF(AB:AB,AB323,AA:AA),                       0)</f>
        <v>0</v>
      </c>
      <c r="AE323" s="277">
        <f t="shared" ca="1" si="56"/>
        <v>0</v>
      </c>
      <c r="AF323" s="277">
        <f t="shared" ref="AF323:AF386" ca="1" si="60" xml:space="preserve"> IF(DATE(AB323,AC323,1)=DATE(YEAR(LejáratNyug),MONTH(LejáratNyug),1),     2,   IF(AND(A323=TartamDíjfiz,B323=12),     1,   0)  )</f>
        <v>0</v>
      </c>
      <c r="AG323" s="402">
        <f ca="1">IF(  AND(AC323=AdóHó,   MAX(AF$1:AF322)&lt;2),   SUMIF(AB:AB,AB323-1,AE:AE),0  )
+ IF(AND(AC323&lt;AdóHó,                            AF323=2),   SUMIF(AB:AB,AB323-1,AE:AE),0  )
+ IF(                                                                  AF323=2,    SUMIF(AB:AB,AB323,AE:AE   ),0  )</f>
        <v>0</v>
      </c>
      <c r="AH323" s="272">
        <f ca="1">SUM(AG$2:AG323)</f>
        <v>1139324.2410681627</v>
      </c>
    </row>
    <row r="324" spans="1:34">
      <c r="A324" s="265">
        <f t="shared" si="50"/>
        <v>27</v>
      </c>
      <c r="B324" s="265">
        <f t="shared" si="51"/>
        <v>10</v>
      </c>
      <c r="C324" s="265">
        <f t="shared" ca="1" si="52"/>
        <v>28</v>
      </c>
      <c r="D324" s="265">
        <f t="shared" ca="1" si="53"/>
        <v>1</v>
      </c>
      <c r="E324" s="266">
        <v>5.0000000000000001E-3</v>
      </c>
      <c r="F324" s="267">
        <f>ÉV!$B$12</f>
        <v>0</v>
      </c>
      <c r="G324" s="271">
        <f ca="1">VLOOKUP(A324,ÉV!$A$18:$B$65,2,0)</f>
        <v>0</v>
      </c>
      <c r="H324" s="271">
        <f ca="1">IF(OR(A324=1,AND(C324=ÉV!$I$2,D324&gt;ÉV!$J$2),C324&gt;ÉV!$I$2),0,INDEX(Pz!$B$2:$AM$48,A324-1,ÉV!$G$2-9)/100000*ÉV!$B$10)</f>
        <v>0</v>
      </c>
      <c r="I324" s="271">
        <f ca="1">INDEX(Pz!$B$2:$AM$48,HÓ!A324,ÉV!$G$2-9)/100000*ÉV!$B$10</f>
        <v>0</v>
      </c>
      <c r="J324" s="273">
        <f ca="1">IF(OR(A324=1,A324=2,AND(C324=ÉV!$I$2,D324&gt;ÉV!$J$2),C324&gt;ÉV!$I$2),0,VLOOKUP(A324-2,ÉV!$A$18:$C$65,3,0))</f>
        <v>0</v>
      </c>
      <c r="K324" s="273">
        <f ca="1">IF(OR(A324=1,AND(C324=ÉV!$I$2,D324&gt;ÉV!$J$2),C324&gt;ÉV!$I$2),0,VLOOKUP(A324-1,ÉV!$A$18:$C$65,3,0))</f>
        <v>0</v>
      </c>
      <c r="L324" s="273">
        <f ca="1">VLOOKUP(A324,ÉV!$A$18:$C$65,3,0)*IF(OR(AND(C324=ÉV!$I$2,D324&gt;ÉV!$J$2),C324&gt;ÉV!$I$2),0,1)</f>
        <v>0</v>
      </c>
      <c r="M324" s="273">
        <f ca="1">(K324*(12-B324)/12+L324*B324/12)*IF(A324&gt;ÉV!$G$2,0,1)+IF(A324&gt;ÉV!$G$2,M323,0)*IF(OR(AND(C324=ÉV!$I$2,D324&gt;ÉV!$J$2),C324&gt;ÉV!$I$2),0,1)</f>
        <v>0</v>
      </c>
      <c r="N324" s="274">
        <f ca="1">IF(AND(C324=1,D324&lt;12),0,1)*IF(D324=12,MAX(0,F324-E324-0.003)*0.9*((K324+I324)*(B324/12)+(J324+H324)*(1-B324/12))+MAX(0,F324-0.003)*0.9*N323+N323,IF(AND(C324=ÉV!$I$2,D324=ÉV!$J$2),(M324+N323)*MAX(0,F324-0.003)*0.9*(D324/12)+N323,N323))*IF(OR(C324&gt;ÉV!$I$2,AND(C324=ÉV!$I$2,D324&gt;ÉV!$J$2)),0,1)</f>
        <v>0</v>
      </c>
      <c r="O324" s="313">
        <f ca="1">IF(MAX(AF$2:AF323)=2,      0,IF(OR(AC324=7, AF324=2),    SUM(AE$2:AE324),    O323)   )</f>
        <v>0</v>
      </c>
      <c r="P324" s="271">
        <f ca="1">IF(D324=12,V324+P323+P323*(F324-0.003)*0.9,IF(AND(C324=ÉV!$I$2,D324=ÉV!$J$2),V324+P323+P323*(F324-0.003)*0.9*D324/12,P323))*IF(OR(C324&gt;ÉV!$I$2,AND(C324=ÉV!$I$2,D324&gt;ÉV!$J$2)),0,1)</f>
        <v>0</v>
      </c>
      <c r="Q324" s="275">
        <f ca="1">(N324+P324)*IF(OR(AND(C324=ÉV!$I$2,D324&gt;ÉV!$J$2),C324&gt;ÉV!$I$2),0,1)</f>
        <v>0</v>
      </c>
      <c r="R324" s="271">
        <f ca="1">(MAX(0,F324-E324-0.003)*0.9*((K324+I324)*(1/12)))*IF(OR(C324&gt;ÉV!$I$2,AND(C324=ÉV!$I$2,D324&gt;ÉV!$J$2)),0,1)</f>
        <v>0</v>
      </c>
      <c r="S324" s="271">
        <f ca="1">(MAX(0,F324-0.003)*0.9*((O324)*(1/12)))*IF(OR(C324&gt;ÉV!$I$2,AND(C324=ÉV!$I$2,D324&gt;ÉV!$J$2)),0,1)</f>
        <v>0</v>
      </c>
      <c r="T324" s="271">
        <f ca="1">(MAX(0,F324-0.003)*0.9*((Q323)*(1/12)))*IF(OR(C324&gt;ÉV!$I$2,AND(C324=ÉV!$I$2,D324&gt;ÉV!$J$2)),0,1)</f>
        <v>0</v>
      </c>
      <c r="U324" s="271">
        <f ca="1">IF($D324=1,R324,R324+U323)*IF(OR(C324&gt;ÉV!$I$2,AND(C324=ÉV!$I$2,D324&gt;ÉV!$J$2)),0,1)</f>
        <v>0</v>
      </c>
      <c r="V324" s="271">
        <f ca="1">IF($D324=1,S324,S324+V323)*IF(OR(C324&gt;ÉV!$I$2,AND(C324=ÉV!$I$2,D324&gt;ÉV!$J$2)),0,1)</f>
        <v>0</v>
      </c>
      <c r="W324" s="271">
        <f ca="1">IF($D324=1,T324,T324+W323)*IF(OR(C324&gt;ÉV!$I$2,AND(C324=ÉV!$I$2,D324&gt;ÉV!$J$2)),0,1)</f>
        <v>0</v>
      </c>
      <c r="X324" s="271">
        <f ca="1">IF(OR(D324=12,AND(C324=ÉV!$I$2,D324=ÉV!$J$2)),SUM(U324:W324)+X323,X323)*IF(OR(C324&gt;ÉV!$I$2,AND(C324=ÉV!$I$2,D324&gt;ÉV!$J$2)),0,1)</f>
        <v>0</v>
      </c>
      <c r="Y324" s="271">
        <f t="shared" ca="1" si="57"/>
        <v>0</v>
      </c>
      <c r="Z324" s="265">
        <f t="shared" si="58"/>
        <v>10</v>
      </c>
      <c r="AA324" s="272">
        <f t="shared" ca="1" si="59"/>
        <v>0</v>
      </c>
      <c r="AB324" s="265">
        <f t="shared" ca="1" si="54"/>
        <v>2044</v>
      </c>
      <c r="AC324" s="265">
        <f t="shared" ca="1" si="55"/>
        <v>1</v>
      </c>
      <c r="AD324" s="276">
        <f ca="1">IF(     OR(               AND(MAX(AF$6:AF324)&lt;2,  AC324=12),                 AF324=2),                   SUMIF(AB:AB,AB324,AA:AA),                       0)</f>
        <v>0</v>
      </c>
      <c r="AE324" s="277">
        <f t="shared" ca="1" si="56"/>
        <v>0</v>
      </c>
      <c r="AF324" s="277">
        <f t="shared" ca="1" si="60"/>
        <v>0</v>
      </c>
      <c r="AG324" s="402">
        <f ca="1">IF(  AND(AC324=AdóHó,   MAX(AF$1:AF323)&lt;2),   SUMIF(AB:AB,AB324-1,AE:AE),0  )
+ IF(AND(AC324&lt;AdóHó,                            AF324=2),   SUMIF(AB:AB,AB324-1,AE:AE),0  )
+ IF(                                                                  AF324=2,    SUMIF(AB:AB,AB324,AE:AE   ),0  )</f>
        <v>0</v>
      </c>
      <c r="AH324" s="272">
        <f ca="1">SUM(AG$2:AG324)</f>
        <v>1139324.2410681627</v>
      </c>
    </row>
    <row r="325" spans="1:34">
      <c r="A325" s="265">
        <f t="shared" ref="A325:A388" si="61">IF(B324=12,A324+1,A324)</f>
        <v>27</v>
      </c>
      <c r="B325" s="265">
        <f t="shared" ref="B325:B388" si="62">IF(B324=12,1,B324+1)</f>
        <v>11</v>
      </c>
      <c r="C325" s="265">
        <f t="shared" ref="C325:C388" ca="1" si="63">IF(D324=12,C324+1,C324)</f>
        <v>28</v>
      </c>
      <c r="D325" s="265">
        <f t="shared" ref="D325:D388" ca="1" si="64">IF(D324=12,1,D324+1)</f>
        <v>2</v>
      </c>
      <c r="E325" s="266">
        <v>5.0000000000000001E-3</v>
      </c>
      <c r="F325" s="267">
        <f>ÉV!$B$12</f>
        <v>0</v>
      </c>
      <c r="G325" s="271">
        <f ca="1">VLOOKUP(A325,ÉV!$A$18:$B$65,2,0)</f>
        <v>0</v>
      </c>
      <c r="H325" s="271">
        <f ca="1">IF(OR(A325=1,AND(C325=ÉV!$I$2,D325&gt;ÉV!$J$2),C325&gt;ÉV!$I$2),0,INDEX(Pz!$B$2:$AM$48,A325-1,ÉV!$G$2-9)/100000*ÉV!$B$10)</f>
        <v>0</v>
      </c>
      <c r="I325" s="271">
        <f ca="1">INDEX(Pz!$B$2:$AM$48,HÓ!A325,ÉV!$G$2-9)/100000*ÉV!$B$10</f>
        <v>0</v>
      </c>
      <c r="J325" s="273">
        <f ca="1">IF(OR(A325=1,A325=2,AND(C325=ÉV!$I$2,D325&gt;ÉV!$J$2),C325&gt;ÉV!$I$2),0,VLOOKUP(A325-2,ÉV!$A$18:$C$65,3,0))</f>
        <v>0</v>
      </c>
      <c r="K325" s="273">
        <f ca="1">IF(OR(A325=1,AND(C325=ÉV!$I$2,D325&gt;ÉV!$J$2),C325&gt;ÉV!$I$2),0,VLOOKUP(A325-1,ÉV!$A$18:$C$65,3,0))</f>
        <v>0</v>
      </c>
      <c r="L325" s="273">
        <f ca="1">VLOOKUP(A325,ÉV!$A$18:$C$65,3,0)*IF(OR(AND(C325=ÉV!$I$2,D325&gt;ÉV!$J$2),C325&gt;ÉV!$I$2),0,1)</f>
        <v>0</v>
      </c>
      <c r="M325" s="273">
        <f ca="1">(K325*(12-B325)/12+L325*B325/12)*IF(A325&gt;ÉV!$G$2,0,1)+IF(A325&gt;ÉV!$G$2,M324,0)*IF(OR(AND(C325=ÉV!$I$2,D325&gt;ÉV!$J$2),C325&gt;ÉV!$I$2),0,1)</f>
        <v>0</v>
      </c>
      <c r="N325" s="274">
        <f ca="1">IF(AND(C325=1,D325&lt;12),0,1)*IF(D325=12,MAX(0,F325-E325-0.003)*0.9*((K325+I325)*(B325/12)+(J325+H325)*(1-B325/12))+MAX(0,F325-0.003)*0.9*N324+N324,IF(AND(C325=ÉV!$I$2,D325=ÉV!$J$2),(M325+N324)*MAX(0,F325-0.003)*0.9*(D325/12)+N324,N324))*IF(OR(C325&gt;ÉV!$I$2,AND(C325=ÉV!$I$2,D325&gt;ÉV!$J$2)),0,1)</f>
        <v>0</v>
      </c>
      <c r="O325" s="313">
        <f ca="1">IF(MAX(AF$2:AF324)=2,      0,IF(OR(AC325=7, AF325=2),    SUM(AE$2:AE325),    O324)   )</f>
        <v>0</v>
      </c>
      <c r="P325" s="271">
        <f ca="1">IF(D325=12,V325+P324+P324*(F325-0.003)*0.9,IF(AND(C325=ÉV!$I$2,D325=ÉV!$J$2),V325+P324+P324*(F325-0.003)*0.9*D325/12,P324))*IF(OR(C325&gt;ÉV!$I$2,AND(C325=ÉV!$I$2,D325&gt;ÉV!$J$2)),0,1)</f>
        <v>0</v>
      </c>
      <c r="Q325" s="275">
        <f ca="1">(N325+P325)*IF(OR(AND(C325=ÉV!$I$2,D325&gt;ÉV!$J$2),C325&gt;ÉV!$I$2),0,1)</f>
        <v>0</v>
      </c>
      <c r="R325" s="271">
        <f ca="1">(MAX(0,F325-E325-0.003)*0.9*((K325+I325)*(1/12)))*IF(OR(C325&gt;ÉV!$I$2,AND(C325=ÉV!$I$2,D325&gt;ÉV!$J$2)),0,1)</f>
        <v>0</v>
      </c>
      <c r="S325" s="271">
        <f ca="1">(MAX(0,F325-0.003)*0.9*((O325)*(1/12)))*IF(OR(C325&gt;ÉV!$I$2,AND(C325=ÉV!$I$2,D325&gt;ÉV!$J$2)),0,1)</f>
        <v>0</v>
      </c>
      <c r="T325" s="271">
        <f ca="1">(MAX(0,F325-0.003)*0.9*((Q324)*(1/12)))*IF(OR(C325&gt;ÉV!$I$2,AND(C325=ÉV!$I$2,D325&gt;ÉV!$J$2)),0,1)</f>
        <v>0</v>
      </c>
      <c r="U325" s="271">
        <f ca="1">IF($D325=1,R325,R325+U324)*IF(OR(C325&gt;ÉV!$I$2,AND(C325=ÉV!$I$2,D325&gt;ÉV!$J$2)),0,1)</f>
        <v>0</v>
      </c>
      <c r="V325" s="271">
        <f ca="1">IF($D325=1,S325,S325+V324)*IF(OR(C325&gt;ÉV!$I$2,AND(C325=ÉV!$I$2,D325&gt;ÉV!$J$2)),0,1)</f>
        <v>0</v>
      </c>
      <c r="W325" s="271">
        <f ca="1">IF($D325=1,T325,T325+W324)*IF(OR(C325&gt;ÉV!$I$2,AND(C325=ÉV!$I$2,D325&gt;ÉV!$J$2)),0,1)</f>
        <v>0</v>
      </c>
      <c r="X325" s="271">
        <f ca="1">IF(OR(D325=12,AND(C325=ÉV!$I$2,D325=ÉV!$J$2)),SUM(U325:W325)+X324,X324)*IF(OR(C325&gt;ÉV!$I$2,AND(C325=ÉV!$I$2,D325&gt;ÉV!$J$2)),0,1)</f>
        <v>0</v>
      </c>
      <c r="Y325" s="271">
        <f t="shared" ca="1" si="57"/>
        <v>0</v>
      </c>
      <c r="Z325" s="265">
        <f t="shared" si="58"/>
        <v>11</v>
      </c>
      <c r="AA325" s="272">
        <f t="shared" ca="1" si="59"/>
        <v>0</v>
      </c>
      <c r="AB325" s="265">
        <f t="shared" ref="AB325:AB388" ca="1" si="65">IF(AC324=12,AB324+1,AB324)</f>
        <v>2044</v>
      </c>
      <c r="AC325" s="265">
        <f t="shared" ref="AC325:AC388" ca="1" si="66">IF(AC324=12,1,AC324+1)</f>
        <v>2</v>
      </c>
      <c r="AD325" s="276">
        <f ca="1">IF(     OR(               AND(MAX(AF$6:AF325)&lt;2,  AC325=12),                 AF325=2),                   SUMIF(AB:AB,AB325,AA:AA),                       0)</f>
        <v>0</v>
      </c>
      <c r="AE325" s="277">
        <f t="shared" ca="1" si="56"/>
        <v>0</v>
      </c>
      <c r="AF325" s="277">
        <f t="shared" ca="1" si="60"/>
        <v>0</v>
      </c>
      <c r="AG325" s="402">
        <f ca="1">IF(  AND(AC325=AdóHó,   MAX(AF$1:AF324)&lt;2),   SUMIF(AB:AB,AB325-1,AE:AE),0  )
+ IF(AND(AC325&lt;AdóHó,                            AF325=2),   SUMIF(AB:AB,AB325-1,AE:AE),0  )
+ IF(                                                                  AF325=2,    SUMIF(AB:AB,AB325,AE:AE   ),0  )</f>
        <v>0</v>
      </c>
      <c r="AH325" s="272">
        <f ca="1">SUM(AG$2:AG325)</f>
        <v>1139324.2410681627</v>
      </c>
    </row>
    <row r="326" spans="1:34">
      <c r="A326" s="265">
        <f t="shared" si="61"/>
        <v>27</v>
      </c>
      <c r="B326" s="265">
        <f t="shared" si="62"/>
        <v>12</v>
      </c>
      <c r="C326" s="265">
        <f t="shared" ca="1" si="63"/>
        <v>28</v>
      </c>
      <c r="D326" s="265">
        <f t="shared" ca="1" si="64"/>
        <v>3</v>
      </c>
      <c r="E326" s="266">
        <v>5.0000000000000001E-3</v>
      </c>
      <c r="F326" s="267">
        <f>ÉV!$B$12</f>
        <v>0</v>
      </c>
      <c r="G326" s="271">
        <f ca="1">VLOOKUP(A326,ÉV!$A$18:$B$65,2,0)</f>
        <v>0</v>
      </c>
      <c r="H326" s="271">
        <f ca="1">IF(OR(A326=1,AND(C326=ÉV!$I$2,D326&gt;ÉV!$J$2),C326&gt;ÉV!$I$2),0,INDEX(Pz!$B$2:$AM$48,A326-1,ÉV!$G$2-9)/100000*ÉV!$B$10)</f>
        <v>0</v>
      </c>
      <c r="I326" s="271">
        <f ca="1">INDEX(Pz!$B$2:$AM$48,HÓ!A326,ÉV!$G$2-9)/100000*ÉV!$B$10</f>
        <v>0</v>
      </c>
      <c r="J326" s="273">
        <f ca="1">IF(OR(A326=1,A326=2,AND(C326=ÉV!$I$2,D326&gt;ÉV!$J$2),C326&gt;ÉV!$I$2),0,VLOOKUP(A326-2,ÉV!$A$18:$C$65,3,0))</f>
        <v>0</v>
      </c>
      <c r="K326" s="273">
        <f ca="1">IF(OR(A326=1,AND(C326=ÉV!$I$2,D326&gt;ÉV!$J$2),C326&gt;ÉV!$I$2),0,VLOOKUP(A326-1,ÉV!$A$18:$C$65,3,0))</f>
        <v>0</v>
      </c>
      <c r="L326" s="273">
        <f ca="1">VLOOKUP(A326,ÉV!$A$18:$C$65,3,0)*IF(OR(AND(C326=ÉV!$I$2,D326&gt;ÉV!$J$2),C326&gt;ÉV!$I$2),0,1)</f>
        <v>0</v>
      </c>
      <c r="M326" s="273">
        <f ca="1">(K326*(12-B326)/12+L326*B326/12)*IF(A326&gt;ÉV!$G$2,0,1)+IF(A326&gt;ÉV!$G$2,M325,0)*IF(OR(AND(C326=ÉV!$I$2,D326&gt;ÉV!$J$2),C326&gt;ÉV!$I$2),0,1)</f>
        <v>0</v>
      </c>
      <c r="N326" s="274">
        <f ca="1">IF(AND(C326=1,D326&lt;12),0,1)*IF(D326=12,MAX(0,F326-E326-0.003)*0.9*((K326+I326)*(B326/12)+(J326+H326)*(1-B326/12))+MAX(0,F326-0.003)*0.9*N325+N325,IF(AND(C326=ÉV!$I$2,D326=ÉV!$J$2),(M326+N325)*MAX(0,F326-0.003)*0.9*(D326/12)+N325,N325))*IF(OR(C326&gt;ÉV!$I$2,AND(C326=ÉV!$I$2,D326&gt;ÉV!$J$2)),0,1)</f>
        <v>0</v>
      </c>
      <c r="O326" s="313">
        <f ca="1">IF(MAX(AF$2:AF325)=2,      0,IF(OR(AC326=7, AF326=2),    SUM(AE$2:AE326),    O325)   )</f>
        <v>0</v>
      </c>
      <c r="P326" s="271">
        <f ca="1">IF(D326=12,V326+P325+P325*(F326-0.003)*0.9,IF(AND(C326=ÉV!$I$2,D326=ÉV!$J$2),V326+P325+P325*(F326-0.003)*0.9*D326/12,P325))*IF(OR(C326&gt;ÉV!$I$2,AND(C326=ÉV!$I$2,D326&gt;ÉV!$J$2)),0,1)</f>
        <v>0</v>
      </c>
      <c r="Q326" s="275">
        <f ca="1">(N326+P326)*IF(OR(AND(C326=ÉV!$I$2,D326&gt;ÉV!$J$2),C326&gt;ÉV!$I$2),0,1)</f>
        <v>0</v>
      </c>
      <c r="R326" s="271">
        <f ca="1">(MAX(0,F326-E326-0.003)*0.9*((K326+I326)*(1/12)))*IF(OR(C326&gt;ÉV!$I$2,AND(C326=ÉV!$I$2,D326&gt;ÉV!$J$2)),0,1)</f>
        <v>0</v>
      </c>
      <c r="S326" s="271">
        <f ca="1">(MAX(0,F326-0.003)*0.9*((O326)*(1/12)))*IF(OR(C326&gt;ÉV!$I$2,AND(C326=ÉV!$I$2,D326&gt;ÉV!$J$2)),0,1)</f>
        <v>0</v>
      </c>
      <c r="T326" s="271">
        <f ca="1">(MAX(0,F326-0.003)*0.9*((Q325)*(1/12)))*IF(OR(C326&gt;ÉV!$I$2,AND(C326=ÉV!$I$2,D326&gt;ÉV!$J$2)),0,1)</f>
        <v>0</v>
      </c>
      <c r="U326" s="271">
        <f ca="1">IF($D326=1,R326,R326+U325)*IF(OR(C326&gt;ÉV!$I$2,AND(C326=ÉV!$I$2,D326&gt;ÉV!$J$2)),0,1)</f>
        <v>0</v>
      </c>
      <c r="V326" s="271">
        <f ca="1">IF($D326=1,S326,S326+V325)*IF(OR(C326&gt;ÉV!$I$2,AND(C326=ÉV!$I$2,D326&gt;ÉV!$J$2)),0,1)</f>
        <v>0</v>
      </c>
      <c r="W326" s="271">
        <f ca="1">IF($D326=1,T326,T326+W325)*IF(OR(C326&gt;ÉV!$I$2,AND(C326=ÉV!$I$2,D326&gt;ÉV!$J$2)),0,1)</f>
        <v>0</v>
      </c>
      <c r="X326" s="271">
        <f ca="1">IF(OR(D326=12,AND(C326=ÉV!$I$2,D326=ÉV!$J$2)),SUM(U326:W326)+X325,X325)*IF(OR(C326&gt;ÉV!$I$2,AND(C326=ÉV!$I$2,D326&gt;ÉV!$J$2)),0,1)</f>
        <v>0</v>
      </c>
      <c r="Y326" s="271">
        <f t="shared" ca="1" si="57"/>
        <v>0</v>
      </c>
      <c r="Z326" s="265">
        <f t="shared" si="58"/>
        <v>12</v>
      </c>
      <c r="AA326" s="272">
        <f t="shared" ca="1" si="59"/>
        <v>0</v>
      </c>
      <c r="AB326" s="265">
        <f t="shared" ca="1" si="65"/>
        <v>2044</v>
      </c>
      <c r="AC326" s="265">
        <f t="shared" ca="1" si="66"/>
        <v>3</v>
      </c>
      <c r="AD326" s="276">
        <f ca="1">IF(     OR(               AND(MAX(AF$6:AF326)&lt;2,  AC326=12),                 AF326=2),                   SUMIF(AB:AB,AB326,AA:AA),                       0)</f>
        <v>0</v>
      </c>
      <c r="AE326" s="277">
        <f t="shared" ca="1" si="56"/>
        <v>0</v>
      </c>
      <c r="AF326" s="277">
        <f t="shared" ca="1" si="60"/>
        <v>0</v>
      </c>
      <c r="AG326" s="402">
        <f ca="1">IF(  AND(AC326=AdóHó,   MAX(AF$1:AF325)&lt;2),   SUMIF(AB:AB,AB326-1,AE:AE),0  )
+ IF(AND(AC326&lt;AdóHó,                            AF326=2),   SUMIF(AB:AB,AB326-1,AE:AE),0  )
+ IF(                                                                  AF326=2,    SUMIF(AB:AB,AB326,AE:AE   ),0  )</f>
        <v>0</v>
      </c>
      <c r="AH326" s="272">
        <f ca="1">SUM(AG$2:AG326)</f>
        <v>1139324.2410681627</v>
      </c>
    </row>
    <row r="327" spans="1:34">
      <c r="A327" s="265">
        <f t="shared" si="61"/>
        <v>28</v>
      </c>
      <c r="B327" s="265">
        <f t="shared" si="62"/>
        <v>1</v>
      </c>
      <c r="C327" s="265">
        <f t="shared" ca="1" si="63"/>
        <v>28</v>
      </c>
      <c r="D327" s="265">
        <f t="shared" ca="1" si="64"/>
        <v>4</v>
      </c>
      <c r="E327" s="266">
        <v>5.0000000000000001E-3</v>
      </c>
      <c r="F327" s="267">
        <f>ÉV!$B$12</f>
        <v>0</v>
      </c>
      <c r="G327" s="271">
        <f ca="1">VLOOKUP(A327,ÉV!$A$18:$B$65,2,0)</f>
        <v>0</v>
      </c>
      <c r="H327" s="271">
        <f ca="1">IF(OR(A327=1,AND(C327=ÉV!$I$2,D327&gt;ÉV!$J$2),C327&gt;ÉV!$I$2),0,INDEX(Pz!$B$2:$AM$48,A327-1,ÉV!$G$2-9)/100000*ÉV!$B$10)</f>
        <v>0</v>
      </c>
      <c r="I327" s="271">
        <f ca="1">INDEX(Pz!$B$2:$AM$48,HÓ!A327,ÉV!$G$2-9)/100000*ÉV!$B$10</f>
        <v>0</v>
      </c>
      <c r="J327" s="273">
        <f ca="1">IF(OR(A327=1,A327=2,AND(C327=ÉV!$I$2,D327&gt;ÉV!$J$2),C327&gt;ÉV!$I$2),0,VLOOKUP(A327-2,ÉV!$A$18:$C$65,3,0))</f>
        <v>0</v>
      </c>
      <c r="K327" s="273">
        <f ca="1">IF(OR(A327=1,AND(C327=ÉV!$I$2,D327&gt;ÉV!$J$2),C327&gt;ÉV!$I$2),0,VLOOKUP(A327-1,ÉV!$A$18:$C$65,3,0))</f>
        <v>0</v>
      </c>
      <c r="L327" s="273">
        <f ca="1">VLOOKUP(A327,ÉV!$A$18:$C$65,3,0)*IF(OR(AND(C327=ÉV!$I$2,D327&gt;ÉV!$J$2),C327&gt;ÉV!$I$2),0,1)</f>
        <v>0</v>
      </c>
      <c r="M327" s="273">
        <f ca="1">(K327*(12-B327)/12+L327*B327/12)*IF(A327&gt;ÉV!$G$2,0,1)+IF(A327&gt;ÉV!$G$2,M326,0)*IF(OR(AND(C327=ÉV!$I$2,D327&gt;ÉV!$J$2),C327&gt;ÉV!$I$2),0,1)</f>
        <v>0</v>
      </c>
      <c r="N327" s="274">
        <f ca="1">IF(AND(C327=1,D327&lt;12),0,1)*IF(D327=12,MAX(0,F327-E327-0.003)*0.9*((K327+I327)*(B327/12)+(J327+H327)*(1-B327/12))+MAX(0,F327-0.003)*0.9*N326+N326,IF(AND(C327=ÉV!$I$2,D327=ÉV!$J$2),(M327+N326)*MAX(0,F327-0.003)*0.9*(D327/12)+N326,N326))*IF(OR(C327&gt;ÉV!$I$2,AND(C327=ÉV!$I$2,D327&gt;ÉV!$J$2)),0,1)</f>
        <v>0</v>
      </c>
      <c r="O327" s="313">
        <f ca="1">IF(MAX(AF$2:AF326)=2,      0,IF(OR(AC327=7, AF327=2),    SUM(AE$2:AE327),    O326)   )</f>
        <v>0</v>
      </c>
      <c r="P327" s="271">
        <f ca="1">IF(D327=12,V327+P326+P326*(F327-0.003)*0.9,IF(AND(C327=ÉV!$I$2,D327=ÉV!$J$2),V327+P326+P326*(F327-0.003)*0.9*D327/12,P326))*IF(OR(C327&gt;ÉV!$I$2,AND(C327=ÉV!$I$2,D327&gt;ÉV!$J$2)),0,1)</f>
        <v>0</v>
      </c>
      <c r="Q327" s="275">
        <f ca="1">(N327+P327)*IF(OR(AND(C327=ÉV!$I$2,D327&gt;ÉV!$J$2),C327&gt;ÉV!$I$2),0,1)</f>
        <v>0</v>
      </c>
      <c r="R327" s="271">
        <f ca="1">(MAX(0,F327-E327-0.003)*0.9*((K327+I327)*(1/12)))*IF(OR(C327&gt;ÉV!$I$2,AND(C327=ÉV!$I$2,D327&gt;ÉV!$J$2)),0,1)</f>
        <v>0</v>
      </c>
      <c r="S327" s="271">
        <f ca="1">(MAX(0,F327-0.003)*0.9*((O327)*(1/12)))*IF(OR(C327&gt;ÉV!$I$2,AND(C327=ÉV!$I$2,D327&gt;ÉV!$J$2)),0,1)</f>
        <v>0</v>
      </c>
      <c r="T327" s="271">
        <f ca="1">(MAX(0,F327-0.003)*0.9*((Q326)*(1/12)))*IF(OR(C327&gt;ÉV!$I$2,AND(C327=ÉV!$I$2,D327&gt;ÉV!$J$2)),0,1)</f>
        <v>0</v>
      </c>
      <c r="U327" s="271">
        <f ca="1">IF($D327=1,R327,R327+U326)*IF(OR(C327&gt;ÉV!$I$2,AND(C327=ÉV!$I$2,D327&gt;ÉV!$J$2)),0,1)</f>
        <v>0</v>
      </c>
      <c r="V327" s="271">
        <f ca="1">IF($D327=1,S327,S327+V326)*IF(OR(C327&gt;ÉV!$I$2,AND(C327=ÉV!$I$2,D327&gt;ÉV!$J$2)),0,1)</f>
        <v>0</v>
      </c>
      <c r="W327" s="271">
        <f ca="1">IF($D327=1,T327,T327+W326)*IF(OR(C327&gt;ÉV!$I$2,AND(C327=ÉV!$I$2,D327&gt;ÉV!$J$2)),0,1)</f>
        <v>0</v>
      </c>
      <c r="X327" s="271">
        <f ca="1">IF(OR(D327=12,AND(C327=ÉV!$I$2,D327=ÉV!$J$2)),SUM(U327:W327)+X326,X326)*IF(OR(C327&gt;ÉV!$I$2,AND(C327=ÉV!$I$2,D327&gt;ÉV!$J$2)),0,1)</f>
        <v>0</v>
      </c>
      <c r="Y327" s="271">
        <f t="shared" ca="1" si="57"/>
        <v>0</v>
      </c>
      <c r="Z327" s="265">
        <f t="shared" si="58"/>
        <v>1</v>
      </c>
      <c r="AA327" s="272">
        <f t="shared" ca="1" si="59"/>
        <v>0</v>
      </c>
      <c r="AB327" s="265">
        <f t="shared" ca="1" si="65"/>
        <v>2044</v>
      </c>
      <c r="AC327" s="265">
        <f t="shared" ca="1" si="66"/>
        <v>4</v>
      </c>
      <c r="AD327" s="276">
        <f ca="1">IF(     OR(               AND(MAX(AF$6:AF327)&lt;2,  AC327=12),                 AF327=2),                   SUMIF(AB:AB,AB327,AA:AA),                       0)</f>
        <v>0</v>
      </c>
      <c r="AE327" s="277">
        <f t="shared" ca="1" si="56"/>
        <v>0</v>
      </c>
      <c r="AF327" s="277">
        <f t="shared" ca="1" si="60"/>
        <v>0</v>
      </c>
      <c r="AG327" s="402">
        <f ca="1">IF(  AND(AC327=AdóHó,   MAX(AF$1:AF326)&lt;2),   SUMIF(AB:AB,AB327-1,AE:AE),0  )
+ IF(AND(AC327&lt;AdóHó,                            AF327=2),   SUMIF(AB:AB,AB327-1,AE:AE),0  )
+ IF(                                                                  AF327=2,    SUMIF(AB:AB,AB327,AE:AE   ),0  )</f>
        <v>0</v>
      </c>
      <c r="AH327" s="272">
        <f ca="1">SUM(AG$2:AG327)</f>
        <v>1139324.2410681627</v>
      </c>
    </row>
    <row r="328" spans="1:34">
      <c r="A328" s="265">
        <f t="shared" si="61"/>
        <v>28</v>
      </c>
      <c r="B328" s="265">
        <f t="shared" si="62"/>
        <v>2</v>
      </c>
      <c r="C328" s="265">
        <f t="shared" ca="1" si="63"/>
        <v>28</v>
      </c>
      <c r="D328" s="265">
        <f t="shared" ca="1" si="64"/>
        <v>5</v>
      </c>
      <c r="E328" s="266">
        <v>5.0000000000000001E-3</v>
      </c>
      <c r="F328" s="267">
        <f>ÉV!$B$12</f>
        <v>0</v>
      </c>
      <c r="G328" s="271">
        <f ca="1">VLOOKUP(A328,ÉV!$A$18:$B$65,2,0)</f>
        <v>0</v>
      </c>
      <c r="H328" s="271">
        <f ca="1">IF(OR(A328=1,AND(C328=ÉV!$I$2,D328&gt;ÉV!$J$2),C328&gt;ÉV!$I$2),0,INDEX(Pz!$B$2:$AM$48,A328-1,ÉV!$G$2-9)/100000*ÉV!$B$10)</f>
        <v>0</v>
      </c>
      <c r="I328" s="271">
        <f ca="1">INDEX(Pz!$B$2:$AM$48,HÓ!A328,ÉV!$G$2-9)/100000*ÉV!$B$10</f>
        <v>0</v>
      </c>
      <c r="J328" s="273">
        <f ca="1">IF(OR(A328=1,A328=2,AND(C328=ÉV!$I$2,D328&gt;ÉV!$J$2),C328&gt;ÉV!$I$2),0,VLOOKUP(A328-2,ÉV!$A$18:$C$65,3,0))</f>
        <v>0</v>
      </c>
      <c r="K328" s="273">
        <f ca="1">IF(OR(A328=1,AND(C328=ÉV!$I$2,D328&gt;ÉV!$J$2),C328&gt;ÉV!$I$2),0,VLOOKUP(A328-1,ÉV!$A$18:$C$65,3,0))</f>
        <v>0</v>
      </c>
      <c r="L328" s="273">
        <f ca="1">VLOOKUP(A328,ÉV!$A$18:$C$65,3,0)*IF(OR(AND(C328=ÉV!$I$2,D328&gt;ÉV!$J$2),C328&gt;ÉV!$I$2),0,1)</f>
        <v>0</v>
      </c>
      <c r="M328" s="273">
        <f ca="1">(K328*(12-B328)/12+L328*B328/12)*IF(A328&gt;ÉV!$G$2,0,1)+IF(A328&gt;ÉV!$G$2,M327,0)*IF(OR(AND(C328=ÉV!$I$2,D328&gt;ÉV!$J$2),C328&gt;ÉV!$I$2),0,1)</f>
        <v>0</v>
      </c>
      <c r="N328" s="274">
        <f ca="1">IF(AND(C328=1,D328&lt;12),0,1)*IF(D328=12,MAX(0,F328-E328-0.003)*0.9*((K328+I328)*(B328/12)+(J328+H328)*(1-B328/12))+MAX(0,F328-0.003)*0.9*N327+N327,IF(AND(C328=ÉV!$I$2,D328=ÉV!$J$2),(M328+N327)*MAX(0,F328-0.003)*0.9*(D328/12)+N327,N327))*IF(OR(C328&gt;ÉV!$I$2,AND(C328=ÉV!$I$2,D328&gt;ÉV!$J$2)),0,1)</f>
        <v>0</v>
      </c>
      <c r="O328" s="313">
        <f ca="1">IF(MAX(AF$2:AF327)=2,      0,IF(OR(AC328=7, AF328=2),    SUM(AE$2:AE328),    O327)   )</f>
        <v>0</v>
      </c>
      <c r="P328" s="271">
        <f ca="1">IF(D328=12,V328+P327+P327*(F328-0.003)*0.9,IF(AND(C328=ÉV!$I$2,D328=ÉV!$J$2),V328+P327+P327*(F328-0.003)*0.9*D328/12,P327))*IF(OR(C328&gt;ÉV!$I$2,AND(C328=ÉV!$I$2,D328&gt;ÉV!$J$2)),0,1)</f>
        <v>0</v>
      </c>
      <c r="Q328" s="275">
        <f ca="1">(N328+P328)*IF(OR(AND(C328=ÉV!$I$2,D328&gt;ÉV!$J$2),C328&gt;ÉV!$I$2),0,1)</f>
        <v>0</v>
      </c>
      <c r="R328" s="271">
        <f ca="1">(MAX(0,F328-E328-0.003)*0.9*((K328+I328)*(1/12)))*IF(OR(C328&gt;ÉV!$I$2,AND(C328=ÉV!$I$2,D328&gt;ÉV!$J$2)),0,1)</f>
        <v>0</v>
      </c>
      <c r="S328" s="271">
        <f ca="1">(MAX(0,F328-0.003)*0.9*((O328)*(1/12)))*IF(OR(C328&gt;ÉV!$I$2,AND(C328=ÉV!$I$2,D328&gt;ÉV!$J$2)),0,1)</f>
        <v>0</v>
      </c>
      <c r="T328" s="271">
        <f ca="1">(MAX(0,F328-0.003)*0.9*((Q327)*(1/12)))*IF(OR(C328&gt;ÉV!$I$2,AND(C328=ÉV!$I$2,D328&gt;ÉV!$J$2)),0,1)</f>
        <v>0</v>
      </c>
      <c r="U328" s="271">
        <f ca="1">IF($D328=1,R328,R328+U327)*IF(OR(C328&gt;ÉV!$I$2,AND(C328=ÉV!$I$2,D328&gt;ÉV!$J$2)),0,1)</f>
        <v>0</v>
      </c>
      <c r="V328" s="271">
        <f ca="1">IF($D328=1,S328,S328+V327)*IF(OR(C328&gt;ÉV!$I$2,AND(C328=ÉV!$I$2,D328&gt;ÉV!$J$2)),0,1)</f>
        <v>0</v>
      </c>
      <c r="W328" s="271">
        <f ca="1">IF($D328=1,T328,T328+W327)*IF(OR(C328&gt;ÉV!$I$2,AND(C328=ÉV!$I$2,D328&gt;ÉV!$J$2)),0,1)</f>
        <v>0</v>
      </c>
      <c r="X328" s="271">
        <f ca="1">IF(OR(D328=12,AND(C328=ÉV!$I$2,D328=ÉV!$J$2)),SUM(U328:W328)+X327,X327)*IF(OR(C328&gt;ÉV!$I$2,AND(C328=ÉV!$I$2,D328&gt;ÉV!$J$2)),0,1)</f>
        <v>0</v>
      </c>
      <c r="Y328" s="271">
        <f t="shared" ca="1" si="57"/>
        <v>0</v>
      </c>
      <c r="Z328" s="265">
        <f t="shared" si="58"/>
        <v>2</v>
      </c>
      <c r="AA328" s="272">
        <f t="shared" ca="1" si="59"/>
        <v>0</v>
      </c>
      <c r="AB328" s="265">
        <f t="shared" ca="1" si="65"/>
        <v>2044</v>
      </c>
      <c r="AC328" s="265">
        <f t="shared" ca="1" si="66"/>
        <v>5</v>
      </c>
      <c r="AD328" s="276">
        <f ca="1">IF(     OR(               AND(MAX(AF$6:AF328)&lt;2,  AC328=12),                 AF328=2),                   SUMIF(AB:AB,AB328,AA:AA),                       0)</f>
        <v>0</v>
      </c>
      <c r="AE328" s="277">
        <f t="shared" ca="1" si="56"/>
        <v>0</v>
      </c>
      <c r="AF328" s="277">
        <f t="shared" ca="1" si="60"/>
        <v>0</v>
      </c>
      <c r="AG328" s="402">
        <f ca="1">IF(  AND(AC328=AdóHó,   MAX(AF$1:AF327)&lt;2),   SUMIF(AB:AB,AB328-1,AE:AE),0  )
+ IF(AND(AC328&lt;AdóHó,                            AF328=2),   SUMIF(AB:AB,AB328-1,AE:AE),0  )
+ IF(                                                                  AF328=2,    SUMIF(AB:AB,AB328,AE:AE   ),0  )</f>
        <v>0</v>
      </c>
      <c r="AH328" s="272">
        <f ca="1">SUM(AG$2:AG328)</f>
        <v>1139324.2410681627</v>
      </c>
    </row>
    <row r="329" spans="1:34">
      <c r="A329" s="265">
        <f t="shared" si="61"/>
        <v>28</v>
      </c>
      <c r="B329" s="265">
        <f t="shared" si="62"/>
        <v>3</v>
      </c>
      <c r="C329" s="265">
        <f t="shared" ca="1" si="63"/>
        <v>28</v>
      </c>
      <c r="D329" s="265">
        <f t="shared" ca="1" si="64"/>
        <v>6</v>
      </c>
      <c r="E329" s="266">
        <v>5.0000000000000001E-3</v>
      </c>
      <c r="F329" s="267">
        <f>ÉV!$B$12</f>
        <v>0</v>
      </c>
      <c r="G329" s="271">
        <f ca="1">VLOOKUP(A329,ÉV!$A$18:$B$65,2,0)</f>
        <v>0</v>
      </c>
      <c r="H329" s="271">
        <f ca="1">IF(OR(A329=1,AND(C329=ÉV!$I$2,D329&gt;ÉV!$J$2),C329&gt;ÉV!$I$2),0,INDEX(Pz!$B$2:$AM$48,A329-1,ÉV!$G$2-9)/100000*ÉV!$B$10)</f>
        <v>0</v>
      </c>
      <c r="I329" s="271">
        <f ca="1">INDEX(Pz!$B$2:$AM$48,HÓ!A329,ÉV!$G$2-9)/100000*ÉV!$B$10</f>
        <v>0</v>
      </c>
      <c r="J329" s="273">
        <f ca="1">IF(OR(A329=1,A329=2,AND(C329=ÉV!$I$2,D329&gt;ÉV!$J$2),C329&gt;ÉV!$I$2),0,VLOOKUP(A329-2,ÉV!$A$18:$C$65,3,0))</f>
        <v>0</v>
      </c>
      <c r="K329" s="273">
        <f ca="1">IF(OR(A329=1,AND(C329=ÉV!$I$2,D329&gt;ÉV!$J$2),C329&gt;ÉV!$I$2),0,VLOOKUP(A329-1,ÉV!$A$18:$C$65,3,0))</f>
        <v>0</v>
      </c>
      <c r="L329" s="273">
        <f ca="1">VLOOKUP(A329,ÉV!$A$18:$C$65,3,0)*IF(OR(AND(C329=ÉV!$I$2,D329&gt;ÉV!$J$2),C329&gt;ÉV!$I$2),0,1)</f>
        <v>0</v>
      </c>
      <c r="M329" s="273">
        <f ca="1">(K329*(12-B329)/12+L329*B329/12)*IF(A329&gt;ÉV!$G$2,0,1)+IF(A329&gt;ÉV!$G$2,M328,0)*IF(OR(AND(C329=ÉV!$I$2,D329&gt;ÉV!$J$2),C329&gt;ÉV!$I$2),0,1)</f>
        <v>0</v>
      </c>
      <c r="N329" s="274">
        <f ca="1">IF(AND(C329=1,D329&lt;12),0,1)*IF(D329=12,MAX(0,F329-E329-0.003)*0.9*((K329+I329)*(B329/12)+(J329+H329)*(1-B329/12))+MAX(0,F329-0.003)*0.9*N328+N328,IF(AND(C329=ÉV!$I$2,D329=ÉV!$J$2),(M329+N328)*MAX(0,F329-0.003)*0.9*(D329/12)+N328,N328))*IF(OR(C329&gt;ÉV!$I$2,AND(C329=ÉV!$I$2,D329&gt;ÉV!$J$2)),0,1)</f>
        <v>0</v>
      </c>
      <c r="O329" s="313">
        <f ca="1">IF(MAX(AF$2:AF328)=2,      0,IF(OR(AC329=7, AF329=2),    SUM(AE$2:AE329),    O328)   )</f>
        <v>0</v>
      </c>
      <c r="P329" s="271">
        <f ca="1">IF(D329=12,V329+P328+P328*(F329-0.003)*0.9,IF(AND(C329=ÉV!$I$2,D329=ÉV!$J$2),V329+P328+P328*(F329-0.003)*0.9*D329/12,P328))*IF(OR(C329&gt;ÉV!$I$2,AND(C329=ÉV!$I$2,D329&gt;ÉV!$J$2)),0,1)</f>
        <v>0</v>
      </c>
      <c r="Q329" s="275">
        <f ca="1">(N329+P329)*IF(OR(AND(C329=ÉV!$I$2,D329&gt;ÉV!$J$2),C329&gt;ÉV!$I$2),0,1)</f>
        <v>0</v>
      </c>
      <c r="R329" s="271">
        <f ca="1">(MAX(0,F329-E329-0.003)*0.9*((K329+I329)*(1/12)))*IF(OR(C329&gt;ÉV!$I$2,AND(C329=ÉV!$I$2,D329&gt;ÉV!$J$2)),0,1)</f>
        <v>0</v>
      </c>
      <c r="S329" s="271">
        <f ca="1">(MAX(0,F329-0.003)*0.9*((O329)*(1/12)))*IF(OR(C329&gt;ÉV!$I$2,AND(C329=ÉV!$I$2,D329&gt;ÉV!$J$2)),0,1)</f>
        <v>0</v>
      </c>
      <c r="T329" s="271">
        <f ca="1">(MAX(0,F329-0.003)*0.9*((Q328)*(1/12)))*IF(OR(C329&gt;ÉV!$I$2,AND(C329=ÉV!$I$2,D329&gt;ÉV!$J$2)),0,1)</f>
        <v>0</v>
      </c>
      <c r="U329" s="271">
        <f ca="1">IF($D329=1,R329,R329+U328)*IF(OR(C329&gt;ÉV!$I$2,AND(C329=ÉV!$I$2,D329&gt;ÉV!$J$2)),0,1)</f>
        <v>0</v>
      </c>
      <c r="V329" s="271">
        <f ca="1">IF($D329=1,S329,S329+V328)*IF(OR(C329&gt;ÉV!$I$2,AND(C329=ÉV!$I$2,D329&gt;ÉV!$J$2)),0,1)</f>
        <v>0</v>
      </c>
      <c r="W329" s="271">
        <f ca="1">IF($D329=1,T329,T329+W328)*IF(OR(C329&gt;ÉV!$I$2,AND(C329=ÉV!$I$2,D329&gt;ÉV!$J$2)),0,1)</f>
        <v>0</v>
      </c>
      <c r="X329" s="271">
        <f ca="1">IF(OR(D329=12,AND(C329=ÉV!$I$2,D329=ÉV!$J$2)),SUM(U329:W329)+X328,X328)*IF(OR(C329&gt;ÉV!$I$2,AND(C329=ÉV!$I$2,D329&gt;ÉV!$J$2)),0,1)</f>
        <v>0</v>
      </c>
      <c r="Y329" s="271">
        <f t="shared" ca="1" si="57"/>
        <v>0</v>
      </c>
      <c r="Z329" s="265">
        <f t="shared" si="58"/>
        <v>3</v>
      </c>
      <c r="AA329" s="272">
        <f t="shared" ca="1" si="59"/>
        <v>0</v>
      </c>
      <c r="AB329" s="265">
        <f t="shared" ca="1" si="65"/>
        <v>2044</v>
      </c>
      <c r="AC329" s="265">
        <f t="shared" ca="1" si="66"/>
        <v>6</v>
      </c>
      <c r="AD329" s="276">
        <f ca="1">IF(     OR(               AND(MAX(AF$6:AF329)&lt;2,  AC329=12),                 AF329=2),                   SUMIF(AB:AB,AB329,AA:AA),                       0)</f>
        <v>0</v>
      </c>
      <c r="AE329" s="277">
        <f t="shared" ca="1" si="56"/>
        <v>0</v>
      </c>
      <c r="AF329" s="277">
        <f t="shared" ca="1" si="60"/>
        <v>0</v>
      </c>
      <c r="AG329" s="402">
        <f ca="1">IF(  AND(AC329=AdóHó,   MAX(AF$1:AF328)&lt;2),   SUMIF(AB:AB,AB329-1,AE:AE),0  )
+ IF(AND(AC329&lt;AdóHó,                            AF329=2),   SUMIF(AB:AB,AB329-1,AE:AE),0  )
+ IF(                                                                  AF329=2,    SUMIF(AB:AB,AB329,AE:AE   ),0  )</f>
        <v>0</v>
      </c>
      <c r="AH329" s="272">
        <f ca="1">SUM(AG$2:AG329)</f>
        <v>1139324.2410681627</v>
      </c>
    </row>
    <row r="330" spans="1:34">
      <c r="A330" s="265">
        <f t="shared" si="61"/>
        <v>28</v>
      </c>
      <c r="B330" s="265">
        <f t="shared" si="62"/>
        <v>4</v>
      </c>
      <c r="C330" s="265">
        <f t="shared" ca="1" si="63"/>
        <v>28</v>
      </c>
      <c r="D330" s="265">
        <f t="shared" ca="1" si="64"/>
        <v>7</v>
      </c>
      <c r="E330" s="266">
        <v>5.0000000000000001E-3</v>
      </c>
      <c r="F330" s="267">
        <f>ÉV!$B$12</f>
        <v>0</v>
      </c>
      <c r="G330" s="271">
        <f ca="1">VLOOKUP(A330,ÉV!$A$18:$B$65,2,0)</f>
        <v>0</v>
      </c>
      <c r="H330" s="271">
        <f ca="1">IF(OR(A330=1,AND(C330=ÉV!$I$2,D330&gt;ÉV!$J$2),C330&gt;ÉV!$I$2),0,INDEX(Pz!$B$2:$AM$48,A330-1,ÉV!$G$2-9)/100000*ÉV!$B$10)</f>
        <v>0</v>
      </c>
      <c r="I330" s="271">
        <f ca="1">INDEX(Pz!$B$2:$AM$48,HÓ!A330,ÉV!$G$2-9)/100000*ÉV!$B$10</f>
        <v>0</v>
      </c>
      <c r="J330" s="273">
        <f ca="1">IF(OR(A330=1,A330=2,AND(C330=ÉV!$I$2,D330&gt;ÉV!$J$2),C330&gt;ÉV!$I$2),0,VLOOKUP(A330-2,ÉV!$A$18:$C$65,3,0))</f>
        <v>0</v>
      </c>
      <c r="K330" s="273">
        <f ca="1">IF(OR(A330=1,AND(C330=ÉV!$I$2,D330&gt;ÉV!$J$2),C330&gt;ÉV!$I$2),0,VLOOKUP(A330-1,ÉV!$A$18:$C$65,3,0))</f>
        <v>0</v>
      </c>
      <c r="L330" s="273">
        <f ca="1">VLOOKUP(A330,ÉV!$A$18:$C$65,3,0)*IF(OR(AND(C330=ÉV!$I$2,D330&gt;ÉV!$J$2),C330&gt;ÉV!$I$2),0,1)</f>
        <v>0</v>
      </c>
      <c r="M330" s="273">
        <f ca="1">(K330*(12-B330)/12+L330*B330/12)*IF(A330&gt;ÉV!$G$2,0,1)+IF(A330&gt;ÉV!$G$2,M329,0)*IF(OR(AND(C330=ÉV!$I$2,D330&gt;ÉV!$J$2),C330&gt;ÉV!$I$2),0,1)</f>
        <v>0</v>
      </c>
      <c r="N330" s="274">
        <f ca="1">IF(AND(C330=1,D330&lt;12),0,1)*IF(D330=12,MAX(0,F330-E330-0.003)*0.9*((K330+I330)*(B330/12)+(J330+H330)*(1-B330/12))+MAX(0,F330-0.003)*0.9*N329+N329,IF(AND(C330=ÉV!$I$2,D330=ÉV!$J$2),(M330+N329)*MAX(0,F330-0.003)*0.9*(D330/12)+N329,N329))*IF(OR(C330&gt;ÉV!$I$2,AND(C330=ÉV!$I$2,D330&gt;ÉV!$J$2)),0,1)</f>
        <v>0</v>
      </c>
      <c r="O330" s="313">
        <f ca="1">IF(MAX(AF$2:AF329)=2,      0,IF(OR(AC330=7, AF330=2),    SUM(AE$2:AE330),    O329)   )</f>
        <v>0</v>
      </c>
      <c r="P330" s="271">
        <f ca="1">IF(D330=12,V330+P329+P329*(F330-0.003)*0.9,IF(AND(C330=ÉV!$I$2,D330=ÉV!$J$2),V330+P329+P329*(F330-0.003)*0.9*D330/12,P329))*IF(OR(C330&gt;ÉV!$I$2,AND(C330=ÉV!$I$2,D330&gt;ÉV!$J$2)),0,1)</f>
        <v>0</v>
      </c>
      <c r="Q330" s="275">
        <f ca="1">(N330+P330)*IF(OR(AND(C330=ÉV!$I$2,D330&gt;ÉV!$J$2),C330&gt;ÉV!$I$2),0,1)</f>
        <v>0</v>
      </c>
      <c r="R330" s="271">
        <f ca="1">(MAX(0,F330-E330-0.003)*0.9*((K330+I330)*(1/12)))*IF(OR(C330&gt;ÉV!$I$2,AND(C330=ÉV!$I$2,D330&gt;ÉV!$J$2)),0,1)</f>
        <v>0</v>
      </c>
      <c r="S330" s="271">
        <f ca="1">(MAX(0,F330-0.003)*0.9*((O330)*(1/12)))*IF(OR(C330&gt;ÉV!$I$2,AND(C330=ÉV!$I$2,D330&gt;ÉV!$J$2)),0,1)</f>
        <v>0</v>
      </c>
      <c r="T330" s="271">
        <f ca="1">(MAX(0,F330-0.003)*0.9*((Q329)*(1/12)))*IF(OR(C330&gt;ÉV!$I$2,AND(C330=ÉV!$I$2,D330&gt;ÉV!$J$2)),0,1)</f>
        <v>0</v>
      </c>
      <c r="U330" s="271">
        <f ca="1">IF($D330=1,R330,R330+U329)*IF(OR(C330&gt;ÉV!$I$2,AND(C330=ÉV!$I$2,D330&gt;ÉV!$J$2)),0,1)</f>
        <v>0</v>
      </c>
      <c r="V330" s="271">
        <f ca="1">IF($D330=1,S330,S330+V329)*IF(OR(C330&gt;ÉV!$I$2,AND(C330=ÉV!$I$2,D330&gt;ÉV!$J$2)),0,1)</f>
        <v>0</v>
      </c>
      <c r="W330" s="271">
        <f ca="1">IF($D330=1,T330,T330+W329)*IF(OR(C330&gt;ÉV!$I$2,AND(C330=ÉV!$I$2,D330&gt;ÉV!$J$2)),0,1)</f>
        <v>0</v>
      </c>
      <c r="X330" s="271">
        <f ca="1">IF(OR(D330=12,AND(C330=ÉV!$I$2,D330=ÉV!$J$2)),SUM(U330:W330)+X329,X329)*IF(OR(C330&gt;ÉV!$I$2,AND(C330=ÉV!$I$2,D330&gt;ÉV!$J$2)),0,1)</f>
        <v>0</v>
      </c>
      <c r="Y330" s="271">
        <f t="shared" ca="1" si="57"/>
        <v>0</v>
      </c>
      <c r="Z330" s="265">
        <f t="shared" si="58"/>
        <v>4</v>
      </c>
      <c r="AA330" s="272">
        <f t="shared" ca="1" si="59"/>
        <v>0</v>
      </c>
      <c r="AB330" s="265">
        <f t="shared" ca="1" si="65"/>
        <v>2044</v>
      </c>
      <c r="AC330" s="265">
        <f t="shared" ca="1" si="66"/>
        <v>7</v>
      </c>
      <c r="AD330" s="276">
        <f ca="1">IF(     OR(               AND(MAX(AF$6:AF330)&lt;2,  AC330=12),                 AF330=2),                   SUMIF(AB:AB,AB330,AA:AA),                       0)</f>
        <v>0</v>
      </c>
      <c r="AE330" s="277">
        <f t="shared" ca="1" si="56"/>
        <v>0</v>
      </c>
      <c r="AF330" s="277">
        <f t="shared" ca="1" si="60"/>
        <v>0</v>
      </c>
      <c r="AG330" s="402">
        <f ca="1">IF(  AND(AC330=AdóHó,   MAX(AF$1:AF329)&lt;2),   SUMIF(AB:AB,AB330-1,AE:AE),0  )
+ IF(AND(AC330&lt;AdóHó,                            AF330=2),   SUMIF(AB:AB,AB330-1,AE:AE),0  )
+ IF(                                                                  AF330=2,    SUMIF(AB:AB,AB330,AE:AE   ),0  )</f>
        <v>0</v>
      </c>
      <c r="AH330" s="272">
        <f ca="1">SUM(AG$2:AG330)</f>
        <v>1139324.2410681627</v>
      </c>
    </row>
    <row r="331" spans="1:34">
      <c r="A331" s="265">
        <f t="shared" si="61"/>
        <v>28</v>
      </c>
      <c r="B331" s="265">
        <f t="shared" si="62"/>
        <v>5</v>
      </c>
      <c r="C331" s="265">
        <f t="shared" ca="1" si="63"/>
        <v>28</v>
      </c>
      <c r="D331" s="265">
        <f t="shared" ca="1" si="64"/>
        <v>8</v>
      </c>
      <c r="E331" s="266">
        <v>5.0000000000000001E-3</v>
      </c>
      <c r="F331" s="267">
        <f>ÉV!$B$12</f>
        <v>0</v>
      </c>
      <c r="G331" s="271">
        <f ca="1">VLOOKUP(A331,ÉV!$A$18:$B$65,2,0)</f>
        <v>0</v>
      </c>
      <c r="H331" s="271">
        <f ca="1">IF(OR(A331=1,AND(C331=ÉV!$I$2,D331&gt;ÉV!$J$2),C331&gt;ÉV!$I$2),0,INDEX(Pz!$B$2:$AM$48,A331-1,ÉV!$G$2-9)/100000*ÉV!$B$10)</f>
        <v>0</v>
      </c>
      <c r="I331" s="271">
        <f ca="1">INDEX(Pz!$B$2:$AM$48,HÓ!A331,ÉV!$G$2-9)/100000*ÉV!$B$10</f>
        <v>0</v>
      </c>
      <c r="J331" s="273">
        <f ca="1">IF(OR(A331=1,A331=2,AND(C331=ÉV!$I$2,D331&gt;ÉV!$J$2),C331&gt;ÉV!$I$2),0,VLOOKUP(A331-2,ÉV!$A$18:$C$65,3,0))</f>
        <v>0</v>
      </c>
      <c r="K331" s="273">
        <f ca="1">IF(OR(A331=1,AND(C331=ÉV!$I$2,D331&gt;ÉV!$J$2),C331&gt;ÉV!$I$2),0,VLOOKUP(A331-1,ÉV!$A$18:$C$65,3,0))</f>
        <v>0</v>
      </c>
      <c r="L331" s="273">
        <f ca="1">VLOOKUP(A331,ÉV!$A$18:$C$65,3,0)*IF(OR(AND(C331=ÉV!$I$2,D331&gt;ÉV!$J$2),C331&gt;ÉV!$I$2),0,1)</f>
        <v>0</v>
      </c>
      <c r="M331" s="273">
        <f ca="1">(K331*(12-B331)/12+L331*B331/12)*IF(A331&gt;ÉV!$G$2,0,1)+IF(A331&gt;ÉV!$G$2,M330,0)*IF(OR(AND(C331=ÉV!$I$2,D331&gt;ÉV!$J$2),C331&gt;ÉV!$I$2),0,1)</f>
        <v>0</v>
      </c>
      <c r="N331" s="274">
        <f ca="1">IF(AND(C331=1,D331&lt;12),0,1)*IF(D331=12,MAX(0,F331-E331-0.003)*0.9*((K331+I331)*(B331/12)+(J331+H331)*(1-B331/12))+MAX(0,F331-0.003)*0.9*N330+N330,IF(AND(C331=ÉV!$I$2,D331=ÉV!$J$2),(M331+N330)*MAX(0,F331-0.003)*0.9*(D331/12)+N330,N330))*IF(OR(C331&gt;ÉV!$I$2,AND(C331=ÉV!$I$2,D331&gt;ÉV!$J$2)),0,1)</f>
        <v>0</v>
      </c>
      <c r="O331" s="313">
        <f ca="1">IF(MAX(AF$2:AF330)=2,      0,IF(OR(AC331=7, AF331=2),    SUM(AE$2:AE331),    O330)   )</f>
        <v>0</v>
      </c>
      <c r="P331" s="271">
        <f ca="1">IF(D331=12,V331+P330+P330*(F331-0.003)*0.9,IF(AND(C331=ÉV!$I$2,D331=ÉV!$J$2),V331+P330+P330*(F331-0.003)*0.9*D331/12,P330))*IF(OR(C331&gt;ÉV!$I$2,AND(C331=ÉV!$I$2,D331&gt;ÉV!$J$2)),0,1)</f>
        <v>0</v>
      </c>
      <c r="Q331" s="275">
        <f ca="1">(N331+P331)*IF(OR(AND(C331=ÉV!$I$2,D331&gt;ÉV!$J$2),C331&gt;ÉV!$I$2),0,1)</f>
        <v>0</v>
      </c>
      <c r="R331" s="271">
        <f ca="1">(MAX(0,F331-E331-0.003)*0.9*((K331+I331)*(1/12)))*IF(OR(C331&gt;ÉV!$I$2,AND(C331=ÉV!$I$2,D331&gt;ÉV!$J$2)),0,1)</f>
        <v>0</v>
      </c>
      <c r="S331" s="271">
        <f ca="1">(MAX(0,F331-0.003)*0.9*((O331)*(1/12)))*IF(OR(C331&gt;ÉV!$I$2,AND(C331=ÉV!$I$2,D331&gt;ÉV!$J$2)),0,1)</f>
        <v>0</v>
      </c>
      <c r="T331" s="271">
        <f ca="1">(MAX(0,F331-0.003)*0.9*((Q330)*(1/12)))*IF(OR(C331&gt;ÉV!$I$2,AND(C331=ÉV!$I$2,D331&gt;ÉV!$J$2)),0,1)</f>
        <v>0</v>
      </c>
      <c r="U331" s="271">
        <f ca="1">IF($D331=1,R331,R331+U330)*IF(OR(C331&gt;ÉV!$I$2,AND(C331=ÉV!$I$2,D331&gt;ÉV!$J$2)),0,1)</f>
        <v>0</v>
      </c>
      <c r="V331" s="271">
        <f ca="1">IF($D331=1,S331,S331+V330)*IF(OR(C331&gt;ÉV!$I$2,AND(C331=ÉV!$I$2,D331&gt;ÉV!$J$2)),0,1)</f>
        <v>0</v>
      </c>
      <c r="W331" s="271">
        <f ca="1">IF($D331=1,T331,T331+W330)*IF(OR(C331&gt;ÉV!$I$2,AND(C331=ÉV!$I$2,D331&gt;ÉV!$J$2)),0,1)</f>
        <v>0</v>
      </c>
      <c r="X331" s="271">
        <f ca="1">IF(OR(D331=12,AND(C331=ÉV!$I$2,D331=ÉV!$J$2)),SUM(U331:W331)+X330,X330)*IF(OR(C331&gt;ÉV!$I$2,AND(C331=ÉV!$I$2,D331&gt;ÉV!$J$2)),0,1)</f>
        <v>0</v>
      </c>
      <c r="Y331" s="271">
        <f t="shared" ca="1" si="57"/>
        <v>0</v>
      </c>
      <c r="Z331" s="265">
        <f t="shared" si="58"/>
        <v>5</v>
      </c>
      <c r="AA331" s="272">
        <f t="shared" ca="1" si="59"/>
        <v>0</v>
      </c>
      <c r="AB331" s="265">
        <f t="shared" ca="1" si="65"/>
        <v>2044</v>
      </c>
      <c r="AC331" s="265">
        <f t="shared" ca="1" si="66"/>
        <v>8</v>
      </c>
      <c r="AD331" s="276">
        <f ca="1">IF(     OR(               AND(MAX(AF$6:AF331)&lt;2,  AC331=12),                 AF331=2),                   SUMIF(AB:AB,AB331,AA:AA),                       0)</f>
        <v>0</v>
      </c>
      <c r="AE331" s="277">
        <f t="shared" ca="1" si="56"/>
        <v>0</v>
      </c>
      <c r="AF331" s="277">
        <f t="shared" ca="1" si="60"/>
        <v>0</v>
      </c>
      <c r="AG331" s="402">
        <f ca="1">IF(  AND(AC331=AdóHó,   MAX(AF$1:AF330)&lt;2),   SUMIF(AB:AB,AB331-1,AE:AE),0  )
+ IF(AND(AC331&lt;AdóHó,                            AF331=2),   SUMIF(AB:AB,AB331-1,AE:AE),0  )
+ IF(                                                                  AF331=2,    SUMIF(AB:AB,AB331,AE:AE   ),0  )</f>
        <v>0</v>
      </c>
      <c r="AH331" s="272">
        <f ca="1">SUM(AG$2:AG331)</f>
        <v>1139324.2410681627</v>
      </c>
    </row>
    <row r="332" spans="1:34">
      <c r="A332" s="265">
        <f t="shared" si="61"/>
        <v>28</v>
      </c>
      <c r="B332" s="265">
        <f t="shared" si="62"/>
        <v>6</v>
      </c>
      <c r="C332" s="265">
        <f t="shared" ca="1" si="63"/>
        <v>28</v>
      </c>
      <c r="D332" s="265">
        <f t="shared" ca="1" si="64"/>
        <v>9</v>
      </c>
      <c r="E332" s="266">
        <v>5.0000000000000001E-3</v>
      </c>
      <c r="F332" s="267">
        <f>ÉV!$B$12</f>
        <v>0</v>
      </c>
      <c r="G332" s="271">
        <f ca="1">VLOOKUP(A332,ÉV!$A$18:$B$65,2,0)</f>
        <v>0</v>
      </c>
      <c r="H332" s="271">
        <f ca="1">IF(OR(A332=1,AND(C332=ÉV!$I$2,D332&gt;ÉV!$J$2),C332&gt;ÉV!$I$2),0,INDEX(Pz!$B$2:$AM$48,A332-1,ÉV!$G$2-9)/100000*ÉV!$B$10)</f>
        <v>0</v>
      </c>
      <c r="I332" s="271">
        <f ca="1">INDEX(Pz!$B$2:$AM$48,HÓ!A332,ÉV!$G$2-9)/100000*ÉV!$B$10</f>
        <v>0</v>
      </c>
      <c r="J332" s="273">
        <f ca="1">IF(OR(A332=1,A332=2,AND(C332=ÉV!$I$2,D332&gt;ÉV!$J$2),C332&gt;ÉV!$I$2),0,VLOOKUP(A332-2,ÉV!$A$18:$C$65,3,0))</f>
        <v>0</v>
      </c>
      <c r="K332" s="273">
        <f ca="1">IF(OR(A332=1,AND(C332=ÉV!$I$2,D332&gt;ÉV!$J$2),C332&gt;ÉV!$I$2),0,VLOOKUP(A332-1,ÉV!$A$18:$C$65,3,0))</f>
        <v>0</v>
      </c>
      <c r="L332" s="273">
        <f ca="1">VLOOKUP(A332,ÉV!$A$18:$C$65,3,0)*IF(OR(AND(C332=ÉV!$I$2,D332&gt;ÉV!$J$2),C332&gt;ÉV!$I$2),0,1)</f>
        <v>0</v>
      </c>
      <c r="M332" s="273">
        <f ca="1">(K332*(12-B332)/12+L332*B332/12)*IF(A332&gt;ÉV!$G$2,0,1)+IF(A332&gt;ÉV!$G$2,M331,0)*IF(OR(AND(C332=ÉV!$I$2,D332&gt;ÉV!$J$2),C332&gt;ÉV!$I$2),0,1)</f>
        <v>0</v>
      </c>
      <c r="N332" s="274">
        <f ca="1">IF(AND(C332=1,D332&lt;12),0,1)*IF(D332=12,MAX(0,F332-E332-0.003)*0.9*((K332+I332)*(B332/12)+(J332+H332)*(1-B332/12))+MAX(0,F332-0.003)*0.9*N331+N331,IF(AND(C332=ÉV!$I$2,D332=ÉV!$J$2),(M332+N331)*MAX(0,F332-0.003)*0.9*(D332/12)+N331,N331))*IF(OR(C332&gt;ÉV!$I$2,AND(C332=ÉV!$I$2,D332&gt;ÉV!$J$2)),0,1)</f>
        <v>0</v>
      </c>
      <c r="O332" s="313">
        <f ca="1">IF(MAX(AF$2:AF331)=2,      0,IF(OR(AC332=7, AF332=2),    SUM(AE$2:AE332),    O331)   )</f>
        <v>0</v>
      </c>
      <c r="P332" s="271">
        <f ca="1">IF(D332=12,V332+P331+P331*(F332-0.003)*0.9,IF(AND(C332=ÉV!$I$2,D332=ÉV!$J$2),V332+P331+P331*(F332-0.003)*0.9*D332/12,P331))*IF(OR(C332&gt;ÉV!$I$2,AND(C332=ÉV!$I$2,D332&gt;ÉV!$J$2)),0,1)</f>
        <v>0</v>
      </c>
      <c r="Q332" s="275">
        <f ca="1">(N332+P332)*IF(OR(AND(C332=ÉV!$I$2,D332&gt;ÉV!$J$2),C332&gt;ÉV!$I$2),0,1)</f>
        <v>0</v>
      </c>
      <c r="R332" s="271">
        <f ca="1">(MAX(0,F332-E332-0.003)*0.9*((K332+I332)*(1/12)))*IF(OR(C332&gt;ÉV!$I$2,AND(C332=ÉV!$I$2,D332&gt;ÉV!$J$2)),0,1)</f>
        <v>0</v>
      </c>
      <c r="S332" s="271">
        <f ca="1">(MAX(0,F332-0.003)*0.9*((O332)*(1/12)))*IF(OR(C332&gt;ÉV!$I$2,AND(C332=ÉV!$I$2,D332&gt;ÉV!$J$2)),0,1)</f>
        <v>0</v>
      </c>
      <c r="T332" s="271">
        <f ca="1">(MAX(0,F332-0.003)*0.9*((Q331)*(1/12)))*IF(OR(C332&gt;ÉV!$I$2,AND(C332=ÉV!$I$2,D332&gt;ÉV!$J$2)),0,1)</f>
        <v>0</v>
      </c>
      <c r="U332" s="271">
        <f ca="1">IF($D332=1,R332,R332+U331)*IF(OR(C332&gt;ÉV!$I$2,AND(C332=ÉV!$I$2,D332&gt;ÉV!$J$2)),0,1)</f>
        <v>0</v>
      </c>
      <c r="V332" s="271">
        <f ca="1">IF($D332=1,S332,S332+V331)*IF(OR(C332&gt;ÉV!$I$2,AND(C332=ÉV!$I$2,D332&gt;ÉV!$J$2)),0,1)</f>
        <v>0</v>
      </c>
      <c r="W332" s="271">
        <f ca="1">IF($D332=1,T332,T332+W331)*IF(OR(C332&gt;ÉV!$I$2,AND(C332=ÉV!$I$2,D332&gt;ÉV!$J$2)),0,1)</f>
        <v>0</v>
      </c>
      <c r="X332" s="271">
        <f ca="1">IF(OR(D332=12,AND(C332=ÉV!$I$2,D332=ÉV!$J$2)),SUM(U332:W332)+X331,X331)*IF(OR(C332&gt;ÉV!$I$2,AND(C332=ÉV!$I$2,D332&gt;ÉV!$J$2)),0,1)</f>
        <v>0</v>
      </c>
      <c r="Y332" s="271">
        <f t="shared" ca="1" si="57"/>
        <v>0</v>
      </c>
      <c r="Z332" s="265">
        <f t="shared" si="58"/>
        <v>6</v>
      </c>
      <c r="AA332" s="272">
        <f t="shared" ca="1" si="59"/>
        <v>0</v>
      </c>
      <c r="AB332" s="265">
        <f t="shared" ca="1" si="65"/>
        <v>2044</v>
      </c>
      <c r="AC332" s="265">
        <f t="shared" ca="1" si="66"/>
        <v>9</v>
      </c>
      <c r="AD332" s="276">
        <f ca="1">IF(     OR(               AND(MAX(AF$6:AF332)&lt;2,  AC332=12),                 AF332=2),                   SUMIF(AB:AB,AB332,AA:AA),                       0)</f>
        <v>0</v>
      </c>
      <c r="AE332" s="277">
        <f t="shared" ca="1" si="56"/>
        <v>0</v>
      </c>
      <c r="AF332" s="277">
        <f t="shared" ca="1" si="60"/>
        <v>0</v>
      </c>
      <c r="AG332" s="402">
        <f ca="1">IF(  AND(AC332=AdóHó,   MAX(AF$1:AF331)&lt;2),   SUMIF(AB:AB,AB332-1,AE:AE),0  )
+ IF(AND(AC332&lt;AdóHó,                            AF332=2),   SUMIF(AB:AB,AB332-1,AE:AE),0  )
+ IF(                                                                  AF332=2,    SUMIF(AB:AB,AB332,AE:AE   ),0  )</f>
        <v>0</v>
      </c>
      <c r="AH332" s="272">
        <f ca="1">SUM(AG$2:AG332)</f>
        <v>1139324.2410681627</v>
      </c>
    </row>
    <row r="333" spans="1:34">
      <c r="A333" s="265">
        <f t="shared" si="61"/>
        <v>28</v>
      </c>
      <c r="B333" s="265">
        <f t="shared" si="62"/>
        <v>7</v>
      </c>
      <c r="C333" s="265">
        <f t="shared" ca="1" si="63"/>
        <v>28</v>
      </c>
      <c r="D333" s="265">
        <f t="shared" ca="1" si="64"/>
        <v>10</v>
      </c>
      <c r="E333" s="266">
        <v>5.0000000000000001E-3</v>
      </c>
      <c r="F333" s="267">
        <f>ÉV!$B$12</f>
        <v>0</v>
      </c>
      <c r="G333" s="271">
        <f ca="1">VLOOKUP(A333,ÉV!$A$18:$B$65,2,0)</f>
        <v>0</v>
      </c>
      <c r="H333" s="271">
        <f ca="1">IF(OR(A333=1,AND(C333=ÉV!$I$2,D333&gt;ÉV!$J$2),C333&gt;ÉV!$I$2),0,INDEX(Pz!$B$2:$AM$48,A333-1,ÉV!$G$2-9)/100000*ÉV!$B$10)</f>
        <v>0</v>
      </c>
      <c r="I333" s="271">
        <f ca="1">INDEX(Pz!$B$2:$AM$48,HÓ!A333,ÉV!$G$2-9)/100000*ÉV!$B$10</f>
        <v>0</v>
      </c>
      <c r="J333" s="273">
        <f ca="1">IF(OR(A333=1,A333=2,AND(C333=ÉV!$I$2,D333&gt;ÉV!$J$2),C333&gt;ÉV!$I$2),0,VLOOKUP(A333-2,ÉV!$A$18:$C$65,3,0))</f>
        <v>0</v>
      </c>
      <c r="K333" s="273">
        <f ca="1">IF(OR(A333=1,AND(C333=ÉV!$I$2,D333&gt;ÉV!$J$2),C333&gt;ÉV!$I$2),0,VLOOKUP(A333-1,ÉV!$A$18:$C$65,3,0))</f>
        <v>0</v>
      </c>
      <c r="L333" s="273">
        <f ca="1">VLOOKUP(A333,ÉV!$A$18:$C$65,3,0)*IF(OR(AND(C333=ÉV!$I$2,D333&gt;ÉV!$J$2),C333&gt;ÉV!$I$2),0,1)</f>
        <v>0</v>
      </c>
      <c r="M333" s="273">
        <f ca="1">(K333*(12-B333)/12+L333*B333/12)*IF(A333&gt;ÉV!$G$2,0,1)+IF(A333&gt;ÉV!$G$2,M332,0)*IF(OR(AND(C333=ÉV!$I$2,D333&gt;ÉV!$J$2),C333&gt;ÉV!$I$2),0,1)</f>
        <v>0</v>
      </c>
      <c r="N333" s="274">
        <f ca="1">IF(AND(C333=1,D333&lt;12),0,1)*IF(D333=12,MAX(0,F333-E333-0.003)*0.9*((K333+I333)*(B333/12)+(J333+H333)*(1-B333/12))+MAX(0,F333-0.003)*0.9*N332+N332,IF(AND(C333=ÉV!$I$2,D333=ÉV!$J$2),(M333+N332)*MAX(0,F333-0.003)*0.9*(D333/12)+N332,N332))*IF(OR(C333&gt;ÉV!$I$2,AND(C333=ÉV!$I$2,D333&gt;ÉV!$J$2)),0,1)</f>
        <v>0</v>
      </c>
      <c r="O333" s="313">
        <f ca="1">IF(MAX(AF$2:AF332)=2,      0,IF(OR(AC333=7, AF333=2),    SUM(AE$2:AE333),    O332)   )</f>
        <v>0</v>
      </c>
      <c r="P333" s="271">
        <f ca="1">IF(D333=12,V333+P332+P332*(F333-0.003)*0.9,IF(AND(C333=ÉV!$I$2,D333=ÉV!$J$2),V333+P332+P332*(F333-0.003)*0.9*D333/12,P332))*IF(OR(C333&gt;ÉV!$I$2,AND(C333=ÉV!$I$2,D333&gt;ÉV!$J$2)),0,1)</f>
        <v>0</v>
      </c>
      <c r="Q333" s="275">
        <f ca="1">(N333+P333)*IF(OR(AND(C333=ÉV!$I$2,D333&gt;ÉV!$J$2),C333&gt;ÉV!$I$2),0,1)</f>
        <v>0</v>
      </c>
      <c r="R333" s="271">
        <f ca="1">(MAX(0,F333-E333-0.003)*0.9*((K333+I333)*(1/12)))*IF(OR(C333&gt;ÉV!$I$2,AND(C333=ÉV!$I$2,D333&gt;ÉV!$J$2)),0,1)</f>
        <v>0</v>
      </c>
      <c r="S333" s="271">
        <f ca="1">(MAX(0,F333-0.003)*0.9*((O333)*(1/12)))*IF(OR(C333&gt;ÉV!$I$2,AND(C333=ÉV!$I$2,D333&gt;ÉV!$J$2)),0,1)</f>
        <v>0</v>
      </c>
      <c r="T333" s="271">
        <f ca="1">(MAX(0,F333-0.003)*0.9*((Q332)*(1/12)))*IF(OR(C333&gt;ÉV!$I$2,AND(C333=ÉV!$I$2,D333&gt;ÉV!$J$2)),0,1)</f>
        <v>0</v>
      </c>
      <c r="U333" s="271">
        <f ca="1">IF($D333=1,R333,R333+U332)*IF(OR(C333&gt;ÉV!$I$2,AND(C333=ÉV!$I$2,D333&gt;ÉV!$J$2)),0,1)</f>
        <v>0</v>
      </c>
      <c r="V333" s="271">
        <f ca="1">IF($D333=1,S333,S333+V332)*IF(OR(C333&gt;ÉV!$I$2,AND(C333=ÉV!$I$2,D333&gt;ÉV!$J$2)),0,1)</f>
        <v>0</v>
      </c>
      <c r="W333" s="271">
        <f ca="1">IF($D333=1,T333,T333+W332)*IF(OR(C333&gt;ÉV!$I$2,AND(C333=ÉV!$I$2,D333&gt;ÉV!$J$2)),0,1)</f>
        <v>0</v>
      </c>
      <c r="X333" s="271">
        <f ca="1">IF(OR(D333=12,AND(C333=ÉV!$I$2,D333=ÉV!$J$2)),SUM(U333:W333)+X332,X332)*IF(OR(C333&gt;ÉV!$I$2,AND(C333=ÉV!$I$2,D333&gt;ÉV!$J$2)),0,1)</f>
        <v>0</v>
      </c>
      <c r="Y333" s="271">
        <f t="shared" ca="1" si="57"/>
        <v>0</v>
      </c>
      <c r="Z333" s="265">
        <f t="shared" si="58"/>
        <v>7</v>
      </c>
      <c r="AA333" s="272">
        <f t="shared" ca="1" si="59"/>
        <v>0</v>
      </c>
      <c r="AB333" s="265">
        <f t="shared" ca="1" si="65"/>
        <v>2044</v>
      </c>
      <c r="AC333" s="265">
        <f t="shared" ca="1" si="66"/>
        <v>10</v>
      </c>
      <c r="AD333" s="276">
        <f ca="1">IF(     OR(               AND(MAX(AF$6:AF333)&lt;2,  AC333=12),                 AF333=2),                   SUMIF(AB:AB,AB333,AA:AA),                       0)</f>
        <v>0</v>
      </c>
      <c r="AE333" s="277">
        <f t="shared" ca="1" si="56"/>
        <v>0</v>
      </c>
      <c r="AF333" s="277">
        <f t="shared" ca="1" si="60"/>
        <v>0</v>
      </c>
      <c r="AG333" s="402">
        <f ca="1">IF(  AND(AC333=AdóHó,   MAX(AF$1:AF332)&lt;2),   SUMIF(AB:AB,AB333-1,AE:AE),0  )
+ IF(AND(AC333&lt;AdóHó,                            AF333=2),   SUMIF(AB:AB,AB333-1,AE:AE),0  )
+ IF(                                                                  AF333=2,    SUMIF(AB:AB,AB333,AE:AE   ),0  )</f>
        <v>0</v>
      </c>
      <c r="AH333" s="272">
        <f ca="1">SUM(AG$2:AG333)</f>
        <v>1139324.2410681627</v>
      </c>
    </row>
    <row r="334" spans="1:34">
      <c r="A334" s="265">
        <f t="shared" si="61"/>
        <v>28</v>
      </c>
      <c r="B334" s="265">
        <f t="shared" si="62"/>
        <v>8</v>
      </c>
      <c r="C334" s="265">
        <f t="shared" ca="1" si="63"/>
        <v>28</v>
      </c>
      <c r="D334" s="265">
        <f t="shared" ca="1" si="64"/>
        <v>11</v>
      </c>
      <c r="E334" s="266">
        <v>5.0000000000000001E-3</v>
      </c>
      <c r="F334" s="267">
        <f>ÉV!$B$12</f>
        <v>0</v>
      </c>
      <c r="G334" s="271">
        <f ca="1">VLOOKUP(A334,ÉV!$A$18:$B$65,2,0)</f>
        <v>0</v>
      </c>
      <c r="H334" s="271">
        <f ca="1">IF(OR(A334=1,AND(C334=ÉV!$I$2,D334&gt;ÉV!$J$2),C334&gt;ÉV!$I$2),0,INDEX(Pz!$B$2:$AM$48,A334-1,ÉV!$G$2-9)/100000*ÉV!$B$10)</f>
        <v>0</v>
      </c>
      <c r="I334" s="271">
        <f ca="1">INDEX(Pz!$B$2:$AM$48,HÓ!A334,ÉV!$G$2-9)/100000*ÉV!$B$10</f>
        <v>0</v>
      </c>
      <c r="J334" s="273">
        <f ca="1">IF(OR(A334=1,A334=2,AND(C334=ÉV!$I$2,D334&gt;ÉV!$J$2),C334&gt;ÉV!$I$2),0,VLOOKUP(A334-2,ÉV!$A$18:$C$65,3,0))</f>
        <v>0</v>
      </c>
      <c r="K334" s="273">
        <f ca="1">IF(OR(A334=1,AND(C334=ÉV!$I$2,D334&gt;ÉV!$J$2),C334&gt;ÉV!$I$2),0,VLOOKUP(A334-1,ÉV!$A$18:$C$65,3,0))</f>
        <v>0</v>
      </c>
      <c r="L334" s="273">
        <f ca="1">VLOOKUP(A334,ÉV!$A$18:$C$65,3,0)*IF(OR(AND(C334=ÉV!$I$2,D334&gt;ÉV!$J$2),C334&gt;ÉV!$I$2),0,1)</f>
        <v>0</v>
      </c>
      <c r="M334" s="273">
        <f ca="1">(K334*(12-B334)/12+L334*B334/12)*IF(A334&gt;ÉV!$G$2,0,1)+IF(A334&gt;ÉV!$G$2,M333,0)*IF(OR(AND(C334=ÉV!$I$2,D334&gt;ÉV!$J$2),C334&gt;ÉV!$I$2),0,1)</f>
        <v>0</v>
      </c>
      <c r="N334" s="274">
        <f ca="1">IF(AND(C334=1,D334&lt;12),0,1)*IF(D334=12,MAX(0,F334-E334-0.003)*0.9*((K334+I334)*(B334/12)+(J334+H334)*(1-B334/12))+MAX(0,F334-0.003)*0.9*N333+N333,IF(AND(C334=ÉV!$I$2,D334=ÉV!$J$2),(M334+N333)*MAX(0,F334-0.003)*0.9*(D334/12)+N333,N333))*IF(OR(C334&gt;ÉV!$I$2,AND(C334=ÉV!$I$2,D334&gt;ÉV!$J$2)),0,1)</f>
        <v>0</v>
      </c>
      <c r="O334" s="313">
        <f ca="1">IF(MAX(AF$2:AF333)=2,      0,IF(OR(AC334=7, AF334=2),    SUM(AE$2:AE334),    O333)   )</f>
        <v>0</v>
      </c>
      <c r="P334" s="271">
        <f ca="1">IF(D334=12,V334+P333+P333*(F334-0.003)*0.9,IF(AND(C334=ÉV!$I$2,D334=ÉV!$J$2),V334+P333+P333*(F334-0.003)*0.9*D334/12,P333))*IF(OR(C334&gt;ÉV!$I$2,AND(C334=ÉV!$I$2,D334&gt;ÉV!$J$2)),0,1)</f>
        <v>0</v>
      </c>
      <c r="Q334" s="275">
        <f ca="1">(N334+P334)*IF(OR(AND(C334=ÉV!$I$2,D334&gt;ÉV!$J$2),C334&gt;ÉV!$I$2),0,1)</f>
        <v>0</v>
      </c>
      <c r="R334" s="271">
        <f ca="1">(MAX(0,F334-E334-0.003)*0.9*((K334+I334)*(1/12)))*IF(OR(C334&gt;ÉV!$I$2,AND(C334=ÉV!$I$2,D334&gt;ÉV!$J$2)),0,1)</f>
        <v>0</v>
      </c>
      <c r="S334" s="271">
        <f ca="1">(MAX(0,F334-0.003)*0.9*((O334)*(1/12)))*IF(OR(C334&gt;ÉV!$I$2,AND(C334=ÉV!$I$2,D334&gt;ÉV!$J$2)),0,1)</f>
        <v>0</v>
      </c>
      <c r="T334" s="271">
        <f ca="1">(MAX(0,F334-0.003)*0.9*((Q333)*(1/12)))*IF(OR(C334&gt;ÉV!$I$2,AND(C334=ÉV!$I$2,D334&gt;ÉV!$J$2)),0,1)</f>
        <v>0</v>
      </c>
      <c r="U334" s="271">
        <f ca="1">IF($D334=1,R334,R334+U333)*IF(OR(C334&gt;ÉV!$I$2,AND(C334=ÉV!$I$2,D334&gt;ÉV!$J$2)),0,1)</f>
        <v>0</v>
      </c>
      <c r="V334" s="271">
        <f ca="1">IF($D334=1,S334,S334+V333)*IF(OR(C334&gt;ÉV!$I$2,AND(C334=ÉV!$I$2,D334&gt;ÉV!$J$2)),0,1)</f>
        <v>0</v>
      </c>
      <c r="W334" s="271">
        <f ca="1">IF($D334=1,T334,T334+W333)*IF(OR(C334&gt;ÉV!$I$2,AND(C334=ÉV!$I$2,D334&gt;ÉV!$J$2)),0,1)</f>
        <v>0</v>
      </c>
      <c r="X334" s="271">
        <f ca="1">IF(OR(D334=12,AND(C334=ÉV!$I$2,D334=ÉV!$J$2)),SUM(U334:W334)+X333,X333)*IF(OR(C334&gt;ÉV!$I$2,AND(C334=ÉV!$I$2,D334&gt;ÉV!$J$2)),0,1)</f>
        <v>0</v>
      </c>
      <c r="Y334" s="271">
        <f t="shared" ca="1" si="57"/>
        <v>0</v>
      </c>
      <c r="Z334" s="265">
        <f t="shared" si="58"/>
        <v>8</v>
      </c>
      <c r="AA334" s="272">
        <f t="shared" ca="1" si="59"/>
        <v>0</v>
      </c>
      <c r="AB334" s="265">
        <f t="shared" ca="1" si="65"/>
        <v>2044</v>
      </c>
      <c r="AC334" s="265">
        <f t="shared" ca="1" si="66"/>
        <v>11</v>
      </c>
      <c r="AD334" s="276">
        <f ca="1">IF(     OR(               AND(MAX(AF$6:AF334)&lt;2,  AC334=12),                 AF334=2),                   SUMIF(AB:AB,AB334,AA:AA),                       0)</f>
        <v>0</v>
      </c>
      <c r="AE334" s="277">
        <f t="shared" ref="AE334:AE397" ca="1" si="67">MIN(AD334*0.2,130000)</f>
        <v>0</v>
      </c>
      <c r="AF334" s="277">
        <f t="shared" ca="1" si="60"/>
        <v>0</v>
      </c>
      <c r="AG334" s="402">
        <f ca="1">IF(  AND(AC334=AdóHó,   MAX(AF$1:AF333)&lt;2),   SUMIF(AB:AB,AB334-1,AE:AE),0  )
+ IF(AND(AC334&lt;AdóHó,                            AF334=2),   SUMIF(AB:AB,AB334-1,AE:AE),0  )
+ IF(                                                                  AF334=2,    SUMIF(AB:AB,AB334,AE:AE   ),0  )</f>
        <v>0</v>
      </c>
      <c r="AH334" s="272">
        <f ca="1">SUM(AG$2:AG334)</f>
        <v>1139324.2410681627</v>
      </c>
    </row>
    <row r="335" spans="1:34">
      <c r="A335" s="265">
        <f t="shared" si="61"/>
        <v>28</v>
      </c>
      <c r="B335" s="265">
        <f t="shared" si="62"/>
        <v>9</v>
      </c>
      <c r="C335" s="265">
        <f t="shared" ca="1" si="63"/>
        <v>28</v>
      </c>
      <c r="D335" s="265">
        <f t="shared" ca="1" si="64"/>
        <v>12</v>
      </c>
      <c r="E335" s="266">
        <v>5.0000000000000001E-3</v>
      </c>
      <c r="F335" s="267">
        <f>ÉV!$B$12</f>
        <v>0</v>
      </c>
      <c r="G335" s="271">
        <f ca="1">VLOOKUP(A335,ÉV!$A$18:$B$65,2,0)</f>
        <v>0</v>
      </c>
      <c r="H335" s="271">
        <f ca="1">IF(OR(A335=1,AND(C335=ÉV!$I$2,D335&gt;ÉV!$J$2),C335&gt;ÉV!$I$2),0,INDEX(Pz!$B$2:$AM$48,A335-1,ÉV!$G$2-9)/100000*ÉV!$B$10)</f>
        <v>0</v>
      </c>
      <c r="I335" s="271">
        <f ca="1">INDEX(Pz!$B$2:$AM$48,HÓ!A335,ÉV!$G$2-9)/100000*ÉV!$B$10</f>
        <v>0</v>
      </c>
      <c r="J335" s="273">
        <f ca="1">IF(OR(A335=1,A335=2,AND(C335=ÉV!$I$2,D335&gt;ÉV!$J$2),C335&gt;ÉV!$I$2),0,VLOOKUP(A335-2,ÉV!$A$18:$C$65,3,0))</f>
        <v>0</v>
      </c>
      <c r="K335" s="273">
        <f ca="1">IF(OR(A335=1,AND(C335=ÉV!$I$2,D335&gt;ÉV!$J$2),C335&gt;ÉV!$I$2),0,VLOOKUP(A335-1,ÉV!$A$18:$C$65,3,0))</f>
        <v>0</v>
      </c>
      <c r="L335" s="273">
        <f ca="1">VLOOKUP(A335,ÉV!$A$18:$C$65,3,0)*IF(OR(AND(C335=ÉV!$I$2,D335&gt;ÉV!$J$2),C335&gt;ÉV!$I$2),0,1)</f>
        <v>0</v>
      </c>
      <c r="M335" s="273">
        <f ca="1">(K335*(12-B335)/12+L335*B335/12)*IF(A335&gt;ÉV!$G$2,0,1)+IF(A335&gt;ÉV!$G$2,M334,0)*IF(OR(AND(C335=ÉV!$I$2,D335&gt;ÉV!$J$2),C335&gt;ÉV!$I$2),0,1)</f>
        <v>0</v>
      </c>
      <c r="N335" s="274">
        <f ca="1">IF(AND(C335=1,D335&lt;12),0,1)*IF(D335=12,MAX(0,F335-E335-0.003)*0.9*((K335+I335)*(B335/12)+(J335+H335)*(1-B335/12))+MAX(0,F335-0.003)*0.9*N334+N334,IF(AND(C335=ÉV!$I$2,D335=ÉV!$J$2),(M335+N334)*MAX(0,F335-0.003)*0.9*(D335/12)+N334,N334))*IF(OR(C335&gt;ÉV!$I$2,AND(C335=ÉV!$I$2,D335&gt;ÉV!$J$2)),0,1)</f>
        <v>0</v>
      </c>
      <c r="O335" s="313">
        <f ca="1">IF(MAX(AF$2:AF334)=2,      0,IF(OR(AC335=7, AF335=2),    SUM(AE$2:AE335),    O334)   )</f>
        <v>0</v>
      </c>
      <c r="P335" s="271">
        <f ca="1">IF(D335=12,V335+P334+P334*(F335-0.003)*0.9,IF(AND(C335=ÉV!$I$2,D335=ÉV!$J$2),V335+P334+P334*(F335-0.003)*0.9*D335/12,P334))*IF(OR(C335&gt;ÉV!$I$2,AND(C335=ÉV!$I$2,D335&gt;ÉV!$J$2)),0,1)</f>
        <v>0</v>
      </c>
      <c r="Q335" s="275">
        <f ca="1">(N335+P335)*IF(OR(AND(C335=ÉV!$I$2,D335&gt;ÉV!$J$2),C335&gt;ÉV!$I$2),0,1)</f>
        <v>0</v>
      </c>
      <c r="R335" s="271">
        <f ca="1">(MAX(0,F335-E335-0.003)*0.9*((K335+I335)*(1/12)))*IF(OR(C335&gt;ÉV!$I$2,AND(C335=ÉV!$I$2,D335&gt;ÉV!$J$2)),0,1)</f>
        <v>0</v>
      </c>
      <c r="S335" s="271">
        <f ca="1">(MAX(0,F335-0.003)*0.9*((O335)*(1/12)))*IF(OR(C335&gt;ÉV!$I$2,AND(C335=ÉV!$I$2,D335&gt;ÉV!$J$2)),0,1)</f>
        <v>0</v>
      </c>
      <c r="T335" s="271">
        <f ca="1">(MAX(0,F335-0.003)*0.9*((Q334)*(1/12)))*IF(OR(C335&gt;ÉV!$I$2,AND(C335=ÉV!$I$2,D335&gt;ÉV!$J$2)),0,1)</f>
        <v>0</v>
      </c>
      <c r="U335" s="271">
        <f ca="1">IF($D335=1,R335,R335+U334)*IF(OR(C335&gt;ÉV!$I$2,AND(C335=ÉV!$I$2,D335&gt;ÉV!$J$2)),0,1)</f>
        <v>0</v>
      </c>
      <c r="V335" s="271">
        <f ca="1">IF($D335=1,S335,S335+V334)*IF(OR(C335&gt;ÉV!$I$2,AND(C335=ÉV!$I$2,D335&gt;ÉV!$J$2)),0,1)</f>
        <v>0</v>
      </c>
      <c r="W335" s="271">
        <f ca="1">IF($D335=1,T335,T335+W334)*IF(OR(C335&gt;ÉV!$I$2,AND(C335=ÉV!$I$2,D335&gt;ÉV!$J$2)),0,1)</f>
        <v>0</v>
      </c>
      <c r="X335" s="271">
        <f ca="1">IF(OR(D335=12,AND(C335=ÉV!$I$2,D335=ÉV!$J$2)),SUM(U335:W335)+X334,X334)*IF(OR(C335&gt;ÉV!$I$2,AND(C335=ÉV!$I$2,D335&gt;ÉV!$J$2)),0,1)</f>
        <v>0</v>
      </c>
      <c r="Y335" s="271">
        <f t="shared" ca="1" si="57"/>
        <v>0</v>
      </c>
      <c r="Z335" s="265">
        <f t="shared" si="58"/>
        <v>9</v>
      </c>
      <c r="AA335" s="272">
        <f t="shared" ca="1" si="59"/>
        <v>0</v>
      </c>
      <c r="AB335" s="265">
        <f t="shared" ca="1" si="65"/>
        <v>2044</v>
      </c>
      <c r="AC335" s="265">
        <f t="shared" ca="1" si="66"/>
        <v>12</v>
      </c>
      <c r="AD335" s="276">
        <f ca="1">IF(     OR(               AND(MAX(AF$6:AF335)&lt;2,  AC335=12),                 AF335=2),                   SUMIF(AB:AB,AB335,AA:AA),                       0)</f>
        <v>0</v>
      </c>
      <c r="AE335" s="277">
        <f t="shared" ca="1" si="67"/>
        <v>0</v>
      </c>
      <c r="AF335" s="277">
        <f t="shared" ca="1" si="60"/>
        <v>0</v>
      </c>
      <c r="AG335" s="402">
        <f ca="1">IF(  AND(AC335=AdóHó,   MAX(AF$1:AF334)&lt;2),   SUMIF(AB:AB,AB335-1,AE:AE),0  )
+ IF(AND(AC335&lt;AdóHó,                            AF335=2),   SUMIF(AB:AB,AB335-1,AE:AE),0  )
+ IF(                                                                  AF335=2,    SUMIF(AB:AB,AB335,AE:AE   ),0  )</f>
        <v>0</v>
      </c>
      <c r="AH335" s="272">
        <f ca="1">SUM(AG$2:AG335)</f>
        <v>1139324.2410681627</v>
      </c>
    </row>
    <row r="336" spans="1:34">
      <c r="A336" s="265">
        <f t="shared" si="61"/>
        <v>28</v>
      </c>
      <c r="B336" s="265">
        <f t="shared" si="62"/>
        <v>10</v>
      </c>
      <c r="C336" s="265">
        <f t="shared" ca="1" si="63"/>
        <v>29</v>
      </c>
      <c r="D336" s="265">
        <f t="shared" ca="1" si="64"/>
        <v>1</v>
      </c>
      <c r="E336" s="266">
        <v>5.0000000000000001E-3</v>
      </c>
      <c r="F336" s="267">
        <f>ÉV!$B$12</f>
        <v>0</v>
      </c>
      <c r="G336" s="271">
        <f ca="1">VLOOKUP(A336,ÉV!$A$18:$B$65,2,0)</f>
        <v>0</v>
      </c>
      <c r="H336" s="271">
        <f ca="1">IF(OR(A336=1,AND(C336=ÉV!$I$2,D336&gt;ÉV!$J$2),C336&gt;ÉV!$I$2),0,INDEX(Pz!$B$2:$AM$48,A336-1,ÉV!$G$2-9)/100000*ÉV!$B$10)</f>
        <v>0</v>
      </c>
      <c r="I336" s="271">
        <f ca="1">INDEX(Pz!$B$2:$AM$48,HÓ!A336,ÉV!$G$2-9)/100000*ÉV!$B$10</f>
        <v>0</v>
      </c>
      <c r="J336" s="273">
        <f ca="1">IF(OR(A336=1,A336=2,AND(C336=ÉV!$I$2,D336&gt;ÉV!$J$2),C336&gt;ÉV!$I$2),0,VLOOKUP(A336-2,ÉV!$A$18:$C$65,3,0))</f>
        <v>0</v>
      </c>
      <c r="K336" s="273">
        <f ca="1">IF(OR(A336=1,AND(C336=ÉV!$I$2,D336&gt;ÉV!$J$2),C336&gt;ÉV!$I$2),0,VLOOKUP(A336-1,ÉV!$A$18:$C$65,3,0))</f>
        <v>0</v>
      </c>
      <c r="L336" s="273">
        <f ca="1">VLOOKUP(A336,ÉV!$A$18:$C$65,3,0)*IF(OR(AND(C336=ÉV!$I$2,D336&gt;ÉV!$J$2),C336&gt;ÉV!$I$2),0,1)</f>
        <v>0</v>
      </c>
      <c r="M336" s="273">
        <f ca="1">(K336*(12-B336)/12+L336*B336/12)*IF(A336&gt;ÉV!$G$2,0,1)+IF(A336&gt;ÉV!$G$2,M335,0)*IF(OR(AND(C336=ÉV!$I$2,D336&gt;ÉV!$J$2),C336&gt;ÉV!$I$2),0,1)</f>
        <v>0</v>
      </c>
      <c r="N336" s="274">
        <f ca="1">IF(AND(C336=1,D336&lt;12),0,1)*IF(D336=12,MAX(0,F336-E336-0.003)*0.9*((K336+I336)*(B336/12)+(J336+H336)*(1-B336/12))+MAX(0,F336-0.003)*0.9*N335+N335,IF(AND(C336=ÉV!$I$2,D336=ÉV!$J$2),(M336+N335)*MAX(0,F336-0.003)*0.9*(D336/12)+N335,N335))*IF(OR(C336&gt;ÉV!$I$2,AND(C336=ÉV!$I$2,D336&gt;ÉV!$J$2)),0,1)</f>
        <v>0</v>
      </c>
      <c r="O336" s="313">
        <f ca="1">IF(MAX(AF$2:AF335)=2,      0,IF(OR(AC336=7, AF336=2),    SUM(AE$2:AE336),    O335)   )</f>
        <v>0</v>
      </c>
      <c r="P336" s="271">
        <f ca="1">IF(D336=12,V336+P335+P335*(F336-0.003)*0.9,IF(AND(C336=ÉV!$I$2,D336=ÉV!$J$2),V336+P335+P335*(F336-0.003)*0.9*D336/12,P335))*IF(OR(C336&gt;ÉV!$I$2,AND(C336=ÉV!$I$2,D336&gt;ÉV!$J$2)),0,1)</f>
        <v>0</v>
      </c>
      <c r="Q336" s="275">
        <f ca="1">(N336+P336)*IF(OR(AND(C336=ÉV!$I$2,D336&gt;ÉV!$J$2),C336&gt;ÉV!$I$2),0,1)</f>
        <v>0</v>
      </c>
      <c r="R336" s="271">
        <f ca="1">(MAX(0,F336-E336-0.003)*0.9*((K336+I336)*(1/12)))*IF(OR(C336&gt;ÉV!$I$2,AND(C336=ÉV!$I$2,D336&gt;ÉV!$J$2)),0,1)</f>
        <v>0</v>
      </c>
      <c r="S336" s="271">
        <f ca="1">(MAX(0,F336-0.003)*0.9*((O336)*(1/12)))*IF(OR(C336&gt;ÉV!$I$2,AND(C336=ÉV!$I$2,D336&gt;ÉV!$J$2)),0,1)</f>
        <v>0</v>
      </c>
      <c r="T336" s="271">
        <f ca="1">(MAX(0,F336-0.003)*0.9*((Q335)*(1/12)))*IF(OR(C336&gt;ÉV!$I$2,AND(C336=ÉV!$I$2,D336&gt;ÉV!$J$2)),0,1)</f>
        <v>0</v>
      </c>
      <c r="U336" s="271">
        <f ca="1">IF($D336=1,R336,R336+U335)*IF(OR(C336&gt;ÉV!$I$2,AND(C336=ÉV!$I$2,D336&gt;ÉV!$J$2)),0,1)</f>
        <v>0</v>
      </c>
      <c r="V336" s="271">
        <f ca="1">IF($D336=1,S336,S336+V335)*IF(OR(C336&gt;ÉV!$I$2,AND(C336=ÉV!$I$2,D336&gt;ÉV!$J$2)),0,1)</f>
        <v>0</v>
      </c>
      <c r="W336" s="271">
        <f ca="1">IF($D336=1,T336,T336+W335)*IF(OR(C336&gt;ÉV!$I$2,AND(C336=ÉV!$I$2,D336&gt;ÉV!$J$2)),0,1)</f>
        <v>0</v>
      </c>
      <c r="X336" s="271">
        <f ca="1">IF(OR(D336=12,AND(C336=ÉV!$I$2,D336=ÉV!$J$2)),SUM(U336:W336)+X335,X335)*IF(OR(C336&gt;ÉV!$I$2,AND(C336=ÉV!$I$2,D336&gt;ÉV!$J$2)),0,1)</f>
        <v>0</v>
      </c>
      <c r="Y336" s="271">
        <f t="shared" ca="1" si="57"/>
        <v>0</v>
      </c>
      <c r="Z336" s="265">
        <f t="shared" si="58"/>
        <v>10</v>
      </c>
      <c r="AA336" s="272">
        <f t="shared" ca="1" si="59"/>
        <v>0</v>
      </c>
      <c r="AB336" s="265">
        <f t="shared" ca="1" si="65"/>
        <v>2045</v>
      </c>
      <c r="AC336" s="265">
        <f t="shared" ca="1" si="66"/>
        <v>1</v>
      </c>
      <c r="AD336" s="276">
        <f ca="1">IF(     OR(               AND(MAX(AF$6:AF336)&lt;2,  AC336=12),                 AF336=2),                   SUMIF(AB:AB,AB336,AA:AA),                       0)</f>
        <v>0</v>
      </c>
      <c r="AE336" s="277">
        <f t="shared" ca="1" si="67"/>
        <v>0</v>
      </c>
      <c r="AF336" s="277">
        <f t="shared" ca="1" si="60"/>
        <v>0</v>
      </c>
      <c r="AG336" s="402">
        <f ca="1">IF(  AND(AC336=AdóHó,   MAX(AF$1:AF335)&lt;2),   SUMIF(AB:AB,AB336-1,AE:AE),0  )
+ IF(AND(AC336&lt;AdóHó,                            AF336=2),   SUMIF(AB:AB,AB336-1,AE:AE),0  )
+ IF(                                                                  AF336=2,    SUMIF(AB:AB,AB336,AE:AE   ),0  )</f>
        <v>0</v>
      </c>
      <c r="AH336" s="272">
        <f ca="1">SUM(AG$2:AG336)</f>
        <v>1139324.2410681627</v>
      </c>
    </row>
    <row r="337" spans="1:34">
      <c r="A337" s="265">
        <f t="shared" si="61"/>
        <v>28</v>
      </c>
      <c r="B337" s="265">
        <f t="shared" si="62"/>
        <v>11</v>
      </c>
      <c r="C337" s="265">
        <f t="shared" ca="1" si="63"/>
        <v>29</v>
      </c>
      <c r="D337" s="265">
        <f t="shared" ca="1" si="64"/>
        <v>2</v>
      </c>
      <c r="E337" s="266">
        <v>5.0000000000000001E-3</v>
      </c>
      <c r="F337" s="267">
        <f>ÉV!$B$12</f>
        <v>0</v>
      </c>
      <c r="G337" s="271">
        <f ca="1">VLOOKUP(A337,ÉV!$A$18:$B$65,2,0)</f>
        <v>0</v>
      </c>
      <c r="H337" s="271">
        <f ca="1">IF(OR(A337=1,AND(C337=ÉV!$I$2,D337&gt;ÉV!$J$2),C337&gt;ÉV!$I$2),0,INDEX(Pz!$B$2:$AM$48,A337-1,ÉV!$G$2-9)/100000*ÉV!$B$10)</f>
        <v>0</v>
      </c>
      <c r="I337" s="271">
        <f ca="1">INDEX(Pz!$B$2:$AM$48,HÓ!A337,ÉV!$G$2-9)/100000*ÉV!$B$10</f>
        <v>0</v>
      </c>
      <c r="J337" s="273">
        <f ca="1">IF(OR(A337=1,A337=2,AND(C337=ÉV!$I$2,D337&gt;ÉV!$J$2),C337&gt;ÉV!$I$2),0,VLOOKUP(A337-2,ÉV!$A$18:$C$65,3,0))</f>
        <v>0</v>
      </c>
      <c r="K337" s="273">
        <f ca="1">IF(OR(A337=1,AND(C337=ÉV!$I$2,D337&gt;ÉV!$J$2),C337&gt;ÉV!$I$2),0,VLOOKUP(A337-1,ÉV!$A$18:$C$65,3,0))</f>
        <v>0</v>
      </c>
      <c r="L337" s="273">
        <f ca="1">VLOOKUP(A337,ÉV!$A$18:$C$65,3,0)*IF(OR(AND(C337=ÉV!$I$2,D337&gt;ÉV!$J$2),C337&gt;ÉV!$I$2),0,1)</f>
        <v>0</v>
      </c>
      <c r="M337" s="273">
        <f ca="1">(K337*(12-B337)/12+L337*B337/12)*IF(A337&gt;ÉV!$G$2,0,1)+IF(A337&gt;ÉV!$G$2,M336,0)*IF(OR(AND(C337=ÉV!$I$2,D337&gt;ÉV!$J$2),C337&gt;ÉV!$I$2),0,1)</f>
        <v>0</v>
      </c>
      <c r="N337" s="274">
        <f ca="1">IF(AND(C337=1,D337&lt;12),0,1)*IF(D337=12,MAX(0,F337-E337-0.003)*0.9*((K337+I337)*(B337/12)+(J337+H337)*(1-B337/12))+MAX(0,F337-0.003)*0.9*N336+N336,IF(AND(C337=ÉV!$I$2,D337=ÉV!$J$2),(M337+N336)*MAX(0,F337-0.003)*0.9*(D337/12)+N336,N336))*IF(OR(C337&gt;ÉV!$I$2,AND(C337=ÉV!$I$2,D337&gt;ÉV!$J$2)),0,1)</f>
        <v>0</v>
      </c>
      <c r="O337" s="313">
        <f ca="1">IF(MAX(AF$2:AF336)=2,      0,IF(OR(AC337=7, AF337=2),    SUM(AE$2:AE337),    O336)   )</f>
        <v>0</v>
      </c>
      <c r="P337" s="271">
        <f ca="1">IF(D337=12,V337+P336+P336*(F337-0.003)*0.9,IF(AND(C337=ÉV!$I$2,D337=ÉV!$J$2),V337+P336+P336*(F337-0.003)*0.9*D337/12,P336))*IF(OR(C337&gt;ÉV!$I$2,AND(C337=ÉV!$I$2,D337&gt;ÉV!$J$2)),0,1)</f>
        <v>0</v>
      </c>
      <c r="Q337" s="275">
        <f ca="1">(N337+P337)*IF(OR(AND(C337=ÉV!$I$2,D337&gt;ÉV!$J$2),C337&gt;ÉV!$I$2),0,1)</f>
        <v>0</v>
      </c>
      <c r="R337" s="271">
        <f ca="1">(MAX(0,F337-E337-0.003)*0.9*((K337+I337)*(1/12)))*IF(OR(C337&gt;ÉV!$I$2,AND(C337=ÉV!$I$2,D337&gt;ÉV!$J$2)),0,1)</f>
        <v>0</v>
      </c>
      <c r="S337" s="271">
        <f ca="1">(MAX(0,F337-0.003)*0.9*((O337)*(1/12)))*IF(OR(C337&gt;ÉV!$I$2,AND(C337=ÉV!$I$2,D337&gt;ÉV!$J$2)),0,1)</f>
        <v>0</v>
      </c>
      <c r="T337" s="271">
        <f ca="1">(MAX(0,F337-0.003)*0.9*((Q336)*(1/12)))*IF(OR(C337&gt;ÉV!$I$2,AND(C337=ÉV!$I$2,D337&gt;ÉV!$J$2)),0,1)</f>
        <v>0</v>
      </c>
      <c r="U337" s="271">
        <f ca="1">IF($D337=1,R337,R337+U336)*IF(OR(C337&gt;ÉV!$I$2,AND(C337=ÉV!$I$2,D337&gt;ÉV!$J$2)),0,1)</f>
        <v>0</v>
      </c>
      <c r="V337" s="271">
        <f ca="1">IF($D337=1,S337,S337+V336)*IF(OR(C337&gt;ÉV!$I$2,AND(C337=ÉV!$I$2,D337&gt;ÉV!$J$2)),0,1)</f>
        <v>0</v>
      </c>
      <c r="W337" s="271">
        <f ca="1">IF($D337=1,T337,T337+W336)*IF(OR(C337&gt;ÉV!$I$2,AND(C337=ÉV!$I$2,D337&gt;ÉV!$J$2)),0,1)</f>
        <v>0</v>
      </c>
      <c r="X337" s="271">
        <f ca="1">IF(OR(D337=12,AND(C337=ÉV!$I$2,D337=ÉV!$J$2)),SUM(U337:W337)+X336,X336)*IF(OR(C337&gt;ÉV!$I$2,AND(C337=ÉV!$I$2,D337&gt;ÉV!$J$2)),0,1)</f>
        <v>0</v>
      </c>
      <c r="Y337" s="271">
        <f t="shared" ca="1" si="57"/>
        <v>0</v>
      </c>
      <c r="Z337" s="265">
        <f t="shared" si="58"/>
        <v>11</v>
      </c>
      <c r="AA337" s="272">
        <f t="shared" ca="1" si="59"/>
        <v>0</v>
      </c>
      <c r="AB337" s="265">
        <f t="shared" ca="1" si="65"/>
        <v>2045</v>
      </c>
      <c r="AC337" s="265">
        <f t="shared" ca="1" si="66"/>
        <v>2</v>
      </c>
      <c r="AD337" s="276">
        <f ca="1">IF(     OR(               AND(MAX(AF$6:AF337)&lt;2,  AC337=12),                 AF337=2),                   SUMIF(AB:AB,AB337,AA:AA),                       0)</f>
        <v>0</v>
      </c>
      <c r="AE337" s="277">
        <f t="shared" ca="1" si="67"/>
        <v>0</v>
      </c>
      <c r="AF337" s="277">
        <f t="shared" ca="1" si="60"/>
        <v>0</v>
      </c>
      <c r="AG337" s="402">
        <f ca="1">IF(  AND(AC337=AdóHó,   MAX(AF$1:AF336)&lt;2),   SUMIF(AB:AB,AB337-1,AE:AE),0  )
+ IF(AND(AC337&lt;AdóHó,                            AF337=2),   SUMIF(AB:AB,AB337-1,AE:AE),0  )
+ IF(                                                                  AF337=2,    SUMIF(AB:AB,AB337,AE:AE   ),0  )</f>
        <v>0</v>
      </c>
      <c r="AH337" s="272">
        <f ca="1">SUM(AG$2:AG337)</f>
        <v>1139324.2410681627</v>
      </c>
    </row>
    <row r="338" spans="1:34">
      <c r="A338" s="265">
        <f t="shared" si="61"/>
        <v>28</v>
      </c>
      <c r="B338" s="265">
        <f t="shared" si="62"/>
        <v>12</v>
      </c>
      <c r="C338" s="265">
        <f t="shared" ca="1" si="63"/>
        <v>29</v>
      </c>
      <c r="D338" s="265">
        <f t="shared" ca="1" si="64"/>
        <v>3</v>
      </c>
      <c r="E338" s="266">
        <v>5.0000000000000001E-3</v>
      </c>
      <c r="F338" s="267">
        <f>ÉV!$B$12</f>
        <v>0</v>
      </c>
      <c r="G338" s="271">
        <f ca="1">VLOOKUP(A338,ÉV!$A$18:$B$65,2,0)</f>
        <v>0</v>
      </c>
      <c r="H338" s="271">
        <f ca="1">IF(OR(A338=1,AND(C338=ÉV!$I$2,D338&gt;ÉV!$J$2),C338&gt;ÉV!$I$2),0,INDEX(Pz!$B$2:$AM$48,A338-1,ÉV!$G$2-9)/100000*ÉV!$B$10)</f>
        <v>0</v>
      </c>
      <c r="I338" s="271">
        <f ca="1">INDEX(Pz!$B$2:$AM$48,HÓ!A338,ÉV!$G$2-9)/100000*ÉV!$B$10</f>
        <v>0</v>
      </c>
      <c r="J338" s="273">
        <f ca="1">IF(OR(A338=1,A338=2,AND(C338=ÉV!$I$2,D338&gt;ÉV!$J$2),C338&gt;ÉV!$I$2),0,VLOOKUP(A338-2,ÉV!$A$18:$C$65,3,0))</f>
        <v>0</v>
      </c>
      <c r="K338" s="273">
        <f ca="1">IF(OR(A338=1,AND(C338=ÉV!$I$2,D338&gt;ÉV!$J$2),C338&gt;ÉV!$I$2),0,VLOOKUP(A338-1,ÉV!$A$18:$C$65,3,0))</f>
        <v>0</v>
      </c>
      <c r="L338" s="273">
        <f ca="1">VLOOKUP(A338,ÉV!$A$18:$C$65,3,0)*IF(OR(AND(C338=ÉV!$I$2,D338&gt;ÉV!$J$2),C338&gt;ÉV!$I$2),0,1)</f>
        <v>0</v>
      </c>
      <c r="M338" s="273">
        <f ca="1">(K338*(12-B338)/12+L338*B338/12)*IF(A338&gt;ÉV!$G$2,0,1)+IF(A338&gt;ÉV!$G$2,M337,0)*IF(OR(AND(C338=ÉV!$I$2,D338&gt;ÉV!$J$2),C338&gt;ÉV!$I$2),0,1)</f>
        <v>0</v>
      </c>
      <c r="N338" s="274">
        <f ca="1">IF(AND(C338=1,D338&lt;12),0,1)*IF(D338=12,MAX(0,F338-E338-0.003)*0.9*((K338+I338)*(B338/12)+(J338+H338)*(1-B338/12))+MAX(0,F338-0.003)*0.9*N337+N337,IF(AND(C338=ÉV!$I$2,D338=ÉV!$J$2),(M338+N337)*MAX(0,F338-0.003)*0.9*(D338/12)+N337,N337))*IF(OR(C338&gt;ÉV!$I$2,AND(C338=ÉV!$I$2,D338&gt;ÉV!$J$2)),0,1)</f>
        <v>0</v>
      </c>
      <c r="O338" s="313">
        <f ca="1">IF(MAX(AF$2:AF337)=2,      0,IF(OR(AC338=7, AF338=2),    SUM(AE$2:AE338),    O337)   )</f>
        <v>0</v>
      </c>
      <c r="P338" s="271">
        <f ca="1">IF(D338=12,V338+P337+P337*(F338-0.003)*0.9,IF(AND(C338=ÉV!$I$2,D338=ÉV!$J$2),V338+P337+P337*(F338-0.003)*0.9*D338/12,P337))*IF(OR(C338&gt;ÉV!$I$2,AND(C338=ÉV!$I$2,D338&gt;ÉV!$J$2)),0,1)</f>
        <v>0</v>
      </c>
      <c r="Q338" s="275">
        <f ca="1">(N338+P338)*IF(OR(AND(C338=ÉV!$I$2,D338&gt;ÉV!$J$2),C338&gt;ÉV!$I$2),0,1)</f>
        <v>0</v>
      </c>
      <c r="R338" s="271">
        <f ca="1">(MAX(0,F338-E338-0.003)*0.9*((K338+I338)*(1/12)))*IF(OR(C338&gt;ÉV!$I$2,AND(C338=ÉV!$I$2,D338&gt;ÉV!$J$2)),0,1)</f>
        <v>0</v>
      </c>
      <c r="S338" s="271">
        <f ca="1">(MAX(0,F338-0.003)*0.9*((O338)*(1/12)))*IF(OR(C338&gt;ÉV!$I$2,AND(C338=ÉV!$I$2,D338&gt;ÉV!$J$2)),0,1)</f>
        <v>0</v>
      </c>
      <c r="T338" s="271">
        <f ca="1">(MAX(0,F338-0.003)*0.9*((Q337)*(1/12)))*IF(OR(C338&gt;ÉV!$I$2,AND(C338=ÉV!$I$2,D338&gt;ÉV!$J$2)),0,1)</f>
        <v>0</v>
      </c>
      <c r="U338" s="271">
        <f ca="1">IF($D338=1,R338,R338+U337)*IF(OR(C338&gt;ÉV!$I$2,AND(C338=ÉV!$I$2,D338&gt;ÉV!$J$2)),0,1)</f>
        <v>0</v>
      </c>
      <c r="V338" s="271">
        <f ca="1">IF($D338=1,S338,S338+V337)*IF(OR(C338&gt;ÉV!$I$2,AND(C338=ÉV!$I$2,D338&gt;ÉV!$J$2)),0,1)</f>
        <v>0</v>
      </c>
      <c r="W338" s="271">
        <f ca="1">IF($D338=1,T338,T338+W337)*IF(OR(C338&gt;ÉV!$I$2,AND(C338=ÉV!$I$2,D338&gt;ÉV!$J$2)),0,1)</f>
        <v>0</v>
      </c>
      <c r="X338" s="271">
        <f ca="1">IF(OR(D338=12,AND(C338=ÉV!$I$2,D338=ÉV!$J$2)),SUM(U338:W338)+X337,X337)*IF(OR(C338&gt;ÉV!$I$2,AND(C338=ÉV!$I$2,D338&gt;ÉV!$J$2)),0,1)</f>
        <v>0</v>
      </c>
      <c r="Y338" s="271">
        <f t="shared" ca="1" si="57"/>
        <v>0</v>
      </c>
      <c r="Z338" s="265">
        <f t="shared" si="58"/>
        <v>12</v>
      </c>
      <c r="AA338" s="272">
        <f t="shared" ca="1" si="59"/>
        <v>0</v>
      </c>
      <c r="AB338" s="265">
        <f t="shared" ca="1" si="65"/>
        <v>2045</v>
      </c>
      <c r="AC338" s="265">
        <f t="shared" ca="1" si="66"/>
        <v>3</v>
      </c>
      <c r="AD338" s="276">
        <f ca="1">IF(     OR(               AND(MAX(AF$6:AF338)&lt;2,  AC338=12),                 AF338=2),                   SUMIF(AB:AB,AB338,AA:AA),                       0)</f>
        <v>0</v>
      </c>
      <c r="AE338" s="277">
        <f t="shared" ca="1" si="67"/>
        <v>0</v>
      </c>
      <c r="AF338" s="277">
        <f t="shared" ca="1" si="60"/>
        <v>0</v>
      </c>
      <c r="AG338" s="402">
        <f ca="1">IF(  AND(AC338=AdóHó,   MAX(AF$1:AF337)&lt;2),   SUMIF(AB:AB,AB338-1,AE:AE),0  )
+ IF(AND(AC338&lt;AdóHó,                            AF338=2),   SUMIF(AB:AB,AB338-1,AE:AE),0  )
+ IF(                                                                  AF338=2,    SUMIF(AB:AB,AB338,AE:AE   ),0  )</f>
        <v>0</v>
      </c>
      <c r="AH338" s="272">
        <f ca="1">SUM(AG$2:AG338)</f>
        <v>1139324.2410681627</v>
      </c>
    </row>
    <row r="339" spans="1:34">
      <c r="A339" s="265">
        <f t="shared" si="61"/>
        <v>29</v>
      </c>
      <c r="B339" s="265">
        <f t="shared" si="62"/>
        <v>1</v>
      </c>
      <c r="C339" s="265">
        <f t="shared" ca="1" si="63"/>
        <v>29</v>
      </c>
      <c r="D339" s="265">
        <f t="shared" ca="1" si="64"/>
        <v>4</v>
      </c>
      <c r="E339" s="266">
        <v>5.0000000000000001E-3</v>
      </c>
      <c r="F339" s="267">
        <f>ÉV!$B$12</f>
        <v>0</v>
      </c>
      <c r="G339" s="271">
        <f ca="1">VLOOKUP(A339,ÉV!$A$18:$B$65,2,0)</f>
        <v>0</v>
      </c>
      <c r="H339" s="271">
        <f ca="1">IF(OR(A339=1,AND(C339=ÉV!$I$2,D339&gt;ÉV!$J$2),C339&gt;ÉV!$I$2),0,INDEX(Pz!$B$2:$AM$48,A339-1,ÉV!$G$2-9)/100000*ÉV!$B$10)</f>
        <v>0</v>
      </c>
      <c r="I339" s="271">
        <f ca="1">INDEX(Pz!$B$2:$AM$48,HÓ!A339,ÉV!$G$2-9)/100000*ÉV!$B$10</f>
        <v>0</v>
      </c>
      <c r="J339" s="273">
        <f ca="1">IF(OR(A339=1,A339=2,AND(C339=ÉV!$I$2,D339&gt;ÉV!$J$2),C339&gt;ÉV!$I$2),0,VLOOKUP(A339-2,ÉV!$A$18:$C$65,3,0))</f>
        <v>0</v>
      </c>
      <c r="K339" s="273">
        <f ca="1">IF(OR(A339=1,AND(C339=ÉV!$I$2,D339&gt;ÉV!$J$2),C339&gt;ÉV!$I$2),0,VLOOKUP(A339-1,ÉV!$A$18:$C$65,3,0))</f>
        <v>0</v>
      </c>
      <c r="L339" s="273">
        <f ca="1">VLOOKUP(A339,ÉV!$A$18:$C$65,3,0)*IF(OR(AND(C339=ÉV!$I$2,D339&gt;ÉV!$J$2),C339&gt;ÉV!$I$2),0,1)</f>
        <v>0</v>
      </c>
      <c r="M339" s="273">
        <f ca="1">(K339*(12-B339)/12+L339*B339/12)*IF(A339&gt;ÉV!$G$2,0,1)+IF(A339&gt;ÉV!$G$2,M338,0)*IF(OR(AND(C339=ÉV!$I$2,D339&gt;ÉV!$J$2),C339&gt;ÉV!$I$2),0,1)</f>
        <v>0</v>
      </c>
      <c r="N339" s="274">
        <f ca="1">IF(AND(C339=1,D339&lt;12),0,1)*IF(D339=12,MAX(0,F339-E339-0.003)*0.9*((K339+I339)*(B339/12)+(J339+H339)*(1-B339/12))+MAX(0,F339-0.003)*0.9*N338+N338,IF(AND(C339=ÉV!$I$2,D339=ÉV!$J$2),(M339+N338)*MAX(0,F339-0.003)*0.9*(D339/12)+N338,N338))*IF(OR(C339&gt;ÉV!$I$2,AND(C339=ÉV!$I$2,D339&gt;ÉV!$J$2)),0,1)</f>
        <v>0</v>
      </c>
      <c r="O339" s="313">
        <f ca="1">IF(MAX(AF$2:AF338)=2,      0,IF(OR(AC339=7, AF339=2),    SUM(AE$2:AE339),    O338)   )</f>
        <v>0</v>
      </c>
      <c r="P339" s="271">
        <f ca="1">IF(D339=12,V339+P338+P338*(F339-0.003)*0.9,IF(AND(C339=ÉV!$I$2,D339=ÉV!$J$2),V339+P338+P338*(F339-0.003)*0.9*D339/12,P338))*IF(OR(C339&gt;ÉV!$I$2,AND(C339=ÉV!$I$2,D339&gt;ÉV!$J$2)),0,1)</f>
        <v>0</v>
      </c>
      <c r="Q339" s="275">
        <f ca="1">(N339+P339)*IF(OR(AND(C339=ÉV!$I$2,D339&gt;ÉV!$J$2),C339&gt;ÉV!$I$2),0,1)</f>
        <v>0</v>
      </c>
      <c r="R339" s="271">
        <f ca="1">(MAX(0,F339-E339-0.003)*0.9*((K339+I339)*(1/12)))*IF(OR(C339&gt;ÉV!$I$2,AND(C339=ÉV!$I$2,D339&gt;ÉV!$J$2)),0,1)</f>
        <v>0</v>
      </c>
      <c r="S339" s="271">
        <f ca="1">(MAX(0,F339-0.003)*0.9*((O339)*(1/12)))*IF(OR(C339&gt;ÉV!$I$2,AND(C339=ÉV!$I$2,D339&gt;ÉV!$J$2)),0,1)</f>
        <v>0</v>
      </c>
      <c r="T339" s="271">
        <f ca="1">(MAX(0,F339-0.003)*0.9*((Q338)*(1/12)))*IF(OR(C339&gt;ÉV!$I$2,AND(C339=ÉV!$I$2,D339&gt;ÉV!$J$2)),0,1)</f>
        <v>0</v>
      </c>
      <c r="U339" s="271">
        <f ca="1">IF($D339=1,R339,R339+U338)*IF(OR(C339&gt;ÉV!$I$2,AND(C339=ÉV!$I$2,D339&gt;ÉV!$J$2)),0,1)</f>
        <v>0</v>
      </c>
      <c r="V339" s="271">
        <f ca="1">IF($D339=1,S339,S339+V338)*IF(OR(C339&gt;ÉV!$I$2,AND(C339=ÉV!$I$2,D339&gt;ÉV!$J$2)),0,1)</f>
        <v>0</v>
      </c>
      <c r="W339" s="271">
        <f ca="1">IF($D339=1,T339,T339+W338)*IF(OR(C339&gt;ÉV!$I$2,AND(C339=ÉV!$I$2,D339&gt;ÉV!$J$2)),0,1)</f>
        <v>0</v>
      </c>
      <c r="X339" s="271">
        <f ca="1">IF(OR(D339=12,AND(C339=ÉV!$I$2,D339=ÉV!$J$2)),SUM(U339:W339)+X338,X338)*IF(OR(C339&gt;ÉV!$I$2,AND(C339=ÉV!$I$2,D339&gt;ÉV!$J$2)),0,1)</f>
        <v>0</v>
      </c>
      <c r="Y339" s="271">
        <f t="shared" ca="1" si="57"/>
        <v>0</v>
      </c>
      <c r="Z339" s="265">
        <f t="shared" si="58"/>
        <v>1</v>
      </c>
      <c r="AA339" s="272">
        <f t="shared" ca="1" si="59"/>
        <v>0</v>
      </c>
      <c r="AB339" s="265">
        <f t="shared" ca="1" si="65"/>
        <v>2045</v>
      </c>
      <c r="AC339" s="265">
        <f t="shared" ca="1" si="66"/>
        <v>4</v>
      </c>
      <c r="AD339" s="276">
        <f ca="1">IF(     OR(               AND(MAX(AF$6:AF339)&lt;2,  AC339=12),                 AF339=2),                   SUMIF(AB:AB,AB339,AA:AA),                       0)</f>
        <v>0</v>
      </c>
      <c r="AE339" s="277">
        <f t="shared" ca="1" si="67"/>
        <v>0</v>
      </c>
      <c r="AF339" s="277">
        <f t="shared" ca="1" si="60"/>
        <v>0</v>
      </c>
      <c r="AG339" s="402">
        <f ca="1">IF(  AND(AC339=AdóHó,   MAX(AF$1:AF338)&lt;2),   SUMIF(AB:AB,AB339-1,AE:AE),0  )
+ IF(AND(AC339&lt;AdóHó,                            AF339=2),   SUMIF(AB:AB,AB339-1,AE:AE),0  )
+ IF(                                                                  AF339=2,    SUMIF(AB:AB,AB339,AE:AE   ),0  )</f>
        <v>0</v>
      </c>
      <c r="AH339" s="272">
        <f ca="1">SUM(AG$2:AG339)</f>
        <v>1139324.2410681627</v>
      </c>
    </row>
    <row r="340" spans="1:34">
      <c r="A340" s="265">
        <f t="shared" si="61"/>
        <v>29</v>
      </c>
      <c r="B340" s="265">
        <f t="shared" si="62"/>
        <v>2</v>
      </c>
      <c r="C340" s="265">
        <f t="shared" ca="1" si="63"/>
        <v>29</v>
      </c>
      <c r="D340" s="265">
        <f t="shared" ca="1" si="64"/>
        <v>5</v>
      </c>
      <c r="E340" s="266">
        <v>5.0000000000000001E-3</v>
      </c>
      <c r="F340" s="267">
        <f>ÉV!$B$12</f>
        <v>0</v>
      </c>
      <c r="G340" s="271">
        <f ca="1">VLOOKUP(A340,ÉV!$A$18:$B$65,2,0)</f>
        <v>0</v>
      </c>
      <c r="H340" s="271">
        <f ca="1">IF(OR(A340=1,AND(C340=ÉV!$I$2,D340&gt;ÉV!$J$2),C340&gt;ÉV!$I$2),0,INDEX(Pz!$B$2:$AM$48,A340-1,ÉV!$G$2-9)/100000*ÉV!$B$10)</f>
        <v>0</v>
      </c>
      <c r="I340" s="271">
        <f ca="1">INDEX(Pz!$B$2:$AM$48,HÓ!A340,ÉV!$G$2-9)/100000*ÉV!$B$10</f>
        <v>0</v>
      </c>
      <c r="J340" s="273">
        <f ca="1">IF(OR(A340=1,A340=2,AND(C340=ÉV!$I$2,D340&gt;ÉV!$J$2),C340&gt;ÉV!$I$2),0,VLOOKUP(A340-2,ÉV!$A$18:$C$65,3,0))</f>
        <v>0</v>
      </c>
      <c r="K340" s="273">
        <f ca="1">IF(OR(A340=1,AND(C340=ÉV!$I$2,D340&gt;ÉV!$J$2),C340&gt;ÉV!$I$2),0,VLOOKUP(A340-1,ÉV!$A$18:$C$65,3,0))</f>
        <v>0</v>
      </c>
      <c r="L340" s="273">
        <f ca="1">VLOOKUP(A340,ÉV!$A$18:$C$65,3,0)*IF(OR(AND(C340=ÉV!$I$2,D340&gt;ÉV!$J$2),C340&gt;ÉV!$I$2),0,1)</f>
        <v>0</v>
      </c>
      <c r="M340" s="273">
        <f ca="1">(K340*(12-B340)/12+L340*B340/12)*IF(A340&gt;ÉV!$G$2,0,1)+IF(A340&gt;ÉV!$G$2,M339,0)*IF(OR(AND(C340=ÉV!$I$2,D340&gt;ÉV!$J$2),C340&gt;ÉV!$I$2),0,1)</f>
        <v>0</v>
      </c>
      <c r="N340" s="274">
        <f ca="1">IF(AND(C340=1,D340&lt;12),0,1)*IF(D340=12,MAX(0,F340-E340-0.003)*0.9*((K340+I340)*(B340/12)+(J340+H340)*(1-B340/12))+MAX(0,F340-0.003)*0.9*N339+N339,IF(AND(C340=ÉV!$I$2,D340=ÉV!$J$2),(M340+N339)*MAX(0,F340-0.003)*0.9*(D340/12)+N339,N339))*IF(OR(C340&gt;ÉV!$I$2,AND(C340=ÉV!$I$2,D340&gt;ÉV!$J$2)),0,1)</f>
        <v>0</v>
      </c>
      <c r="O340" s="313">
        <f ca="1">IF(MAX(AF$2:AF339)=2,      0,IF(OR(AC340=7, AF340=2),    SUM(AE$2:AE340),    O339)   )</f>
        <v>0</v>
      </c>
      <c r="P340" s="271">
        <f ca="1">IF(D340=12,V340+P339+P339*(F340-0.003)*0.9,IF(AND(C340=ÉV!$I$2,D340=ÉV!$J$2),V340+P339+P339*(F340-0.003)*0.9*D340/12,P339))*IF(OR(C340&gt;ÉV!$I$2,AND(C340=ÉV!$I$2,D340&gt;ÉV!$J$2)),0,1)</f>
        <v>0</v>
      </c>
      <c r="Q340" s="275">
        <f ca="1">(N340+P340)*IF(OR(AND(C340=ÉV!$I$2,D340&gt;ÉV!$J$2),C340&gt;ÉV!$I$2),0,1)</f>
        <v>0</v>
      </c>
      <c r="R340" s="271">
        <f ca="1">(MAX(0,F340-E340-0.003)*0.9*((K340+I340)*(1/12)))*IF(OR(C340&gt;ÉV!$I$2,AND(C340=ÉV!$I$2,D340&gt;ÉV!$J$2)),0,1)</f>
        <v>0</v>
      </c>
      <c r="S340" s="271">
        <f ca="1">(MAX(0,F340-0.003)*0.9*((O340)*(1/12)))*IF(OR(C340&gt;ÉV!$I$2,AND(C340=ÉV!$I$2,D340&gt;ÉV!$J$2)),0,1)</f>
        <v>0</v>
      </c>
      <c r="T340" s="271">
        <f ca="1">(MAX(0,F340-0.003)*0.9*((Q339)*(1/12)))*IF(OR(C340&gt;ÉV!$I$2,AND(C340=ÉV!$I$2,D340&gt;ÉV!$J$2)),0,1)</f>
        <v>0</v>
      </c>
      <c r="U340" s="271">
        <f ca="1">IF($D340=1,R340,R340+U339)*IF(OR(C340&gt;ÉV!$I$2,AND(C340=ÉV!$I$2,D340&gt;ÉV!$J$2)),0,1)</f>
        <v>0</v>
      </c>
      <c r="V340" s="271">
        <f ca="1">IF($D340=1,S340,S340+V339)*IF(OR(C340&gt;ÉV!$I$2,AND(C340=ÉV!$I$2,D340&gt;ÉV!$J$2)),0,1)</f>
        <v>0</v>
      </c>
      <c r="W340" s="271">
        <f ca="1">IF($D340=1,T340,T340+W339)*IF(OR(C340&gt;ÉV!$I$2,AND(C340=ÉV!$I$2,D340&gt;ÉV!$J$2)),0,1)</f>
        <v>0</v>
      </c>
      <c r="X340" s="271">
        <f ca="1">IF(OR(D340=12,AND(C340=ÉV!$I$2,D340=ÉV!$J$2)),SUM(U340:W340)+X339,X339)*IF(OR(C340&gt;ÉV!$I$2,AND(C340=ÉV!$I$2,D340&gt;ÉV!$J$2)),0,1)</f>
        <v>0</v>
      </c>
      <c r="Y340" s="271">
        <f t="shared" ca="1" si="57"/>
        <v>0</v>
      </c>
      <c r="Z340" s="265">
        <f t="shared" si="58"/>
        <v>2</v>
      </c>
      <c r="AA340" s="272">
        <f t="shared" ca="1" si="59"/>
        <v>0</v>
      </c>
      <c r="AB340" s="265">
        <f t="shared" ca="1" si="65"/>
        <v>2045</v>
      </c>
      <c r="AC340" s="265">
        <f t="shared" ca="1" si="66"/>
        <v>5</v>
      </c>
      <c r="AD340" s="276">
        <f ca="1">IF(     OR(               AND(MAX(AF$6:AF340)&lt;2,  AC340=12),                 AF340=2),                   SUMIF(AB:AB,AB340,AA:AA),                       0)</f>
        <v>0</v>
      </c>
      <c r="AE340" s="277">
        <f t="shared" ca="1" si="67"/>
        <v>0</v>
      </c>
      <c r="AF340" s="277">
        <f t="shared" ca="1" si="60"/>
        <v>0</v>
      </c>
      <c r="AG340" s="402">
        <f ca="1">IF(  AND(AC340=AdóHó,   MAX(AF$1:AF339)&lt;2),   SUMIF(AB:AB,AB340-1,AE:AE),0  )
+ IF(AND(AC340&lt;AdóHó,                            AF340=2),   SUMIF(AB:AB,AB340-1,AE:AE),0  )
+ IF(                                                                  AF340=2,    SUMIF(AB:AB,AB340,AE:AE   ),0  )</f>
        <v>0</v>
      </c>
      <c r="AH340" s="272">
        <f ca="1">SUM(AG$2:AG340)</f>
        <v>1139324.2410681627</v>
      </c>
    </row>
    <row r="341" spans="1:34">
      <c r="A341" s="265">
        <f t="shared" si="61"/>
        <v>29</v>
      </c>
      <c r="B341" s="265">
        <f t="shared" si="62"/>
        <v>3</v>
      </c>
      <c r="C341" s="265">
        <f t="shared" ca="1" si="63"/>
        <v>29</v>
      </c>
      <c r="D341" s="265">
        <f t="shared" ca="1" si="64"/>
        <v>6</v>
      </c>
      <c r="E341" s="266">
        <v>5.0000000000000001E-3</v>
      </c>
      <c r="F341" s="267">
        <f>ÉV!$B$12</f>
        <v>0</v>
      </c>
      <c r="G341" s="271">
        <f ca="1">VLOOKUP(A341,ÉV!$A$18:$B$65,2,0)</f>
        <v>0</v>
      </c>
      <c r="H341" s="271">
        <f ca="1">IF(OR(A341=1,AND(C341=ÉV!$I$2,D341&gt;ÉV!$J$2),C341&gt;ÉV!$I$2),0,INDEX(Pz!$B$2:$AM$48,A341-1,ÉV!$G$2-9)/100000*ÉV!$B$10)</f>
        <v>0</v>
      </c>
      <c r="I341" s="271">
        <f ca="1">INDEX(Pz!$B$2:$AM$48,HÓ!A341,ÉV!$G$2-9)/100000*ÉV!$B$10</f>
        <v>0</v>
      </c>
      <c r="J341" s="273">
        <f ca="1">IF(OR(A341=1,A341=2,AND(C341=ÉV!$I$2,D341&gt;ÉV!$J$2),C341&gt;ÉV!$I$2),0,VLOOKUP(A341-2,ÉV!$A$18:$C$65,3,0))</f>
        <v>0</v>
      </c>
      <c r="K341" s="273">
        <f ca="1">IF(OR(A341=1,AND(C341=ÉV!$I$2,D341&gt;ÉV!$J$2),C341&gt;ÉV!$I$2),0,VLOOKUP(A341-1,ÉV!$A$18:$C$65,3,0))</f>
        <v>0</v>
      </c>
      <c r="L341" s="273">
        <f ca="1">VLOOKUP(A341,ÉV!$A$18:$C$65,3,0)*IF(OR(AND(C341=ÉV!$I$2,D341&gt;ÉV!$J$2),C341&gt;ÉV!$I$2),0,1)</f>
        <v>0</v>
      </c>
      <c r="M341" s="273">
        <f ca="1">(K341*(12-B341)/12+L341*B341/12)*IF(A341&gt;ÉV!$G$2,0,1)+IF(A341&gt;ÉV!$G$2,M340,0)*IF(OR(AND(C341=ÉV!$I$2,D341&gt;ÉV!$J$2),C341&gt;ÉV!$I$2),0,1)</f>
        <v>0</v>
      </c>
      <c r="N341" s="274">
        <f ca="1">IF(AND(C341=1,D341&lt;12),0,1)*IF(D341=12,MAX(0,F341-E341-0.003)*0.9*((K341+I341)*(B341/12)+(J341+H341)*(1-B341/12))+MAX(0,F341-0.003)*0.9*N340+N340,IF(AND(C341=ÉV!$I$2,D341=ÉV!$J$2),(M341+N340)*MAX(0,F341-0.003)*0.9*(D341/12)+N340,N340))*IF(OR(C341&gt;ÉV!$I$2,AND(C341=ÉV!$I$2,D341&gt;ÉV!$J$2)),0,1)</f>
        <v>0</v>
      </c>
      <c r="O341" s="313">
        <f ca="1">IF(MAX(AF$2:AF340)=2,      0,IF(OR(AC341=7, AF341=2),    SUM(AE$2:AE341),    O340)   )</f>
        <v>0</v>
      </c>
      <c r="P341" s="271">
        <f ca="1">IF(D341=12,V341+P340+P340*(F341-0.003)*0.9,IF(AND(C341=ÉV!$I$2,D341=ÉV!$J$2),V341+P340+P340*(F341-0.003)*0.9*D341/12,P340))*IF(OR(C341&gt;ÉV!$I$2,AND(C341=ÉV!$I$2,D341&gt;ÉV!$J$2)),0,1)</f>
        <v>0</v>
      </c>
      <c r="Q341" s="275">
        <f ca="1">(N341+P341)*IF(OR(AND(C341=ÉV!$I$2,D341&gt;ÉV!$J$2),C341&gt;ÉV!$I$2),0,1)</f>
        <v>0</v>
      </c>
      <c r="R341" s="271">
        <f ca="1">(MAX(0,F341-E341-0.003)*0.9*((K341+I341)*(1/12)))*IF(OR(C341&gt;ÉV!$I$2,AND(C341=ÉV!$I$2,D341&gt;ÉV!$J$2)),0,1)</f>
        <v>0</v>
      </c>
      <c r="S341" s="271">
        <f ca="1">(MAX(0,F341-0.003)*0.9*((O341)*(1/12)))*IF(OR(C341&gt;ÉV!$I$2,AND(C341=ÉV!$I$2,D341&gt;ÉV!$J$2)),0,1)</f>
        <v>0</v>
      </c>
      <c r="T341" s="271">
        <f ca="1">(MAX(0,F341-0.003)*0.9*((Q340)*(1/12)))*IF(OR(C341&gt;ÉV!$I$2,AND(C341=ÉV!$I$2,D341&gt;ÉV!$J$2)),0,1)</f>
        <v>0</v>
      </c>
      <c r="U341" s="271">
        <f ca="1">IF($D341=1,R341,R341+U340)*IF(OR(C341&gt;ÉV!$I$2,AND(C341=ÉV!$I$2,D341&gt;ÉV!$J$2)),0,1)</f>
        <v>0</v>
      </c>
      <c r="V341" s="271">
        <f ca="1">IF($D341=1,S341,S341+V340)*IF(OR(C341&gt;ÉV!$I$2,AND(C341=ÉV!$I$2,D341&gt;ÉV!$J$2)),0,1)</f>
        <v>0</v>
      </c>
      <c r="W341" s="271">
        <f ca="1">IF($D341=1,T341,T341+W340)*IF(OR(C341&gt;ÉV!$I$2,AND(C341=ÉV!$I$2,D341&gt;ÉV!$J$2)),0,1)</f>
        <v>0</v>
      </c>
      <c r="X341" s="271">
        <f ca="1">IF(OR(D341=12,AND(C341=ÉV!$I$2,D341=ÉV!$J$2)),SUM(U341:W341)+X340,X340)*IF(OR(C341&gt;ÉV!$I$2,AND(C341=ÉV!$I$2,D341&gt;ÉV!$J$2)),0,1)</f>
        <v>0</v>
      </c>
      <c r="Y341" s="271">
        <f t="shared" ca="1" si="57"/>
        <v>0</v>
      </c>
      <c r="Z341" s="265">
        <f t="shared" si="58"/>
        <v>3</v>
      </c>
      <c r="AA341" s="272">
        <f t="shared" ca="1" si="59"/>
        <v>0</v>
      </c>
      <c r="AB341" s="265">
        <f t="shared" ca="1" si="65"/>
        <v>2045</v>
      </c>
      <c r="AC341" s="265">
        <f t="shared" ca="1" si="66"/>
        <v>6</v>
      </c>
      <c r="AD341" s="276">
        <f ca="1">IF(     OR(               AND(MAX(AF$6:AF341)&lt;2,  AC341=12),                 AF341=2),                   SUMIF(AB:AB,AB341,AA:AA),                       0)</f>
        <v>0</v>
      </c>
      <c r="AE341" s="277">
        <f t="shared" ca="1" si="67"/>
        <v>0</v>
      </c>
      <c r="AF341" s="277">
        <f t="shared" ca="1" si="60"/>
        <v>0</v>
      </c>
      <c r="AG341" s="402">
        <f ca="1">IF(  AND(AC341=AdóHó,   MAX(AF$1:AF340)&lt;2),   SUMIF(AB:AB,AB341-1,AE:AE),0  )
+ IF(AND(AC341&lt;AdóHó,                            AF341=2),   SUMIF(AB:AB,AB341-1,AE:AE),0  )
+ IF(                                                                  AF341=2,    SUMIF(AB:AB,AB341,AE:AE   ),0  )</f>
        <v>0</v>
      </c>
      <c r="AH341" s="272">
        <f ca="1">SUM(AG$2:AG341)</f>
        <v>1139324.2410681627</v>
      </c>
    </row>
    <row r="342" spans="1:34">
      <c r="A342" s="265">
        <f t="shared" si="61"/>
        <v>29</v>
      </c>
      <c r="B342" s="265">
        <f t="shared" si="62"/>
        <v>4</v>
      </c>
      <c r="C342" s="265">
        <f t="shared" ca="1" si="63"/>
        <v>29</v>
      </c>
      <c r="D342" s="265">
        <f t="shared" ca="1" si="64"/>
        <v>7</v>
      </c>
      <c r="E342" s="266">
        <v>5.0000000000000001E-3</v>
      </c>
      <c r="F342" s="267">
        <f>ÉV!$B$12</f>
        <v>0</v>
      </c>
      <c r="G342" s="271">
        <f ca="1">VLOOKUP(A342,ÉV!$A$18:$B$65,2,0)</f>
        <v>0</v>
      </c>
      <c r="H342" s="271">
        <f ca="1">IF(OR(A342=1,AND(C342=ÉV!$I$2,D342&gt;ÉV!$J$2),C342&gt;ÉV!$I$2),0,INDEX(Pz!$B$2:$AM$48,A342-1,ÉV!$G$2-9)/100000*ÉV!$B$10)</f>
        <v>0</v>
      </c>
      <c r="I342" s="271">
        <f ca="1">INDEX(Pz!$B$2:$AM$48,HÓ!A342,ÉV!$G$2-9)/100000*ÉV!$B$10</f>
        <v>0</v>
      </c>
      <c r="J342" s="273">
        <f ca="1">IF(OR(A342=1,A342=2,AND(C342=ÉV!$I$2,D342&gt;ÉV!$J$2),C342&gt;ÉV!$I$2),0,VLOOKUP(A342-2,ÉV!$A$18:$C$65,3,0))</f>
        <v>0</v>
      </c>
      <c r="K342" s="273">
        <f ca="1">IF(OR(A342=1,AND(C342=ÉV!$I$2,D342&gt;ÉV!$J$2),C342&gt;ÉV!$I$2),0,VLOOKUP(A342-1,ÉV!$A$18:$C$65,3,0))</f>
        <v>0</v>
      </c>
      <c r="L342" s="273">
        <f ca="1">VLOOKUP(A342,ÉV!$A$18:$C$65,3,0)*IF(OR(AND(C342=ÉV!$I$2,D342&gt;ÉV!$J$2),C342&gt;ÉV!$I$2),0,1)</f>
        <v>0</v>
      </c>
      <c r="M342" s="273">
        <f ca="1">(K342*(12-B342)/12+L342*B342/12)*IF(A342&gt;ÉV!$G$2,0,1)+IF(A342&gt;ÉV!$G$2,M341,0)*IF(OR(AND(C342=ÉV!$I$2,D342&gt;ÉV!$J$2),C342&gt;ÉV!$I$2),0,1)</f>
        <v>0</v>
      </c>
      <c r="N342" s="274">
        <f ca="1">IF(AND(C342=1,D342&lt;12),0,1)*IF(D342=12,MAX(0,F342-E342-0.003)*0.9*((K342+I342)*(B342/12)+(J342+H342)*(1-B342/12))+MAX(0,F342-0.003)*0.9*N341+N341,IF(AND(C342=ÉV!$I$2,D342=ÉV!$J$2),(M342+N341)*MAX(0,F342-0.003)*0.9*(D342/12)+N341,N341))*IF(OR(C342&gt;ÉV!$I$2,AND(C342=ÉV!$I$2,D342&gt;ÉV!$J$2)),0,1)</f>
        <v>0</v>
      </c>
      <c r="O342" s="313">
        <f ca="1">IF(MAX(AF$2:AF341)=2,      0,IF(OR(AC342=7, AF342=2),    SUM(AE$2:AE342),    O341)   )</f>
        <v>0</v>
      </c>
      <c r="P342" s="271">
        <f ca="1">IF(D342=12,V342+P341+P341*(F342-0.003)*0.9,IF(AND(C342=ÉV!$I$2,D342=ÉV!$J$2),V342+P341+P341*(F342-0.003)*0.9*D342/12,P341))*IF(OR(C342&gt;ÉV!$I$2,AND(C342=ÉV!$I$2,D342&gt;ÉV!$J$2)),0,1)</f>
        <v>0</v>
      </c>
      <c r="Q342" s="275">
        <f ca="1">(N342+P342)*IF(OR(AND(C342=ÉV!$I$2,D342&gt;ÉV!$J$2),C342&gt;ÉV!$I$2),0,1)</f>
        <v>0</v>
      </c>
      <c r="R342" s="271">
        <f ca="1">(MAX(0,F342-E342-0.003)*0.9*((K342+I342)*(1/12)))*IF(OR(C342&gt;ÉV!$I$2,AND(C342=ÉV!$I$2,D342&gt;ÉV!$J$2)),0,1)</f>
        <v>0</v>
      </c>
      <c r="S342" s="271">
        <f ca="1">(MAX(0,F342-0.003)*0.9*((O342)*(1/12)))*IF(OR(C342&gt;ÉV!$I$2,AND(C342=ÉV!$I$2,D342&gt;ÉV!$J$2)),0,1)</f>
        <v>0</v>
      </c>
      <c r="T342" s="271">
        <f ca="1">(MAX(0,F342-0.003)*0.9*((Q341)*(1/12)))*IF(OR(C342&gt;ÉV!$I$2,AND(C342=ÉV!$I$2,D342&gt;ÉV!$J$2)),0,1)</f>
        <v>0</v>
      </c>
      <c r="U342" s="271">
        <f ca="1">IF($D342=1,R342,R342+U341)*IF(OR(C342&gt;ÉV!$I$2,AND(C342=ÉV!$I$2,D342&gt;ÉV!$J$2)),0,1)</f>
        <v>0</v>
      </c>
      <c r="V342" s="271">
        <f ca="1">IF($D342=1,S342,S342+V341)*IF(OR(C342&gt;ÉV!$I$2,AND(C342=ÉV!$I$2,D342&gt;ÉV!$J$2)),0,1)</f>
        <v>0</v>
      </c>
      <c r="W342" s="271">
        <f ca="1">IF($D342=1,T342,T342+W341)*IF(OR(C342&gt;ÉV!$I$2,AND(C342=ÉV!$I$2,D342&gt;ÉV!$J$2)),0,1)</f>
        <v>0</v>
      </c>
      <c r="X342" s="271">
        <f ca="1">IF(OR(D342=12,AND(C342=ÉV!$I$2,D342=ÉV!$J$2)),SUM(U342:W342)+X341,X341)*IF(OR(C342&gt;ÉV!$I$2,AND(C342=ÉV!$I$2,D342&gt;ÉV!$J$2)),0,1)</f>
        <v>0</v>
      </c>
      <c r="Y342" s="271">
        <f t="shared" ca="1" si="57"/>
        <v>0</v>
      </c>
      <c r="Z342" s="265">
        <f t="shared" si="58"/>
        <v>4</v>
      </c>
      <c r="AA342" s="272">
        <f t="shared" ca="1" si="59"/>
        <v>0</v>
      </c>
      <c r="AB342" s="265">
        <f t="shared" ca="1" si="65"/>
        <v>2045</v>
      </c>
      <c r="AC342" s="265">
        <f t="shared" ca="1" si="66"/>
        <v>7</v>
      </c>
      <c r="AD342" s="276">
        <f ca="1">IF(     OR(               AND(MAX(AF$6:AF342)&lt;2,  AC342=12),                 AF342=2),                   SUMIF(AB:AB,AB342,AA:AA),                       0)</f>
        <v>0</v>
      </c>
      <c r="AE342" s="277">
        <f t="shared" ca="1" si="67"/>
        <v>0</v>
      </c>
      <c r="AF342" s="277">
        <f t="shared" ca="1" si="60"/>
        <v>0</v>
      </c>
      <c r="AG342" s="402">
        <f ca="1">IF(  AND(AC342=AdóHó,   MAX(AF$1:AF341)&lt;2),   SUMIF(AB:AB,AB342-1,AE:AE),0  )
+ IF(AND(AC342&lt;AdóHó,                            AF342=2),   SUMIF(AB:AB,AB342-1,AE:AE),0  )
+ IF(                                                                  AF342=2,    SUMIF(AB:AB,AB342,AE:AE   ),0  )</f>
        <v>0</v>
      </c>
      <c r="AH342" s="272">
        <f ca="1">SUM(AG$2:AG342)</f>
        <v>1139324.2410681627</v>
      </c>
    </row>
    <row r="343" spans="1:34">
      <c r="A343" s="265">
        <f t="shared" si="61"/>
        <v>29</v>
      </c>
      <c r="B343" s="265">
        <f t="shared" si="62"/>
        <v>5</v>
      </c>
      <c r="C343" s="265">
        <f t="shared" ca="1" si="63"/>
        <v>29</v>
      </c>
      <c r="D343" s="265">
        <f t="shared" ca="1" si="64"/>
        <v>8</v>
      </c>
      <c r="E343" s="266">
        <v>5.0000000000000001E-3</v>
      </c>
      <c r="F343" s="267">
        <f>ÉV!$B$12</f>
        <v>0</v>
      </c>
      <c r="G343" s="271">
        <f ca="1">VLOOKUP(A343,ÉV!$A$18:$B$65,2,0)</f>
        <v>0</v>
      </c>
      <c r="H343" s="271">
        <f ca="1">IF(OR(A343=1,AND(C343=ÉV!$I$2,D343&gt;ÉV!$J$2),C343&gt;ÉV!$I$2),0,INDEX(Pz!$B$2:$AM$48,A343-1,ÉV!$G$2-9)/100000*ÉV!$B$10)</f>
        <v>0</v>
      </c>
      <c r="I343" s="271">
        <f ca="1">INDEX(Pz!$B$2:$AM$48,HÓ!A343,ÉV!$G$2-9)/100000*ÉV!$B$10</f>
        <v>0</v>
      </c>
      <c r="J343" s="273">
        <f ca="1">IF(OR(A343=1,A343=2,AND(C343=ÉV!$I$2,D343&gt;ÉV!$J$2),C343&gt;ÉV!$I$2),0,VLOOKUP(A343-2,ÉV!$A$18:$C$65,3,0))</f>
        <v>0</v>
      </c>
      <c r="K343" s="273">
        <f ca="1">IF(OR(A343=1,AND(C343=ÉV!$I$2,D343&gt;ÉV!$J$2),C343&gt;ÉV!$I$2),0,VLOOKUP(A343-1,ÉV!$A$18:$C$65,3,0))</f>
        <v>0</v>
      </c>
      <c r="L343" s="273">
        <f ca="1">VLOOKUP(A343,ÉV!$A$18:$C$65,3,0)*IF(OR(AND(C343=ÉV!$I$2,D343&gt;ÉV!$J$2),C343&gt;ÉV!$I$2),0,1)</f>
        <v>0</v>
      </c>
      <c r="M343" s="273">
        <f ca="1">(K343*(12-B343)/12+L343*B343/12)*IF(A343&gt;ÉV!$G$2,0,1)+IF(A343&gt;ÉV!$G$2,M342,0)*IF(OR(AND(C343=ÉV!$I$2,D343&gt;ÉV!$J$2),C343&gt;ÉV!$I$2),0,1)</f>
        <v>0</v>
      </c>
      <c r="N343" s="274">
        <f ca="1">IF(AND(C343=1,D343&lt;12),0,1)*IF(D343=12,MAX(0,F343-E343-0.003)*0.9*((K343+I343)*(B343/12)+(J343+H343)*(1-B343/12))+MAX(0,F343-0.003)*0.9*N342+N342,IF(AND(C343=ÉV!$I$2,D343=ÉV!$J$2),(M343+N342)*MAX(0,F343-0.003)*0.9*(D343/12)+N342,N342))*IF(OR(C343&gt;ÉV!$I$2,AND(C343=ÉV!$I$2,D343&gt;ÉV!$J$2)),0,1)</f>
        <v>0</v>
      </c>
      <c r="O343" s="313">
        <f ca="1">IF(MAX(AF$2:AF342)=2,      0,IF(OR(AC343=7, AF343=2),    SUM(AE$2:AE343),    O342)   )</f>
        <v>0</v>
      </c>
      <c r="P343" s="271">
        <f ca="1">IF(D343=12,V343+P342+P342*(F343-0.003)*0.9,IF(AND(C343=ÉV!$I$2,D343=ÉV!$J$2),V343+P342+P342*(F343-0.003)*0.9*D343/12,P342))*IF(OR(C343&gt;ÉV!$I$2,AND(C343=ÉV!$I$2,D343&gt;ÉV!$J$2)),0,1)</f>
        <v>0</v>
      </c>
      <c r="Q343" s="275">
        <f ca="1">(N343+P343)*IF(OR(AND(C343=ÉV!$I$2,D343&gt;ÉV!$J$2),C343&gt;ÉV!$I$2),0,1)</f>
        <v>0</v>
      </c>
      <c r="R343" s="271">
        <f ca="1">(MAX(0,F343-E343-0.003)*0.9*((K343+I343)*(1/12)))*IF(OR(C343&gt;ÉV!$I$2,AND(C343=ÉV!$I$2,D343&gt;ÉV!$J$2)),0,1)</f>
        <v>0</v>
      </c>
      <c r="S343" s="271">
        <f ca="1">(MAX(0,F343-0.003)*0.9*((O343)*(1/12)))*IF(OR(C343&gt;ÉV!$I$2,AND(C343=ÉV!$I$2,D343&gt;ÉV!$J$2)),0,1)</f>
        <v>0</v>
      </c>
      <c r="T343" s="271">
        <f ca="1">(MAX(0,F343-0.003)*0.9*((Q342)*(1/12)))*IF(OR(C343&gt;ÉV!$I$2,AND(C343=ÉV!$I$2,D343&gt;ÉV!$J$2)),0,1)</f>
        <v>0</v>
      </c>
      <c r="U343" s="271">
        <f ca="1">IF($D343=1,R343,R343+U342)*IF(OR(C343&gt;ÉV!$I$2,AND(C343=ÉV!$I$2,D343&gt;ÉV!$J$2)),0,1)</f>
        <v>0</v>
      </c>
      <c r="V343" s="271">
        <f ca="1">IF($D343=1,S343,S343+V342)*IF(OR(C343&gt;ÉV!$I$2,AND(C343=ÉV!$I$2,D343&gt;ÉV!$J$2)),0,1)</f>
        <v>0</v>
      </c>
      <c r="W343" s="271">
        <f ca="1">IF($D343=1,T343,T343+W342)*IF(OR(C343&gt;ÉV!$I$2,AND(C343=ÉV!$I$2,D343&gt;ÉV!$J$2)),0,1)</f>
        <v>0</v>
      </c>
      <c r="X343" s="271">
        <f ca="1">IF(OR(D343=12,AND(C343=ÉV!$I$2,D343=ÉV!$J$2)),SUM(U343:W343)+X342,X342)*IF(OR(C343&gt;ÉV!$I$2,AND(C343=ÉV!$I$2,D343&gt;ÉV!$J$2)),0,1)</f>
        <v>0</v>
      </c>
      <c r="Y343" s="271">
        <f t="shared" ca="1" si="57"/>
        <v>0</v>
      </c>
      <c r="Z343" s="265">
        <f t="shared" si="58"/>
        <v>5</v>
      </c>
      <c r="AA343" s="272">
        <f t="shared" ca="1" si="59"/>
        <v>0</v>
      </c>
      <c r="AB343" s="265">
        <f t="shared" ca="1" si="65"/>
        <v>2045</v>
      </c>
      <c r="AC343" s="265">
        <f t="shared" ca="1" si="66"/>
        <v>8</v>
      </c>
      <c r="AD343" s="276">
        <f ca="1">IF(     OR(               AND(MAX(AF$6:AF343)&lt;2,  AC343=12),                 AF343=2),                   SUMIF(AB:AB,AB343,AA:AA),                       0)</f>
        <v>0</v>
      </c>
      <c r="AE343" s="277">
        <f t="shared" ca="1" si="67"/>
        <v>0</v>
      </c>
      <c r="AF343" s="277">
        <f t="shared" ca="1" si="60"/>
        <v>0</v>
      </c>
      <c r="AG343" s="402">
        <f ca="1">IF(  AND(AC343=AdóHó,   MAX(AF$1:AF342)&lt;2),   SUMIF(AB:AB,AB343-1,AE:AE),0  )
+ IF(AND(AC343&lt;AdóHó,                            AF343=2),   SUMIF(AB:AB,AB343-1,AE:AE),0  )
+ IF(                                                                  AF343=2,    SUMIF(AB:AB,AB343,AE:AE   ),0  )</f>
        <v>0</v>
      </c>
      <c r="AH343" s="272">
        <f ca="1">SUM(AG$2:AG343)</f>
        <v>1139324.2410681627</v>
      </c>
    </row>
    <row r="344" spans="1:34">
      <c r="A344" s="265">
        <f t="shared" si="61"/>
        <v>29</v>
      </c>
      <c r="B344" s="265">
        <f t="shared" si="62"/>
        <v>6</v>
      </c>
      <c r="C344" s="265">
        <f t="shared" ca="1" si="63"/>
        <v>29</v>
      </c>
      <c r="D344" s="265">
        <f t="shared" ca="1" si="64"/>
        <v>9</v>
      </c>
      <c r="E344" s="266">
        <v>5.0000000000000001E-3</v>
      </c>
      <c r="F344" s="267">
        <f>ÉV!$B$12</f>
        <v>0</v>
      </c>
      <c r="G344" s="271">
        <f ca="1">VLOOKUP(A344,ÉV!$A$18:$B$65,2,0)</f>
        <v>0</v>
      </c>
      <c r="H344" s="271">
        <f ca="1">IF(OR(A344=1,AND(C344=ÉV!$I$2,D344&gt;ÉV!$J$2),C344&gt;ÉV!$I$2),0,INDEX(Pz!$B$2:$AM$48,A344-1,ÉV!$G$2-9)/100000*ÉV!$B$10)</f>
        <v>0</v>
      </c>
      <c r="I344" s="271">
        <f ca="1">INDEX(Pz!$B$2:$AM$48,HÓ!A344,ÉV!$G$2-9)/100000*ÉV!$B$10</f>
        <v>0</v>
      </c>
      <c r="J344" s="273">
        <f ca="1">IF(OR(A344=1,A344=2,AND(C344=ÉV!$I$2,D344&gt;ÉV!$J$2),C344&gt;ÉV!$I$2),0,VLOOKUP(A344-2,ÉV!$A$18:$C$65,3,0))</f>
        <v>0</v>
      </c>
      <c r="K344" s="273">
        <f ca="1">IF(OR(A344=1,AND(C344=ÉV!$I$2,D344&gt;ÉV!$J$2),C344&gt;ÉV!$I$2),0,VLOOKUP(A344-1,ÉV!$A$18:$C$65,3,0))</f>
        <v>0</v>
      </c>
      <c r="L344" s="273">
        <f ca="1">VLOOKUP(A344,ÉV!$A$18:$C$65,3,0)*IF(OR(AND(C344=ÉV!$I$2,D344&gt;ÉV!$J$2),C344&gt;ÉV!$I$2),0,1)</f>
        <v>0</v>
      </c>
      <c r="M344" s="273">
        <f ca="1">(K344*(12-B344)/12+L344*B344/12)*IF(A344&gt;ÉV!$G$2,0,1)+IF(A344&gt;ÉV!$G$2,M343,0)*IF(OR(AND(C344=ÉV!$I$2,D344&gt;ÉV!$J$2),C344&gt;ÉV!$I$2),0,1)</f>
        <v>0</v>
      </c>
      <c r="N344" s="274">
        <f ca="1">IF(AND(C344=1,D344&lt;12),0,1)*IF(D344=12,MAX(0,F344-E344-0.003)*0.9*((K344+I344)*(B344/12)+(J344+H344)*(1-B344/12))+MAX(0,F344-0.003)*0.9*N343+N343,IF(AND(C344=ÉV!$I$2,D344=ÉV!$J$2),(M344+N343)*MAX(0,F344-0.003)*0.9*(D344/12)+N343,N343))*IF(OR(C344&gt;ÉV!$I$2,AND(C344=ÉV!$I$2,D344&gt;ÉV!$J$2)),0,1)</f>
        <v>0</v>
      </c>
      <c r="O344" s="313">
        <f ca="1">IF(MAX(AF$2:AF343)=2,      0,IF(OR(AC344=7, AF344=2),    SUM(AE$2:AE344),    O343)   )</f>
        <v>0</v>
      </c>
      <c r="P344" s="271">
        <f ca="1">IF(D344=12,V344+P343+P343*(F344-0.003)*0.9,IF(AND(C344=ÉV!$I$2,D344=ÉV!$J$2),V344+P343+P343*(F344-0.003)*0.9*D344/12,P343))*IF(OR(C344&gt;ÉV!$I$2,AND(C344=ÉV!$I$2,D344&gt;ÉV!$J$2)),0,1)</f>
        <v>0</v>
      </c>
      <c r="Q344" s="275">
        <f ca="1">(N344+P344)*IF(OR(AND(C344=ÉV!$I$2,D344&gt;ÉV!$J$2),C344&gt;ÉV!$I$2),0,1)</f>
        <v>0</v>
      </c>
      <c r="R344" s="271">
        <f ca="1">(MAX(0,F344-E344-0.003)*0.9*((K344+I344)*(1/12)))*IF(OR(C344&gt;ÉV!$I$2,AND(C344=ÉV!$I$2,D344&gt;ÉV!$J$2)),0,1)</f>
        <v>0</v>
      </c>
      <c r="S344" s="271">
        <f ca="1">(MAX(0,F344-0.003)*0.9*((O344)*(1/12)))*IF(OR(C344&gt;ÉV!$I$2,AND(C344=ÉV!$I$2,D344&gt;ÉV!$J$2)),0,1)</f>
        <v>0</v>
      </c>
      <c r="T344" s="271">
        <f ca="1">(MAX(0,F344-0.003)*0.9*((Q343)*(1/12)))*IF(OR(C344&gt;ÉV!$I$2,AND(C344=ÉV!$I$2,D344&gt;ÉV!$J$2)),0,1)</f>
        <v>0</v>
      </c>
      <c r="U344" s="271">
        <f ca="1">IF($D344=1,R344,R344+U343)*IF(OR(C344&gt;ÉV!$I$2,AND(C344=ÉV!$I$2,D344&gt;ÉV!$J$2)),0,1)</f>
        <v>0</v>
      </c>
      <c r="V344" s="271">
        <f ca="1">IF($D344=1,S344,S344+V343)*IF(OR(C344&gt;ÉV!$I$2,AND(C344=ÉV!$I$2,D344&gt;ÉV!$J$2)),0,1)</f>
        <v>0</v>
      </c>
      <c r="W344" s="271">
        <f ca="1">IF($D344=1,T344,T344+W343)*IF(OR(C344&gt;ÉV!$I$2,AND(C344=ÉV!$I$2,D344&gt;ÉV!$J$2)),0,1)</f>
        <v>0</v>
      </c>
      <c r="X344" s="271">
        <f ca="1">IF(OR(D344=12,AND(C344=ÉV!$I$2,D344=ÉV!$J$2)),SUM(U344:W344)+X343,X343)*IF(OR(C344&gt;ÉV!$I$2,AND(C344=ÉV!$I$2,D344&gt;ÉV!$J$2)),0,1)</f>
        <v>0</v>
      </c>
      <c r="Y344" s="271">
        <f t="shared" ca="1" si="57"/>
        <v>0</v>
      </c>
      <c r="Z344" s="265">
        <f t="shared" si="58"/>
        <v>6</v>
      </c>
      <c r="AA344" s="272">
        <f t="shared" ca="1" si="59"/>
        <v>0</v>
      </c>
      <c r="AB344" s="265">
        <f t="shared" ca="1" si="65"/>
        <v>2045</v>
      </c>
      <c r="AC344" s="265">
        <f t="shared" ca="1" si="66"/>
        <v>9</v>
      </c>
      <c r="AD344" s="276">
        <f ca="1">IF(     OR(               AND(MAX(AF$6:AF344)&lt;2,  AC344=12),                 AF344=2),                   SUMIF(AB:AB,AB344,AA:AA),                       0)</f>
        <v>0</v>
      </c>
      <c r="AE344" s="277">
        <f t="shared" ca="1" si="67"/>
        <v>0</v>
      </c>
      <c r="AF344" s="277">
        <f t="shared" ca="1" si="60"/>
        <v>0</v>
      </c>
      <c r="AG344" s="402">
        <f ca="1">IF(  AND(AC344=AdóHó,   MAX(AF$1:AF343)&lt;2),   SUMIF(AB:AB,AB344-1,AE:AE),0  )
+ IF(AND(AC344&lt;AdóHó,                            AF344=2),   SUMIF(AB:AB,AB344-1,AE:AE),0  )
+ IF(                                                                  AF344=2,    SUMIF(AB:AB,AB344,AE:AE   ),0  )</f>
        <v>0</v>
      </c>
      <c r="AH344" s="272">
        <f ca="1">SUM(AG$2:AG344)</f>
        <v>1139324.2410681627</v>
      </c>
    </row>
    <row r="345" spans="1:34">
      <c r="A345" s="265">
        <f t="shared" si="61"/>
        <v>29</v>
      </c>
      <c r="B345" s="265">
        <f t="shared" si="62"/>
        <v>7</v>
      </c>
      <c r="C345" s="265">
        <f t="shared" ca="1" si="63"/>
        <v>29</v>
      </c>
      <c r="D345" s="265">
        <f t="shared" ca="1" si="64"/>
        <v>10</v>
      </c>
      <c r="E345" s="266">
        <v>5.0000000000000001E-3</v>
      </c>
      <c r="F345" s="267">
        <f>ÉV!$B$12</f>
        <v>0</v>
      </c>
      <c r="G345" s="271">
        <f ca="1">VLOOKUP(A345,ÉV!$A$18:$B$65,2,0)</f>
        <v>0</v>
      </c>
      <c r="H345" s="271">
        <f ca="1">IF(OR(A345=1,AND(C345=ÉV!$I$2,D345&gt;ÉV!$J$2),C345&gt;ÉV!$I$2),0,INDEX(Pz!$B$2:$AM$48,A345-1,ÉV!$G$2-9)/100000*ÉV!$B$10)</f>
        <v>0</v>
      </c>
      <c r="I345" s="271">
        <f ca="1">INDEX(Pz!$B$2:$AM$48,HÓ!A345,ÉV!$G$2-9)/100000*ÉV!$B$10</f>
        <v>0</v>
      </c>
      <c r="J345" s="273">
        <f ca="1">IF(OR(A345=1,A345=2,AND(C345=ÉV!$I$2,D345&gt;ÉV!$J$2),C345&gt;ÉV!$I$2),0,VLOOKUP(A345-2,ÉV!$A$18:$C$65,3,0))</f>
        <v>0</v>
      </c>
      <c r="K345" s="273">
        <f ca="1">IF(OR(A345=1,AND(C345=ÉV!$I$2,D345&gt;ÉV!$J$2),C345&gt;ÉV!$I$2),0,VLOOKUP(A345-1,ÉV!$A$18:$C$65,3,0))</f>
        <v>0</v>
      </c>
      <c r="L345" s="273">
        <f ca="1">VLOOKUP(A345,ÉV!$A$18:$C$65,3,0)*IF(OR(AND(C345=ÉV!$I$2,D345&gt;ÉV!$J$2),C345&gt;ÉV!$I$2),0,1)</f>
        <v>0</v>
      </c>
      <c r="M345" s="273">
        <f ca="1">(K345*(12-B345)/12+L345*B345/12)*IF(A345&gt;ÉV!$G$2,0,1)+IF(A345&gt;ÉV!$G$2,M344,0)*IF(OR(AND(C345=ÉV!$I$2,D345&gt;ÉV!$J$2),C345&gt;ÉV!$I$2),0,1)</f>
        <v>0</v>
      </c>
      <c r="N345" s="274">
        <f ca="1">IF(AND(C345=1,D345&lt;12),0,1)*IF(D345=12,MAX(0,F345-E345-0.003)*0.9*((K345+I345)*(B345/12)+(J345+H345)*(1-B345/12))+MAX(0,F345-0.003)*0.9*N344+N344,IF(AND(C345=ÉV!$I$2,D345=ÉV!$J$2),(M345+N344)*MAX(0,F345-0.003)*0.9*(D345/12)+N344,N344))*IF(OR(C345&gt;ÉV!$I$2,AND(C345=ÉV!$I$2,D345&gt;ÉV!$J$2)),0,1)</f>
        <v>0</v>
      </c>
      <c r="O345" s="313">
        <f ca="1">IF(MAX(AF$2:AF344)=2,      0,IF(OR(AC345=7, AF345=2),    SUM(AE$2:AE345),    O344)   )</f>
        <v>0</v>
      </c>
      <c r="P345" s="271">
        <f ca="1">IF(D345=12,V345+P344+P344*(F345-0.003)*0.9,IF(AND(C345=ÉV!$I$2,D345=ÉV!$J$2),V345+P344+P344*(F345-0.003)*0.9*D345/12,P344))*IF(OR(C345&gt;ÉV!$I$2,AND(C345=ÉV!$I$2,D345&gt;ÉV!$J$2)),0,1)</f>
        <v>0</v>
      </c>
      <c r="Q345" s="275">
        <f ca="1">(N345+P345)*IF(OR(AND(C345=ÉV!$I$2,D345&gt;ÉV!$J$2),C345&gt;ÉV!$I$2),0,1)</f>
        <v>0</v>
      </c>
      <c r="R345" s="271">
        <f ca="1">(MAX(0,F345-E345-0.003)*0.9*((K345+I345)*(1/12)))*IF(OR(C345&gt;ÉV!$I$2,AND(C345=ÉV!$I$2,D345&gt;ÉV!$J$2)),0,1)</f>
        <v>0</v>
      </c>
      <c r="S345" s="271">
        <f ca="1">(MAX(0,F345-0.003)*0.9*((O345)*(1/12)))*IF(OR(C345&gt;ÉV!$I$2,AND(C345=ÉV!$I$2,D345&gt;ÉV!$J$2)),0,1)</f>
        <v>0</v>
      </c>
      <c r="T345" s="271">
        <f ca="1">(MAX(0,F345-0.003)*0.9*((Q344)*(1/12)))*IF(OR(C345&gt;ÉV!$I$2,AND(C345=ÉV!$I$2,D345&gt;ÉV!$J$2)),0,1)</f>
        <v>0</v>
      </c>
      <c r="U345" s="271">
        <f ca="1">IF($D345=1,R345,R345+U344)*IF(OR(C345&gt;ÉV!$I$2,AND(C345=ÉV!$I$2,D345&gt;ÉV!$J$2)),0,1)</f>
        <v>0</v>
      </c>
      <c r="V345" s="271">
        <f ca="1">IF($D345=1,S345,S345+V344)*IF(OR(C345&gt;ÉV!$I$2,AND(C345=ÉV!$I$2,D345&gt;ÉV!$J$2)),0,1)</f>
        <v>0</v>
      </c>
      <c r="W345" s="271">
        <f ca="1">IF($D345=1,T345,T345+W344)*IF(OR(C345&gt;ÉV!$I$2,AND(C345=ÉV!$I$2,D345&gt;ÉV!$J$2)),0,1)</f>
        <v>0</v>
      </c>
      <c r="X345" s="271">
        <f ca="1">IF(OR(D345=12,AND(C345=ÉV!$I$2,D345=ÉV!$J$2)),SUM(U345:W345)+X344,X344)*IF(OR(C345&gt;ÉV!$I$2,AND(C345=ÉV!$I$2,D345&gt;ÉV!$J$2)),0,1)</f>
        <v>0</v>
      </c>
      <c r="Y345" s="271">
        <f t="shared" ca="1" si="57"/>
        <v>0</v>
      </c>
      <c r="Z345" s="265">
        <f t="shared" si="58"/>
        <v>7</v>
      </c>
      <c r="AA345" s="272">
        <f t="shared" ca="1" si="59"/>
        <v>0</v>
      </c>
      <c r="AB345" s="265">
        <f t="shared" ca="1" si="65"/>
        <v>2045</v>
      </c>
      <c r="AC345" s="265">
        <f t="shared" ca="1" si="66"/>
        <v>10</v>
      </c>
      <c r="AD345" s="276">
        <f ca="1">IF(     OR(               AND(MAX(AF$6:AF345)&lt;2,  AC345=12),                 AF345=2),                   SUMIF(AB:AB,AB345,AA:AA),                       0)</f>
        <v>0</v>
      </c>
      <c r="AE345" s="277">
        <f t="shared" ca="1" si="67"/>
        <v>0</v>
      </c>
      <c r="AF345" s="277">
        <f t="shared" ca="1" si="60"/>
        <v>0</v>
      </c>
      <c r="AG345" s="402">
        <f ca="1">IF(  AND(AC345=AdóHó,   MAX(AF$1:AF344)&lt;2),   SUMIF(AB:AB,AB345-1,AE:AE),0  )
+ IF(AND(AC345&lt;AdóHó,                            AF345=2),   SUMIF(AB:AB,AB345-1,AE:AE),0  )
+ IF(                                                                  AF345=2,    SUMIF(AB:AB,AB345,AE:AE   ),0  )</f>
        <v>0</v>
      </c>
      <c r="AH345" s="272">
        <f ca="1">SUM(AG$2:AG345)</f>
        <v>1139324.2410681627</v>
      </c>
    </row>
    <row r="346" spans="1:34">
      <c r="A346" s="265">
        <f t="shared" si="61"/>
        <v>29</v>
      </c>
      <c r="B346" s="265">
        <f t="shared" si="62"/>
        <v>8</v>
      </c>
      <c r="C346" s="265">
        <f t="shared" ca="1" si="63"/>
        <v>29</v>
      </c>
      <c r="D346" s="265">
        <f t="shared" ca="1" si="64"/>
        <v>11</v>
      </c>
      <c r="E346" s="266">
        <v>5.0000000000000001E-3</v>
      </c>
      <c r="F346" s="267">
        <f>ÉV!$B$12</f>
        <v>0</v>
      </c>
      <c r="G346" s="271">
        <f ca="1">VLOOKUP(A346,ÉV!$A$18:$B$65,2,0)</f>
        <v>0</v>
      </c>
      <c r="H346" s="271">
        <f ca="1">IF(OR(A346=1,AND(C346=ÉV!$I$2,D346&gt;ÉV!$J$2),C346&gt;ÉV!$I$2),0,INDEX(Pz!$B$2:$AM$48,A346-1,ÉV!$G$2-9)/100000*ÉV!$B$10)</f>
        <v>0</v>
      </c>
      <c r="I346" s="271">
        <f ca="1">INDEX(Pz!$B$2:$AM$48,HÓ!A346,ÉV!$G$2-9)/100000*ÉV!$B$10</f>
        <v>0</v>
      </c>
      <c r="J346" s="273">
        <f ca="1">IF(OR(A346=1,A346=2,AND(C346=ÉV!$I$2,D346&gt;ÉV!$J$2),C346&gt;ÉV!$I$2),0,VLOOKUP(A346-2,ÉV!$A$18:$C$65,3,0))</f>
        <v>0</v>
      </c>
      <c r="K346" s="273">
        <f ca="1">IF(OR(A346=1,AND(C346=ÉV!$I$2,D346&gt;ÉV!$J$2),C346&gt;ÉV!$I$2),0,VLOOKUP(A346-1,ÉV!$A$18:$C$65,3,0))</f>
        <v>0</v>
      </c>
      <c r="L346" s="273">
        <f ca="1">VLOOKUP(A346,ÉV!$A$18:$C$65,3,0)*IF(OR(AND(C346=ÉV!$I$2,D346&gt;ÉV!$J$2),C346&gt;ÉV!$I$2),0,1)</f>
        <v>0</v>
      </c>
      <c r="M346" s="273">
        <f ca="1">(K346*(12-B346)/12+L346*B346/12)*IF(A346&gt;ÉV!$G$2,0,1)+IF(A346&gt;ÉV!$G$2,M345,0)*IF(OR(AND(C346=ÉV!$I$2,D346&gt;ÉV!$J$2),C346&gt;ÉV!$I$2),0,1)</f>
        <v>0</v>
      </c>
      <c r="N346" s="274">
        <f ca="1">IF(AND(C346=1,D346&lt;12),0,1)*IF(D346=12,MAX(0,F346-E346-0.003)*0.9*((K346+I346)*(B346/12)+(J346+H346)*(1-B346/12))+MAX(0,F346-0.003)*0.9*N345+N345,IF(AND(C346=ÉV!$I$2,D346=ÉV!$J$2),(M346+N345)*MAX(0,F346-0.003)*0.9*(D346/12)+N345,N345))*IF(OR(C346&gt;ÉV!$I$2,AND(C346=ÉV!$I$2,D346&gt;ÉV!$J$2)),0,1)</f>
        <v>0</v>
      </c>
      <c r="O346" s="313">
        <f ca="1">IF(MAX(AF$2:AF345)=2,      0,IF(OR(AC346=7, AF346=2),    SUM(AE$2:AE346),    O345)   )</f>
        <v>0</v>
      </c>
      <c r="P346" s="271">
        <f ca="1">IF(D346=12,V346+P345+P345*(F346-0.003)*0.9,IF(AND(C346=ÉV!$I$2,D346=ÉV!$J$2),V346+P345+P345*(F346-0.003)*0.9*D346/12,P345))*IF(OR(C346&gt;ÉV!$I$2,AND(C346=ÉV!$I$2,D346&gt;ÉV!$J$2)),0,1)</f>
        <v>0</v>
      </c>
      <c r="Q346" s="275">
        <f ca="1">(N346+P346)*IF(OR(AND(C346=ÉV!$I$2,D346&gt;ÉV!$J$2),C346&gt;ÉV!$I$2),0,1)</f>
        <v>0</v>
      </c>
      <c r="R346" s="271">
        <f ca="1">(MAX(0,F346-E346-0.003)*0.9*((K346+I346)*(1/12)))*IF(OR(C346&gt;ÉV!$I$2,AND(C346=ÉV!$I$2,D346&gt;ÉV!$J$2)),0,1)</f>
        <v>0</v>
      </c>
      <c r="S346" s="271">
        <f ca="1">(MAX(0,F346-0.003)*0.9*((O346)*(1/12)))*IF(OR(C346&gt;ÉV!$I$2,AND(C346=ÉV!$I$2,D346&gt;ÉV!$J$2)),0,1)</f>
        <v>0</v>
      </c>
      <c r="T346" s="271">
        <f ca="1">(MAX(0,F346-0.003)*0.9*((Q345)*(1/12)))*IF(OR(C346&gt;ÉV!$I$2,AND(C346=ÉV!$I$2,D346&gt;ÉV!$J$2)),0,1)</f>
        <v>0</v>
      </c>
      <c r="U346" s="271">
        <f ca="1">IF($D346=1,R346,R346+U345)*IF(OR(C346&gt;ÉV!$I$2,AND(C346=ÉV!$I$2,D346&gt;ÉV!$J$2)),0,1)</f>
        <v>0</v>
      </c>
      <c r="V346" s="271">
        <f ca="1">IF($D346=1,S346,S346+V345)*IF(OR(C346&gt;ÉV!$I$2,AND(C346=ÉV!$I$2,D346&gt;ÉV!$J$2)),0,1)</f>
        <v>0</v>
      </c>
      <c r="W346" s="271">
        <f ca="1">IF($D346=1,T346,T346+W345)*IF(OR(C346&gt;ÉV!$I$2,AND(C346=ÉV!$I$2,D346&gt;ÉV!$J$2)),0,1)</f>
        <v>0</v>
      </c>
      <c r="X346" s="271">
        <f ca="1">IF(OR(D346=12,AND(C346=ÉV!$I$2,D346=ÉV!$J$2)),SUM(U346:W346)+X345,X345)*IF(OR(C346&gt;ÉV!$I$2,AND(C346=ÉV!$I$2,D346&gt;ÉV!$J$2)),0,1)</f>
        <v>0</v>
      </c>
      <c r="Y346" s="271">
        <f t="shared" ca="1" si="57"/>
        <v>0</v>
      </c>
      <c r="Z346" s="265">
        <f t="shared" si="58"/>
        <v>8</v>
      </c>
      <c r="AA346" s="272">
        <f t="shared" ca="1" si="59"/>
        <v>0</v>
      </c>
      <c r="AB346" s="265">
        <f t="shared" ca="1" si="65"/>
        <v>2045</v>
      </c>
      <c r="AC346" s="265">
        <f t="shared" ca="1" si="66"/>
        <v>11</v>
      </c>
      <c r="AD346" s="276">
        <f ca="1">IF(     OR(               AND(MAX(AF$6:AF346)&lt;2,  AC346=12),                 AF346=2),                   SUMIF(AB:AB,AB346,AA:AA),                       0)</f>
        <v>0</v>
      </c>
      <c r="AE346" s="277">
        <f t="shared" ca="1" si="67"/>
        <v>0</v>
      </c>
      <c r="AF346" s="277">
        <f t="shared" ca="1" si="60"/>
        <v>0</v>
      </c>
      <c r="AG346" s="402">
        <f ca="1">IF(  AND(AC346=AdóHó,   MAX(AF$1:AF345)&lt;2),   SUMIF(AB:AB,AB346-1,AE:AE),0  )
+ IF(AND(AC346&lt;AdóHó,                            AF346=2),   SUMIF(AB:AB,AB346-1,AE:AE),0  )
+ IF(                                                                  AF346=2,    SUMIF(AB:AB,AB346,AE:AE   ),0  )</f>
        <v>0</v>
      </c>
      <c r="AH346" s="272">
        <f ca="1">SUM(AG$2:AG346)</f>
        <v>1139324.2410681627</v>
      </c>
    </row>
    <row r="347" spans="1:34">
      <c r="A347" s="265">
        <f t="shared" si="61"/>
        <v>29</v>
      </c>
      <c r="B347" s="265">
        <f t="shared" si="62"/>
        <v>9</v>
      </c>
      <c r="C347" s="265">
        <f t="shared" ca="1" si="63"/>
        <v>29</v>
      </c>
      <c r="D347" s="265">
        <f t="shared" ca="1" si="64"/>
        <v>12</v>
      </c>
      <c r="E347" s="266">
        <v>5.0000000000000001E-3</v>
      </c>
      <c r="F347" s="267">
        <f>ÉV!$B$12</f>
        <v>0</v>
      </c>
      <c r="G347" s="271">
        <f ca="1">VLOOKUP(A347,ÉV!$A$18:$B$65,2,0)</f>
        <v>0</v>
      </c>
      <c r="H347" s="271">
        <f ca="1">IF(OR(A347=1,AND(C347=ÉV!$I$2,D347&gt;ÉV!$J$2),C347&gt;ÉV!$I$2),0,INDEX(Pz!$B$2:$AM$48,A347-1,ÉV!$G$2-9)/100000*ÉV!$B$10)</f>
        <v>0</v>
      </c>
      <c r="I347" s="271">
        <f ca="1">INDEX(Pz!$B$2:$AM$48,HÓ!A347,ÉV!$G$2-9)/100000*ÉV!$B$10</f>
        <v>0</v>
      </c>
      <c r="J347" s="273">
        <f ca="1">IF(OR(A347=1,A347=2,AND(C347=ÉV!$I$2,D347&gt;ÉV!$J$2),C347&gt;ÉV!$I$2),0,VLOOKUP(A347-2,ÉV!$A$18:$C$65,3,0))</f>
        <v>0</v>
      </c>
      <c r="K347" s="273">
        <f ca="1">IF(OR(A347=1,AND(C347=ÉV!$I$2,D347&gt;ÉV!$J$2),C347&gt;ÉV!$I$2),0,VLOOKUP(A347-1,ÉV!$A$18:$C$65,3,0))</f>
        <v>0</v>
      </c>
      <c r="L347" s="273">
        <f ca="1">VLOOKUP(A347,ÉV!$A$18:$C$65,3,0)*IF(OR(AND(C347=ÉV!$I$2,D347&gt;ÉV!$J$2),C347&gt;ÉV!$I$2),0,1)</f>
        <v>0</v>
      </c>
      <c r="M347" s="273">
        <f ca="1">(K347*(12-B347)/12+L347*B347/12)*IF(A347&gt;ÉV!$G$2,0,1)+IF(A347&gt;ÉV!$G$2,M346,0)*IF(OR(AND(C347=ÉV!$I$2,D347&gt;ÉV!$J$2),C347&gt;ÉV!$I$2),0,1)</f>
        <v>0</v>
      </c>
      <c r="N347" s="274">
        <f ca="1">IF(AND(C347=1,D347&lt;12),0,1)*IF(D347=12,MAX(0,F347-E347-0.003)*0.9*((K347+I347)*(B347/12)+(J347+H347)*(1-B347/12))+MAX(0,F347-0.003)*0.9*N346+N346,IF(AND(C347=ÉV!$I$2,D347=ÉV!$J$2),(M347+N346)*MAX(0,F347-0.003)*0.9*(D347/12)+N346,N346))*IF(OR(C347&gt;ÉV!$I$2,AND(C347=ÉV!$I$2,D347&gt;ÉV!$J$2)),0,1)</f>
        <v>0</v>
      </c>
      <c r="O347" s="313">
        <f ca="1">IF(MAX(AF$2:AF346)=2,      0,IF(OR(AC347=7, AF347=2),    SUM(AE$2:AE347),    O346)   )</f>
        <v>0</v>
      </c>
      <c r="P347" s="271">
        <f ca="1">IF(D347=12,V347+P346+P346*(F347-0.003)*0.9,IF(AND(C347=ÉV!$I$2,D347=ÉV!$J$2),V347+P346+P346*(F347-0.003)*0.9*D347/12,P346))*IF(OR(C347&gt;ÉV!$I$2,AND(C347=ÉV!$I$2,D347&gt;ÉV!$J$2)),0,1)</f>
        <v>0</v>
      </c>
      <c r="Q347" s="275">
        <f ca="1">(N347+P347)*IF(OR(AND(C347=ÉV!$I$2,D347&gt;ÉV!$J$2),C347&gt;ÉV!$I$2),0,1)</f>
        <v>0</v>
      </c>
      <c r="R347" s="271">
        <f ca="1">(MAX(0,F347-E347-0.003)*0.9*((K347+I347)*(1/12)))*IF(OR(C347&gt;ÉV!$I$2,AND(C347=ÉV!$I$2,D347&gt;ÉV!$J$2)),0,1)</f>
        <v>0</v>
      </c>
      <c r="S347" s="271">
        <f ca="1">(MAX(0,F347-0.003)*0.9*((O347)*(1/12)))*IF(OR(C347&gt;ÉV!$I$2,AND(C347=ÉV!$I$2,D347&gt;ÉV!$J$2)),0,1)</f>
        <v>0</v>
      </c>
      <c r="T347" s="271">
        <f ca="1">(MAX(0,F347-0.003)*0.9*((Q346)*(1/12)))*IF(OR(C347&gt;ÉV!$I$2,AND(C347=ÉV!$I$2,D347&gt;ÉV!$J$2)),0,1)</f>
        <v>0</v>
      </c>
      <c r="U347" s="271">
        <f ca="1">IF($D347=1,R347,R347+U346)*IF(OR(C347&gt;ÉV!$I$2,AND(C347=ÉV!$I$2,D347&gt;ÉV!$J$2)),0,1)</f>
        <v>0</v>
      </c>
      <c r="V347" s="271">
        <f ca="1">IF($D347=1,S347,S347+V346)*IF(OR(C347&gt;ÉV!$I$2,AND(C347=ÉV!$I$2,D347&gt;ÉV!$J$2)),0,1)</f>
        <v>0</v>
      </c>
      <c r="W347" s="271">
        <f ca="1">IF($D347=1,T347,T347+W346)*IF(OR(C347&gt;ÉV!$I$2,AND(C347=ÉV!$I$2,D347&gt;ÉV!$J$2)),0,1)</f>
        <v>0</v>
      </c>
      <c r="X347" s="271">
        <f ca="1">IF(OR(D347=12,AND(C347=ÉV!$I$2,D347=ÉV!$J$2)),SUM(U347:W347)+X346,X346)*IF(OR(C347&gt;ÉV!$I$2,AND(C347=ÉV!$I$2,D347&gt;ÉV!$J$2)),0,1)</f>
        <v>0</v>
      </c>
      <c r="Y347" s="271">
        <f t="shared" ca="1" si="57"/>
        <v>0</v>
      </c>
      <c r="Z347" s="265">
        <f t="shared" si="58"/>
        <v>9</v>
      </c>
      <c r="AA347" s="272">
        <f t="shared" ca="1" si="59"/>
        <v>0</v>
      </c>
      <c r="AB347" s="265">
        <f t="shared" ca="1" si="65"/>
        <v>2045</v>
      </c>
      <c r="AC347" s="265">
        <f t="shared" ca="1" si="66"/>
        <v>12</v>
      </c>
      <c r="AD347" s="276">
        <f ca="1">IF(     OR(               AND(MAX(AF$6:AF347)&lt;2,  AC347=12),                 AF347=2),                   SUMIF(AB:AB,AB347,AA:AA),                       0)</f>
        <v>0</v>
      </c>
      <c r="AE347" s="277">
        <f t="shared" ca="1" si="67"/>
        <v>0</v>
      </c>
      <c r="AF347" s="277">
        <f t="shared" ca="1" si="60"/>
        <v>0</v>
      </c>
      <c r="AG347" s="402">
        <f ca="1">IF(  AND(AC347=AdóHó,   MAX(AF$1:AF346)&lt;2),   SUMIF(AB:AB,AB347-1,AE:AE),0  )
+ IF(AND(AC347&lt;AdóHó,                            AF347=2),   SUMIF(AB:AB,AB347-1,AE:AE),0  )
+ IF(                                                                  AF347=2,    SUMIF(AB:AB,AB347,AE:AE   ),0  )</f>
        <v>0</v>
      </c>
      <c r="AH347" s="272">
        <f ca="1">SUM(AG$2:AG347)</f>
        <v>1139324.2410681627</v>
      </c>
    </row>
    <row r="348" spans="1:34">
      <c r="A348" s="265">
        <f t="shared" si="61"/>
        <v>29</v>
      </c>
      <c r="B348" s="265">
        <f t="shared" si="62"/>
        <v>10</v>
      </c>
      <c r="C348" s="265">
        <f t="shared" ca="1" si="63"/>
        <v>30</v>
      </c>
      <c r="D348" s="265">
        <f t="shared" ca="1" si="64"/>
        <v>1</v>
      </c>
      <c r="E348" s="266">
        <v>5.0000000000000001E-3</v>
      </c>
      <c r="F348" s="267">
        <f>ÉV!$B$12</f>
        <v>0</v>
      </c>
      <c r="G348" s="271">
        <f ca="1">VLOOKUP(A348,ÉV!$A$18:$B$65,2,0)</f>
        <v>0</v>
      </c>
      <c r="H348" s="271">
        <f ca="1">IF(OR(A348=1,AND(C348=ÉV!$I$2,D348&gt;ÉV!$J$2),C348&gt;ÉV!$I$2),0,INDEX(Pz!$B$2:$AM$48,A348-1,ÉV!$G$2-9)/100000*ÉV!$B$10)</f>
        <v>0</v>
      </c>
      <c r="I348" s="271">
        <f ca="1">INDEX(Pz!$B$2:$AM$48,HÓ!A348,ÉV!$G$2-9)/100000*ÉV!$B$10</f>
        <v>0</v>
      </c>
      <c r="J348" s="273">
        <f ca="1">IF(OR(A348=1,A348=2,AND(C348=ÉV!$I$2,D348&gt;ÉV!$J$2),C348&gt;ÉV!$I$2),0,VLOOKUP(A348-2,ÉV!$A$18:$C$65,3,0))</f>
        <v>0</v>
      </c>
      <c r="K348" s="273">
        <f ca="1">IF(OR(A348=1,AND(C348=ÉV!$I$2,D348&gt;ÉV!$J$2),C348&gt;ÉV!$I$2),0,VLOOKUP(A348-1,ÉV!$A$18:$C$65,3,0))</f>
        <v>0</v>
      </c>
      <c r="L348" s="273">
        <f ca="1">VLOOKUP(A348,ÉV!$A$18:$C$65,3,0)*IF(OR(AND(C348=ÉV!$I$2,D348&gt;ÉV!$J$2),C348&gt;ÉV!$I$2),0,1)</f>
        <v>0</v>
      </c>
      <c r="M348" s="273">
        <f ca="1">(K348*(12-B348)/12+L348*B348/12)*IF(A348&gt;ÉV!$G$2,0,1)+IF(A348&gt;ÉV!$G$2,M347,0)*IF(OR(AND(C348=ÉV!$I$2,D348&gt;ÉV!$J$2),C348&gt;ÉV!$I$2),0,1)</f>
        <v>0</v>
      </c>
      <c r="N348" s="274">
        <f ca="1">IF(AND(C348=1,D348&lt;12),0,1)*IF(D348=12,MAX(0,F348-E348-0.003)*0.9*((K348+I348)*(B348/12)+(J348+H348)*(1-B348/12))+MAX(0,F348-0.003)*0.9*N347+N347,IF(AND(C348=ÉV!$I$2,D348=ÉV!$J$2),(M348+N347)*MAX(0,F348-0.003)*0.9*(D348/12)+N347,N347))*IF(OR(C348&gt;ÉV!$I$2,AND(C348=ÉV!$I$2,D348&gt;ÉV!$J$2)),0,1)</f>
        <v>0</v>
      </c>
      <c r="O348" s="313">
        <f ca="1">IF(MAX(AF$2:AF347)=2,      0,IF(OR(AC348=7, AF348=2),    SUM(AE$2:AE348),    O347)   )</f>
        <v>0</v>
      </c>
      <c r="P348" s="271">
        <f ca="1">IF(D348=12,V348+P347+P347*(F348-0.003)*0.9,IF(AND(C348=ÉV!$I$2,D348=ÉV!$J$2),V348+P347+P347*(F348-0.003)*0.9*D348/12,P347))*IF(OR(C348&gt;ÉV!$I$2,AND(C348=ÉV!$I$2,D348&gt;ÉV!$J$2)),0,1)</f>
        <v>0</v>
      </c>
      <c r="Q348" s="275">
        <f ca="1">(N348+P348)*IF(OR(AND(C348=ÉV!$I$2,D348&gt;ÉV!$J$2),C348&gt;ÉV!$I$2),0,1)</f>
        <v>0</v>
      </c>
      <c r="R348" s="271">
        <f ca="1">(MAX(0,F348-E348-0.003)*0.9*((K348+I348)*(1/12)))*IF(OR(C348&gt;ÉV!$I$2,AND(C348=ÉV!$I$2,D348&gt;ÉV!$J$2)),0,1)</f>
        <v>0</v>
      </c>
      <c r="S348" s="271">
        <f ca="1">(MAX(0,F348-0.003)*0.9*((O348)*(1/12)))*IF(OR(C348&gt;ÉV!$I$2,AND(C348=ÉV!$I$2,D348&gt;ÉV!$J$2)),0,1)</f>
        <v>0</v>
      </c>
      <c r="T348" s="271">
        <f ca="1">(MAX(0,F348-0.003)*0.9*((Q347)*(1/12)))*IF(OR(C348&gt;ÉV!$I$2,AND(C348=ÉV!$I$2,D348&gt;ÉV!$J$2)),0,1)</f>
        <v>0</v>
      </c>
      <c r="U348" s="271">
        <f ca="1">IF($D348=1,R348,R348+U347)*IF(OR(C348&gt;ÉV!$I$2,AND(C348=ÉV!$I$2,D348&gt;ÉV!$J$2)),0,1)</f>
        <v>0</v>
      </c>
      <c r="V348" s="271">
        <f ca="1">IF($D348=1,S348,S348+V347)*IF(OR(C348&gt;ÉV!$I$2,AND(C348=ÉV!$I$2,D348&gt;ÉV!$J$2)),0,1)</f>
        <v>0</v>
      </c>
      <c r="W348" s="271">
        <f ca="1">IF($D348=1,T348,T348+W347)*IF(OR(C348&gt;ÉV!$I$2,AND(C348=ÉV!$I$2,D348&gt;ÉV!$J$2)),0,1)</f>
        <v>0</v>
      </c>
      <c r="X348" s="271">
        <f ca="1">IF(OR(D348=12,AND(C348=ÉV!$I$2,D348=ÉV!$J$2)),SUM(U348:W348)+X347,X347)*IF(OR(C348&gt;ÉV!$I$2,AND(C348=ÉV!$I$2,D348&gt;ÉV!$J$2)),0,1)</f>
        <v>0</v>
      </c>
      <c r="Y348" s="271">
        <f t="shared" ca="1" si="57"/>
        <v>0</v>
      </c>
      <c r="Z348" s="265">
        <f t="shared" si="58"/>
        <v>10</v>
      </c>
      <c r="AA348" s="272">
        <f t="shared" ca="1" si="59"/>
        <v>0</v>
      </c>
      <c r="AB348" s="265">
        <f t="shared" ca="1" si="65"/>
        <v>2046</v>
      </c>
      <c r="AC348" s="265">
        <f t="shared" ca="1" si="66"/>
        <v>1</v>
      </c>
      <c r="AD348" s="276">
        <f ca="1">IF(     OR(               AND(MAX(AF$6:AF348)&lt;2,  AC348=12),                 AF348=2),                   SUMIF(AB:AB,AB348,AA:AA),                       0)</f>
        <v>0</v>
      </c>
      <c r="AE348" s="277">
        <f t="shared" ca="1" si="67"/>
        <v>0</v>
      </c>
      <c r="AF348" s="277">
        <f t="shared" ca="1" si="60"/>
        <v>0</v>
      </c>
      <c r="AG348" s="402">
        <f ca="1">IF(  AND(AC348=AdóHó,   MAX(AF$1:AF347)&lt;2),   SUMIF(AB:AB,AB348-1,AE:AE),0  )
+ IF(AND(AC348&lt;AdóHó,                            AF348=2),   SUMIF(AB:AB,AB348-1,AE:AE),0  )
+ IF(                                                                  AF348=2,    SUMIF(AB:AB,AB348,AE:AE   ),0  )</f>
        <v>0</v>
      </c>
      <c r="AH348" s="272">
        <f ca="1">SUM(AG$2:AG348)</f>
        <v>1139324.2410681627</v>
      </c>
    </row>
    <row r="349" spans="1:34">
      <c r="A349" s="265">
        <f t="shared" si="61"/>
        <v>29</v>
      </c>
      <c r="B349" s="265">
        <f t="shared" si="62"/>
        <v>11</v>
      </c>
      <c r="C349" s="265">
        <f t="shared" ca="1" si="63"/>
        <v>30</v>
      </c>
      <c r="D349" s="265">
        <f t="shared" ca="1" si="64"/>
        <v>2</v>
      </c>
      <c r="E349" s="266">
        <v>5.0000000000000001E-3</v>
      </c>
      <c r="F349" s="267">
        <f>ÉV!$B$12</f>
        <v>0</v>
      </c>
      <c r="G349" s="271">
        <f ca="1">VLOOKUP(A349,ÉV!$A$18:$B$65,2,0)</f>
        <v>0</v>
      </c>
      <c r="H349" s="271">
        <f ca="1">IF(OR(A349=1,AND(C349=ÉV!$I$2,D349&gt;ÉV!$J$2),C349&gt;ÉV!$I$2),0,INDEX(Pz!$B$2:$AM$48,A349-1,ÉV!$G$2-9)/100000*ÉV!$B$10)</f>
        <v>0</v>
      </c>
      <c r="I349" s="271">
        <f ca="1">INDEX(Pz!$B$2:$AM$48,HÓ!A349,ÉV!$G$2-9)/100000*ÉV!$B$10</f>
        <v>0</v>
      </c>
      <c r="J349" s="273">
        <f ca="1">IF(OR(A349=1,A349=2,AND(C349=ÉV!$I$2,D349&gt;ÉV!$J$2),C349&gt;ÉV!$I$2),0,VLOOKUP(A349-2,ÉV!$A$18:$C$65,3,0))</f>
        <v>0</v>
      </c>
      <c r="K349" s="273">
        <f ca="1">IF(OR(A349=1,AND(C349=ÉV!$I$2,D349&gt;ÉV!$J$2),C349&gt;ÉV!$I$2),0,VLOOKUP(A349-1,ÉV!$A$18:$C$65,3,0))</f>
        <v>0</v>
      </c>
      <c r="L349" s="273">
        <f ca="1">VLOOKUP(A349,ÉV!$A$18:$C$65,3,0)*IF(OR(AND(C349=ÉV!$I$2,D349&gt;ÉV!$J$2),C349&gt;ÉV!$I$2),0,1)</f>
        <v>0</v>
      </c>
      <c r="M349" s="273">
        <f ca="1">(K349*(12-B349)/12+L349*B349/12)*IF(A349&gt;ÉV!$G$2,0,1)+IF(A349&gt;ÉV!$G$2,M348,0)*IF(OR(AND(C349=ÉV!$I$2,D349&gt;ÉV!$J$2),C349&gt;ÉV!$I$2),0,1)</f>
        <v>0</v>
      </c>
      <c r="N349" s="274">
        <f ca="1">IF(AND(C349=1,D349&lt;12),0,1)*IF(D349=12,MAX(0,F349-E349-0.003)*0.9*((K349+I349)*(B349/12)+(J349+H349)*(1-B349/12))+MAX(0,F349-0.003)*0.9*N348+N348,IF(AND(C349=ÉV!$I$2,D349=ÉV!$J$2),(M349+N348)*MAX(0,F349-0.003)*0.9*(D349/12)+N348,N348))*IF(OR(C349&gt;ÉV!$I$2,AND(C349=ÉV!$I$2,D349&gt;ÉV!$J$2)),0,1)</f>
        <v>0</v>
      </c>
      <c r="O349" s="313">
        <f ca="1">IF(MAX(AF$2:AF348)=2,      0,IF(OR(AC349=7, AF349=2),    SUM(AE$2:AE349),    O348)   )</f>
        <v>0</v>
      </c>
      <c r="P349" s="271">
        <f ca="1">IF(D349=12,V349+P348+P348*(F349-0.003)*0.9,IF(AND(C349=ÉV!$I$2,D349=ÉV!$J$2),V349+P348+P348*(F349-0.003)*0.9*D349/12,P348))*IF(OR(C349&gt;ÉV!$I$2,AND(C349=ÉV!$I$2,D349&gt;ÉV!$J$2)),0,1)</f>
        <v>0</v>
      </c>
      <c r="Q349" s="275">
        <f ca="1">(N349+P349)*IF(OR(AND(C349=ÉV!$I$2,D349&gt;ÉV!$J$2),C349&gt;ÉV!$I$2),0,1)</f>
        <v>0</v>
      </c>
      <c r="R349" s="271">
        <f ca="1">(MAX(0,F349-E349-0.003)*0.9*((K349+I349)*(1/12)))*IF(OR(C349&gt;ÉV!$I$2,AND(C349=ÉV!$I$2,D349&gt;ÉV!$J$2)),0,1)</f>
        <v>0</v>
      </c>
      <c r="S349" s="271">
        <f ca="1">(MAX(0,F349-0.003)*0.9*((O349)*(1/12)))*IF(OR(C349&gt;ÉV!$I$2,AND(C349=ÉV!$I$2,D349&gt;ÉV!$J$2)),0,1)</f>
        <v>0</v>
      </c>
      <c r="T349" s="271">
        <f ca="1">(MAX(0,F349-0.003)*0.9*((Q348)*(1/12)))*IF(OR(C349&gt;ÉV!$I$2,AND(C349=ÉV!$I$2,D349&gt;ÉV!$J$2)),0,1)</f>
        <v>0</v>
      </c>
      <c r="U349" s="271">
        <f ca="1">IF($D349=1,R349,R349+U348)*IF(OR(C349&gt;ÉV!$I$2,AND(C349=ÉV!$I$2,D349&gt;ÉV!$J$2)),0,1)</f>
        <v>0</v>
      </c>
      <c r="V349" s="271">
        <f ca="1">IF($D349=1,S349,S349+V348)*IF(OR(C349&gt;ÉV!$I$2,AND(C349=ÉV!$I$2,D349&gt;ÉV!$J$2)),0,1)</f>
        <v>0</v>
      </c>
      <c r="W349" s="271">
        <f ca="1">IF($D349=1,T349,T349+W348)*IF(OR(C349&gt;ÉV!$I$2,AND(C349=ÉV!$I$2,D349&gt;ÉV!$J$2)),0,1)</f>
        <v>0</v>
      </c>
      <c r="X349" s="271">
        <f ca="1">IF(OR(D349=12,AND(C349=ÉV!$I$2,D349=ÉV!$J$2)),SUM(U349:W349)+X348,X348)*IF(OR(C349&gt;ÉV!$I$2,AND(C349=ÉV!$I$2,D349&gt;ÉV!$J$2)),0,1)</f>
        <v>0</v>
      </c>
      <c r="Y349" s="271">
        <f t="shared" ca="1" si="57"/>
        <v>0</v>
      </c>
      <c r="Z349" s="265">
        <f t="shared" si="58"/>
        <v>11</v>
      </c>
      <c r="AA349" s="272">
        <f t="shared" ca="1" si="59"/>
        <v>0</v>
      </c>
      <c r="AB349" s="265">
        <f t="shared" ca="1" si="65"/>
        <v>2046</v>
      </c>
      <c r="AC349" s="265">
        <f t="shared" ca="1" si="66"/>
        <v>2</v>
      </c>
      <c r="AD349" s="276">
        <f ca="1">IF(     OR(               AND(MAX(AF$6:AF349)&lt;2,  AC349=12),                 AF349=2),                   SUMIF(AB:AB,AB349,AA:AA),                       0)</f>
        <v>0</v>
      </c>
      <c r="AE349" s="277">
        <f t="shared" ca="1" si="67"/>
        <v>0</v>
      </c>
      <c r="AF349" s="277">
        <f t="shared" ca="1" si="60"/>
        <v>0</v>
      </c>
      <c r="AG349" s="402">
        <f ca="1">IF(  AND(AC349=AdóHó,   MAX(AF$1:AF348)&lt;2),   SUMIF(AB:AB,AB349-1,AE:AE),0  )
+ IF(AND(AC349&lt;AdóHó,                            AF349=2),   SUMIF(AB:AB,AB349-1,AE:AE),0  )
+ IF(                                                                  AF349=2,    SUMIF(AB:AB,AB349,AE:AE   ),0  )</f>
        <v>0</v>
      </c>
      <c r="AH349" s="272">
        <f ca="1">SUM(AG$2:AG349)</f>
        <v>1139324.2410681627</v>
      </c>
    </row>
    <row r="350" spans="1:34">
      <c r="A350" s="265">
        <f t="shared" si="61"/>
        <v>29</v>
      </c>
      <c r="B350" s="265">
        <f t="shared" si="62"/>
        <v>12</v>
      </c>
      <c r="C350" s="265">
        <f t="shared" ca="1" si="63"/>
        <v>30</v>
      </c>
      <c r="D350" s="265">
        <f t="shared" ca="1" si="64"/>
        <v>3</v>
      </c>
      <c r="E350" s="266">
        <v>5.0000000000000001E-3</v>
      </c>
      <c r="F350" s="267">
        <f>ÉV!$B$12</f>
        <v>0</v>
      </c>
      <c r="G350" s="271">
        <f ca="1">VLOOKUP(A350,ÉV!$A$18:$B$65,2,0)</f>
        <v>0</v>
      </c>
      <c r="H350" s="271">
        <f ca="1">IF(OR(A350=1,AND(C350=ÉV!$I$2,D350&gt;ÉV!$J$2),C350&gt;ÉV!$I$2),0,INDEX(Pz!$B$2:$AM$48,A350-1,ÉV!$G$2-9)/100000*ÉV!$B$10)</f>
        <v>0</v>
      </c>
      <c r="I350" s="271">
        <f ca="1">INDEX(Pz!$B$2:$AM$48,HÓ!A350,ÉV!$G$2-9)/100000*ÉV!$B$10</f>
        <v>0</v>
      </c>
      <c r="J350" s="273">
        <f ca="1">IF(OR(A350=1,A350=2,AND(C350=ÉV!$I$2,D350&gt;ÉV!$J$2),C350&gt;ÉV!$I$2),0,VLOOKUP(A350-2,ÉV!$A$18:$C$65,3,0))</f>
        <v>0</v>
      </c>
      <c r="K350" s="273">
        <f ca="1">IF(OR(A350=1,AND(C350=ÉV!$I$2,D350&gt;ÉV!$J$2),C350&gt;ÉV!$I$2),0,VLOOKUP(A350-1,ÉV!$A$18:$C$65,3,0))</f>
        <v>0</v>
      </c>
      <c r="L350" s="273">
        <f ca="1">VLOOKUP(A350,ÉV!$A$18:$C$65,3,0)*IF(OR(AND(C350=ÉV!$I$2,D350&gt;ÉV!$J$2),C350&gt;ÉV!$I$2),0,1)</f>
        <v>0</v>
      </c>
      <c r="M350" s="273">
        <f ca="1">(K350*(12-B350)/12+L350*B350/12)*IF(A350&gt;ÉV!$G$2,0,1)+IF(A350&gt;ÉV!$G$2,M349,0)*IF(OR(AND(C350=ÉV!$I$2,D350&gt;ÉV!$J$2),C350&gt;ÉV!$I$2),0,1)</f>
        <v>0</v>
      </c>
      <c r="N350" s="274">
        <f ca="1">IF(AND(C350=1,D350&lt;12),0,1)*IF(D350=12,MAX(0,F350-E350-0.003)*0.9*((K350+I350)*(B350/12)+(J350+H350)*(1-B350/12))+MAX(0,F350-0.003)*0.9*N349+N349,IF(AND(C350=ÉV!$I$2,D350=ÉV!$J$2),(M350+N349)*MAX(0,F350-0.003)*0.9*(D350/12)+N349,N349))*IF(OR(C350&gt;ÉV!$I$2,AND(C350=ÉV!$I$2,D350&gt;ÉV!$J$2)),0,1)</f>
        <v>0</v>
      </c>
      <c r="O350" s="313">
        <f ca="1">IF(MAX(AF$2:AF349)=2,      0,IF(OR(AC350=7, AF350=2),    SUM(AE$2:AE350),    O349)   )</f>
        <v>0</v>
      </c>
      <c r="P350" s="271">
        <f ca="1">IF(D350=12,V350+P349+P349*(F350-0.003)*0.9,IF(AND(C350=ÉV!$I$2,D350=ÉV!$J$2),V350+P349+P349*(F350-0.003)*0.9*D350/12,P349))*IF(OR(C350&gt;ÉV!$I$2,AND(C350=ÉV!$I$2,D350&gt;ÉV!$J$2)),0,1)</f>
        <v>0</v>
      </c>
      <c r="Q350" s="275">
        <f ca="1">(N350+P350)*IF(OR(AND(C350=ÉV!$I$2,D350&gt;ÉV!$J$2),C350&gt;ÉV!$I$2),0,1)</f>
        <v>0</v>
      </c>
      <c r="R350" s="271">
        <f ca="1">(MAX(0,F350-E350-0.003)*0.9*((K350+I350)*(1/12)))*IF(OR(C350&gt;ÉV!$I$2,AND(C350=ÉV!$I$2,D350&gt;ÉV!$J$2)),0,1)</f>
        <v>0</v>
      </c>
      <c r="S350" s="271">
        <f ca="1">(MAX(0,F350-0.003)*0.9*((O350)*(1/12)))*IF(OR(C350&gt;ÉV!$I$2,AND(C350=ÉV!$I$2,D350&gt;ÉV!$J$2)),0,1)</f>
        <v>0</v>
      </c>
      <c r="T350" s="271">
        <f ca="1">(MAX(0,F350-0.003)*0.9*((Q349)*(1/12)))*IF(OR(C350&gt;ÉV!$I$2,AND(C350=ÉV!$I$2,D350&gt;ÉV!$J$2)),0,1)</f>
        <v>0</v>
      </c>
      <c r="U350" s="271">
        <f ca="1">IF($D350=1,R350,R350+U349)*IF(OR(C350&gt;ÉV!$I$2,AND(C350=ÉV!$I$2,D350&gt;ÉV!$J$2)),0,1)</f>
        <v>0</v>
      </c>
      <c r="V350" s="271">
        <f ca="1">IF($D350=1,S350,S350+V349)*IF(OR(C350&gt;ÉV!$I$2,AND(C350=ÉV!$I$2,D350&gt;ÉV!$J$2)),0,1)</f>
        <v>0</v>
      </c>
      <c r="W350" s="271">
        <f ca="1">IF($D350=1,T350,T350+W349)*IF(OR(C350&gt;ÉV!$I$2,AND(C350=ÉV!$I$2,D350&gt;ÉV!$J$2)),0,1)</f>
        <v>0</v>
      </c>
      <c r="X350" s="271">
        <f ca="1">IF(OR(D350=12,AND(C350=ÉV!$I$2,D350=ÉV!$J$2)),SUM(U350:W350)+X349,X349)*IF(OR(C350&gt;ÉV!$I$2,AND(C350=ÉV!$I$2,D350&gt;ÉV!$J$2)),0,1)</f>
        <v>0</v>
      </c>
      <c r="Y350" s="271">
        <f t="shared" ca="1" si="57"/>
        <v>0</v>
      </c>
      <c r="Z350" s="265">
        <f t="shared" si="58"/>
        <v>12</v>
      </c>
      <c r="AA350" s="272">
        <f t="shared" ca="1" si="59"/>
        <v>0</v>
      </c>
      <c r="AB350" s="265">
        <f t="shared" ca="1" si="65"/>
        <v>2046</v>
      </c>
      <c r="AC350" s="265">
        <f t="shared" ca="1" si="66"/>
        <v>3</v>
      </c>
      <c r="AD350" s="276">
        <f ca="1">IF(     OR(               AND(MAX(AF$6:AF350)&lt;2,  AC350=12),                 AF350=2),                   SUMIF(AB:AB,AB350,AA:AA),                       0)</f>
        <v>0</v>
      </c>
      <c r="AE350" s="277">
        <f t="shared" ca="1" si="67"/>
        <v>0</v>
      </c>
      <c r="AF350" s="277">
        <f t="shared" ca="1" si="60"/>
        <v>0</v>
      </c>
      <c r="AG350" s="402">
        <f ca="1">IF(  AND(AC350=AdóHó,   MAX(AF$1:AF349)&lt;2),   SUMIF(AB:AB,AB350-1,AE:AE),0  )
+ IF(AND(AC350&lt;AdóHó,                            AF350=2),   SUMIF(AB:AB,AB350-1,AE:AE),0  )
+ IF(                                                                  AF350=2,    SUMIF(AB:AB,AB350,AE:AE   ),0  )</f>
        <v>0</v>
      </c>
      <c r="AH350" s="272">
        <f ca="1">SUM(AG$2:AG350)</f>
        <v>1139324.2410681627</v>
      </c>
    </row>
    <row r="351" spans="1:34">
      <c r="A351" s="265">
        <f t="shared" si="61"/>
        <v>30</v>
      </c>
      <c r="B351" s="265">
        <f t="shared" si="62"/>
        <v>1</v>
      </c>
      <c r="C351" s="265">
        <f t="shared" ca="1" si="63"/>
        <v>30</v>
      </c>
      <c r="D351" s="265">
        <f t="shared" ca="1" si="64"/>
        <v>4</v>
      </c>
      <c r="E351" s="266">
        <v>5.0000000000000001E-3</v>
      </c>
      <c r="F351" s="267">
        <f>ÉV!$B$12</f>
        <v>0</v>
      </c>
      <c r="G351" s="271">
        <f ca="1">VLOOKUP(A351,ÉV!$A$18:$B$65,2,0)</f>
        <v>0</v>
      </c>
      <c r="H351" s="271">
        <f ca="1">IF(OR(A351=1,AND(C351=ÉV!$I$2,D351&gt;ÉV!$J$2),C351&gt;ÉV!$I$2),0,INDEX(Pz!$B$2:$AM$48,A351-1,ÉV!$G$2-9)/100000*ÉV!$B$10)</f>
        <v>0</v>
      </c>
      <c r="I351" s="271">
        <f ca="1">INDEX(Pz!$B$2:$AM$48,HÓ!A351,ÉV!$G$2-9)/100000*ÉV!$B$10</f>
        <v>0</v>
      </c>
      <c r="J351" s="273">
        <f ca="1">IF(OR(A351=1,A351=2,AND(C351=ÉV!$I$2,D351&gt;ÉV!$J$2),C351&gt;ÉV!$I$2),0,VLOOKUP(A351-2,ÉV!$A$18:$C$65,3,0))</f>
        <v>0</v>
      </c>
      <c r="K351" s="273">
        <f ca="1">IF(OR(A351=1,AND(C351=ÉV!$I$2,D351&gt;ÉV!$J$2),C351&gt;ÉV!$I$2),0,VLOOKUP(A351-1,ÉV!$A$18:$C$65,3,0))</f>
        <v>0</v>
      </c>
      <c r="L351" s="273">
        <f ca="1">VLOOKUP(A351,ÉV!$A$18:$C$65,3,0)*IF(OR(AND(C351=ÉV!$I$2,D351&gt;ÉV!$J$2),C351&gt;ÉV!$I$2),0,1)</f>
        <v>0</v>
      </c>
      <c r="M351" s="273">
        <f ca="1">(K351*(12-B351)/12+L351*B351/12)*IF(A351&gt;ÉV!$G$2,0,1)+IF(A351&gt;ÉV!$G$2,M350,0)*IF(OR(AND(C351=ÉV!$I$2,D351&gt;ÉV!$J$2),C351&gt;ÉV!$I$2),0,1)</f>
        <v>0</v>
      </c>
      <c r="N351" s="274">
        <f ca="1">IF(AND(C351=1,D351&lt;12),0,1)*IF(D351=12,MAX(0,F351-E351-0.003)*0.9*((K351+I351)*(B351/12)+(J351+H351)*(1-B351/12))+MAX(0,F351-0.003)*0.9*N350+N350,IF(AND(C351=ÉV!$I$2,D351=ÉV!$J$2),(M351+N350)*MAX(0,F351-0.003)*0.9*(D351/12)+N350,N350))*IF(OR(C351&gt;ÉV!$I$2,AND(C351=ÉV!$I$2,D351&gt;ÉV!$J$2)),0,1)</f>
        <v>0</v>
      </c>
      <c r="O351" s="313">
        <f ca="1">IF(MAX(AF$2:AF350)=2,      0,IF(OR(AC351=7, AF351=2),    SUM(AE$2:AE351),    O350)   )</f>
        <v>0</v>
      </c>
      <c r="P351" s="271">
        <f ca="1">IF(D351=12,V351+P350+P350*(F351-0.003)*0.9,IF(AND(C351=ÉV!$I$2,D351=ÉV!$J$2),V351+P350+P350*(F351-0.003)*0.9*D351/12,P350))*IF(OR(C351&gt;ÉV!$I$2,AND(C351=ÉV!$I$2,D351&gt;ÉV!$J$2)),0,1)</f>
        <v>0</v>
      </c>
      <c r="Q351" s="275">
        <f ca="1">(N351+P351)*IF(OR(AND(C351=ÉV!$I$2,D351&gt;ÉV!$J$2),C351&gt;ÉV!$I$2),0,1)</f>
        <v>0</v>
      </c>
      <c r="R351" s="271">
        <f ca="1">(MAX(0,F351-E351-0.003)*0.9*((K351+I351)*(1/12)))*IF(OR(C351&gt;ÉV!$I$2,AND(C351=ÉV!$I$2,D351&gt;ÉV!$J$2)),0,1)</f>
        <v>0</v>
      </c>
      <c r="S351" s="271">
        <f ca="1">(MAX(0,F351-0.003)*0.9*((O351)*(1/12)))*IF(OR(C351&gt;ÉV!$I$2,AND(C351=ÉV!$I$2,D351&gt;ÉV!$J$2)),0,1)</f>
        <v>0</v>
      </c>
      <c r="T351" s="271">
        <f ca="1">(MAX(0,F351-0.003)*0.9*((Q350)*(1/12)))*IF(OR(C351&gt;ÉV!$I$2,AND(C351=ÉV!$I$2,D351&gt;ÉV!$J$2)),0,1)</f>
        <v>0</v>
      </c>
      <c r="U351" s="271">
        <f ca="1">IF($D351=1,R351,R351+U350)*IF(OR(C351&gt;ÉV!$I$2,AND(C351=ÉV!$I$2,D351&gt;ÉV!$J$2)),0,1)</f>
        <v>0</v>
      </c>
      <c r="V351" s="271">
        <f ca="1">IF($D351=1,S351,S351+V350)*IF(OR(C351&gt;ÉV!$I$2,AND(C351=ÉV!$I$2,D351&gt;ÉV!$J$2)),0,1)</f>
        <v>0</v>
      </c>
      <c r="W351" s="271">
        <f ca="1">IF($D351=1,T351,T351+W350)*IF(OR(C351&gt;ÉV!$I$2,AND(C351=ÉV!$I$2,D351&gt;ÉV!$J$2)),0,1)</f>
        <v>0</v>
      </c>
      <c r="X351" s="271">
        <f ca="1">IF(OR(D351=12,AND(C351=ÉV!$I$2,D351=ÉV!$J$2)),SUM(U351:W351)+X350,X350)*IF(OR(C351&gt;ÉV!$I$2,AND(C351=ÉV!$I$2,D351&gt;ÉV!$J$2)),0,1)</f>
        <v>0</v>
      </c>
      <c r="Y351" s="271">
        <f t="shared" ca="1" si="57"/>
        <v>0</v>
      </c>
      <c r="Z351" s="265">
        <f t="shared" si="58"/>
        <v>1</v>
      </c>
      <c r="AA351" s="272">
        <f t="shared" ca="1" si="59"/>
        <v>0</v>
      </c>
      <c r="AB351" s="265">
        <f t="shared" ca="1" si="65"/>
        <v>2046</v>
      </c>
      <c r="AC351" s="265">
        <f t="shared" ca="1" si="66"/>
        <v>4</v>
      </c>
      <c r="AD351" s="276">
        <f ca="1">IF(     OR(               AND(MAX(AF$6:AF351)&lt;2,  AC351=12),                 AF351=2),                   SUMIF(AB:AB,AB351,AA:AA),                       0)</f>
        <v>0</v>
      </c>
      <c r="AE351" s="277">
        <f t="shared" ca="1" si="67"/>
        <v>0</v>
      </c>
      <c r="AF351" s="277">
        <f t="shared" ca="1" si="60"/>
        <v>0</v>
      </c>
      <c r="AG351" s="402">
        <f ca="1">IF(  AND(AC351=AdóHó,   MAX(AF$1:AF350)&lt;2),   SUMIF(AB:AB,AB351-1,AE:AE),0  )
+ IF(AND(AC351&lt;AdóHó,                            AF351=2),   SUMIF(AB:AB,AB351-1,AE:AE),0  )
+ IF(                                                                  AF351=2,    SUMIF(AB:AB,AB351,AE:AE   ),0  )</f>
        <v>0</v>
      </c>
      <c r="AH351" s="272">
        <f ca="1">SUM(AG$2:AG351)</f>
        <v>1139324.2410681627</v>
      </c>
    </row>
    <row r="352" spans="1:34">
      <c r="A352" s="265">
        <f t="shared" si="61"/>
        <v>30</v>
      </c>
      <c r="B352" s="265">
        <f t="shared" si="62"/>
        <v>2</v>
      </c>
      <c r="C352" s="265">
        <f t="shared" ca="1" si="63"/>
        <v>30</v>
      </c>
      <c r="D352" s="265">
        <f t="shared" ca="1" si="64"/>
        <v>5</v>
      </c>
      <c r="E352" s="266">
        <v>5.0000000000000001E-3</v>
      </c>
      <c r="F352" s="267">
        <f>ÉV!$B$12</f>
        <v>0</v>
      </c>
      <c r="G352" s="271">
        <f ca="1">VLOOKUP(A352,ÉV!$A$18:$B$65,2,0)</f>
        <v>0</v>
      </c>
      <c r="H352" s="271">
        <f ca="1">IF(OR(A352=1,AND(C352=ÉV!$I$2,D352&gt;ÉV!$J$2),C352&gt;ÉV!$I$2),0,INDEX(Pz!$B$2:$AM$48,A352-1,ÉV!$G$2-9)/100000*ÉV!$B$10)</f>
        <v>0</v>
      </c>
      <c r="I352" s="271">
        <f ca="1">INDEX(Pz!$B$2:$AM$48,HÓ!A352,ÉV!$G$2-9)/100000*ÉV!$B$10</f>
        <v>0</v>
      </c>
      <c r="J352" s="273">
        <f ca="1">IF(OR(A352=1,A352=2,AND(C352=ÉV!$I$2,D352&gt;ÉV!$J$2),C352&gt;ÉV!$I$2),0,VLOOKUP(A352-2,ÉV!$A$18:$C$65,3,0))</f>
        <v>0</v>
      </c>
      <c r="K352" s="273">
        <f ca="1">IF(OR(A352=1,AND(C352=ÉV!$I$2,D352&gt;ÉV!$J$2),C352&gt;ÉV!$I$2),0,VLOOKUP(A352-1,ÉV!$A$18:$C$65,3,0))</f>
        <v>0</v>
      </c>
      <c r="L352" s="273">
        <f ca="1">VLOOKUP(A352,ÉV!$A$18:$C$65,3,0)*IF(OR(AND(C352=ÉV!$I$2,D352&gt;ÉV!$J$2),C352&gt;ÉV!$I$2),0,1)</f>
        <v>0</v>
      </c>
      <c r="M352" s="273">
        <f ca="1">(K352*(12-B352)/12+L352*B352/12)*IF(A352&gt;ÉV!$G$2,0,1)+IF(A352&gt;ÉV!$G$2,M351,0)*IF(OR(AND(C352=ÉV!$I$2,D352&gt;ÉV!$J$2),C352&gt;ÉV!$I$2),0,1)</f>
        <v>0</v>
      </c>
      <c r="N352" s="274">
        <f ca="1">IF(AND(C352=1,D352&lt;12),0,1)*IF(D352=12,MAX(0,F352-E352-0.003)*0.9*((K352+I352)*(B352/12)+(J352+H352)*(1-B352/12))+MAX(0,F352-0.003)*0.9*N351+N351,IF(AND(C352=ÉV!$I$2,D352=ÉV!$J$2),(M352+N351)*MAX(0,F352-0.003)*0.9*(D352/12)+N351,N351))*IF(OR(C352&gt;ÉV!$I$2,AND(C352=ÉV!$I$2,D352&gt;ÉV!$J$2)),0,1)</f>
        <v>0</v>
      </c>
      <c r="O352" s="313">
        <f ca="1">IF(MAX(AF$2:AF351)=2,      0,IF(OR(AC352=7, AF352=2),    SUM(AE$2:AE352),    O351)   )</f>
        <v>0</v>
      </c>
      <c r="P352" s="271">
        <f ca="1">IF(D352=12,V352+P351+P351*(F352-0.003)*0.9,IF(AND(C352=ÉV!$I$2,D352=ÉV!$J$2),V352+P351+P351*(F352-0.003)*0.9*D352/12,P351))*IF(OR(C352&gt;ÉV!$I$2,AND(C352=ÉV!$I$2,D352&gt;ÉV!$J$2)),0,1)</f>
        <v>0</v>
      </c>
      <c r="Q352" s="275">
        <f ca="1">(N352+P352)*IF(OR(AND(C352=ÉV!$I$2,D352&gt;ÉV!$J$2),C352&gt;ÉV!$I$2),0,1)</f>
        <v>0</v>
      </c>
      <c r="R352" s="271">
        <f ca="1">(MAX(0,F352-E352-0.003)*0.9*((K352+I352)*(1/12)))*IF(OR(C352&gt;ÉV!$I$2,AND(C352=ÉV!$I$2,D352&gt;ÉV!$J$2)),0,1)</f>
        <v>0</v>
      </c>
      <c r="S352" s="271">
        <f ca="1">(MAX(0,F352-0.003)*0.9*((O352)*(1/12)))*IF(OR(C352&gt;ÉV!$I$2,AND(C352=ÉV!$I$2,D352&gt;ÉV!$J$2)),0,1)</f>
        <v>0</v>
      </c>
      <c r="T352" s="271">
        <f ca="1">(MAX(0,F352-0.003)*0.9*((Q351)*(1/12)))*IF(OR(C352&gt;ÉV!$I$2,AND(C352=ÉV!$I$2,D352&gt;ÉV!$J$2)),0,1)</f>
        <v>0</v>
      </c>
      <c r="U352" s="271">
        <f ca="1">IF($D352=1,R352,R352+U351)*IF(OR(C352&gt;ÉV!$I$2,AND(C352=ÉV!$I$2,D352&gt;ÉV!$J$2)),0,1)</f>
        <v>0</v>
      </c>
      <c r="V352" s="271">
        <f ca="1">IF($D352=1,S352,S352+V351)*IF(OR(C352&gt;ÉV!$I$2,AND(C352=ÉV!$I$2,D352&gt;ÉV!$J$2)),0,1)</f>
        <v>0</v>
      </c>
      <c r="W352" s="271">
        <f ca="1">IF($D352=1,T352,T352+W351)*IF(OR(C352&gt;ÉV!$I$2,AND(C352=ÉV!$I$2,D352&gt;ÉV!$J$2)),0,1)</f>
        <v>0</v>
      </c>
      <c r="X352" s="271">
        <f ca="1">IF(OR(D352=12,AND(C352=ÉV!$I$2,D352=ÉV!$J$2)),SUM(U352:W352)+X351,X351)*IF(OR(C352&gt;ÉV!$I$2,AND(C352=ÉV!$I$2,D352&gt;ÉV!$J$2)),0,1)</f>
        <v>0</v>
      </c>
      <c r="Y352" s="271">
        <f t="shared" ca="1" si="57"/>
        <v>0</v>
      </c>
      <c r="Z352" s="265">
        <f t="shared" si="58"/>
        <v>2</v>
      </c>
      <c r="AA352" s="272">
        <f t="shared" ca="1" si="59"/>
        <v>0</v>
      </c>
      <c r="AB352" s="265">
        <f t="shared" ca="1" si="65"/>
        <v>2046</v>
      </c>
      <c r="AC352" s="265">
        <f t="shared" ca="1" si="66"/>
        <v>5</v>
      </c>
      <c r="AD352" s="276">
        <f ca="1">IF(     OR(               AND(MAX(AF$6:AF352)&lt;2,  AC352=12),                 AF352=2),                   SUMIF(AB:AB,AB352,AA:AA),                       0)</f>
        <v>0</v>
      </c>
      <c r="AE352" s="277">
        <f t="shared" ca="1" si="67"/>
        <v>0</v>
      </c>
      <c r="AF352" s="277">
        <f t="shared" ca="1" si="60"/>
        <v>0</v>
      </c>
      <c r="AG352" s="402">
        <f ca="1">IF(  AND(AC352=AdóHó,   MAX(AF$1:AF351)&lt;2),   SUMIF(AB:AB,AB352-1,AE:AE),0  )
+ IF(AND(AC352&lt;AdóHó,                            AF352=2),   SUMIF(AB:AB,AB352-1,AE:AE),0  )
+ IF(                                                                  AF352=2,    SUMIF(AB:AB,AB352,AE:AE   ),0  )</f>
        <v>0</v>
      </c>
      <c r="AH352" s="272">
        <f ca="1">SUM(AG$2:AG352)</f>
        <v>1139324.2410681627</v>
      </c>
    </row>
    <row r="353" spans="1:34">
      <c r="A353" s="265">
        <f t="shared" si="61"/>
        <v>30</v>
      </c>
      <c r="B353" s="265">
        <f t="shared" si="62"/>
        <v>3</v>
      </c>
      <c r="C353" s="265">
        <f t="shared" ca="1" si="63"/>
        <v>30</v>
      </c>
      <c r="D353" s="265">
        <f t="shared" ca="1" si="64"/>
        <v>6</v>
      </c>
      <c r="E353" s="266">
        <v>5.0000000000000001E-3</v>
      </c>
      <c r="F353" s="267">
        <f>ÉV!$B$12</f>
        <v>0</v>
      </c>
      <c r="G353" s="271">
        <f ca="1">VLOOKUP(A353,ÉV!$A$18:$B$65,2,0)</f>
        <v>0</v>
      </c>
      <c r="H353" s="271">
        <f ca="1">IF(OR(A353=1,AND(C353=ÉV!$I$2,D353&gt;ÉV!$J$2),C353&gt;ÉV!$I$2),0,INDEX(Pz!$B$2:$AM$48,A353-1,ÉV!$G$2-9)/100000*ÉV!$B$10)</f>
        <v>0</v>
      </c>
      <c r="I353" s="271">
        <f ca="1">INDEX(Pz!$B$2:$AM$48,HÓ!A353,ÉV!$G$2-9)/100000*ÉV!$B$10</f>
        <v>0</v>
      </c>
      <c r="J353" s="273">
        <f ca="1">IF(OR(A353=1,A353=2,AND(C353=ÉV!$I$2,D353&gt;ÉV!$J$2),C353&gt;ÉV!$I$2),0,VLOOKUP(A353-2,ÉV!$A$18:$C$65,3,0))</f>
        <v>0</v>
      </c>
      <c r="K353" s="273">
        <f ca="1">IF(OR(A353=1,AND(C353=ÉV!$I$2,D353&gt;ÉV!$J$2),C353&gt;ÉV!$I$2),0,VLOOKUP(A353-1,ÉV!$A$18:$C$65,3,0))</f>
        <v>0</v>
      </c>
      <c r="L353" s="273">
        <f ca="1">VLOOKUP(A353,ÉV!$A$18:$C$65,3,0)*IF(OR(AND(C353=ÉV!$I$2,D353&gt;ÉV!$J$2),C353&gt;ÉV!$I$2),0,1)</f>
        <v>0</v>
      </c>
      <c r="M353" s="273">
        <f ca="1">(K353*(12-B353)/12+L353*B353/12)*IF(A353&gt;ÉV!$G$2,0,1)+IF(A353&gt;ÉV!$G$2,M352,0)*IF(OR(AND(C353=ÉV!$I$2,D353&gt;ÉV!$J$2),C353&gt;ÉV!$I$2),0,1)</f>
        <v>0</v>
      </c>
      <c r="N353" s="274">
        <f ca="1">IF(AND(C353=1,D353&lt;12),0,1)*IF(D353=12,MAX(0,F353-E353-0.003)*0.9*((K353+I353)*(B353/12)+(J353+H353)*(1-B353/12))+MAX(0,F353-0.003)*0.9*N352+N352,IF(AND(C353=ÉV!$I$2,D353=ÉV!$J$2),(M353+N352)*MAX(0,F353-0.003)*0.9*(D353/12)+N352,N352))*IF(OR(C353&gt;ÉV!$I$2,AND(C353=ÉV!$I$2,D353&gt;ÉV!$J$2)),0,1)</f>
        <v>0</v>
      </c>
      <c r="O353" s="313">
        <f ca="1">IF(MAX(AF$2:AF352)=2,      0,IF(OR(AC353=7, AF353=2),    SUM(AE$2:AE353),    O352)   )</f>
        <v>0</v>
      </c>
      <c r="P353" s="271">
        <f ca="1">IF(D353=12,V353+P352+P352*(F353-0.003)*0.9,IF(AND(C353=ÉV!$I$2,D353=ÉV!$J$2),V353+P352+P352*(F353-0.003)*0.9*D353/12,P352))*IF(OR(C353&gt;ÉV!$I$2,AND(C353=ÉV!$I$2,D353&gt;ÉV!$J$2)),0,1)</f>
        <v>0</v>
      </c>
      <c r="Q353" s="275">
        <f ca="1">(N353+P353)*IF(OR(AND(C353=ÉV!$I$2,D353&gt;ÉV!$J$2),C353&gt;ÉV!$I$2),0,1)</f>
        <v>0</v>
      </c>
      <c r="R353" s="271">
        <f ca="1">(MAX(0,F353-E353-0.003)*0.9*((K353+I353)*(1/12)))*IF(OR(C353&gt;ÉV!$I$2,AND(C353=ÉV!$I$2,D353&gt;ÉV!$J$2)),0,1)</f>
        <v>0</v>
      </c>
      <c r="S353" s="271">
        <f ca="1">(MAX(0,F353-0.003)*0.9*((O353)*(1/12)))*IF(OR(C353&gt;ÉV!$I$2,AND(C353=ÉV!$I$2,D353&gt;ÉV!$J$2)),0,1)</f>
        <v>0</v>
      </c>
      <c r="T353" s="271">
        <f ca="1">(MAX(0,F353-0.003)*0.9*((Q352)*(1/12)))*IF(OR(C353&gt;ÉV!$I$2,AND(C353=ÉV!$I$2,D353&gt;ÉV!$J$2)),0,1)</f>
        <v>0</v>
      </c>
      <c r="U353" s="271">
        <f ca="1">IF($D353=1,R353,R353+U352)*IF(OR(C353&gt;ÉV!$I$2,AND(C353=ÉV!$I$2,D353&gt;ÉV!$J$2)),0,1)</f>
        <v>0</v>
      </c>
      <c r="V353" s="271">
        <f ca="1">IF($D353=1,S353,S353+V352)*IF(OR(C353&gt;ÉV!$I$2,AND(C353=ÉV!$I$2,D353&gt;ÉV!$J$2)),0,1)</f>
        <v>0</v>
      </c>
      <c r="W353" s="271">
        <f ca="1">IF($D353=1,T353,T353+W352)*IF(OR(C353&gt;ÉV!$I$2,AND(C353=ÉV!$I$2,D353&gt;ÉV!$J$2)),0,1)</f>
        <v>0</v>
      </c>
      <c r="X353" s="271">
        <f ca="1">IF(OR(D353=12,AND(C353=ÉV!$I$2,D353=ÉV!$J$2)),SUM(U353:W353)+X352,X352)*IF(OR(C353&gt;ÉV!$I$2,AND(C353=ÉV!$I$2,D353&gt;ÉV!$J$2)),0,1)</f>
        <v>0</v>
      </c>
      <c r="Y353" s="271">
        <f t="shared" ca="1" si="57"/>
        <v>0</v>
      </c>
      <c r="Z353" s="265">
        <f t="shared" si="58"/>
        <v>3</v>
      </c>
      <c r="AA353" s="272">
        <f t="shared" ca="1" si="59"/>
        <v>0</v>
      </c>
      <c r="AB353" s="265">
        <f t="shared" ca="1" si="65"/>
        <v>2046</v>
      </c>
      <c r="AC353" s="265">
        <f t="shared" ca="1" si="66"/>
        <v>6</v>
      </c>
      <c r="AD353" s="276">
        <f ca="1">IF(     OR(               AND(MAX(AF$6:AF353)&lt;2,  AC353=12),                 AF353=2),                   SUMIF(AB:AB,AB353,AA:AA),                       0)</f>
        <v>0</v>
      </c>
      <c r="AE353" s="277">
        <f t="shared" ca="1" si="67"/>
        <v>0</v>
      </c>
      <c r="AF353" s="277">
        <f t="shared" ca="1" si="60"/>
        <v>0</v>
      </c>
      <c r="AG353" s="402">
        <f ca="1">IF(  AND(AC353=AdóHó,   MAX(AF$1:AF352)&lt;2),   SUMIF(AB:AB,AB353-1,AE:AE),0  )
+ IF(AND(AC353&lt;AdóHó,                            AF353=2),   SUMIF(AB:AB,AB353-1,AE:AE),0  )
+ IF(                                                                  AF353=2,    SUMIF(AB:AB,AB353,AE:AE   ),0  )</f>
        <v>0</v>
      </c>
      <c r="AH353" s="272">
        <f ca="1">SUM(AG$2:AG353)</f>
        <v>1139324.2410681627</v>
      </c>
    </row>
    <row r="354" spans="1:34">
      <c r="A354" s="265">
        <f t="shared" si="61"/>
        <v>30</v>
      </c>
      <c r="B354" s="265">
        <f t="shared" si="62"/>
        <v>4</v>
      </c>
      <c r="C354" s="265">
        <f t="shared" ca="1" si="63"/>
        <v>30</v>
      </c>
      <c r="D354" s="265">
        <f t="shared" ca="1" si="64"/>
        <v>7</v>
      </c>
      <c r="E354" s="266">
        <v>5.0000000000000001E-3</v>
      </c>
      <c r="F354" s="267">
        <f>ÉV!$B$12</f>
        <v>0</v>
      </c>
      <c r="G354" s="271">
        <f ca="1">VLOOKUP(A354,ÉV!$A$18:$B$65,2,0)</f>
        <v>0</v>
      </c>
      <c r="H354" s="271">
        <f ca="1">IF(OR(A354=1,AND(C354=ÉV!$I$2,D354&gt;ÉV!$J$2),C354&gt;ÉV!$I$2),0,INDEX(Pz!$B$2:$AM$48,A354-1,ÉV!$G$2-9)/100000*ÉV!$B$10)</f>
        <v>0</v>
      </c>
      <c r="I354" s="271">
        <f ca="1">INDEX(Pz!$B$2:$AM$48,HÓ!A354,ÉV!$G$2-9)/100000*ÉV!$B$10</f>
        <v>0</v>
      </c>
      <c r="J354" s="273">
        <f ca="1">IF(OR(A354=1,A354=2,AND(C354=ÉV!$I$2,D354&gt;ÉV!$J$2),C354&gt;ÉV!$I$2),0,VLOOKUP(A354-2,ÉV!$A$18:$C$65,3,0))</f>
        <v>0</v>
      </c>
      <c r="K354" s="273">
        <f ca="1">IF(OR(A354=1,AND(C354=ÉV!$I$2,D354&gt;ÉV!$J$2),C354&gt;ÉV!$I$2),0,VLOOKUP(A354-1,ÉV!$A$18:$C$65,3,0))</f>
        <v>0</v>
      </c>
      <c r="L354" s="273">
        <f ca="1">VLOOKUP(A354,ÉV!$A$18:$C$65,3,0)*IF(OR(AND(C354=ÉV!$I$2,D354&gt;ÉV!$J$2),C354&gt;ÉV!$I$2),0,1)</f>
        <v>0</v>
      </c>
      <c r="M354" s="273">
        <f ca="1">(K354*(12-B354)/12+L354*B354/12)*IF(A354&gt;ÉV!$G$2,0,1)+IF(A354&gt;ÉV!$G$2,M353,0)*IF(OR(AND(C354=ÉV!$I$2,D354&gt;ÉV!$J$2),C354&gt;ÉV!$I$2),0,1)</f>
        <v>0</v>
      </c>
      <c r="N354" s="274">
        <f ca="1">IF(AND(C354=1,D354&lt;12),0,1)*IF(D354=12,MAX(0,F354-E354-0.003)*0.9*((K354+I354)*(B354/12)+(J354+H354)*(1-B354/12))+MAX(0,F354-0.003)*0.9*N353+N353,IF(AND(C354=ÉV!$I$2,D354=ÉV!$J$2),(M354+N353)*MAX(0,F354-0.003)*0.9*(D354/12)+N353,N353))*IF(OR(C354&gt;ÉV!$I$2,AND(C354=ÉV!$I$2,D354&gt;ÉV!$J$2)),0,1)</f>
        <v>0</v>
      </c>
      <c r="O354" s="313">
        <f ca="1">IF(MAX(AF$2:AF353)=2,      0,IF(OR(AC354=7, AF354=2),    SUM(AE$2:AE354),    O353)   )</f>
        <v>0</v>
      </c>
      <c r="P354" s="271">
        <f ca="1">IF(D354=12,V354+P353+P353*(F354-0.003)*0.9,IF(AND(C354=ÉV!$I$2,D354=ÉV!$J$2),V354+P353+P353*(F354-0.003)*0.9*D354/12,P353))*IF(OR(C354&gt;ÉV!$I$2,AND(C354=ÉV!$I$2,D354&gt;ÉV!$J$2)),0,1)</f>
        <v>0</v>
      </c>
      <c r="Q354" s="275">
        <f ca="1">(N354+P354)*IF(OR(AND(C354=ÉV!$I$2,D354&gt;ÉV!$J$2),C354&gt;ÉV!$I$2),0,1)</f>
        <v>0</v>
      </c>
      <c r="R354" s="271">
        <f ca="1">(MAX(0,F354-E354-0.003)*0.9*((K354+I354)*(1/12)))*IF(OR(C354&gt;ÉV!$I$2,AND(C354=ÉV!$I$2,D354&gt;ÉV!$J$2)),0,1)</f>
        <v>0</v>
      </c>
      <c r="S354" s="271">
        <f ca="1">(MAX(0,F354-0.003)*0.9*((O354)*(1/12)))*IF(OR(C354&gt;ÉV!$I$2,AND(C354=ÉV!$I$2,D354&gt;ÉV!$J$2)),0,1)</f>
        <v>0</v>
      </c>
      <c r="T354" s="271">
        <f ca="1">(MAX(0,F354-0.003)*0.9*((Q353)*(1/12)))*IF(OR(C354&gt;ÉV!$I$2,AND(C354=ÉV!$I$2,D354&gt;ÉV!$J$2)),0,1)</f>
        <v>0</v>
      </c>
      <c r="U354" s="271">
        <f ca="1">IF($D354=1,R354,R354+U353)*IF(OR(C354&gt;ÉV!$I$2,AND(C354=ÉV!$I$2,D354&gt;ÉV!$J$2)),0,1)</f>
        <v>0</v>
      </c>
      <c r="V354" s="271">
        <f ca="1">IF($D354=1,S354,S354+V353)*IF(OR(C354&gt;ÉV!$I$2,AND(C354=ÉV!$I$2,D354&gt;ÉV!$J$2)),0,1)</f>
        <v>0</v>
      </c>
      <c r="W354" s="271">
        <f ca="1">IF($D354=1,T354,T354+W353)*IF(OR(C354&gt;ÉV!$I$2,AND(C354=ÉV!$I$2,D354&gt;ÉV!$J$2)),0,1)</f>
        <v>0</v>
      </c>
      <c r="X354" s="271">
        <f ca="1">IF(OR(D354=12,AND(C354=ÉV!$I$2,D354=ÉV!$J$2)),SUM(U354:W354)+X353,X353)*IF(OR(C354&gt;ÉV!$I$2,AND(C354=ÉV!$I$2,D354&gt;ÉV!$J$2)),0,1)</f>
        <v>0</v>
      </c>
      <c r="Y354" s="271">
        <f t="shared" ca="1" si="57"/>
        <v>0</v>
      </c>
      <c r="Z354" s="265">
        <f t="shared" si="58"/>
        <v>4</v>
      </c>
      <c r="AA354" s="272">
        <f t="shared" ca="1" si="59"/>
        <v>0</v>
      </c>
      <c r="AB354" s="265">
        <f t="shared" ca="1" si="65"/>
        <v>2046</v>
      </c>
      <c r="AC354" s="265">
        <f t="shared" ca="1" si="66"/>
        <v>7</v>
      </c>
      <c r="AD354" s="276">
        <f ca="1">IF(     OR(               AND(MAX(AF$6:AF354)&lt;2,  AC354=12),                 AF354=2),                   SUMIF(AB:AB,AB354,AA:AA),                       0)</f>
        <v>0</v>
      </c>
      <c r="AE354" s="277">
        <f t="shared" ca="1" si="67"/>
        <v>0</v>
      </c>
      <c r="AF354" s="277">
        <f t="shared" ca="1" si="60"/>
        <v>0</v>
      </c>
      <c r="AG354" s="402">
        <f ca="1">IF(  AND(AC354=AdóHó,   MAX(AF$1:AF353)&lt;2),   SUMIF(AB:AB,AB354-1,AE:AE),0  )
+ IF(AND(AC354&lt;AdóHó,                            AF354=2),   SUMIF(AB:AB,AB354-1,AE:AE),0  )
+ IF(                                                                  AF354=2,    SUMIF(AB:AB,AB354,AE:AE   ),0  )</f>
        <v>0</v>
      </c>
      <c r="AH354" s="272">
        <f ca="1">SUM(AG$2:AG354)</f>
        <v>1139324.2410681627</v>
      </c>
    </row>
    <row r="355" spans="1:34">
      <c r="A355" s="265">
        <f t="shared" si="61"/>
        <v>30</v>
      </c>
      <c r="B355" s="265">
        <f t="shared" si="62"/>
        <v>5</v>
      </c>
      <c r="C355" s="265">
        <f t="shared" ca="1" si="63"/>
        <v>30</v>
      </c>
      <c r="D355" s="265">
        <f t="shared" ca="1" si="64"/>
        <v>8</v>
      </c>
      <c r="E355" s="266">
        <v>5.0000000000000001E-3</v>
      </c>
      <c r="F355" s="267">
        <f>ÉV!$B$12</f>
        <v>0</v>
      </c>
      <c r="G355" s="271">
        <f ca="1">VLOOKUP(A355,ÉV!$A$18:$B$65,2,0)</f>
        <v>0</v>
      </c>
      <c r="H355" s="271">
        <f ca="1">IF(OR(A355=1,AND(C355=ÉV!$I$2,D355&gt;ÉV!$J$2),C355&gt;ÉV!$I$2),0,INDEX(Pz!$B$2:$AM$48,A355-1,ÉV!$G$2-9)/100000*ÉV!$B$10)</f>
        <v>0</v>
      </c>
      <c r="I355" s="271">
        <f ca="1">INDEX(Pz!$B$2:$AM$48,HÓ!A355,ÉV!$G$2-9)/100000*ÉV!$B$10</f>
        <v>0</v>
      </c>
      <c r="J355" s="273">
        <f ca="1">IF(OR(A355=1,A355=2,AND(C355=ÉV!$I$2,D355&gt;ÉV!$J$2),C355&gt;ÉV!$I$2),0,VLOOKUP(A355-2,ÉV!$A$18:$C$65,3,0))</f>
        <v>0</v>
      </c>
      <c r="K355" s="273">
        <f ca="1">IF(OR(A355=1,AND(C355=ÉV!$I$2,D355&gt;ÉV!$J$2),C355&gt;ÉV!$I$2),0,VLOOKUP(A355-1,ÉV!$A$18:$C$65,3,0))</f>
        <v>0</v>
      </c>
      <c r="L355" s="273">
        <f ca="1">VLOOKUP(A355,ÉV!$A$18:$C$65,3,0)*IF(OR(AND(C355=ÉV!$I$2,D355&gt;ÉV!$J$2),C355&gt;ÉV!$I$2),0,1)</f>
        <v>0</v>
      </c>
      <c r="M355" s="273">
        <f ca="1">(K355*(12-B355)/12+L355*B355/12)*IF(A355&gt;ÉV!$G$2,0,1)+IF(A355&gt;ÉV!$G$2,M354,0)*IF(OR(AND(C355=ÉV!$I$2,D355&gt;ÉV!$J$2),C355&gt;ÉV!$I$2),0,1)</f>
        <v>0</v>
      </c>
      <c r="N355" s="274">
        <f ca="1">IF(AND(C355=1,D355&lt;12),0,1)*IF(D355=12,MAX(0,F355-E355-0.003)*0.9*((K355+I355)*(B355/12)+(J355+H355)*(1-B355/12))+MAX(0,F355-0.003)*0.9*N354+N354,IF(AND(C355=ÉV!$I$2,D355=ÉV!$J$2),(M355+N354)*MAX(0,F355-0.003)*0.9*(D355/12)+N354,N354))*IF(OR(C355&gt;ÉV!$I$2,AND(C355=ÉV!$I$2,D355&gt;ÉV!$J$2)),0,1)</f>
        <v>0</v>
      </c>
      <c r="O355" s="313">
        <f ca="1">IF(MAX(AF$2:AF354)=2,      0,IF(OR(AC355=7, AF355=2),    SUM(AE$2:AE355),    O354)   )</f>
        <v>0</v>
      </c>
      <c r="P355" s="271">
        <f ca="1">IF(D355=12,V355+P354+P354*(F355-0.003)*0.9,IF(AND(C355=ÉV!$I$2,D355=ÉV!$J$2),V355+P354+P354*(F355-0.003)*0.9*D355/12,P354))*IF(OR(C355&gt;ÉV!$I$2,AND(C355=ÉV!$I$2,D355&gt;ÉV!$J$2)),0,1)</f>
        <v>0</v>
      </c>
      <c r="Q355" s="275">
        <f ca="1">(N355+P355)*IF(OR(AND(C355=ÉV!$I$2,D355&gt;ÉV!$J$2),C355&gt;ÉV!$I$2),0,1)</f>
        <v>0</v>
      </c>
      <c r="R355" s="271">
        <f ca="1">(MAX(0,F355-E355-0.003)*0.9*((K355+I355)*(1/12)))*IF(OR(C355&gt;ÉV!$I$2,AND(C355=ÉV!$I$2,D355&gt;ÉV!$J$2)),0,1)</f>
        <v>0</v>
      </c>
      <c r="S355" s="271">
        <f ca="1">(MAX(0,F355-0.003)*0.9*((O355)*(1/12)))*IF(OR(C355&gt;ÉV!$I$2,AND(C355=ÉV!$I$2,D355&gt;ÉV!$J$2)),0,1)</f>
        <v>0</v>
      </c>
      <c r="T355" s="271">
        <f ca="1">(MAX(0,F355-0.003)*0.9*((Q354)*(1/12)))*IF(OR(C355&gt;ÉV!$I$2,AND(C355=ÉV!$I$2,D355&gt;ÉV!$J$2)),0,1)</f>
        <v>0</v>
      </c>
      <c r="U355" s="271">
        <f ca="1">IF($D355=1,R355,R355+U354)*IF(OR(C355&gt;ÉV!$I$2,AND(C355=ÉV!$I$2,D355&gt;ÉV!$J$2)),0,1)</f>
        <v>0</v>
      </c>
      <c r="V355" s="271">
        <f ca="1">IF($D355=1,S355,S355+V354)*IF(OR(C355&gt;ÉV!$I$2,AND(C355=ÉV!$I$2,D355&gt;ÉV!$J$2)),0,1)</f>
        <v>0</v>
      </c>
      <c r="W355" s="271">
        <f ca="1">IF($D355=1,T355,T355+W354)*IF(OR(C355&gt;ÉV!$I$2,AND(C355=ÉV!$I$2,D355&gt;ÉV!$J$2)),0,1)</f>
        <v>0</v>
      </c>
      <c r="X355" s="271">
        <f ca="1">IF(OR(D355=12,AND(C355=ÉV!$I$2,D355=ÉV!$J$2)),SUM(U355:W355)+X354,X354)*IF(OR(C355&gt;ÉV!$I$2,AND(C355=ÉV!$I$2,D355&gt;ÉV!$J$2)),0,1)</f>
        <v>0</v>
      </c>
      <c r="Y355" s="271">
        <f t="shared" ca="1" si="57"/>
        <v>0</v>
      </c>
      <c r="Z355" s="265">
        <f t="shared" si="58"/>
        <v>5</v>
      </c>
      <c r="AA355" s="272">
        <f t="shared" ca="1" si="59"/>
        <v>0</v>
      </c>
      <c r="AB355" s="265">
        <f t="shared" ca="1" si="65"/>
        <v>2046</v>
      </c>
      <c r="AC355" s="265">
        <f t="shared" ca="1" si="66"/>
        <v>8</v>
      </c>
      <c r="AD355" s="276">
        <f ca="1">IF(     OR(               AND(MAX(AF$6:AF355)&lt;2,  AC355=12),                 AF355=2),                   SUMIF(AB:AB,AB355,AA:AA),                       0)</f>
        <v>0</v>
      </c>
      <c r="AE355" s="277">
        <f t="shared" ca="1" si="67"/>
        <v>0</v>
      </c>
      <c r="AF355" s="277">
        <f t="shared" ca="1" si="60"/>
        <v>0</v>
      </c>
      <c r="AG355" s="402">
        <f ca="1">IF(  AND(AC355=AdóHó,   MAX(AF$1:AF354)&lt;2),   SUMIF(AB:AB,AB355-1,AE:AE),0  )
+ IF(AND(AC355&lt;AdóHó,                            AF355=2),   SUMIF(AB:AB,AB355-1,AE:AE),0  )
+ IF(                                                                  AF355=2,    SUMIF(AB:AB,AB355,AE:AE   ),0  )</f>
        <v>0</v>
      </c>
      <c r="AH355" s="272">
        <f ca="1">SUM(AG$2:AG355)</f>
        <v>1139324.2410681627</v>
      </c>
    </row>
    <row r="356" spans="1:34">
      <c r="A356" s="265">
        <f t="shared" si="61"/>
        <v>30</v>
      </c>
      <c r="B356" s="265">
        <f t="shared" si="62"/>
        <v>6</v>
      </c>
      <c r="C356" s="265">
        <f t="shared" ca="1" si="63"/>
        <v>30</v>
      </c>
      <c r="D356" s="265">
        <f t="shared" ca="1" si="64"/>
        <v>9</v>
      </c>
      <c r="E356" s="266">
        <v>5.0000000000000001E-3</v>
      </c>
      <c r="F356" s="267">
        <f>ÉV!$B$12</f>
        <v>0</v>
      </c>
      <c r="G356" s="271">
        <f ca="1">VLOOKUP(A356,ÉV!$A$18:$B$65,2,0)</f>
        <v>0</v>
      </c>
      <c r="H356" s="271">
        <f ca="1">IF(OR(A356=1,AND(C356=ÉV!$I$2,D356&gt;ÉV!$J$2),C356&gt;ÉV!$I$2),0,INDEX(Pz!$B$2:$AM$48,A356-1,ÉV!$G$2-9)/100000*ÉV!$B$10)</f>
        <v>0</v>
      </c>
      <c r="I356" s="271">
        <f ca="1">INDEX(Pz!$B$2:$AM$48,HÓ!A356,ÉV!$G$2-9)/100000*ÉV!$B$10</f>
        <v>0</v>
      </c>
      <c r="J356" s="273">
        <f ca="1">IF(OR(A356=1,A356=2,AND(C356=ÉV!$I$2,D356&gt;ÉV!$J$2),C356&gt;ÉV!$I$2),0,VLOOKUP(A356-2,ÉV!$A$18:$C$65,3,0))</f>
        <v>0</v>
      </c>
      <c r="K356" s="273">
        <f ca="1">IF(OR(A356=1,AND(C356=ÉV!$I$2,D356&gt;ÉV!$J$2),C356&gt;ÉV!$I$2),0,VLOOKUP(A356-1,ÉV!$A$18:$C$65,3,0))</f>
        <v>0</v>
      </c>
      <c r="L356" s="273">
        <f ca="1">VLOOKUP(A356,ÉV!$A$18:$C$65,3,0)*IF(OR(AND(C356=ÉV!$I$2,D356&gt;ÉV!$J$2),C356&gt;ÉV!$I$2),0,1)</f>
        <v>0</v>
      </c>
      <c r="M356" s="273">
        <f ca="1">(K356*(12-B356)/12+L356*B356/12)*IF(A356&gt;ÉV!$G$2,0,1)+IF(A356&gt;ÉV!$G$2,M355,0)*IF(OR(AND(C356=ÉV!$I$2,D356&gt;ÉV!$J$2),C356&gt;ÉV!$I$2),0,1)</f>
        <v>0</v>
      </c>
      <c r="N356" s="274">
        <f ca="1">IF(AND(C356=1,D356&lt;12),0,1)*IF(D356=12,MAX(0,F356-E356-0.003)*0.9*((K356+I356)*(B356/12)+(J356+H356)*(1-B356/12))+MAX(0,F356-0.003)*0.9*N355+N355,IF(AND(C356=ÉV!$I$2,D356=ÉV!$J$2),(M356+N355)*MAX(0,F356-0.003)*0.9*(D356/12)+N355,N355))*IF(OR(C356&gt;ÉV!$I$2,AND(C356=ÉV!$I$2,D356&gt;ÉV!$J$2)),0,1)</f>
        <v>0</v>
      </c>
      <c r="O356" s="313">
        <f ca="1">IF(MAX(AF$2:AF355)=2,      0,IF(OR(AC356=7, AF356=2),    SUM(AE$2:AE356),    O355)   )</f>
        <v>0</v>
      </c>
      <c r="P356" s="271">
        <f ca="1">IF(D356=12,V356+P355+P355*(F356-0.003)*0.9,IF(AND(C356=ÉV!$I$2,D356=ÉV!$J$2),V356+P355+P355*(F356-0.003)*0.9*D356/12,P355))*IF(OR(C356&gt;ÉV!$I$2,AND(C356=ÉV!$I$2,D356&gt;ÉV!$J$2)),0,1)</f>
        <v>0</v>
      </c>
      <c r="Q356" s="275">
        <f ca="1">(N356+P356)*IF(OR(AND(C356=ÉV!$I$2,D356&gt;ÉV!$J$2),C356&gt;ÉV!$I$2),0,1)</f>
        <v>0</v>
      </c>
      <c r="R356" s="271">
        <f ca="1">(MAX(0,F356-E356-0.003)*0.9*((K356+I356)*(1/12)))*IF(OR(C356&gt;ÉV!$I$2,AND(C356=ÉV!$I$2,D356&gt;ÉV!$J$2)),0,1)</f>
        <v>0</v>
      </c>
      <c r="S356" s="271">
        <f ca="1">(MAX(0,F356-0.003)*0.9*((O356)*(1/12)))*IF(OR(C356&gt;ÉV!$I$2,AND(C356=ÉV!$I$2,D356&gt;ÉV!$J$2)),0,1)</f>
        <v>0</v>
      </c>
      <c r="T356" s="271">
        <f ca="1">(MAX(0,F356-0.003)*0.9*((Q355)*(1/12)))*IF(OR(C356&gt;ÉV!$I$2,AND(C356=ÉV!$I$2,D356&gt;ÉV!$J$2)),0,1)</f>
        <v>0</v>
      </c>
      <c r="U356" s="271">
        <f ca="1">IF($D356=1,R356,R356+U355)*IF(OR(C356&gt;ÉV!$I$2,AND(C356=ÉV!$I$2,D356&gt;ÉV!$J$2)),0,1)</f>
        <v>0</v>
      </c>
      <c r="V356" s="271">
        <f ca="1">IF($D356=1,S356,S356+V355)*IF(OR(C356&gt;ÉV!$I$2,AND(C356=ÉV!$I$2,D356&gt;ÉV!$J$2)),0,1)</f>
        <v>0</v>
      </c>
      <c r="W356" s="271">
        <f ca="1">IF($D356=1,T356,T356+W355)*IF(OR(C356&gt;ÉV!$I$2,AND(C356=ÉV!$I$2,D356&gt;ÉV!$J$2)),0,1)</f>
        <v>0</v>
      </c>
      <c r="X356" s="271">
        <f ca="1">IF(OR(D356=12,AND(C356=ÉV!$I$2,D356=ÉV!$J$2)),SUM(U356:W356)+X355,X355)*IF(OR(C356&gt;ÉV!$I$2,AND(C356=ÉV!$I$2,D356&gt;ÉV!$J$2)),0,1)</f>
        <v>0</v>
      </c>
      <c r="Y356" s="271">
        <f t="shared" ca="1" si="57"/>
        <v>0</v>
      </c>
      <c r="Z356" s="265">
        <f t="shared" si="58"/>
        <v>6</v>
      </c>
      <c r="AA356" s="272">
        <f t="shared" ca="1" si="59"/>
        <v>0</v>
      </c>
      <c r="AB356" s="265">
        <f t="shared" ca="1" si="65"/>
        <v>2046</v>
      </c>
      <c r="AC356" s="265">
        <f t="shared" ca="1" si="66"/>
        <v>9</v>
      </c>
      <c r="AD356" s="276">
        <f ca="1">IF(     OR(               AND(MAX(AF$6:AF356)&lt;2,  AC356=12),                 AF356=2),                   SUMIF(AB:AB,AB356,AA:AA),                       0)</f>
        <v>0</v>
      </c>
      <c r="AE356" s="277">
        <f t="shared" ca="1" si="67"/>
        <v>0</v>
      </c>
      <c r="AF356" s="277">
        <f t="shared" ca="1" si="60"/>
        <v>0</v>
      </c>
      <c r="AG356" s="402">
        <f ca="1">IF(  AND(AC356=AdóHó,   MAX(AF$1:AF355)&lt;2),   SUMIF(AB:AB,AB356-1,AE:AE),0  )
+ IF(AND(AC356&lt;AdóHó,                            AF356=2),   SUMIF(AB:AB,AB356-1,AE:AE),0  )
+ IF(                                                                  AF356=2,    SUMIF(AB:AB,AB356,AE:AE   ),0  )</f>
        <v>0</v>
      </c>
      <c r="AH356" s="272">
        <f ca="1">SUM(AG$2:AG356)</f>
        <v>1139324.2410681627</v>
      </c>
    </row>
    <row r="357" spans="1:34">
      <c r="A357" s="265">
        <f t="shared" si="61"/>
        <v>30</v>
      </c>
      <c r="B357" s="265">
        <f t="shared" si="62"/>
        <v>7</v>
      </c>
      <c r="C357" s="265">
        <f t="shared" ca="1" si="63"/>
        <v>30</v>
      </c>
      <c r="D357" s="265">
        <f t="shared" ca="1" si="64"/>
        <v>10</v>
      </c>
      <c r="E357" s="266">
        <v>5.0000000000000001E-3</v>
      </c>
      <c r="F357" s="267">
        <f>ÉV!$B$12</f>
        <v>0</v>
      </c>
      <c r="G357" s="271">
        <f ca="1">VLOOKUP(A357,ÉV!$A$18:$B$65,2,0)</f>
        <v>0</v>
      </c>
      <c r="H357" s="271">
        <f ca="1">IF(OR(A357=1,AND(C357=ÉV!$I$2,D357&gt;ÉV!$J$2),C357&gt;ÉV!$I$2),0,INDEX(Pz!$B$2:$AM$48,A357-1,ÉV!$G$2-9)/100000*ÉV!$B$10)</f>
        <v>0</v>
      </c>
      <c r="I357" s="271">
        <f ca="1">INDEX(Pz!$B$2:$AM$48,HÓ!A357,ÉV!$G$2-9)/100000*ÉV!$B$10</f>
        <v>0</v>
      </c>
      <c r="J357" s="273">
        <f ca="1">IF(OR(A357=1,A357=2,AND(C357=ÉV!$I$2,D357&gt;ÉV!$J$2),C357&gt;ÉV!$I$2),0,VLOOKUP(A357-2,ÉV!$A$18:$C$65,3,0))</f>
        <v>0</v>
      </c>
      <c r="K357" s="273">
        <f ca="1">IF(OR(A357=1,AND(C357=ÉV!$I$2,D357&gt;ÉV!$J$2),C357&gt;ÉV!$I$2),0,VLOOKUP(A357-1,ÉV!$A$18:$C$65,3,0))</f>
        <v>0</v>
      </c>
      <c r="L357" s="273">
        <f ca="1">VLOOKUP(A357,ÉV!$A$18:$C$65,3,0)*IF(OR(AND(C357=ÉV!$I$2,D357&gt;ÉV!$J$2),C357&gt;ÉV!$I$2),0,1)</f>
        <v>0</v>
      </c>
      <c r="M357" s="273">
        <f ca="1">(K357*(12-B357)/12+L357*B357/12)*IF(A357&gt;ÉV!$G$2,0,1)+IF(A357&gt;ÉV!$G$2,M356,0)*IF(OR(AND(C357=ÉV!$I$2,D357&gt;ÉV!$J$2),C357&gt;ÉV!$I$2),0,1)</f>
        <v>0</v>
      </c>
      <c r="N357" s="274">
        <f ca="1">IF(AND(C357=1,D357&lt;12),0,1)*IF(D357=12,MAX(0,F357-E357-0.003)*0.9*((K357+I357)*(B357/12)+(J357+H357)*(1-B357/12))+MAX(0,F357-0.003)*0.9*N356+N356,IF(AND(C357=ÉV!$I$2,D357=ÉV!$J$2),(M357+N356)*MAX(0,F357-0.003)*0.9*(D357/12)+N356,N356))*IF(OR(C357&gt;ÉV!$I$2,AND(C357=ÉV!$I$2,D357&gt;ÉV!$J$2)),0,1)</f>
        <v>0</v>
      </c>
      <c r="O357" s="313">
        <f ca="1">IF(MAX(AF$2:AF356)=2,      0,IF(OR(AC357=7, AF357=2),    SUM(AE$2:AE357),    O356)   )</f>
        <v>0</v>
      </c>
      <c r="P357" s="271">
        <f ca="1">IF(D357=12,V357+P356+P356*(F357-0.003)*0.9,IF(AND(C357=ÉV!$I$2,D357=ÉV!$J$2),V357+P356+P356*(F357-0.003)*0.9*D357/12,P356))*IF(OR(C357&gt;ÉV!$I$2,AND(C357=ÉV!$I$2,D357&gt;ÉV!$J$2)),0,1)</f>
        <v>0</v>
      </c>
      <c r="Q357" s="275">
        <f ca="1">(N357+P357)*IF(OR(AND(C357=ÉV!$I$2,D357&gt;ÉV!$J$2),C357&gt;ÉV!$I$2),0,1)</f>
        <v>0</v>
      </c>
      <c r="R357" s="271">
        <f ca="1">(MAX(0,F357-E357-0.003)*0.9*((K357+I357)*(1/12)))*IF(OR(C357&gt;ÉV!$I$2,AND(C357=ÉV!$I$2,D357&gt;ÉV!$J$2)),0,1)</f>
        <v>0</v>
      </c>
      <c r="S357" s="271">
        <f ca="1">(MAX(0,F357-0.003)*0.9*((O357)*(1/12)))*IF(OR(C357&gt;ÉV!$I$2,AND(C357=ÉV!$I$2,D357&gt;ÉV!$J$2)),0,1)</f>
        <v>0</v>
      </c>
      <c r="T357" s="271">
        <f ca="1">(MAX(0,F357-0.003)*0.9*((Q356)*(1/12)))*IF(OR(C357&gt;ÉV!$I$2,AND(C357=ÉV!$I$2,D357&gt;ÉV!$J$2)),0,1)</f>
        <v>0</v>
      </c>
      <c r="U357" s="271">
        <f ca="1">IF($D357=1,R357,R357+U356)*IF(OR(C357&gt;ÉV!$I$2,AND(C357=ÉV!$I$2,D357&gt;ÉV!$J$2)),0,1)</f>
        <v>0</v>
      </c>
      <c r="V357" s="271">
        <f ca="1">IF($D357=1,S357,S357+V356)*IF(OR(C357&gt;ÉV!$I$2,AND(C357=ÉV!$I$2,D357&gt;ÉV!$J$2)),0,1)</f>
        <v>0</v>
      </c>
      <c r="W357" s="271">
        <f ca="1">IF($D357=1,T357,T357+W356)*IF(OR(C357&gt;ÉV!$I$2,AND(C357=ÉV!$I$2,D357&gt;ÉV!$J$2)),0,1)</f>
        <v>0</v>
      </c>
      <c r="X357" s="271">
        <f ca="1">IF(OR(D357=12,AND(C357=ÉV!$I$2,D357=ÉV!$J$2)),SUM(U357:W357)+X356,X356)*IF(OR(C357&gt;ÉV!$I$2,AND(C357=ÉV!$I$2,D357&gt;ÉV!$J$2)),0,1)</f>
        <v>0</v>
      </c>
      <c r="Y357" s="271">
        <f t="shared" ca="1" si="57"/>
        <v>0</v>
      </c>
      <c r="Z357" s="265">
        <f t="shared" si="58"/>
        <v>7</v>
      </c>
      <c r="AA357" s="272">
        <f t="shared" ca="1" si="59"/>
        <v>0</v>
      </c>
      <c r="AB357" s="265">
        <f t="shared" ca="1" si="65"/>
        <v>2046</v>
      </c>
      <c r="AC357" s="265">
        <f t="shared" ca="1" si="66"/>
        <v>10</v>
      </c>
      <c r="AD357" s="276">
        <f ca="1">IF(     OR(               AND(MAX(AF$6:AF357)&lt;2,  AC357=12),                 AF357=2),                   SUMIF(AB:AB,AB357,AA:AA),                       0)</f>
        <v>0</v>
      </c>
      <c r="AE357" s="277">
        <f t="shared" ca="1" si="67"/>
        <v>0</v>
      </c>
      <c r="AF357" s="277">
        <f t="shared" ca="1" si="60"/>
        <v>0</v>
      </c>
      <c r="AG357" s="402">
        <f ca="1">IF(  AND(AC357=AdóHó,   MAX(AF$1:AF356)&lt;2),   SUMIF(AB:AB,AB357-1,AE:AE),0  )
+ IF(AND(AC357&lt;AdóHó,                            AF357=2),   SUMIF(AB:AB,AB357-1,AE:AE),0  )
+ IF(                                                                  AF357=2,    SUMIF(AB:AB,AB357,AE:AE   ),0  )</f>
        <v>0</v>
      </c>
      <c r="AH357" s="272">
        <f ca="1">SUM(AG$2:AG357)</f>
        <v>1139324.2410681627</v>
      </c>
    </row>
    <row r="358" spans="1:34">
      <c r="A358" s="265">
        <f t="shared" si="61"/>
        <v>30</v>
      </c>
      <c r="B358" s="265">
        <f t="shared" si="62"/>
        <v>8</v>
      </c>
      <c r="C358" s="265">
        <f t="shared" ca="1" si="63"/>
        <v>30</v>
      </c>
      <c r="D358" s="265">
        <f t="shared" ca="1" si="64"/>
        <v>11</v>
      </c>
      <c r="E358" s="266">
        <v>5.0000000000000001E-3</v>
      </c>
      <c r="F358" s="267">
        <f>ÉV!$B$12</f>
        <v>0</v>
      </c>
      <c r="G358" s="271">
        <f ca="1">VLOOKUP(A358,ÉV!$A$18:$B$65,2,0)</f>
        <v>0</v>
      </c>
      <c r="H358" s="271">
        <f ca="1">IF(OR(A358=1,AND(C358=ÉV!$I$2,D358&gt;ÉV!$J$2),C358&gt;ÉV!$I$2),0,INDEX(Pz!$B$2:$AM$48,A358-1,ÉV!$G$2-9)/100000*ÉV!$B$10)</f>
        <v>0</v>
      </c>
      <c r="I358" s="271">
        <f ca="1">INDEX(Pz!$B$2:$AM$48,HÓ!A358,ÉV!$G$2-9)/100000*ÉV!$B$10</f>
        <v>0</v>
      </c>
      <c r="J358" s="273">
        <f ca="1">IF(OR(A358=1,A358=2,AND(C358=ÉV!$I$2,D358&gt;ÉV!$J$2),C358&gt;ÉV!$I$2),0,VLOOKUP(A358-2,ÉV!$A$18:$C$65,3,0))</f>
        <v>0</v>
      </c>
      <c r="K358" s="273">
        <f ca="1">IF(OR(A358=1,AND(C358=ÉV!$I$2,D358&gt;ÉV!$J$2),C358&gt;ÉV!$I$2),0,VLOOKUP(A358-1,ÉV!$A$18:$C$65,3,0))</f>
        <v>0</v>
      </c>
      <c r="L358" s="273">
        <f ca="1">VLOOKUP(A358,ÉV!$A$18:$C$65,3,0)*IF(OR(AND(C358=ÉV!$I$2,D358&gt;ÉV!$J$2),C358&gt;ÉV!$I$2),0,1)</f>
        <v>0</v>
      </c>
      <c r="M358" s="273">
        <f ca="1">(K358*(12-B358)/12+L358*B358/12)*IF(A358&gt;ÉV!$G$2,0,1)+IF(A358&gt;ÉV!$G$2,M357,0)*IF(OR(AND(C358=ÉV!$I$2,D358&gt;ÉV!$J$2),C358&gt;ÉV!$I$2),0,1)</f>
        <v>0</v>
      </c>
      <c r="N358" s="274">
        <f ca="1">IF(AND(C358=1,D358&lt;12),0,1)*IF(D358=12,MAX(0,F358-E358-0.003)*0.9*((K358+I358)*(B358/12)+(J358+H358)*(1-B358/12))+MAX(0,F358-0.003)*0.9*N357+N357,IF(AND(C358=ÉV!$I$2,D358=ÉV!$J$2),(M358+N357)*MAX(0,F358-0.003)*0.9*(D358/12)+N357,N357))*IF(OR(C358&gt;ÉV!$I$2,AND(C358=ÉV!$I$2,D358&gt;ÉV!$J$2)),0,1)</f>
        <v>0</v>
      </c>
      <c r="O358" s="313">
        <f ca="1">IF(MAX(AF$2:AF357)=2,      0,IF(OR(AC358=7, AF358=2),    SUM(AE$2:AE358),    O357)   )</f>
        <v>0</v>
      </c>
      <c r="P358" s="271">
        <f ca="1">IF(D358=12,V358+P357+P357*(F358-0.003)*0.9,IF(AND(C358=ÉV!$I$2,D358=ÉV!$J$2),V358+P357+P357*(F358-0.003)*0.9*D358/12,P357))*IF(OR(C358&gt;ÉV!$I$2,AND(C358=ÉV!$I$2,D358&gt;ÉV!$J$2)),0,1)</f>
        <v>0</v>
      </c>
      <c r="Q358" s="275">
        <f ca="1">(N358+P358)*IF(OR(AND(C358=ÉV!$I$2,D358&gt;ÉV!$J$2),C358&gt;ÉV!$I$2),0,1)</f>
        <v>0</v>
      </c>
      <c r="R358" s="271">
        <f ca="1">(MAX(0,F358-E358-0.003)*0.9*((K358+I358)*(1/12)))*IF(OR(C358&gt;ÉV!$I$2,AND(C358=ÉV!$I$2,D358&gt;ÉV!$J$2)),0,1)</f>
        <v>0</v>
      </c>
      <c r="S358" s="271">
        <f ca="1">(MAX(0,F358-0.003)*0.9*((O358)*(1/12)))*IF(OR(C358&gt;ÉV!$I$2,AND(C358=ÉV!$I$2,D358&gt;ÉV!$J$2)),0,1)</f>
        <v>0</v>
      </c>
      <c r="T358" s="271">
        <f ca="1">(MAX(0,F358-0.003)*0.9*((Q357)*(1/12)))*IF(OR(C358&gt;ÉV!$I$2,AND(C358=ÉV!$I$2,D358&gt;ÉV!$J$2)),0,1)</f>
        <v>0</v>
      </c>
      <c r="U358" s="271">
        <f ca="1">IF($D358=1,R358,R358+U357)*IF(OR(C358&gt;ÉV!$I$2,AND(C358=ÉV!$I$2,D358&gt;ÉV!$J$2)),0,1)</f>
        <v>0</v>
      </c>
      <c r="V358" s="271">
        <f ca="1">IF($D358=1,S358,S358+V357)*IF(OR(C358&gt;ÉV!$I$2,AND(C358=ÉV!$I$2,D358&gt;ÉV!$J$2)),0,1)</f>
        <v>0</v>
      </c>
      <c r="W358" s="271">
        <f ca="1">IF($D358=1,T358,T358+W357)*IF(OR(C358&gt;ÉV!$I$2,AND(C358=ÉV!$I$2,D358&gt;ÉV!$J$2)),0,1)</f>
        <v>0</v>
      </c>
      <c r="X358" s="271">
        <f ca="1">IF(OR(D358=12,AND(C358=ÉV!$I$2,D358=ÉV!$J$2)),SUM(U358:W358)+X357,X357)*IF(OR(C358&gt;ÉV!$I$2,AND(C358=ÉV!$I$2,D358&gt;ÉV!$J$2)),0,1)</f>
        <v>0</v>
      </c>
      <c r="Y358" s="271">
        <f t="shared" ca="1" si="57"/>
        <v>0</v>
      </c>
      <c r="Z358" s="265">
        <f t="shared" si="58"/>
        <v>8</v>
      </c>
      <c r="AA358" s="272">
        <f t="shared" ca="1" si="59"/>
        <v>0</v>
      </c>
      <c r="AB358" s="265">
        <f t="shared" ca="1" si="65"/>
        <v>2046</v>
      </c>
      <c r="AC358" s="265">
        <f t="shared" ca="1" si="66"/>
        <v>11</v>
      </c>
      <c r="AD358" s="276">
        <f ca="1">IF(     OR(               AND(MAX(AF$6:AF358)&lt;2,  AC358=12),                 AF358=2),                   SUMIF(AB:AB,AB358,AA:AA),                       0)</f>
        <v>0</v>
      </c>
      <c r="AE358" s="277">
        <f t="shared" ca="1" si="67"/>
        <v>0</v>
      </c>
      <c r="AF358" s="277">
        <f t="shared" ca="1" si="60"/>
        <v>0</v>
      </c>
      <c r="AG358" s="402">
        <f ca="1">IF(  AND(AC358=AdóHó,   MAX(AF$1:AF357)&lt;2),   SUMIF(AB:AB,AB358-1,AE:AE),0  )
+ IF(AND(AC358&lt;AdóHó,                            AF358=2),   SUMIF(AB:AB,AB358-1,AE:AE),0  )
+ IF(                                                                  AF358=2,    SUMIF(AB:AB,AB358,AE:AE   ),0  )</f>
        <v>0</v>
      </c>
      <c r="AH358" s="272">
        <f ca="1">SUM(AG$2:AG358)</f>
        <v>1139324.2410681627</v>
      </c>
    </row>
    <row r="359" spans="1:34">
      <c r="A359" s="265">
        <f t="shared" si="61"/>
        <v>30</v>
      </c>
      <c r="B359" s="265">
        <f t="shared" si="62"/>
        <v>9</v>
      </c>
      <c r="C359" s="265">
        <f t="shared" ca="1" si="63"/>
        <v>30</v>
      </c>
      <c r="D359" s="265">
        <f t="shared" ca="1" si="64"/>
        <v>12</v>
      </c>
      <c r="E359" s="266">
        <v>5.0000000000000001E-3</v>
      </c>
      <c r="F359" s="267">
        <f>ÉV!$B$12</f>
        <v>0</v>
      </c>
      <c r="G359" s="271">
        <f ca="1">VLOOKUP(A359,ÉV!$A$18:$B$65,2,0)</f>
        <v>0</v>
      </c>
      <c r="H359" s="271">
        <f ca="1">IF(OR(A359=1,AND(C359=ÉV!$I$2,D359&gt;ÉV!$J$2),C359&gt;ÉV!$I$2),0,INDEX(Pz!$B$2:$AM$48,A359-1,ÉV!$G$2-9)/100000*ÉV!$B$10)</f>
        <v>0</v>
      </c>
      <c r="I359" s="271">
        <f ca="1">INDEX(Pz!$B$2:$AM$48,HÓ!A359,ÉV!$G$2-9)/100000*ÉV!$B$10</f>
        <v>0</v>
      </c>
      <c r="J359" s="273">
        <f ca="1">IF(OR(A359=1,A359=2,AND(C359=ÉV!$I$2,D359&gt;ÉV!$J$2),C359&gt;ÉV!$I$2),0,VLOOKUP(A359-2,ÉV!$A$18:$C$65,3,0))</f>
        <v>0</v>
      </c>
      <c r="K359" s="273">
        <f ca="1">IF(OR(A359=1,AND(C359=ÉV!$I$2,D359&gt;ÉV!$J$2),C359&gt;ÉV!$I$2),0,VLOOKUP(A359-1,ÉV!$A$18:$C$65,3,0))</f>
        <v>0</v>
      </c>
      <c r="L359" s="273">
        <f ca="1">VLOOKUP(A359,ÉV!$A$18:$C$65,3,0)*IF(OR(AND(C359=ÉV!$I$2,D359&gt;ÉV!$J$2),C359&gt;ÉV!$I$2),0,1)</f>
        <v>0</v>
      </c>
      <c r="M359" s="273">
        <f ca="1">(K359*(12-B359)/12+L359*B359/12)*IF(A359&gt;ÉV!$G$2,0,1)+IF(A359&gt;ÉV!$G$2,M358,0)*IF(OR(AND(C359=ÉV!$I$2,D359&gt;ÉV!$J$2),C359&gt;ÉV!$I$2),0,1)</f>
        <v>0</v>
      </c>
      <c r="N359" s="274">
        <f ca="1">IF(AND(C359=1,D359&lt;12),0,1)*IF(D359=12,MAX(0,F359-E359-0.003)*0.9*((K359+I359)*(B359/12)+(J359+H359)*(1-B359/12))+MAX(0,F359-0.003)*0.9*N358+N358,IF(AND(C359=ÉV!$I$2,D359=ÉV!$J$2),(M359+N358)*MAX(0,F359-0.003)*0.9*(D359/12)+N358,N358))*IF(OR(C359&gt;ÉV!$I$2,AND(C359=ÉV!$I$2,D359&gt;ÉV!$J$2)),0,1)</f>
        <v>0</v>
      </c>
      <c r="O359" s="313">
        <f ca="1">IF(MAX(AF$2:AF358)=2,      0,IF(OR(AC359=7, AF359=2),    SUM(AE$2:AE359),    O358)   )</f>
        <v>0</v>
      </c>
      <c r="P359" s="271">
        <f ca="1">IF(D359=12,V359+P358+P358*(F359-0.003)*0.9,IF(AND(C359=ÉV!$I$2,D359=ÉV!$J$2),V359+P358+P358*(F359-0.003)*0.9*D359/12,P358))*IF(OR(C359&gt;ÉV!$I$2,AND(C359=ÉV!$I$2,D359&gt;ÉV!$J$2)),0,1)</f>
        <v>0</v>
      </c>
      <c r="Q359" s="275">
        <f ca="1">(N359+P359)*IF(OR(AND(C359=ÉV!$I$2,D359&gt;ÉV!$J$2),C359&gt;ÉV!$I$2),0,1)</f>
        <v>0</v>
      </c>
      <c r="R359" s="271">
        <f ca="1">(MAX(0,F359-E359-0.003)*0.9*((K359+I359)*(1/12)))*IF(OR(C359&gt;ÉV!$I$2,AND(C359=ÉV!$I$2,D359&gt;ÉV!$J$2)),0,1)</f>
        <v>0</v>
      </c>
      <c r="S359" s="271">
        <f ca="1">(MAX(0,F359-0.003)*0.9*((O359)*(1/12)))*IF(OR(C359&gt;ÉV!$I$2,AND(C359=ÉV!$I$2,D359&gt;ÉV!$J$2)),0,1)</f>
        <v>0</v>
      </c>
      <c r="T359" s="271">
        <f ca="1">(MAX(0,F359-0.003)*0.9*((Q358)*(1/12)))*IF(OR(C359&gt;ÉV!$I$2,AND(C359=ÉV!$I$2,D359&gt;ÉV!$J$2)),0,1)</f>
        <v>0</v>
      </c>
      <c r="U359" s="271">
        <f ca="1">IF($D359=1,R359,R359+U358)*IF(OR(C359&gt;ÉV!$I$2,AND(C359=ÉV!$I$2,D359&gt;ÉV!$J$2)),0,1)</f>
        <v>0</v>
      </c>
      <c r="V359" s="271">
        <f ca="1">IF($D359=1,S359,S359+V358)*IF(OR(C359&gt;ÉV!$I$2,AND(C359=ÉV!$I$2,D359&gt;ÉV!$J$2)),0,1)</f>
        <v>0</v>
      </c>
      <c r="W359" s="271">
        <f ca="1">IF($D359=1,T359,T359+W358)*IF(OR(C359&gt;ÉV!$I$2,AND(C359=ÉV!$I$2,D359&gt;ÉV!$J$2)),0,1)</f>
        <v>0</v>
      </c>
      <c r="X359" s="271">
        <f ca="1">IF(OR(D359=12,AND(C359=ÉV!$I$2,D359=ÉV!$J$2)),SUM(U359:W359)+X358,X358)*IF(OR(C359&gt;ÉV!$I$2,AND(C359=ÉV!$I$2,D359&gt;ÉV!$J$2)),0,1)</f>
        <v>0</v>
      </c>
      <c r="Y359" s="271">
        <f t="shared" ca="1" si="57"/>
        <v>0</v>
      </c>
      <c r="Z359" s="265">
        <f t="shared" si="58"/>
        <v>9</v>
      </c>
      <c r="AA359" s="272">
        <f t="shared" ca="1" si="59"/>
        <v>0</v>
      </c>
      <c r="AB359" s="265">
        <f t="shared" ca="1" si="65"/>
        <v>2046</v>
      </c>
      <c r="AC359" s="265">
        <f t="shared" ca="1" si="66"/>
        <v>12</v>
      </c>
      <c r="AD359" s="276">
        <f ca="1">IF(     OR(               AND(MAX(AF$6:AF359)&lt;2,  AC359=12),                 AF359=2),                   SUMIF(AB:AB,AB359,AA:AA),                       0)</f>
        <v>0</v>
      </c>
      <c r="AE359" s="277">
        <f t="shared" ca="1" si="67"/>
        <v>0</v>
      </c>
      <c r="AF359" s="277">
        <f t="shared" ca="1" si="60"/>
        <v>0</v>
      </c>
      <c r="AG359" s="402">
        <f ca="1">IF(  AND(AC359=AdóHó,   MAX(AF$1:AF358)&lt;2),   SUMIF(AB:AB,AB359-1,AE:AE),0  )
+ IF(AND(AC359&lt;AdóHó,                            AF359=2),   SUMIF(AB:AB,AB359-1,AE:AE),0  )
+ IF(                                                                  AF359=2,    SUMIF(AB:AB,AB359,AE:AE   ),0  )</f>
        <v>0</v>
      </c>
      <c r="AH359" s="272">
        <f ca="1">SUM(AG$2:AG359)</f>
        <v>1139324.2410681627</v>
      </c>
    </row>
    <row r="360" spans="1:34">
      <c r="A360" s="265">
        <f t="shared" si="61"/>
        <v>30</v>
      </c>
      <c r="B360" s="265">
        <f t="shared" si="62"/>
        <v>10</v>
      </c>
      <c r="C360" s="265">
        <f t="shared" ca="1" si="63"/>
        <v>31</v>
      </c>
      <c r="D360" s="265">
        <f t="shared" ca="1" si="64"/>
        <v>1</v>
      </c>
      <c r="E360" s="266">
        <v>5.0000000000000001E-3</v>
      </c>
      <c r="F360" s="267">
        <f>ÉV!$B$12</f>
        <v>0</v>
      </c>
      <c r="G360" s="271">
        <f ca="1">VLOOKUP(A360,ÉV!$A$18:$B$65,2,0)</f>
        <v>0</v>
      </c>
      <c r="H360" s="271">
        <f ca="1">IF(OR(A360=1,AND(C360=ÉV!$I$2,D360&gt;ÉV!$J$2),C360&gt;ÉV!$I$2),0,INDEX(Pz!$B$2:$AM$48,A360-1,ÉV!$G$2-9)/100000*ÉV!$B$10)</f>
        <v>0</v>
      </c>
      <c r="I360" s="271">
        <f ca="1">INDEX(Pz!$B$2:$AM$48,HÓ!A360,ÉV!$G$2-9)/100000*ÉV!$B$10</f>
        <v>0</v>
      </c>
      <c r="J360" s="273">
        <f ca="1">IF(OR(A360=1,A360=2,AND(C360=ÉV!$I$2,D360&gt;ÉV!$J$2),C360&gt;ÉV!$I$2),0,VLOOKUP(A360-2,ÉV!$A$18:$C$65,3,0))</f>
        <v>0</v>
      </c>
      <c r="K360" s="273">
        <f ca="1">IF(OR(A360=1,AND(C360=ÉV!$I$2,D360&gt;ÉV!$J$2),C360&gt;ÉV!$I$2),0,VLOOKUP(A360-1,ÉV!$A$18:$C$65,3,0))</f>
        <v>0</v>
      </c>
      <c r="L360" s="273">
        <f ca="1">VLOOKUP(A360,ÉV!$A$18:$C$65,3,0)*IF(OR(AND(C360=ÉV!$I$2,D360&gt;ÉV!$J$2),C360&gt;ÉV!$I$2),0,1)</f>
        <v>0</v>
      </c>
      <c r="M360" s="273">
        <f ca="1">(K360*(12-B360)/12+L360*B360/12)*IF(A360&gt;ÉV!$G$2,0,1)+IF(A360&gt;ÉV!$G$2,M359,0)*IF(OR(AND(C360=ÉV!$I$2,D360&gt;ÉV!$J$2),C360&gt;ÉV!$I$2),0,1)</f>
        <v>0</v>
      </c>
      <c r="N360" s="274">
        <f ca="1">IF(AND(C360=1,D360&lt;12),0,1)*IF(D360=12,MAX(0,F360-E360-0.003)*0.9*((K360+I360)*(B360/12)+(J360+H360)*(1-B360/12))+MAX(0,F360-0.003)*0.9*N359+N359,IF(AND(C360=ÉV!$I$2,D360=ÉV!$J$2),(M360+N359)*MAX(0,F360-0.003)*0.9*(D360/12)+N359,N359))*IF(OR(C360&gt;ÉV!$I$2,AND(C360=ÉV!$I$2,D360&gt;ÉV!$J$2)),0,1)</f>
        <v>0</v>
      </c>
      <c r="O360" s="313">
        <f ca="1">IF(MAX(AF$2:AF359)=2,      0,IF(OR(AC360=7, AF360=2),    SUM(AE$2:AE360),    O359)   )</f>
        <v>0</v>
      </c>
      <c r="P360" s="271">
        <f ca="1">IF(D360=12,V360+P359+P359*(F360-0.003)*0.9,IF(AND(C360=ÉV!$I$2,D360=ÉV!$J$2),V360+P359+P359*(F360-0.003)*0.9*D360/12,P359))*IF(OR(C360&gt;ÉV!$I$2,AND(C360=ÉV!$I$2,D360&gt;ÉV!$J$2)),0,1)</f>
        <v>0</v>
      </c>
      <c r="Q360" s="275">
        <f ca="1">(N360+P360)*IF(OR(AND(C360=ÉV!$I$2,D360&gt;ÉV!$J$2),C360&gt;ÉV!$I$2),0,1)</f>
        <v>0</v>
      </c>
      <c r="R360" s="271">
        <f ca="1">(MAX(0,F360-E360-0.003)*0.9*((K360+I360)*(1/12)))*IF(OR(C360&gt;ÉV!$I$2,AND(C360=ÉV!$I$2,D360&gt;ÉV!$J$2)),0,1)</f>
        <v>0</v>
      </c>
      <c r="S360" s="271">
        <f ca="1">(MAX(0,F360-0.003)*0.9*((O360)*(1/12)))*IF(OR(C360&gt;ÉV!$I$2,AND(C360=ÉV!$I$2,D360&gt;ÉV!$J$2)),0,1)</f>
        <v>0</v>
      </c>
      <c r="T360" s="271">
        <f ca="1">(MAX(0,F360-0.003)*0.9*((Q359)*(1/12)))*IF(OR(C360&gt;ÉV!$I$2,AND(C360=ÉV!$I$2,D360&gt;ÉV!$J$2)),0,1)</f>
        <v>0</v>
      </c>
      <c r="U360" s="271">
        <f ca="1">IF($D360=1,R360,R360+U359)*IF(OR(C360&gt;ÉV!$I$2,AND(C360=ÉV!$I$2,D360&gt;ÉV!$J$2)),0,1)</f>
        <v>0</v>
      </c>
      <c r="V360" s="271">
        <f ca="1">IF($D360=1,S360,S360+V359)*IF(OR(C360&gt;ÉV!$I$2,AND(C360=ÉV!$I$2,D360&gt;ÉV!$J$2)),0,1)</f>
        <v>0</v>
      </c>
      <c r="W360" s="271">
        <f ca="1">IF($D360=1,T360,T360+W359)*IF(OR(C360&gt;ÉV!$I$2,AND(C360=ÉV!$I$2,D360&gt;ÉV!$J$2)),0,1)</f>
        <v>0</v>
      </c>
      <c r="X360" s="271">
        <f ca="1">IF(OR(D360=12,AND(C360=ÉV!$I$2,D360=ÉV!$J$2)),SUM(U360:W360)+X359,X359)*IF(OR(C360&gt;ÉV!$I$2,AND(C360=ÉV!$I$2,D360&gt;ÉV!$J$2)),0,1)</f>
        <v>0</v>
      </c>
      <c r="Y360" s="271">
        <f t="shared" ca="1" si="57"/>
        <v>0</v>
      </c>
      <c r="Z360" s="265">
        <f t="shared" si="58"/>
        <v>10</v>
      </c>
      <c r="AA360" s="272">
        <f t="shared" ca="1" si="59"/>
        <v>0</v>
      </c>
      <c r="AB360" s="265">
        <f t="shared" ca="1" si="65"/>
        <v>2047</v>
      </c>
      <c r="AC360" s="265">
        <f t="shared" ca="1" si="66"/>
        <v>1</v>
      </c>
      <c r="AD360" s="276">
        <f ca="1">IF(     OR(               AND(MAX(AF$6:AF360)&lt;2,  AC360=12),                 AF360=2),                   SUMIF(AB:AB,AB360,AA:AA),                       0)</f>
        <v>0</v>
      </c>
      <c r="AE360" s="277">
        <f t="shared" ca="1" si="67"/>
        <v>0</v>
      </c>
      <c r="AF360" s="277">
        <f t="shared" ca="1" si="60"/>
        <v>0</v>
      </c>
      <c r="AG360" s="402">
        <f ca="1">IF(  AND(AC360=AdóHó,   MAX(AF$1:AF359)&lt;2),   SUMIF(AB:AB,AB360-1,AE:AE),0  )
+ IF(AND(AC360&lt;AdóHó,                            AF360=2),   SUMIF(AB:AB,AB360-1,AE:AE),0  )
+ IF(                                                                  AF360=2,    SUMIF(AB:AB,AB360,AE:AE   ),0  )</f>
        <v>0</v>
      </c>
      <c r="AH360" s="272">
        <f ca="1">SUM(AG$2:AG360)</f>
        <v>1139324.2410681627</v>
      </c>
    </row>
    <row r="361" spans="1:34">
      <c r="A361" s="265">
        <f t="shared" si="61"/>
        <v>30</v>
      </c>
      <c r="B361" s="265">
        <f t="shared" si="62"/>
        <v>11</v>
      </c>
      <c r="C361" s="265">
        <f t="shared" ca="1" si="63"/>
        <v>31</v>
      </c>
      <c r="D361" s="265">
        <f t="shared" ca="1" si="64"/>
        <v>2</v>
      </c>
      <c r="E361" s="266">
        <v>5.0000000000000001E-3</v>
      </c>
      <c r="F361" s="267">
        <f>ÉV!$B$12</f>
        <v>0</v>
      </c>
      <c r="G361" s="271">
        <f ca="1">VLOOKUP(A361,ÉV!$A$18:$B$65,2,0)</f>
        <v>0</v>
      </c>
      <c r="H361" s="271">
        <f ca="1">IF(OR(A361=1,AND(C361=ÉV!$I$2,D361&gt;ÉV!$J$2),C361&gt;ÉV!$I$2),0,INDEX(Pz!$B$2:$AM$48,A361-1,ÉV!$G$2-9)/100000*ÉV!$B$10)</f>
        <v>0</v>
      </c>
      <c r="I361" s="271">
        <f ca="1">INDEX(Pz!$B$2:$AM$48,HÓ!A361,ÉV!$G$2-9)/100000*ÉV!$B$10</f>
        <v>0</v>
      </c>
      <c r="J361" s="273">
        <f ca="1">IF(OR(A361=1,A361=2,AND(C361=ÉV!$I$2,D361&gt;ÉV!$J$2),C361&gt;ÉV!$I$2),0,VLOOKUP(A361-2,ÉV!$A$18:$C$65,3,0))</f>
        <v>0</v>
      </c>
      <c r="K361" s="273">
        <f ca="1">IF(OR(A361=1,AND(C361=ÉV!$I$2,D361&gt;ÉV!$J$2),C361&gt;ÉV!$I$2),0,VLOOKUP(A361-1,ÉV!$A$18:$C$65,3,0))</f>
        <v>0</v>
      </c>
      <c r="L361" s="273">
        <f ca="1">VLOOKUP(A361,ÉV!$A$18:$C$65,3,0)*IF(OR(AND(C361=ÉV!$I$2,D361&gt;ÉV!$J$2),C361&gt;ÉV!$I$2),0,1)</f>
        <v>0</v>
      </c>
      <c r="M361" s="273">
        <f ca="1">(K361*(12-B361)/12+L361*B361/12)*IF(A361&gt;ÉV!$G$2,0,1)+IF(A361&gt;ÉV!$G$2,M360,0)*IF(OR(AND(C361=ÉV!$I$2,D361&gt;ÉV!$J$2),C361&gt;ÉV!$I$2),0,1)</f>
        <v>0</v>
      </c>
      <c r="N361" s="274">
        <f ca="1">IF(AND(C361=1,D361&lt;12),0,1)*IF(D361=12,MAX(0,F361-E361-0.003)*0.9*((K361+I361)*(B361/12)+(J361+H361)*(1-B361/12))+MAX(0,F361-0.003)*0.9*N360+N360,IF(AND(C361=ÉV!$I$2,D361=ÉV!$J$2),(M361+N360)*MAX(0,F361-0.003)*0.9*(D361/12)+N360,N360))*IF(OR(C361&gt;ÉV!$I$2,AND(C361=ÉV!$I$2,D361&gt;ÉV!$J$2)),0,1)</f>
        <v>0</v>
      </c>
      <c r="O361" s="313">
        <f ca="1">IF(MAX(AF$2:AF360)=2,      0,IF(OR(AC361=7, AF361=2),    SUM(AE$2:AE361),    O360)   )</f>
        <v>0</v>
      </c>
      <c r="P361" s="271">
        <f ca="1">IF(D361=12,V361+P360+P360*(F361-0.003)*0.9,IF(AND(C361=ÉV!$I$2,D361=ÉV!$J$2),V361+P360+P360*(F361-0.003)*0.9*D361/12,P360))*IF(OR(C361&gt;ÉV!$I$2,AND(C361=ÉV!$I$2,D361&gt;ÉV!$J$2)),0,1)</f>
        <v>0</v>
      </c>
      <c r="Q361" s="275">
        <f ca="1">(N361+P361)*IF(OR(AND(C361=ÉV!$I$2,D361&gt;ÉV!$J$2),C361&gt;ÉV!$I$2),0,1)</f>
        <v>0</v>
      </c>
      <c r="R361" s="271">
        <f ca="1">(MAX(0,F361-E361-0.003)*0.9*((K361+I361)*(1/12)))*IF(OR(C361&gt;ÉV!$I$2,AND(C361=ÉV!$I$2,D361&gt;ÉV!$J$2)),0,1)</f>
        <v>0</v>
      </c>
      <c r="S361" s="271">
        <f ca="1">(MAX(0,F361-0.003)*0.9*((O361)*(1/12)))*IF(OR(C361&gt;ÉV!$I$2,AND(C361=ÉV!$I$2,D361&gt;ÉV!$J$2)),0,1)</f>
        <v>0</v>
      </c>
      <c r="T361" s="271">
        <f ca="1">(MAX(0,F361-0.003)*0.9*((Q360)*(1/12)))*IF(OR(C361&gt;ÉV!$I$2,AND(C361=ÉV!$I$2,D361&gt;ÉV!$J$2)),0,1)</f>
        <v>0</v>
      </c>
      <c r="U361" s="271">
        <f ca="1">IF($D361=1,R361,R361+U360)*IF(OR(C361&gt;ÉV!$I$2,AND(C361=ÉV!$I$2,D361&gt;ÉV!$J$2)),0,1)</f>
        <v>0</v>
      </c>
      <c r="V361" s="271">
        <f ca="1">IF($D361=1,S361,S361+V360)*IF(OR(C361&gt;ÉV!$I$2,AND(C361=ÉV!$I$2,D361&gt;ÉV!$J$2)),0,1)</f>
        <v>0</v>
      </c>
      <c r="W361" s="271">
        <f ca="1">IF($D361=1,T361,T361+W360)*IF(OR(C361&gt;ÉV!$I$2,AND(C361=ÉV!$I$2,D361&gt;ÉV!$J$2)),0,1)</f>
        <v>0</v>
      </c>
      <c r="X361" s="271">
        <f ca="1">IF(OR(D361=12,AND(C361=ÉV!$I$2,D361=ÉV!$J$2)),SUM(U361:W361)+X360,X360)*IF(OR(C361&gt;ÉV!$I$2,AND(C361=ÉV!$I$2,D361&gt;ÉV!$J$2)),0,1)</f>
        <v>0</v>
      </c>
      <c r="Y361" s="271">
        <f t="shared" ca="1" si="57"/>
        <v>0</v>
      </c>
      <c r="Z361" s="265">
        <f t="shared" si="58"/>
        <v>11</v>
      </c>
      <c r="AA361" s="272">
        <f t="shared" ca="1" si="59"/>
        <v>0</v>
      </c>
      <c r="AB361" s="265">
        <f t="shared" ca="1" si="65"/>
        <v>2047</v>
      </c>
      <c r="AC361" s="265">
        <f t="shared" ca="1" si="66"/>
        <v>2</v>
      </c>
      <c r="AD361" s="276">
        <f ca="1">IF(     OR(               AND(MAX(AF$6:AF361)&lt;2,  AC361=12),                 AF361=2),                   SUMIF(AB:AB,AB361,AA:AA),                       0)</f>
        <v>0</v>
      </c>
      <c r="AE361" s="277">
        <f t="shared" ca="1" si="67"/>
        <v>0</v>
      </c>
      <c r="AF361" s="277">
        <f t="shared" ca="1" si="60"/>
        <v>0</v>
      </c>
      <c r="AG361" s="402">
        <f ca="1">IF(  AND(AC361=AdóHó,   MAX(AF$1:AF360)&lt;2),   SUMIF(AB:AB,AB361-1,AE:AE),0  )
+ IF(AND(AC361&lt;AdóHó,                            AF361=2),   SUMIF(AB:AB,AB361-1,AE:AE),0  )
+ IF(                                                                  AF361=2,    SUMIF(AB:AB,AB361,AE:AE   ),0  )</f>
        <v>0</v>
      </c>
      <c r="AH361" s="272">
        <f ca="1">SUM(AG$2:AG361)</f>
        <v>1139324.2410681627</v>
      </c>
    </row>
    <row r="362" spans="1:34">
      <c r="A362" s="265">
        <f t="shared" si="61"/>
        <v>30</v>
      </c>
      <c r="B362" s="265">
        <f t="shared" si="62"/>
        <v>12</v>
      </c>
      <c r="C362" s="265">
        <f t="shared" ca="1" si="63"/>
        <v>31</v>
      </c>
      <c r="D362" s="265">
        <f t="shared" ca="1" si="64"/>
        <v>3</v>
      </c>
      <c r="E362" s="266">
        <v>5.0000000000000001E-3</v>
      </c>
      <c r="F362" s="267">
        <f>ÉV!$B$12</f>
        <v>0</v>
      </c>
      <c r="G362" s="271">
        <f ca="1">VLOOKUP(A362,ÉV!$A$18:$B$65,2,0)</f>
        <v>0</v>
      </c>
      <c r="H362" s="271">
        <f ca="1">IF(OR(A362=1,AND(C362=ÉV!$I$2,D362&gt;ÉV!$J$2),C362&gt;ÉV!$I$2),0,INDEX(Pz!$B$2:$AM$48,A362-1,ÉV!$G$2-9)/100000*ÉV!$B$10)</f>
        <v>0</v>
      </c>
      <c r="I362" s="271">
        <f ca="1">INDEX(Pz!$B$2:$AM$48,HÓ!A362,ÉV!$G$2-9)/100000*ÉV!$B$10</f>
        <v>0</v>
      </c>
      <c r="J362" s="273">
        <f ca="1">IF(OR(A362=1,A362=2,AND(C362=ÉV!$I$2,D362&gt;ÉV!$J$2),C362&gt;ÉV!$I$2),0,VLOOKUP(A362-2,ÉV!$A$18:$C$65,3,0))</f>
        <v>0</v>
      </c>
      <c r="K362" s="273">
        <f ca="1">IF(OR(A362=1,AND(C362=ÉV!$I$2,D362&gt;ÉV!$J$2),C362&gt;ÉV!$I$2),0,VLOOKUP(A362-1,ÉV!$A$18:$C$65,3,0))</f>
        <v>0</v>
      </c>
      <c r="L362" s="273">
        <f ca="1">VLOOKUP(A362,ÉV!$A$18:$C$65,3,0)*IF(OR(AND(C362=ÉV!$I$2,D362&gt;ÉV!$J$2),C362&gt;ÉV!$I$2),0,1)</f>
        <v>0</v>
      </c>
      <c r="M362" s="273">
        <f ca="1">(K362*(12-B362)/12+L362*B362/12)*IF(A362&gt;ÉV!$G$2,0,1)+IF(A362&gt;ÉV!$G$2,M361,0)*IF(OR(AND(C362=ÉV!$I$2,D362&gt;ÉV!$J$2),C362&gt;ÉV!$I$2),0,1)</f>
        <v>0</v>
      </c>
      <c r="N362" s="274">
        <f ca="1">IF(AND(C362=1,D362&lt;12),0,1)*IF(D362=12,MAX(0,F362-E362-0.003)*0.9*((K362+I362)*(B362/12)+(J362+H362)*(1-B362/12))+MAX(0,F362-0.003)*0.9*N361+N361,IF(AND(C362=ÉV!$I$2,D362=ÉV!$J$2),(M362+N361)*MAX(0,F362-0.003)*0.9*(D362/12)+N361,N361))*IF(OR(C362&gt;ÉV!$I$2,AND(C362=ÉV!$I$2,D362&gt;ÉV!$J$2)),0,1)</f>
        <v>0</v>
      </c>
      <c r="O362" s="313">
        <f ca="1">IF(MAX(AF$2:AF361)=2,      0,IF(OR(AC362=7, AF362=2),    SUM(AE$2:AE362),    O361)   )</f>
        <v>0</v>
      </c>
      <c r="P362" s="271">
        <f ca="1">IF(D362=12,V362+P361+P361*(F362-0.003)*0.9,IF(AND(C362=ÉV!$I$2,D362=ÉV!$J$2),V362+P361+P361*(F362-0.003)*0.9*D362/12,P361))*IF(OR(C362&gt;ÉV!$I$2,AND(C362=ÉV!$I$2,D362&gt;ÉV!$J$2)),0,1)</f>
        <v>0</v>
      </c>
      <c r="Q362" s="275">
        <f ca="1">(N362+P362)*IF(OR(AND(C362=ÉV!$I$2,D362&gt;ÉV!$J$2),C362&gt;ÉV!$I$2),0,1)</f>
        <v>0</v>
      </c>
      <c r="R362" s="271">
        <f ca="1">(MAX(0,F362-E362-0.003)*0.9*((K362+I362)*(1/12)))*IF(OR(C362&gt;ÉV!$I$2,AND(C362=ÉV!$I$2,D362&gt;ÉV!$J$2)),0,1)</f>
        <v>0</v>
      </c>
      <c r="S362" s="271">
        <f ca="1">(MAX(0,F362-0.003)*0.9*((O362)*(1/12)))*IF(OR(C362&gt;ÉV!$I$2,AND(C362=ÉV!$I$2,D362&gt;ÉV!$J$2)),0,1)</f>
        <v>0</v>
      </c>
      <c r="T362" s="271">
        <f ca="1">(MAX(0,F362-0.003)*0.9*((Q361)*(1/12)))*IF(OR(C362&gt;ÉV!$I$2,AND(C362=ÉV!$I$2,D362&gt;ÉV!$J$2)),0,1)</f>
        <v>0</v>
      </c>
      <c r="U362" s="271">
        <f ca="1">IF($D362=1,R362,R362+U361)*IF(OR(C362&gt;ÉV!$I$2,AND(C362=ÉV!$I$2,D362&gt;ÉV!$J$2)),0,1)</f>
        <v>0</v>
      </c>
      <c r="V362" s="271">
        <f ca="1">IF($D362=1,S362,S362+V361)*IF(OR(C362&gt;ÉV!$I$2,AND(C362=ÉV!$I$2,D362&gt;ÉV!$J$2)),0,1)</f>
        <v>0</v>
      </c>
      <c r="W362" s="271">
        <f ca="1">IF($D362=1,T362,T362+W361)*IF(OR(C362&gt;ÉV!$I$2,AND(C362=ÉV!$I$2,D362&gt;ÉV!$J$2)),0,1)</f>
        <v>0</v>
      </c>
      <c r="X362" s="271">
        <f ca="1">IF(OR(D362=12,AND(C362=ÉV!$I$2,D362=ÉV!$J$2)),SUM(U362:W362)+X361,X361)*IF(OR(C362&gt;ÉV!$I$2,AND(C362=ÉV!$I$2,D362&gt;ÉV!$J$2)),0,1)</f>
        <v>0</v>
      </c>
      <c r="Y362" s="271">
        <f t="shared" ca="1" si="57"/>
        <v>0</v>
      </c>
      <c r="Z362" s="265">
        <f t="shared" si="58"/>
        <v>12</v>
      </c>
      <c r="AA362" s="272">
        <f t="shared" ca="1" si="59"/>
        <v>0</v>
      </c>
      <c r="AB362" s="265">
        <f t="shared" ca="1" si="65"/>
        <v>2047</v>
      </c>
      <c r="AC362" s="265">
        <f t="shared" ca="1" si="66"/>
        <v>3</v>
      </c>
      <c r="AD362" s="276">
        <f ca="1">IF(     OR(               AND(MAX(AF$6:AF362)&lt;2,  AC362=12),                 AF362=2),                   SUMIF(AB:AB,AB362,AA:AA),                       0)</f>
        <v>0</v>
      </c>
      <c r="AE362" s="277">
        <f t="shared" ca="1" si="67"/>
        <v>0</v>
      </c>
      <c r="AF362" s="277">
        <f t="shared" ca="1" si="60"/>
        <v>0</v>
      </c>
      <c r="AG362" s="402">
        <f ca="1">IF(  AND(AC362=AdóHó,   MAX(AF$1:AF361)&lt;2),   SUMIF(AB:AB,AB362-1,AE:AE),0  )
+ IF(AND(AC362&lt;AdóHó,                            AF362=2),   SUMIF(AB:AB,AB362-1,AE:AE),0  )
+ IF(                                                                  AF362=2,    SUMIF(AB:AB,AB362,AE:AE   ),0  )</f>
        <v>0</v>
      </c>
      <c r="AH362" s="272">
        <f ca="1">SUM(AG$2:AG362)</f>
        <v>1139324.2410681627</v>
      </c>
    </row>
    <row r="363" spans="1:34">
      <c r="A363" s="265">
        <f t="shared" si="61"/>
        <v>31</v>
      </c>
      <c r="B363" s="265">
        <f t="shared" si="62"/>
        <v>1</v>
      </c>
      <c r="C363" s="265">
        <f t="shared" ca="1" si="63"/>
        <v>31</v>
      </c>
      <c r="D363" s="265">
        <f t="shared" ca="1" si="64"/>
        <v>4</v>
      </c>
      <c r="E363" s="266">
        <v>5.0000000000000001E-3</v>
      </c>
      <c r="F363" s="267">
        <f>ÉV!$B$12</f>
        <v>0</v>
      </c>
      <c r="G363" s="271">
        <f ca="1">VLOOKUP(A363,ÉV!$A$18:$B$65,2,0)</f>
        <v>0</v>
      </c>
      <c r="H363" s="271">
        <f ca="1">IF(OR(A363=1,AND(C363=ÉV!$I$2,D363&gt;ÉV!$J$2),C363&gt;ÉV!$I$2),0,INDEX(Pz!$B$2:$AM$48,A363-1,ÉV!$G$2-9)/100000*ÉV!$B$10)</f>
        <v>0</v>
      </c>
      <c r="I363" s="271">
        <f ca="1">INDEX(Pz!$B$2:$AM$48,HÓ!A363,ÉV!$G$2-9)/100000*ÉV!$B$10</f>
        <v>0</v>
      </c>
      <c r="J363" s="273">
        <f ca="1">IF(OR(A363=1,A363=2,AND(C363=ÉV!$I$2,D363&gt;ÉV!$J$2),C363&gt;ÉV!$I$2),0,VLOOKUP(A363-2,ÉV!$A$18:$C$65,3,0))</f>
        <v>0</v>
      </c>
      <c r="K363" s="273">
        <f ca="1">IF(OR(A363=1,AND(C363=ÉV!$I$2,D363&gt;ÉV!$J$2),C363&gt;ÉV!$I$2),0,VLOOKUP(A363-1,ÉV!$A$18:$C$65,3,0))</f>
        <v>0</v>
      </c>
      <c r="L363" s="273">
        <f ca="1">VLOOKUP(A363,ÉV!$A$18:$C$65,3,0)*IF(OR(AND(C363=ÉV!$I$2,D363&gt;ÉV!$J$2),C363&gt;ÉV!$I$2),0,1)</f>
        <v>0</v>
      </c>
      <c r="M363" s="273">
        <f ca="1">(K363*(12-B363)/12+L363*B363/12)*IF(A363&gt;ÉV!$G$2,0,1)+IF(A363&gt;ÉV!$G$2,M362,0)*IF(OR(AND(C363=ÉV!$I$2,D363&gt;ÉV!$J$2),C363&gt;ÉV!$I$2),0,1)</f>
        <v>0</v>
      </c>
      <c r="N363" s="274">
        <f ca="1">IF(AND(C363=1,D363&lt;12),0,1)*IF(D363=12,MAX(0,F363-E363-0.003)*0.9*((K363+I363)*(B363/12)+(J363+H363)*(1-B363/12))+MAX(0,F363-0.003)*0.9*N362+N362,IF(AND(C363=ÉV!$I$2,D363=ÉV!$J$2),(M363+N362)*MAX(0,F363-0.003)*0.9*(D363/12)+N362,N362))*IF(OR(C363&gt;ÉV!$I$2,AND(C363=ÉV!$I$2,D363&gt;ÉV!$J$2)),0,1)</f>
        <v>0</v>
      </c>
      <c r="O363" s="313">
        <f ca="1">IF(MAX(AF$2:AF362)=2,      0,IF(OR(AC363=7, AF363=2),    SUM(AE$2:AE363),    O362)   )</f>
        <v>0</v>
      </c>
      <c r="P363" s="271">
        <f ca="1">IF(D363=12,V363+P362+P362*(F363-0.003)*0.9,IF(AND(C363=ÉV!$I$2,D363=ÉV!$J$2),V363+P362+P362*(F363-0.003)*0.9*D363/12,P362))*IF(OR(C363&gt;ÉV!$I$2,AND(C363=ÉV!$I$2,D363&gt;ÉV!$J$2)),0,1)</f>
        <v>0</v>
      </c>
      <c r="Q363" s="275">
        <f ca="1">(N363+P363)*IF(OR(AND(C363=ÉV!$I$2,D363&gt;ÉV!$J$2),C363&gt;ÉV!$I$2),0,1)</f>
        <v>0</v>
      </c>
      <c r="R363" s="271">
        <f ca="1">(MAX(0,F363-E363-0.003)*0.9*((K363+I363)*(1/12)))*IF(OR(C363&gt;ÉV!$I$2,AND(C363=ÉV!$I$2,D363&gt;ÉV!$J$2)),0,1)</f>
        <v>0</v>
      </c>
      <c r="S363" s="271">
        <f ca="1">(MAX(0,F363-0.003)*0.9*((O363)*(1/12)))*IF(OR(C363&gt;ÉV!$I$2,AND(C363=ÉV!$I$2,D363&gt;ÉV!$J$2)),0,1)</f>
        <v>0</v>
      </c>
      <c r="T363" s="271">
        <f ca="1">(MAX(0,F363-0.003)*0.9*((Q362)*(1/12)))*IF(OR(C363&gt;ÉV!$I$2,AND(C363=ÉV!$I$2,D363&gt;ÉV!$J$2)),0,1)</f>
        <v>0</v>
      </c>
      <c r="U363" s="271">
        <f ca="1">IF($D363=1,R363,R363+U362)*IF(OR(C363&gt;ÉV!$I$2,AND(C363=ÉV!$I$2,D363&gt;ÉV!$J$2)),0,1)</f>
        <v>0</v>
      </c>
      <c r="V363" s="271">
        <f ca="1">IF($D363=1,S363,S363+V362)*IF(OR(C363&gt;ÉV!$I$2,AND(C363=ÉV!$I$2,D363&gt;ÉV!$J$2)),0,1)</f>
        <v>0</v>
      </c>
      <c r="W363" s="271">
        <f ca="1">IF($D363=1,T363,T363+W362)*IF(OR(C363&gt;ÉV!$I$2,AND(C363=ÉV!$I$2,D363&gt;ÉV!$J$2)),0,1)</f>
        <v>0</v>
      </c>
      <c r="X363" s="271">
        <f ca="1">IF(OR(D363=12,AND(C363=ÉV!$I$2,D363=ÉV!$J$2)),SUM(U363:W363)+X362,X362)*IF(OR(C363&gt;ÉV!$I$2,AND(C363=ÉV!$I$2,D363&gt;ÉV!$J$2)),0,1)</f>
        <v>0</v>
      </c>
      <c r="Y363" s="271">
        <f t="shared" ca="1" si="57"/>
        <v>0</v>
      </c>
      <c r="Z363" s="265">
        <f t="shared" si="58"/>
        <v>1</v>
      </c>
      <c r="AA363" s="272">
        <f t="shared" ca="1" si="59"/>
        <v>0</v>
      </c>
      <c r="AB363" s="265">
        <f t="shared" ca="1" si="65"/>
        <v>2047</v>
      </c>
      <c r="AC363" s="265">
        <f t="shared" ca="1" si="66"/>
        <v>4</v>
      </c>
      <c r="AD363" s="276">
        <f ca="1">IF(     OR(               AND(MAX(AF$6:AF363)&lt;2,  AC363=12),                 AF363=2),                   SUMIF(AB:AB,AB363,AA:AA),                       0)</f>
        <v>0</v>
      </c>
      <c r="AE363" s="277">
        <f t="shared" ca="1" si="67"/>
        <v>0</v>
      </c>
      <c r="AF363" s="277">
        <f t="shared" ca="1" si="60"/>
        <v>0</v>
      </c>
      <c r="AG363" s="402">
        <f ca="1">IF(  AND(AC363=AdóHó,   MAX(AF$1:AF362)&lt;2),   SUMIF(AB:AB,AB363-1,AE:AE),0  )
+ IF(AND(AC363&lt;AdóHó,                            AF363=2),   SUMIF(AB:AB,AB363-1,AE:AE),0  )
+ IF(                                                                  AF363=2,    SUMIF(AB:AB,AB363,AE:AE   ),0  )</f>
        <v>0</v>
      </c>
      <c r="AH363" s="272">
        <f ca="1">SUM(AG$2:AG363)</f>
        <v>1139324.2410681627</v>
      </c>
    </row>
    <row r="364" spans="1:34">
      <c r="A364" s="265">
        <f t="shared" si="61"/>
        <v>31</v>
      </c>
      <c r="B364" s="265">
        <f t="shared" si="62"/>
        <v>2</v>
      </c>
      <c r="C364" s="265">
        <f t="shared" ca="1" si="63"/>
        <v>31</v>
      </c>
      <c r="D364" s="265">
        <f t="shared" ca="1" si="64"/>
        <v>5</v>
      </c>
      <c r="E364" s="266">
        <v>5.0000000000000001E-3</v>
      </c>
      <c r="F364" s="267">
        <f>ÉV!$B$12</f>
        <v>0</v>
      </c>
      <c r="G364" s="271">
        <f ca="1">VLOOKUP(A364,ÉV!$A$18:$B$65,2,0)</f>
        <v>0</v>
      </c>
      <c r="H364" s="271">
        <f ca="1">IF(OR(A364=1,AND(C364=ÉV!$I$2,D364&gt;ÉV!$J$2),C364&gt;ÉV!$I$2),0,INDEX(Pz!$B$2:$AM$48,A364-1,ÉV!$G$2-9)/100000*ÉV!$B$10)</f>
        <v>0</v>
      </c>
      <c r="I364" s="271">
        <f ca="1">INDEX(Pz!$B$2:$AM$48,HÓ!A364,ÉV!$G$2-9)/100000*ÉV!$B$10</f>
        <v>0</v>
      </c>
      <c r="J364" s="273">
        <f ca="1">IF(OR(A364=1,A364=2,AND(C364=ÉV!$I$2,D364&gt;ÉV!$J$2),C364&gt;ÉV!$I$2),0,VLOOKUP(A364-2,ÉV!$A$18:$C$65,3,0))</f>
        <v>0</v>
      </c>
      <c r="K364" s="273">
        <f ca="1">IF(OR(A364=1,AND(C364=ÉV!$I$2,D364&gt;ÉV!$J$2),C364&gt;ÉV!$I$2),0,VLOOKUP(A364-1,ÉV!$A$18:$C$65,3,0))</f>
        <v>0</v>
      </c>
      <c r="L364" s="273">
        <f ca="1">VLOOKUP(A364,ÉV!$A$18:$C$65,3,0)*IF(OR(AND(C364=ÉV!$I$2,D364&gt;ÉV!$J$2),C364&gt;ÉV!$I$2),0,1)</f>
        <v>0</v>
      </c>
      <c r="M364" s="273">
        <f ca="1">(K364*(12-B364)/12+L364*B364/12)*IF(A364&gt;ÉV!$G$2,0,1)+IF(A364&gt;ÉV!$G$2,M363,0)*IF(OR(AND(C364=ÉV!$I$2,D364&gt;ÉV!$J$2),C364&gt;ÉV!$I$2),0,1)</f>
        <v>0</v>
      </c>
      <c r="N364" s="274">
        <f ca="1">IF(AND(C364=1,D364&lt;12),0,1)*IF(D364=12,MAX(0,F364-E364-0.003)*0.9*((K364+I364)*(B364/12)+(J364+H364)*(1-B364/12))+MAX(0,F364-0.003)*0.9*N363+N363,IF(AND(C364=ÉV!$I$2,D364=ÉV!$J$2),(M364+N363)*MAX(0,F364-0.003)*0.9*(D364/12)+N363,N363))*IF(OR(C364&gt;ÉV!$I$2,AND(C364=ÉV!$I$2,D364&gt;ÉV!$J$2)),0,1)</f>
        <v>0</v>
      </c>
      <c r="O364" s="313">
        <f ca="1">IF(MAX(AF$2:AF363)=2,      0,IF(OR(AC364=7, AF364=2),    SUM(AE$2:AE364),    O363)   )</f>
        <v>0</v>
      </c>
      <c r="P364" s="271">
        <f ca="1">IF(D364=12,V364+P363+P363*(F364-0.003)*0.9,IF(AND(C364=ÉV!$I$2,D364=ÉV!$J$2),V364+P363+P363*(F364-0.003)*0.9*D364/12,P363))*IF(OR(C364&gt;ÉV!$I$2,AND(C364=ÉV!$I$2,D364&gt;ÉV!$J$2)),0,1)</f>
        <v>0</v>
      </c>
      <c r="Q364" s="275">
        <f ca="1">(N364+P364)*IF(OR(AND(C364=ÉV!$I$2,D364&gt;ÉV!$J$2),C364&gt;ÉV!$I$2),0,1)</f>
        <v>0</v>
      </c>
      <c r="R364" s="271">
        <f ca="1">(MAX(0,F364-E364-0.003)*0.9*((K364+I364)*(1/12)))*IF(OR(C364&gt;ÉV!$I$2,AND(C364=ÉV!$I$2,D364&gt;ÉV!$J$2)),0,1)</f>
        <v>0</v>
      </c>
      <c r="S364" s="271">
        <f ca="1">(MAX(0,F364-0.003)*0.9*((O364)*(1/12)))*IF(OR(C364&gt;ÉV!$I$2,AND(C364=ÉV!$I$2,D364&gt;ÉV!$J$2)),0,1)</f>
        <v>0</v>
      </c>
      <c r="T364" s="271">
        <f ca="1">(MAX(0,F364-0.003)*0.9*((Q363)*(1/12)))*IF(OR(C364&gt;ÉV!$I$2,AND(C364=ÉV!$I$2,D364&gt;ÉV!$J$2)),0,1)</f>
        <v>0</v>
      </c>
      <c r="U364" s="271">
        <f ca="1">IF($D364=1,R364,R364+U363)*IF(OR(C364&gt;ÉV!$I$2,AND(C364=ÉV!$I$2,D364&gt;ÉV!$J$2)),0,1)</f>
        <v>0</v>
      </c>
      <c r="V364" s="271">
        <f ca="1">IF($D364=1,S364,S364+V363)*IF(OR(C364&gt;ÉV!$I$2,AND(C364=ÉV!$I$2,D364&gt;ÉV!$J$2)),0,1)</f>
        <v>0</v>
      </c>
      <c r="W364" s="271">
        <f ca="1">IF($D364=1,T364,T364+W363)*IF(OR(C364&gt;ÉV!$I$2,AND(C364=ÉV!$I$2,D364&gt;ÉV!$J$2)),0,1)</f>
        <v>0</v>
      </c>
      <c r="X364" s="271">
        <f ca="1">IF(OR(D364=12,AND(C364=ÉV!$I$2,D364=ÉV!$J$2)),SUM(U364:W364)+X363,X363)*IF(OR(C364&gt;ÉV!$I$2,AND(C364=ÉV!$I$2,D364&gt;ÉV!$J$2)),0,1)</f>
        <v>0</v>
      </c>
      <c r="Y364" s="271">
        <f t="shared" ca="1" si="57"/>
        <v>0</v>
      </c>
      <c r="Z364" s="265">
        <f t="shared" si="58"/>
        <v>2</v>
      </c>
      <c r="AA364" s="272">
        <f t="shared" ca="1" si="59"/>
        <v>0</v>
      </c>
      <c r="AB364" s="265">
        <f t="shared" ca="1" si="65"/>
        <v>2047</v>
      </c>
      <c r="AC364" s="265">
        <f t="shared" ca="1" si="66"/>
        <v>5</v>
      </c>
      <c r="AD364" s="276">
        <f ca="1">IF(     OR(               AND(MAX(AF$6:AF364)&lt;2,  AC364=12),                 AF364=2),                   SUMIF(AB:AB,AB364,AA:AA),                       0)</f>
        <v>0</v>
      </c>
      <c r="AE364" s="277">
        <f t="shared" ca="1" si="67"/>
        <v>0</v>
      </c>
      <c r="AF364" s="277">
        <f t="shared" ca="1" si="60"/>
        <v>0</v>
      </c>
      <c r="AG364" s="402">
        <f ca="1">IF(  AND(AC364=AdóHó,   MAX(AF$1:AF363)&lt;2),   SUMIF(AB:AB,AB364-1,AE:AE),0  )
+ IF(AND(AC364&lt;AdóHó,                            AF364=2),   SUMIF(AB:AB,AB364-1,AE:AE),0  )
+ IF(                                                                  AF364=2,    SUMIF(AB:AB,AB364,AE:AE   ),0  )</f>
        <v>0</v>
      </c>
      <c r="AH364" s="272">
        <f ca="1">SUM(AG$2:AG364)</f>
        <v>1139324.2410681627</v>
      </c>
    </row>
    <row r="365" spans="1:34">
      <c r="A365" s="265">
        <f t="shared" si="61"/>
        <v>31</v>
      </c>
      <c r="B365" s="265">
        <f t="shared" si="62"/>
        <v>3</v>
      </c>
      <c r="C365" s="265">
        <f t="shared" ca="1" si="63"/>
        <v>31</v>
      </c>
      <c r="D365" s="265">
        <f t="shared" ca="1" si="64"/>
        <v>6</v>
      </c>
      <c r="E365" s="266">
        <v>5.0000000000000001E-3</v>
      </c>
      <c r="F365" s="267">
        <f>ÉV!$B$12</f>
        <v>0</v>
      </c>
      <c r="G365" s="271">
        <f ca="1">VLOOKUP(A365,ÉV!$A$18:$B$65,2,0)</f>
        <v>0</v>
      </c>
      <c r="H365" s="271">
        <f ca="1">IF(OR(A365=1,AND(C365=ÉV!$I$2,D365&gt;ÉV!$J$2),C365&gt;ÉV!$I$2),0,INDEX(Pz!$B$2:$AM$48,A365-1,ÉV!$G$2-9)/100000*ÉV!$B$10)</f>
        <v>0</v>
      </c>
      <c r="I365" s="271">
        <f ca="1">INDEX(Pz!$B$2:$AM$48,HÓ!A365,ÉV!$G$2-9)/100000*ÉV!$B$10</f>
        <v>0</v>
      </c>
      <c r="J365" s="273">
        <f ca="1">IF(OR(A365=1,A365=2,AND(C365=ÉV!$I$2,D365&gt;ÉV!$J$2),C365&gt;ÉV!$I$2),0,VLOOKUP(A365-2,ÉV!$A$18:$C$65,3,0))</f>
        <v>0</v>
      </c>
      <c r="K365" s="273">
        <f ca="1">IF(OR(A365=1,AND(C365=ÉV!$I$2,D365&gt;ÉV!$J$2),C365&gt;ÉV!$I$2),0,VLOOKUP(A365-1,ÉV!$A$18:$C$65,3,0))</f>
        <v>0</v>
      </c>
      <c r="L365" s="273">
        <f ca="1">VLOOKUP(A365,ÉV!$A$18:$C$65,3,0)*IF(OR(AND(C365=ÉV!$I$2,D365&gt;ÉV!$J$2),C365&gt;ÉV!$I$2),0,1)</f>
        <v>0</v>
      </c>
      <c r="M365" s="273">
        <f ca="1">(K365*(12-B365)/12+L365*B365/12)*IF(A365&gt;ÉV!$G$2,0,1)+IF(A365&gt;ÉV!$G$2,M364,0)*IF(OR(AND(C365=ÉV!$I$2,D365&gt;ÉV!$J$2),C365&gt;ÉV!$I$2),0,1)</f>
        <v>0</v>
      </c>
      <c r="N365" s="274">
        <f ca="1">IF(AND(C365=1,D365&lt;12),0,1)*IF(D365=12,MAX(0,F365-E365-0.003)*0.9*((K365+I365)*(B365/12)+(J365+H365)*(1-B365/12))+MAX(0,F365-0.003)*0.9*N364+N364,IF(AND(C365=ÉV!$I$2,D365=ÉV!$J$2),(M365+N364)*MAX(0,F365-0.003)*0.9*(D365/12)+N364,N364))*IF(OR(C365&gt;ÉV!$I$2,AND(C365=ÉV!$I$2,D365&gt;ÉV!$J$2)),0,1)</f>
        <v>0</v>
      </c>
      <c r="O365" s="313">
        <f ca="1">IF(MAX(AF$2:AF364)=2,      0,IF(OR(AC365=7, AF365=2),    SUM(AE$2:AE365),    O364)   )</f>
        <v>0</v>
      </c>
      <c r="P365" s="271">
        <f ca="1">IF(D365=12,V365+P364+P364*(F365-0.003)*0.9,IF(AND(C365=ÉV!$I$2,D365=ÉV!$J$2),V365+P364+P364*(F365-0.003)*0.9*D365/12,P364))*IF(OR(C365&gt;ÉV!$I$2,AND(C365=ÉV!$I$2,D365&gt;ÉV!$J$2)),0,1)</f>
        <v>0</v>
      </c>
      <c r="Q365" s="275">
        <f ca="1">(N365+P365)*IF(OR(AND(C365=ÉV!$I$2,D365&gt;ÉV!$J$2),C365&gt;ÉV!$I$2),0,1)</f>
        <v>0</v>
      </c>
      <c r="R365" s="271">
        <f ca="1">(MAX(0,F365-E365-0.003)*0.9*((K365+I365)*(1/12)))*IF(OR(C365&gt;ÉV!$I$2,AND(C365=ÉV!$I$2,D365&gt;ÉV!$J$2)),0,1)</f>
        <v>0</v>
      </c>
      <c r="S365" s="271">
        <f ca="1">(MAX(0,F365-0.003)*0.9*((O365)*(1/12)))*IF(OR(C365&gt;ÉV!$I$2,AND(C365=ÉV!$I$2,D365&gt;ÉV!$J$2)),0,1)</f>
        <v>0</v>
      </c>
      <c r="T365" s="271">
        <f ca="1">(MAX(0,F365-0.003)*0.9*((Q364)*(1/12)))*IF(OR(C365&gt;ÉV!$I$2,AND(C365=ÉV!$I$2,D365&gt;ÉV!$J$2)),0,1)</f>
        <v>0</v>
      </c>
      <c r="U365" s="271">
        <f ca="1">IF($D365=1,R365,R365+U364)*IF(OR(C365&gt;ÉV!$I$2,AND(C365=ÉV!$I$2,D365&gt;ÉV!$J$2)),0,1)</f>
        <v>0</v>
      </c>
      <c r="V365" s="271">
        <f ca="1">IF($D365=1,S365,S365+V364)*IF(OR(C365&gt;ÉV!$I$2,AND(C365=ÉV!$I$2,D365&gt;ÉV!$J$2)),0,1)</f>
        <v>0</v>
      </c>
      <c r="W365" s="271">
        <f ca="1">IF($D365=1,T365,T365+W364)*IF(OR(C365&gt;ÉV!$I$2,AND(C365=ÉV!$I$2,D365&gt;ÉV!$J$2)),0,1)</f>
        <v>0</v>
      </c>
      <c r="X365" s="271">
        <f ca="1">IF(OR(D365=12,AND(C365=ÉV!$I$2,D365=ÉV!$J$2)),SUM(U365:W365)+X364,X364)*IF(OR(C365&gt;ÉV!$I$2,AND(C365=ÉV!$I$2,D365&gt;ÉV!$J$2)),0,1)</f>
        <v>0</v>
      </c>
      <c r="Y365" s="271">
        <f t="shared" ca="1" si="57"/>
        <v>0</v>
      </c>
      <c r="Z365" s="265">
        <f t="shared" si="58"/>
        <v>3</v>
      </c>
      <c r="AA365" s="272">
        <f t="shared" ca="1" si="59"/>
        <v>0</v>
      </c>
      <c r="AB365" s="265">
        <f t="shared" ca="1" si="65"/>
        <v>2047</v>
      </c>
      <c r="AC365" s="265">
        <f t="shared" ca="1" si="66"/>
        <v>6</v>
      </c>
      <c r="AD365" s="276">
        <f ca="1">IF(     OR(               AND(MAX(AF$6:AF365)&lt;2,  AC365=12),                 AF365=2),                   SUMIF(AB:AB,AB365,AA:AA),                       0)</f>
        <v>0</v>
      </c>
      <c r="AE365" s="277">
        <f t="shared" ca="1" si="67"/>
        <v>0</v>
      </c>
      <c r="AF365" s="277">
        <f t="shared" ca="1" si="60"/>
        <v>0</v>
      </c>
      <c r="AG365" s="402">
        <f ca="1">IF(  AND(AC365=AdóHó,   MAX(AF$1:AF364)&lt;2),   SUMIF(AB:AB,AB365-1,AE:AE),0  )
+ IF(AND(AC365&lt;AdóHó,                            AF365=2),   SUMIF(AB:AB,AB365-1,AE:AE),0  )
+ IF(                                                                  AF365=2,    SUMIF(AB:AB,AB365,AE:AE   ),0  )</f>
        <v>0</v>
      </c>
      <c r="AH365" s="272">
        <f ca="1">SUM(AG$2:AG365)</f>
        <v>1139324.2410681627</v>
      </c>
    </row>
    <row r="366" spans="1:34">
      <c r="A366" s="265">
        <f t="shared" si="61"/>
        <v>31</v>
      </c>
      <c r="B366" s="265">
        <f t="shared" si="62"/>
        <v>4</v>
      </c>
      <c r="C366" s="265">
        <f t="shared" ca="1" si="63"/>
        <v>31</v>
      </c>
      <c r="D366" s="265">
        <f t="shared" ca="1" si="64"/>
        <v>7</v>
      </c>
      <c r="E366" s="266">
        <v>5.0000000000000001E-3</v>
      </c>
      <c r="F366" s="267">
        <f>ÉV!$B$12</f>
        <v>0</v>
      </c>
      <c r="G366" s="271">
        <f ca="1">VLOOKUP(A366,ÉV!$A$18:$B$65,2,0)</f>
        <v>0</v>
      </c>
      <c r="H366" s="271">
        <f ca="1">IF(OR(A366=1,AND(C366=ÉV!$I$2,D366&gt;ÉV!$J$2),C366&gt;ÉV!$I$2),0,INDEX(Pz!$B$2:$AM$48,A366-1,ÉV!$G$2-9)/100000*ÉV!$B$10)</f>
        <v>0</v>
      </c>
      <c r="I366" s="271">
        <f ca="1">INDEX(Pz!$B$2:$AM$48,HÓ!A366,ÉV!$G$2-9)/100000*ÉV!$B$10</f>
        <v>0</v>
      </c>
      <c r="J366" s="273">
        <f ca="1">IF(OR(A366=1,A366=2,AND(C366=ÉV!$I$2,D366&gt;ÉV!$J$2),C366&gt;ÉV!$I$2),0,VLOOKUP(A366-2,ÉV!$A$18:$C$65,3,0))</f>
        <v>0</v>
      </c>
      <c r="K366" s="273">
        <f ca="1">IF(OR(A366=1,AND(C366=ÉV!$I$2,D366&gt;ÉV!$J$2),C366&gt;ÉV!$I$2),0,VLOOKUP(A366-1,ÉV!$A$18:$C$65,3,0))</f>
        <v>0</v>
      </c>
      <c r="L366" s="273">
        <f ca="1">VLOOKUP(A366,ÉV!$A$18:$C$65,3,0)*IF(OR(AND(C366=ÉV!$I$2,D366&gt;ÉV!$J$2),C366&gt;ÉV!$I$2),0,1)</f>
        <v>0</v>
      </c>
      <c r="M366" s="273">
        <f ca="1">(K366*(12-B366)/12+L366*B366/12)*IF(A366&gt;ÉV!$G$2,0,1)+IF(A366&gt;ÉV!$G$2,M365,0)*IF(OR(AND(C366=ÉV!$I$2,D366&gt;ÉV!$J$2),C366&gt;ÉV!$I$2),0,1)</f>
        <v>0</v>
      </c>
      <c r="N366" s="274">
        <f ca="1">IF(AND(C366=1,D366&lt;12),0,1)*IF(D366=12,MAX(0,F366-E366-0.003)*0.9*((K366+I366)*(B366/12)+(J366+H366)*(1-B366/12))+MAX(0,F366-0.003)*0.9*N365+N365,IF(AND(C366=ÉV!$I$2,D366=ÉV!$J$2),(M366+N365)*MAX(0,F366-0.003)*0.9*(D366/12)+N365,N365))*IF(OR(C366&gt;ÉV!$I$2,AND(C366=ÉV!$I$2,D366&gt;ÉV!$J$2)),0,1)</f>
        <v>0</v>
      </c>
      <c r="O366" s="313">
        <f ca="1">IF(MAX(AF$2:AF365)=2,      0,IF(OR(AC366=7, AF366=2),    SUM(AE$2:AE366),    O365)   )</f>
        <v>0</v>
      </c>
      <c r="P366" s="271">
        <f ca="1">IF(D366=12,V366+P365+P365*(F366-0.003)*0.9,IF(AND(C366=ÉV!$I$2,D366=ÉV!$J$2),V366+P365+P365*(F366-0.003)*0.9*D366/12,P365))*IF(OR(C366&gt;ÉV!$I$2,AND(C366=ÉV!$I$2,D366&gt;ÉV!$J$2)),0,1)</f>
        <v>0</v>
      </c>
      <c r="Q366" s="275">
        <f ca="1">(N366+P366)*IF(OR(AND(C366=ÉV!$I$2,D366&gt;ÉV!$J$2),C366&gt;ÉV!$I$2),0,1)</f>
        <v>0</v>
      </c>
      <c r="R366" s="271">
        <f ca="1">(MAX(0,F366-E366-0.003)*0.9*((K366+I366)*(1/12)))*IF(OR(C366&gt;ÉV!$I$2,AND(C366=ÉV!$I$2,D366&gt;ÉV!$J$2)),0,1)</f>
        <v>0</v>
      </c>
      <c r="S366" s="271">
        <f ca="1">(MAX(0,F366-0.003)*0.9*((O366)*(1/12)))*IF(OR(C366&gt;ÉV!$I$2,AND(C366=ÉV!$I$2,D366&gt;ÉV!$J$2)),0,1)</f>
        <v>0</v>
      </c>
      <c r="T366" s="271">
        <f ca="1">(MAX(0,F366-0.003)*0.9*((Q365)*(1/12)))*IF(OR(C366&gt;ÉV!$I$2,AND(C366=ÉV!$I$2,D366&gt;ÉV!$J$2)),0,1)</f>
        <v>0</v>
      </c>
      <c r="U366" s="271">
        <f ca="1">IF($D366=1,R366,R366+U365)*IF(OR(C366&gt;ÉV!$I$2,AND(C366=ÉV!$I$2,D366&gt;ÉV!$J$2)),0,1)</f>
        <v>0</v>
      </c>
      <c r="V366" s="271">
        <f ca="1">IF($D366=1,S366,S366+V365)*IF(OR(C366&gt;ÉV!$I$2,AND(C366=ÉV!$I$2,D366&gt;ÉV!$J$2)),0,1)</f>
        <v>0</v>
      </c>
      <c r="W366" s="271">
        <f ca="1">IF($D366=1,T366,T366+W365)*IF(OR(C366&gt;ÉV!$I$2,AND(C366=ÉV!$I$2,D366&gt;ÉV!$J$2)),0,1)</f>
        <v>0</v>
      </c>
      <c r="X366" s="271">
        <f ca="1">IF(OR(D366=12,AND(C366=ÉV!$I$2,D366=ÉV!$J$2)),SUM(U366:W366)+X365,X365)*IF(OR(C366&gt;ÉV!$I$2,AND(C366=ÉV!$I$2,D366&gt;ÉV!$J$2)),0,1)</f>
        <v>0</v>
      </c>
      <c r="Y366" s="271">
        <f t="shared" ca="1" si="57"/>
        <v>0</v>
      </c>
      <c r="Z366" s="265">
        <f t="shared" si="58"/>
        <v>4</v>
      </c>
      <c r="AA366" s="272">
        <f t="shared" ca="1" si="59"/>
        <v>0</v>
      </c>
      <c r="AB366" s="265">
        <f t="shared" ca="1" si="65"/>
        <v>2047</v>
      </c>
      <c r="AC366" s="265">
        <f t="shared" ca="1" si="66"/>
        <v>7</v>
      </c>
      <c r="AD366" s="276">
        <f ca="1">IF(     OR(               AND(MAX(AF$6:AF366)&lt;2,  AC366=12),                 AF366=2),                   SUMIF(AB:AB,AB366,AA:AA),                       0)</f>
        <v>0</v>
      </c>
      <c r="AE366" s="277">
        <f t="shared" ca="1" si="67"/>
        <v>0</v>
      </c>
      <c r="AF366" s="277">
        <f t="shared" ca="1" si="60"/>
        <v>0</v>
      </c>
      <c r="AG366" s="402">
        <f ca="1">IF(  AND(AC366=AdóHó,   MAX(AF$1:AF365)&lt;2),   SUMIF(AB:AB,AB366-1,AE:AE),0  )
+ IF(AND(AC366&lt;AdóHó,                            AF366=2),   SUMIF(AB:AB,AB366-1,AE:AE),0  )
+ IF(                                                                  AF366=2,    SUMIF(AB:AB,AB366,AE:AE   ),0  )</f>
        <v>0</v>
      </c>
      <c r="AH366" s="272">
        <f ca="1">SUM(AG$2:AG366)</f>
        <v>1139324.2410681627</v>
      </c>
    </row>
    <row r="367" spans="1:34">
      <c r="A367" s="265">
        <f t="shared" si="61"/>
        <v>31</v>
      </c>
      <c r="B367" s="265">
        <f t="shared" si="62"/>
        <v>5</v>
      </c>
      <c r="C367" s="265">
        <f t="shared" ca="1" si="63"/>
        <v>31</v>
      </c>
      <c r="D367" s="265">
        <f t="shared" ca="1" si="64"/>
        <v>8</v>
      </c>
      <c r="E367" s="266">
        <v>5.0000000000000001E-3</v>
      </c>
      <c r="F367" s="267">
        <f>ÉV!$B$12</f>
        <v>0</v>
      </c>
      <c r="G367" s="271">
        <f ca="1">VLOOKUP(A367,ÉV!$A$18:$B$65,2,0)</f>
        <v>0</v>
      </c>
      <c r="H367" s="271">
        <f ca="1">IF(OR(A367=1,AND(C367=ÉV!$I$2,D367&gt;ÉV!$J$2),C367&gt;ÉV!$I$2),0,INDEX(Pz!$B$2:$AM$48,A367-1,ÉV!$G$2-9)/100000*ÉV!$B$10)</f>
        <v>0</v>
      </c>
      <c r="I367" s="271">
        <f ca="1">INDEX(Pz!$B$2:$AM$48,HÓ!A367,ÉV!$G$2-9)/100000*ÉV!$B$10</f>
        <v>0</v>
      </c>
      <c r="J367" s="273">
        <f ca="1">IF(OR(A367=1,A367=2,AND(C367=ÉV!$I$2,D367&gt;ÉV!$J$2),C367&gt;ÉV!$I$2),0,VLOOKUP(A367-2,ÉV!$A$18:$C$65,3,0))</f>
        <v>0</v>
      </c>
      <c r="K367" s="273">
        <f ca="1">IF(OR(A367=1,AND(C367=ÉV!$I$2,D367&gt;ÉV!$J$2),C367&gt;ÉV!$I$2),0,VLOOKUP(A367-1,ÉV!$A$18:$C$65,3,0))</f>
        <v>0</v>
      </c>
      <c r="L367" s="273">
        <f ca="1">VLOOKUP(A367,ÉV!$A$18:$C$65,3,0)*IF(OR(AND(C367=ÉV!$I$2,D367&gt;ÉV!$J$2),C367&gt;ÉV!$I$2),0,1)</f>
        <v>0</v>
      </c>
      <c r="M367" s="273">
        <f ca="1">(K367*(12-B367)/12+L367*B367/12)*IF(A367&gt;ÉV!$G$2,0,1)+IF(A367&gt;ÉV!$G$2,M366,0)*IF(OR(AND(C367=ÉV!$I$2,D367&gt;ÉV!$J$2),C367&gt;ÉV!$I$2),0,1)</f>
        <v>0</v>
      </c>
      <c r="N367" s="274">
        <f ca="1">IF(AND(C367=1,D367&lt;12),0,1)*IF(D367=12,MAX(0,F367-E367-0.003)*0.9*((K367+I367)*(B367/12)+(J367+H367)*(1-B367/12))+MAX(0,F367-0.003)*0.9*N366+N366,IF(AND(C367=ÉV!$I$2,D367=ÉV!$J$2),(M367+N366)*MAX(0,F367-0.003)*0.9*(D367/12)+N366,N366))*IF(OR(C367&gt;ÉV!$I$2,AND(C367=ÉV!$I$2,D367&gt;ÉV!$J$2)),0,1)</f>
        <v>0</v>
      </c>
      <c r="O367" s="313">
        <f ca="1">IF(MAX(AF$2:AF366)=2,      0,IF(OR(AC367=7, AF367=2),    SUM(AE$2:AE367),    O366)   )</f>
        <v>0</v>
      </c>
      <c r="P367" s="271">
        <f ca="1">IF(D367=12,V367+P366+P366*(F367-0.003)*0.9,IF(AND(C367=ÉV!$I$2,D367=ÉV!$J$2),V367+P366+P366*(F367-0.003)*0.9*D367/12,P366))*IF(OR(C367&gt;ÉV!$I$2,AND(C367=ÉV!$I$2,D367&gt;ÉV!$J$2)),0,1)</f>
        <v>0</v>
      </c>
      <c r="Q367" s="275">
        <f ca="1">(N367+P367)*IF(OR(AND(C367=ÉV!$I$2,D367&gt;ÉV!$J$2),C367&gt;ÉV!$I$2),0,1)</f>
        <v>0</v>
      </c>
      <c r="R367" s="271">
        <f ca="1">(MAX(0,F367-E367-0.003)*0.9*((K367+I367)*(1/12)))*IF(OR(C367&gt;ÉV!$I$2,AND(C367=ÉV!$I$2,D367&gt;ÉV!$J$2)),0,1)</f>
        <v>0</v>
      </c>
      <c r="S367" s="271">
        <f ca="1">(MAX(0,F367-0.003)*0.9*((O367)*(1/12)))*IF(OR(C367&gt;ÉV!$I$2,AND(C367=ÉV!$I$2,D367&gt;ÉV!$J$2)),0,1)</f>
        <v>0</v>
      </c>
      <c r="T367" s="271">
        <f ca="1">(MAX(0,F367-0.003)*0.9*((Q366)*(1/12)))*IF(OR(C367&gt;ÉV!$I$2,AND(C367=ÉV!$I$2,D367&gt;ÉV!$J$2)),0,1)</f>
        <v>0</v>
      </c>
      <c r="U367" s="271">
        <f ca="1">IF($D367=1,R367,R367+U366)*IF(OR(C367&gt;ÉV!$I$2,AND(C367=ÉV!$I$2,D367&gt;ÉV!$J$2)),0,1)</f>
        <v>0</v>
      </c>
      <c r="V367" s="271">
        <f ca="1">IF($D367=1,S367,S367+V366)*IF(OR(C367&gt;ÉV!$I$2,AND(C367=ÉV!$I$2,D367&gt;ÉV!$J$2)),0,1)</f>
        <v>0</v>
      </c>
      <c r="W367" s="271">
        <f ca="1">IF($D367=1,T367,T367+W366)*IF(OR(C367&gt;ÉV!$I$2,AND(C367=ÉV!$I$2,D367&gt;ÉV!$J$2)),0,1)</f>
        <v>0</v>
      </c>
      <c r="X367" s="271">
        <f ca="1">IF(OR(D367=12,AND(C367=ÉV!$I$2,D367=ÉV!$J$2)),SUM(U367:W367)+X366,X366)*IF(OR(C367&gt;ÉV!$I$2,AND(C367=ÉV!$I$2,D367&gt;ÉV!$J$2)),0,1)</f>
        <v>0</v>
      </c>
      <c r="Y367" s="271">
        <f t="shared" ca="1" si="57"/>
        <v>0</v>
      </c>
      <c r="Z367" s="265">
        <f t="shared" si="58"/>
        <v>5</v>
      </c>
      <c r="AA367" s="272">
        <f t="shared" ca="1" si="59"/>
        <v>0</v>
      </c>
      <c r="AB367" s="265">
        <f t="shared" ca="1" si="65"/>
        <v>2047</v>
      </c>
      <c r="AC367" s="265">
        <f t="shared" ca="1" si="66"/>
        <v>8</v>
      </c>
      <c r="AD367" s="276">
        <f ca="1">IF(     OR(               AND(MAX(AF$6:AF367)&lt;2,  AC367=12),                 AF367=2),                   SUMIF(AB:AB,AB367,AA:AA),                       0)</f>
        <v>0</v>
      </c>
      <c r="AE367" s="277">
        <f t="shared" ca="1" si="67"/>
        <v>0</v>
      </c>
      <c r="AF367" s="277">
        <f t="shared" ca="1" si="60"/>
        <v>0</v>
      </c>
      <c r="AG367" s="402">
        <f ca="1">IF(  AND(AC367=AdóHó,   MAX(AF$1:AF366)&lt;2),   SUMIF(AB:AB,AB367-1,AE:AE),0  )
+ IF(AND(AC367&lt;AdóHó,                            AF367=2),   SUMIF(AB:AB,AB367-1,AE:AE),0  )
+ IF(                                                                  AF367=2,    SUMIF(AB:AB,AB367,AE:AE   ),0  )</f>
        <v>0</v>
      </c>
      <c r="AH367" s="272">
        <f ca="1">SUM(AG$2:AG367)</f>
        <v>1139324.2410681627</v>
      </c>
    </row>
    <row r="368" spans="1:34">
      <c r="A368" s="265">
        <f t="shared" si="61"/>
        <v>31</v>
      </c>
      <c r="B368" s="265">
        <f t="shared" si="62"/>
        <v>6</v>
      </c>
      <c r="C368" s="265">
        <f t="shared" ca="1" si="63"/>
        <v>31</v>
      </c>
      <c r="D368" s="265">
        <f t="shared" ca="1" si="64"/>
        <v>9</v>
      </c>
      <c r="E368" s="266">
        <v>5.0000000000000001E-3</v>
      </c>
      <c r="F368" s="267">
        <f>ÉV!$B$12</f>
        <v>0</v>
      </c>
      <c r="G368" s="271">
        <f ca="1">VLOOKUP(A368,ÉV!$A$18:$B$65,2,0)</f>
        <v>0</v>
      </c>
      <c r="H368" s="271">
        <f ca="1">IF(OR(A368=1,AND(C368=ÉV!$I$2,D368&gt;ÉV!$J$2),C368&gt;ÉV!$I$2),0,INDEX(Pz!$B$2:$AM$48,A368-1,ÉV!$G$2-9)/100000*ÉV!$B$10)</f>
        <v>0</v>
      </c>
      <c r="I368" s="271">
        <f ca="1">INDEX(Pz!$B$2:$AM$48,HÓ!A368,ÉV!$G$2-9)/100000*ÉV!$B$10</f>
        <v>0</v>
      </c>
      <c r="J368" s="273">
        <f ca="1">IF(OR(A368=1,A368=2,AND(C368=ÉV!$I$2,D368&gt;ÉV!$J$2),C368&gt;ÉV!$I$2),0,VLOOKUP(A368-2,ÉV!$A$18:$C$65,3,0))</f>
        <v>0</v>
      </c>
      <c r="K368" s="273">
        <f ca="1">IF(OR(A368=1,AND(C368=ÉV!$I$2,D368&gt;ÉV!$J$2),C368&gt;ÉV!$I$2),0,VLOOKUP(A368-1,ÉV!$A$18:$C$65,3,0))</f>
        <v>0</v>
      </c>
      <c r="L368" s="273">
        <f ca="1">VLOOKUP(A368,ÉV!$A$18:$C$65,3,0)*IF(OR(AND(C368=ÉV!$I$2,D368&gt;ÉV!$J$2),C368&gt;ÉV!$I$2),0,1)</f>
        <v>0</v>
      </c>
      <c r="M368" s="273">
        <f ca="1">(K368*(12-B368)/12+L368*B368/12)*IF(A368&gt;ÉV!$G$2,0,1)+IF(A368&gt;ÉV!$G$2,M367,0)*IF(OR(AND(C368=ÉV!$I$2,D368&gt;ÉV!$J$2),C368&gt;ÉV!$I$2),0,1)</f>
        <v>0</v>
      </c>
      <c r="N368" s="274">
        <f ca="1">IF(AND(C368=1,D368&lt;12),0,1)*IF(D368=12,MAX(0,F368-E368-0.003)*0.9*((K368+I368)*(B368/12)+(J368+H368)*(1-B368/12))+MAX(0,F368-0.003)*0.9*N367+N367,IF(AND(C368=ÉV!$I$2,D368=ÉV!$J$2),(M368+N367)*MAX(0,F368-0.003)*0.9*(D368/12)+N367,N367))*IF(OR(C368&gt;ÉV!$I$2,AND(C368=ÉV!$I$2,D368&gt;ÉV!$J$2)),0,1)</f>
        <v>0</v>
      </c>
      <c r="O368" s="313">
        <f ca="1">IF(MAX(AF$2:AF367)=2,      0,IF(OR(AC368=7, AF368=2),    SUM(AE$2:AE368),    O367)   )</f>
        <v>0</v>
      </c>
      <c r="P368" s="271">
        <f ca="1">IF(D368=12,V368+P367+P367*(F368-0.003)*0.9,IF(AND(C368=ÉV!$I$2,D368=ÉV!$J$2),V368+P367+P367*(F368-0.003)*0.9*D368/12,P367))*IF(OR(C368&gt;ÉV!$I$2,AND(C368=ÉV!$I$2,D368&gt;ÉV!$J$2)),0,1)</f>
        <v>0</v>
      </c>
      <c r="Q368" s="275">
        <f ca="1">(N368+P368)*IF(OR(AND(C368=ÉV!$I$2,D368&gt;ÉV!$J$2),C368&gt;ÉV!$I$2),0,1)</f>
        <v>0</v>
      </c>
      <c r="R368" s="271">
        <f ca="1">(MAX(0,F368-E368-0.003)*0.9*((K368+I368)*(1/12)))*IF(OR(C368&gt;ÉV!$I$2,AND(C368=ÉV!$I$2,D368&gt;ÉV!$J$2)),0,1)</f>
        <v>0</v>
      </c>
      <c r="S368" s="271">
        <f ca="1">(MAX(0,F368-0.003)*0.9*((O368)*(1/12)))*IF(OR(C368&gt;ÉV!$I$2,AND(C368=ÉV!$I$2,D368&gt;ÉV!$J$2)),0,1)</f>
        <v>0</v>
      </c>
      <c r="T368" s="271">
        <f ca="1">(MAX(0,F368-0.003)*0.9*((Q367)*(1/12)))*IF(OR(C368&gt;ÉV!$I$2,AND(C368=ÉV!$I$2,D368&gt;ÉV!$J$2)),0,1)</f>
        <v>0</v>
      </c>
      <c r="U368" s="271">
        <f ca="1">IF($D368=1,R368,R368+U367)*IF(OR(C368&gt;ÉV!$I$2,AND(C368=ÉV!$I$2,D368&gt;ÉV!$J$2)),0,1)</f>
        <v>0</v>
      </c>
      <c r="V368" s="271">
        <f ca="1">IF($D368=1,S368,S368+V367)*IF(OR(C368&gt;ÉV!$I$2,AND(C368=ÉV!$I$2,D368&gt;ÉV!$J$2)),0,1)</f>
        <v>0</v>
      </c>
      <c r="W368" s="271">
        <f ca="1">IF($D368=1,T368,T368+W367)*IF(OR(C368&gt;ÉV!$I$2,AND(C368=ÉV!$I$2,D368&gt;ÉV!$J$2)),0,1)</f>
        <v>0</v>
      </c>
      <c r="X368" s="271">
        <f ca="1">IF(OR(D368=12,AND(C368=ÉV!$I$2,D368=ÉV!$J$2)),SUM(U368:W368)+X367,X367)*IF(OR(C368&gt;ÉV!$I$2,AND(C368=ÉV!$I$2,D368&gt;ÉV!$J$2)),0,1)</f>
        <v>0</v>
      </c>
      <c r="Y368" s="271">
        <f t="shared" ca="1" si="57"/>
        <v>0</v>
      </c>
      <c r="Z368" s="265">
        <f t="shared" si="58"/>
        <v>6</v>
      </c>
      <c r="AA368" s="272">
        <f t="shared" ca="1" si="59"/>
        <v>0</v>
      </c>
      <c r="AB368" s="265">
        <f t="shared" ca="1" si="65"/>
        <v>2047</v>
      </c>
      <c r="AC368" s="265">
        <f t="shared" ca="1" si="66"/>
        <v>9</v>
      </c>
      <c r="AD368" s="276">
        <f ca="1">IF(     OR(               AND(MAX(AF$6:AF368)&lt;2,  AC368=12),                 AF368=2),                   SUMIF(AB:AB,AB368,AA:AA),                       0)</f>
        <v>0</v>
      </c>
      <c r="AE368" s="277">
        <f t="shared" ca="1" si="67"/>
        <v>0</v>
      </c>
      <c r="AF368" s="277">
        <f t="shared" ca="1" si="60"/>
        <v>0</v>
      </c>
      <c r="AG368" s="402">
        <f ca="1">IF(  AND(AC368=AdóHó,   MAX(AF$1:AF367)&lt;2),   SUMIF(AB:AB,AB368-1,AE:AE),0  )
+ IF(AND(AC368&lt;AdóHó,                            AF368=2),   SUMIF(AB:AB,AB368-1,AE:AE),0  )
+ IF(                                                                  AF368=2,    SUMIF(AB:AB,AB368,AE:AE   ),0  )</f>
        <v>0</v>
      </c>
      <c r="AH368" s="272">
        <f ca="1">SUM(AG$2:AG368)</f>
        <v>1139324.2410681627</v>
      </c>
    </row>
    <row r="369" spans="1:34">
      <c r="A369" s="265">
        <f t="shared" si="61"/>
        <v>31</v>
      </c>
      <c r="B369" s="265">
        <f t="shared" si="62"/>
        <v>7</v>
      </c>
      <c r="C369" s="265">
        <f t="shared" ca="1" si="63"/>
        <v>31</v>
      </c>
      <c r="D369" s="265">
        <f t="shared" ca="1" si="64"/>
        <v>10</v>
      </c>
      <c r="E369" s="266">
        <v>5.0000000000000001E-3</v>
      </c>
      <c r="F369" s="267">
        <f>ÉV!$B$12</f>
        <v>0</v>
      </c>
      <c r="G369" s="271">
        <f ca="1">VLOOKUP(A369,ÉV!$A$18:$B$65,2,0)</f>
        <v>0</v>
      </c>
      <c r="H369" s="271">
        <f ca="1">IF(OR(A369=1,AND(C369=ÉV!$I$2,D369&gt;ÉV!$J$2),C369&gt;ÉV!$I$2),0,INDEX(Pz!$B$2:$AM$48,A369-1,ÉV!$G$2-9)/100000*ÉV!$B$10)</f>
        <v>0</v>
      </c>
      <c r="I369" s="271">
        <f ca="1">INDEX(Pz!$B$2:$AM$48,HÓ!A369,ÉV!$G$2-9)/100000*ÉV!$B$10</f>
        <v>0</v>
      </c>
      <c r="J369" s="273">
        <f ca="1">IF(OR(A369=1,A369=2,AND(C369=ÉV!$I$2,D369&gt;ÉV!$J$2),C369&gt;ÉV!$I$2),0,VLOOKUP(A369-2,ÉV!$A$18:$C$65,3,0))</f>
        <v>0</v>
      </c>
      <c r="K369" s="273">
        <f ca="1">IF(OR(A369=1,AND(C369=ÉV!$I$2,D369&gt;ÉV!$J$2),C369&gt;ÉV!$I$2),0,VLOOKUP(A369-1,ÉV!$A$18:$C$65,3,0))</f>
        <v>0</v>
      </c>
      <c r="L369" s="273">
        <f ca="1">VLOOKUP(A369,ÉV!$A$18:$C$65,3,0)*IF(OR(AND(C369=ÉV!$I$2,D369&gt;ÉV!$J$2),C369&gt;ÉV!$I$2),0,1)</f>
        <v>0</v>
      </c>
      <c r="M369" s="273">
        <f ca="1">(K369*(12-B369)/12+L369*B369/12)*IF(A369&gt;ÉV!$G$2,0,1)+IF(A369&gt;ÉV!$G$2,M368,0)*IF(OR(AND(C369=ÉV!$I$2,D369&gt;ÉV!$J$2),C369&gt;ÉV!$I$2),0,1)</f>
        <v>0</v>
      </c>
      <c r="N369" s="274">
        <f ca="1">IF(AND(C369=1,D369&lt;12),0,1)*IF(D369=12,MAX(0,F369-E369-0.003)*0.9*((K369+I369)*(B369/12)+(J369+H369)*(1-B369/12))+MAX(0,F369-0.003)*0.9*N368+N368,IF(AND(C369=ÉV!$I$2,D369=ÉV!$J$2),(M369+N368)*MAX(0,F369-0.003)*0.9*(D369/12)+N368,N368))*IF(OR(C369&gt;ÉV!$I$2,AND(C369=ÉV!$I$2,D369&gt;ÉV!$J$2)),0,1)</f>
        <v>0</v>
      </c>
      <c r="O369" s="313">
        <f ca="1">IF(MAX(AF$2:AF368)=2,      0,IF(OR(AC369=7, AF369=2),    SUM(AE$2:AE369),    O368)   )</f>
        <v>0</v>
      </c>
      <c r="P369" s="271">
        <f ca="1">IF(D369=12,V369+P368+P368*(F369-0.003)*0.9,IF(AND(C369=ÉV!$I$2,D369=ÉV!$J$2),V369+P368+P368*(F369-0.003)*0.9*D369/12,P368))*IF(OR(C369&gt;ÉV!$I$2,AND(C369=ÉV!$I$2,D369&gt;ÉV!$J$2)),0,1)</f>
        <v>0</v>
      </c>
      <c r="Q369" s="275">
        <f ca="1">(N369+P369)*IF(OR(AND(C369=ÉV!$I$2,D369&gt;ÉV!$J$2),C369&gt;ÉV!$I$2),0,1)</f>
        <v>0</v>
      </c>
      <c r="R369" s="271">
        <f ca="1">(MAX(0,F369-E369-0.003)*0.9*((K369+I369)*(1/12)))*IF(OR(C369&gt;ÉV!$I$2,AND(C369=ÉV!$I$2,D369&gt;ÉV!$J$2)),0,1)</f>
        <v>0</v>
      </c>
      <c r="S369" s="271">
        <f ca="1">(MAX(0,F369-0.003)*0.9*((O369)*(1/12)))*IF(OR(C369&gt;ÉV!$I$2,AND(C369=ÉV!$I$2,D369&gt;ÉV!$J$2)),0,1)</f>
        <v>0</v>
      </c>
      <c r="T369" s="271">
        <f ca="1">(MAX(0,F369-0.003)*0.9*((Q368)*(1/12)))*IF(OR(C369&gt;ÉV!$I$2,AND(C369=ÉV!$I$2,D369&gt;ÉV!$J$2)),0,1)</f>
        <v>0</v>
      </c>
      <c r="U369" s="271">
        <f ca="1">IF($D369=1,R369,R369+U368)*IF(OR(C369&gt;ÉV!$I$2,AND(C369=ÉV!$I$2,D369&gt;ÉV!$J$2)),0,1)</f>
        <v>0</v>
      </c>
      <c r="V369" s="271">
        <f ca="1">IF($D369=1,S369,S369+V368)*IF(OR(C369&gt;ÉV!$I$2,AND(C369=ÉV!$I$2,D369&gt;ÉV!$J$2)),0,1)</f>
        <v>0</v>
      </c>
      <c r="W369" s="271">
        <f ca="1">IF($D369=1,T369,T369+W368)*IF(OR(C369&gt;ÉV!$I$2,AND(C369=ÉV!$I$2,D369&gt;ÉV!$J$2)),0,1)</f>
        <v>0</v>
      </c>
      <c r="X369" s="271">
        <f ca="1">IF(OR(D369=12,AND(C369=ÉV!$I$2,D369=ÉV!$J$2)),SUM(U369:W369)+X368,X368)*IF(OR(C369&gt;ÉV!$I$2,AND(C369=ÉV!$I$2,D369&gt;ÉV!$J$2)),0,1)</f>
        <v>0</v>
      </c>
      <c r="Y369" s="271">
        <f t="shared" ca="1" si="57"/>
        <v>0</v>
      </c>
      <c r="Z369" s="265">
        <f t="shared" si="58"/>
        <v>7</v>
      </c>
      <c r="AA369" s="272">
        <f t="shared" ca="1" si="59"/>
        <v>0</v>
      </c>
      <c r="AB369" s="265">
        <f t="shared" ca="1" si="65"/>
        <v>2047</v>
      </c>
      <c r="AC369" s="265">
        <f t="shared" ca="1" si="66"/>
        <v>10</v>
      </c>
      <c r="AD369" s="276">
        <f ca="1">IF(     OR(               AND(MAX(AF$6:AF369)&lt;2,  AC369=12),                 AF369=2),                   SUMIF(AB:AB,AB369,AA:AA),                       0)</f>
        <v>0</v>
      </c>
      <c r="AE369" s="277">
        <f t="shared" ca="1" si="67"/>
        <v>0</v>
      </c>
      <c r="AF369" s="277">
        <f t="shared" ca="1" si="60"/>
        <v>0</v>
      </c>
      <c r="AG369" s="402">
        <f ca="1">IF(  AND(AC369=AdóHó,   MAX(AF$1:AF368)&lt;2),   SUMIF(AB:AB,AB369-1,AE:AE),0  )
+ IF(AND(AC369&lt;AdóHó,                            AF369=2),   SUMIF(AB:AB,AB369-1,AE:AE),0  )
+ IF(                                                                  AF369=2,    SUMIF(AB:AB,AB369,AE:AE   ),0  )</f>
        <v>0</v>
      </c>
      <c r="AH369" s="272">
        <f ca="1">SUM(AG$2:AG369)</f>
        <v>1139324.2410681627</v>
      </c>
    </row>
    <row r="370" spans="1:34">
      <c r="A370" s="265">
        <f t="shared" si="61"/>
        <v>31</v>
      </c>
      <c r="B370" s="265">
        <f t="shared" si="62"/>
        <v>8</v>
      </c>
      <c r="C370" s="265">
        <f t="shared" ca="1" si="63"/>
        <v>31</v>
      </c>
      <c r="D370" s="265">
        <f t="shared" ca="1" si="64"/>
        <v>11</v>
      </c>
      <c r="E370" s="266">
        <v>5.0000000000000001E-3</v>
      </c>
      <c r="F370" s="267">
        <f>ÉV!$B$12</f>
        <v>0</v>
      </c>
      <c r="G370" s="271">
        <f ca="1">VLOOKUP(A370,ÉV!$A$18:$B$65,2,0)</f>
        <v>0</v>
      </c>
      <c r="H370" s="271">
        <f ca="1">IF(OR(A370=1,AND(C370=ÉV!$I$2,D370&gt;ÉV!$J$2),C370&gt;ÉV!$I$2),0,INDEX(Pz!$B$2:$AM$48,A370-1,ÉV!$G$2-9)/100000*ÉV!$B$10)</f>
        <v>0</v>
      </c>
      <c r="I370" s="271">
        <f ca="1">INDEX(Pz!$B$2:$AM$48,HÓ!A370,ÉV!$G$2-9)/100000*ÉV!$B$10</f>
        <v>0</v>
      </c>
      <c r="J370" s="273">
        <f ca="1">IF(OR(A370=1,A370=2,AND(C370=ÉV!$I$2,D370&gt;ÉV!$J$2),C370&gt;ÉV!$I$2),0,VLOOKUP(A370-2,ÉV!$A$18:$C$65,3,0))</f>
        <v>0</v>
      </c>
      <c r="K370" s="273">
        <f ca="1">IF(OR(A370=1,AND(C370=ÉV!$I$2,D370&gt;ÉV!$J$2),C370&gt;ÉV!$I$2),0,VLOOKUP(A370-1,ÉV!$A$18:$C$65,3,0))</f>
        <v>0</v>
      </c>
      <c r="L370" s="273">
        <f ca="1">VLOOKUP(A370,ÉV!$A$18:$C$65,3,0)*IF(OR(AND(C370=ÉV!$I$2,D370&gt;ÉV!$J$2),C370&gt;ÉV!$I$2),0,1)</f>
        <v>0</v>
      </c>
      <c r="M370" s="273">
        <f ca="1">(K370*(12-B370)/12+L370*B370/12)*IF(A370&gt;ÉV!$G$2,0,1)+IF(A370&gt;ÉV!$G$2,M369,0)*IF(OR(AND(C370=ÉV!$I$2,D370&gt;ÉV!$J$2),C370&gt;ÉV!$I$2),0,1)</f>
        <v>0</v>
      </c>
      <c r="N370" s="274">
        <f ca="1">IF(AND(C370=1,D370&lt;12),0,1)*IF(D370=12,MAX(0,F370-E370-0.003)*0.9*((K370+I370)*(B370/12)+(J370+H370)*(1-B370/12))+MAX(0,F370-0.003)*0.9*N369+N369,IF(AND(C370=ÉV!$I$2,D370=ÉV!$J$2),(M370+N369)*MAX(0,F370-0.003)*0.9*(D370/12)+N369,N369))*IF(OR(C370&gt;ÉV!$I$2,AND(C370=ÉV!$I$2,D370&gt;ÉV!$J$2)),0,1)</f>
        <v>0</v>
      </c>
      <c r="O370" s="313">
        <f ca="1">IF(MAX(AF$2:AF369)=2,      0,IF(OR(AC370=7, AF370=2),    SUM(AE$2:AE370),    O369)   )</f>
        <v>0</v>
      </c>
      <c r="P370" s="271">
        <f ca="1">IF(D370=12,V370+P369+P369*(F370-0.003)*0.9,IF(AND(C370=ÉV!$I$2,D370=ÉV!$J$2),V370+P369+P369*(F370-0.003)*0.9*D370/12,P369))*IF(OR(C370&gt;ÉV!$I$2,AND(C370=ÉV!$I$2,D370&gt;ÉV!$J$2)),0,1)</f>
        <v>0</v>
      </c>
      <c r="Q370" s="275">
        <f ca="1">(N370+P370)*IF(OR(AND(C370=ÉV!$I$2,D370&gt;ÉV!$J$2),C370&gt;ÉV!$I$2),0,1)</f>
        <v>0</v>
      </c>
      <c r="R370" s="271">
        <f ca="1">(MAX(0,F370-E370-0.003)*0.9*((K370+I370)*(1/12)))*IF(OR(C370&gt;ÉV!$I$2,AND(C370=ÉV!$I$2,D370&gt;ÉV!$J$2)),0,1)</f>
        <v>0</v>
      </c>
      <c r="S370" s="271">
        <f ca="1">(MAX(0,F370-0.003)*0.9*((O370)*(1/12)))*IF(OR(C370&gt;ÉV!$I$2,AND(C370=ÉV!$I$2,D370&gt;ÉV!$J$2)),0,1)</f>
        <v>0</v>
      </c>
      <c r="T370" s="271">
        <f ca="1">(MAX(0,F370-0.003)*0.9*((Q369)*(1/12)))*IF(OR(C370&gt;ÉV!$I$2,AND(C370=ÉV!$I$2,D370&gt;ÉV!$J$2)),0,1)</f>
        <v>0</v>
      </c>
      <c r="U370" s="271">
        <f ca="1">IF($D370=1,R370,R370+U369)*IF(OR(C370&gt;ÉV!$I$2,AND(C370=ÉV!$I$2,D370&gt;ÉV!$J$2)),0,1)</f>
        <v>0</v>
      </c>
      <c r="V370" s="271">
        <f ca="1">IF($D370=1,S370,S370+V369)*IF(OR(C370&gt;ÉV!$I$2,AND(C370=ÉV!$I$2,D370&gt;ÉV!$J$2)),0,1)</f>
        <v>0</v>
      </c>
      <c r="W370" s="271">
        <f ca="1">IF($D370=1,T370,T370+W369)*IF(OR(C370&gt;ÉV!$I$2,AND(C370=ÉV!$I$2,D370&gt;ÉV!$J$2)),0,1)</f>
        <v>0</v>
      </c>
      <c r="X370" s="271">
        <f ca="1">IF(OR(D370=12,AND(C370=ÉV!$I$2,D370=ÉV!$J$2)),SUM(U370:W370)+X369,X369)*IF(OR(C370&gt;ÉV!$I$2,AND(C370=ÉV!$I$2,D370&gt;ÉV!$J$2)),0,1)</f>
        <v>0</v>
      </c>
      <c r="Y370" s="271">
        <f t="shared" ca="1" si="57"/>
        <v>0</v>
      </c>
      <c r="Z370" s="265">
        <f t="shared" si="58"/>
        <v>8</v>
      </c>
      <c r="AA370" s="272">
        <f t="shared" ca="1" si="59"/>
        <v>0</v>
      </c>
      <c r="AB370" s="265">
        <f t="shared" ca="1" si="65"/>
        <v>2047</v>
      </c>
      <c r="AC370" s="265">
        <f t="shared" ca="1" si="66"/>
        <v>11</v>
      </c>
      <c r="AD370" s="276">
        <f ca="1">IF(     OR(               AND(MAX(AF$6:AF370)&lt;2,  AC370=12),                 AF370=2),                   SUMIF(AB:AB,AB370,AA:AA),                       0)</f>
        <v>0</v>
      </c>
      <c r="AE370" s="277">
        <f t="shared" ca="1" si="67"/>
        <v>0</v>
      </c>
      <c r="AF370" s="277">
        <f t="shared" ca="1" si="60"/>
        <v>0</v>
      </c>
      <c r="AG370" s="402">
        <f ca="1">IF(  AND(AC370=AdóHó,   MAX(AF$1:AF369)&lt;2),   SUMIF(AB:AB,AB370-1,AE:AE),0  )
+ IF(AND(AC370&lt;AdóHó,                            AF370=2),   SUMIF(AB:AB,AB370-1,AE:AE),0  )
+ IF(                                                                  AF370=2,    SUMIF(AB:AB,AB370,AE:AE   ),0  )</f>
        <v>0</v>
      </c>
      <c r="AH370" s="272">
        <f ca="1">SUM(AG$2:AG370)</f>
        <v>1139324.2410681627</v>
      </c>
    </row>
    <row r="371" spans="1:34">
      <c r="A371" s="265">
        <f t="shared" si="61"/>
        <v>31</v>
      </c>
      <c r="B371" s="265">
        <f t="shared" si="62"/>
        <v>9</v>
      </c>
      <c r="C371" s="265">
        <f t="shared" ca="1" si="63"/>
        <v>31</v>
      </c>
      <c r="D371" s="265">
        <f t="shared" ca="1" si="64"/>
        <v>12</v>
      </c>
      <c r="E371" s="266">
        <v>5.0000000000000001E-3</v>
      </c>
      <c r="F371" s="267">
        <f>ÉV!$B$12</f>
        <v>0</v>
      </c>
      <c r="G371" s="271">
        <f ca="1">VLOOKUP(A371,ÉV!$A$18:$B$65,2,0)</f>
        <v>0</v>
      </c>
      <c r="H371" s="271">
        <f ca="1">IF(OR(A371=1,AND(C371=ÉV!$I$2,D371&gt;ÉV!$J$2),C371&gt;ÉV!$I$2),0,INDEX(Pz!$B$2:$AM$48,A371-1,ÉV!$G$2-9)/100000*ÉV!$B$10)</f>
        <v>0</v>
      </c>
      <c r="I371" s="271">
        <f ca="1">INDEX(Pz!$B$2:$AM$48,HÓ!A371,ÉV!$G$2-9)/100000*ÉV!$B$10</f>
        <v>0</v>
      </c>
      <c r="J371" s="273">
        <f ca="1">IF(OR(A371=1,A371=2,AND(C371=ÉV!$I$2,D371&gt;ÉV!$J$2),C371&gt;ÉV!$I$2),0,VLOOKUP(A371-2,ÉV!$A$18:$C$65,3,0))</f>
        <v>0</v>
      </c>
      <c r="K371" s="273">
        <f ca="1">IF(OR(A371=1,AND(C371=ÉV!$I$2,D371&gt;ÉV!$J$2),C371&gt;ÉV!$I$2),0,VLOOKUP(A371-1,ÉV!$A$18:$C$65,3,0))</f>
        <v>0</v>
      </c>
      <c r="L371" s="273">
        <f ca="1">VLOOKUP(A371,ÉV!$A$18:$C$65,3,0)*IF(OR(AND(C371=ÉV!$I$2,D371&gt;ÉV!$J$2),C371&gt;ÉV!$I$2),0,1)</f>
        <v>0</v>
      </c>
      <c r="M371" s="273">
        <f ca="1">(K371*(12-B371)/12+L371*B371/12)*IF(A371&gt;ÉV!$G$2,0,1)+IF(A371&gt;ÉV!$G$2,M370,0)*IF(OR(AND(C371=ÉV!$I$2,D371&gt;ÉV!$J$2),C371&gt;ÉV!$I$2),0,1)</f>
        <v>0</v>
      </c>
      <c r="N371" s="274">
        <f ca="1">IF(AND(C371=1,D371&lt;12),0,1)*IF(D371=12,MAX(0,F371-E371-0.003)*0.9*((K371+I371)*(B371/12)+(J371+H371)*(1-B371/12))+MAX(0,F371-0.003)*0.9*N370+N370,IF(AND(C371=ÉV!$I$2,D371=ÉV!$J$2),(M371+N370)*MAX(0,F371-0.003)*0.9*(D371/12)+N370,N370))*IF(OR(C371&gt;ÉV!$I$2,AND(C371=ÉV!$I$2,D371&gt;ÉV!$J$2)),0,1)</f>
        <v>0</v>
      </c>
      <c r="O371" s="313">
        <f ca="1">IF(MAX(AF$2:AF370)=2,      0,IF(OR(AC371=7, AF371=2),    SUM(AE$2:AE371),    O370)   )</f>
        <v>0</v>
      </c>
      <c r="P371" s="271">
        <f ca="1">IF(D371=12,V371+P370+P370*(F371-0.003)*0.9,IF(AND(C371=ÉV!$I$2,D371=ÉV!$J$2),V371+P370+P370*(F371-0.003)*0.9*D371/12,P370))*IF(OR(C371&gt;ÉV!$I$2,AND(C371=ÉV!$I$2,D371&gt;ÉV!$J$2)),0,1)</f>
        <v>0</v>
      </c>
      <c r="Q371" s="275">
        <f ca="1">(N371+P371)*IF(OR(AND(C371=ÉV!$I$2,D371&gt;ÉV!$J$2),C371&gt;ÉV!$I$2),0,1)</f>
        <v>0</v>
      </c>
      <c r="R371" s="271">
        <f ca="1">(MAX(0,F371-E371-0.003)*0.9*((K371+I371)*(1/12)))*IF(OR(C371&gt;ÉV!$I$2,AND(C371=ÉV!$I$2,D371&gt;ÉV!$J$2)),0,1)</f>
        <v>0</v>
      </c>
      <c r="S371" s="271">
        <f ca="1">(MAX(0,F371-0.003)*0.9*((O371)*(1/12)))*IF(OR(C371&gt;ÉV!$I$2,AND(C371=ÉV!$I$2,D371&gt;ÉV!$J$2)),0,1)</f>
        <v>0</v>
      </c>
      <c r="T371" s="271">
        <f ca="1">(MAX(0,F371-0.003)*0.9*((Q370)*(1/12)))*IF(OR(C371&gt;ÉV!$I$2,AND(C371=ÉV!$I$2,D371&gt;ÉV!$J$2)),0,1)</f>
        <v>0</v>
      </c>
      <c r="U371" s="271">
        <f ca="1">IF($D371=1,R371,R371+U370)*IF(OR(C371&gt;ÉV!$I$2,AND(C371=ÉV!$I$2,D371&gt;ÉV!$J$2)),0,1)</f>
        <v>0</v>
      </c>
      <c r="V371" s="271">
        <f ca="1">IF($D371=1,S371,S371+V370)*IF(OR(C371&gt;ÉV!$I$2,AND(C371=ÉV!$I$2,D371&gt;ÉV!$J$2)),0,1)</f>
        <v>0</v>
      </c>
      <c r="W371" s="271">
        <f ca="1">IF($D371=1,T371,T371+W370)*IF(OR(C371&gt;ÉV!$I$2,AND(C371=ÉV!$I$2,D371&gt;ÉV!$J$2)),0,1)</f>
        <v>0</v>
      </c>
      <c r="X371" s="271">
        <f ca="1">IF(OR(D371=12,AND(C371=ÉV!$I$2,D371=ÉV!$J$2)),SUM(U371:W371)+X370,X370)*IF(OR(C371&gt;ÉV!$I$2,AND(C371=ÉV!$I$2,D371&gt;ÉV!$J$2)),0,1)</f>
        <v>0</v>
      </c>
      <c r="Y371" s="271">
        <f t="shared" ca="1" si="57"/>
        <v>0</v>
      </c>
      <c r="Z371" s="265">
        <f t="shared" si="58"/>
        <v>9</v>
      </c>
      <c r="AA371" s="272">
        <f t="shared" ca="1" si="59"/>
        <v>0</v>
      </c>
      <c r="AB371" s="265">
        <f t="shared" ca="1" si="65"/>
        <v>2047</v>
      </c>
      <c r="AC371" s="265">
        <f t="shared" ca="1" si="66"/>
        <v>12</v>
      </c>
      <c r="AD371" s="276">
        <f ca="1">IF(     OR(               AND(MAX(AF$6:AF371)&lt;2,  AC371=12),                 AF371=2),                   SUMIF(AB:AB,AB371,AA:AA),                       0)</f>
        <v>0</v>
      </c>
      <c r="AE371" s="277">
        <f t="shared" ca="1" si="67"/>
        <v>0</v>
      </c>
      <c r="AF371" s="277">
        <f t="shared" ca="1" si="60"/>
        <v>0</v>
      </c>
      <c r="AG371" s="402">
        <f ca="1">IF(  AND(AC371=AdóHó,   MAX(AF$1:AF370)&lt;2),   SUMIF(AB:AB,AB371-1,AE:AE),0  )
+ IF(AND(AC371&lt;AdóHó,                            AF371=2),   SUMIF(AB:AB,AB371-1,AE:AE),0  )
+ IF(                                                                  AF371=2,    SUMIF(AB:AB,AB371,AE:AE   ),0  )</f>
        <v>0</v>
      </c>
      <c r="AH371" s="272">
        <f ca="1">SUM(AG$2:AG371)</f>
        <v>1139324.2410681627</v>
      </c>
    </row>
    <row r="372" spans="1:34">
      <c r="A372" s="265">
        <f t="shared" si="61"/>
        <v>31</v>
      </c>
      <c r="B372" s="265">
        <f t="shared" si="62"/>
        <v>10</v>
      </c>
      <c r="C372" s="265">
        <f t="shared" ca="1" si="63"/>
        <v>32</v>
      </c>
      <c r="D372" s="265">
        <f t="shared" ca="1" si="64"/>
        <v>1</v>
      </c>
      <c r="E372" s="266">
        <v>5.0000000000000001E-3</v>
      </c>
      <c r="F372" s="267">
        <f>ÉV!$B$12</f>
        <v>0</v>
      </c>
      <c r="G372" s="271">
        <f ca="1">VLOOKUP(A372,ÉV!$A$18:$B$65,2,0)</f>
        <v>0</v>
      </c>
      <c r="H372" s="271">
        <f ca="1">IF(OR(A372=1,AND(C372=ÉV!$I$2,D372&gt;ÉV!$J$2),C372&gt;ÉV!$I$2),0,INDEX(Pz!$B$2:$AM$48,A372-1,ÉV!$G$2-9)/100000*ÉV!$B$10)</f>
        <v>0</v>
      </c>
      <c r="I372" s="271">
        <f ca="1">INDEX(Pz!$B$2:$AM$48,HÓ!A372,ÉV!$G$2-9)/100000*ÉV!$B$10</f>
        <v>0</v>
      </c>
      <c r="J372" s="273">
        <f ca="1">IF(OR(A372=1,A372=2,AND(C372=ÉV!$I$2,D372&gt;ÉV!$J$2),C372&gt;ÉV!$I$2),0,VLOOKUP(A372-2,ÉV!$A$18:$C$65,3,0))</f>
        <v>0</v>
      </c>
      <c r="K372" s="273">
        <f ca="1">IF(OR(A372=1,AND(C372=ÉV!$I$2,D372&gt;ÉV!$J$2),C372&gt;ÉV!$I$2),0,VLOOKUP(A372-1,ÉV!$A$18:$C$65,3,0))</f>
        <v>0</v>
      </c>
      <c r="L372" s="273">
        <f ca="1">VLOOKUP(A372,ÉV!$A$18:$C$65,3,0)*IF(OR(AND(C372=ÉV!$I$2,D372&gt;ÉV!$J$2),C372&gt;ÉV!$I$2),0,1)</f>
        <v>0</v>
      </c>
      <c r="M372" s="273">
        <f ca="1">(K372*(12-B372)/12+L372*B372/12)*IF(A372&gt;ÉV!$G$2,0,1)+IF(A372&gt;ÉV!$G$2,M371,0)*IF(OR(AND(C372=ÉV!$I$2,D372&gt;ÉV!$J$2),C372&gt;ÉV!$I$2),0,1)</f>
        <v>0</v>
      </c>
      <c r="N372" s="274">
        <f ca="1">IF(AND(C372=1,D372&lt;12),0,1)*IF(D372=12,MAX(0,F372-E372-0.003)*0.9*((K372+I372)*(B372/12)+(J372+H372)*(1-B372/12))+MAX(0,F372-0.003)*0.9*N371+N371,IF(AND(C372=ÉV!$I$2,D372=ÉV!$J$2),(M372+N371)*MAX(0,F372-0.003)*0.9*(D372/12)+N371,N371))*IF(OR(C372&gt;ÉV!$I$2,AND(C372=ÉV!$I$2,D372&gt;ÉV!$J$2)),0,1)</f>
        <v>0</v>
      </c>
      <c r="O372" s="313">
        <f ca="1">IF(MAX(AF$2:AF371)=2,      0,IF(OR(AC372=7, AF372=2),    SUM(AE$2:AE372),    O371)   )</f>
        <v>0</v>
      </c>
      <c r="P372" s="271">
        <f ca="1">IF(D372=12,V372+P371+P371*(F372-0.003)*0.9,IF(AND(C372=ÉV!$I$2,D372=ÉV!$J$2),V372+P371+P371*(F372-0.003)*0.9*D372/12,P371))*IF(OR(C372&gt;ÉV!$I$2,AND(C372=ÉV!$I$2,D372&gt;ÉV!$J$2)),0,1)</f>
        <v>0</v>
      </c>
      <c r="Q372" s="275">
        <f ca="1">(N372+P372)*IF(OR(AND(C372=ÉV!$I$2,D372&gt;ÉV!$J$2),C372&gt;ÉV!$I$2),0,1)</f>
        <v>0</v>
      </c>
      <c r="R372" s="271">
        <f ca="1">(MAX(0,F372-E372-0.003)*0.9*((K372+I372)*(1/12)))*IF(OR(C372&gt;ÉV!$I$2,AND(C372=ÉV!$I$2,D372&gt;ÉV!$J$2)),0,1)</f>
        <v>0</v>
      </c>
      <c r="S372" s="271">
        <f ca="1">(MAX(0,F372-0.003)*0.9*((O372)*(1/12)))*IF(OR(C372&gt;ÉV!$I$2,AND(C372=ÉV!$I$2,D372&gt;ÉV!$J$2)),0,1)</f>
        <v>0</v>
      </c>
      <c r="T372" s="271">
        <f ca="1">(MAX(0,F372-0.003)*0.9*((Q371)*(1/12)))*IF(OR(C372&gt;ÉV!$I$2,AND(C372=ÉV!$I$2,D372&gt;ÉV!$J$2)),0,1)</f>
        <v>0</v>
      </c>
      <c r="U372" s="271">
        <f ca="1">IF($D372=1,R372,R372+U371)*IF(OR(C372&gt;ÉV!$I$2,AND(C372=ÉV!$I$2,D372&gt;ÉV!$J$2)),0,1)</f>
        <v>0</v>
      </c>
      <c r="V372" s="271">
        <f ca="1">IF($D372=1,S372,S372+V371)*IF(OR(C372&gt;ÉV!$I$2,AND(C372=ÉV!$I$2,D372&gt;ÉV!$J$2)),0,1)</f>
        <v>0</v>
      </c>
      <c r="W372" s="271">
        <f ca="1">IF($D372=1,T372,T372+W371)*IF(OR(C372&gt;ÉV!$I$2,AND(C372=ÉV!$I$2,D372&gt;ÉV!$J$2)),0,1)</f>
        <v>0</v>
      </c>
      <c r="X372" s="271">
        <f ca="1">IF(OR(D372=12,AND(C372=ÉV!$I$2,D372=ÉV!$J$2)),SUM(U372:W372)+X371,X371)*IF(OR(C372&gt;ÉV!$I$2,AND(C372=ÉV!$I$2,D372&gt;ÉV!$J$2)),0,1)</f>
        <v>0</v>
      </c>
      <c r="Y372" s="271">
        <f t="shared" ca="1" si="57"/>
        <v>0</v>
      </c>
      <c r="Z372" s="265">
        <f t="shared" si="58"/>
        <v>10</v>
      </c>
      <c r="AA372" s="272">
        <f t="shared" ca="1" si="59"/>
        <v>0</v>
      </c>
      <c r="AB372" s="265">
        <f t="shared" ca="1" si="65"/>
        <v>2048</v>
      </c>
      <c r="AC372" s="265">
        <f t="shared" ca="1" si="66"/>
        <v>1</v>
      </c>
      <c r="AD372" s="276">
        <f ca="1">IF(     OR(               AND(MAX(AF$6:AF372)&lt;2,  AC372=12),                 AF372=2),                   SUMIF(AB:AB,AB372,AA:AA),                       0)</f>
        <v>0</v>
      </c>
      <c r="AE372" s="277">
        <f t="shared" ca="1" si="67"/>
        <v>0</v>
      </c>
      <c r="AF372" s="277">
        <f t="shared" ca="1" si="60"/>
        <v>0</v>
      </c>
      <c r="AG372" s="402">
        <f ca="1">IF(  AND(AC372=AdóHó,   MAX(AF$1:AF371)&lt;2),   SUMIF(AB:AB,AB372-1,AE:AE),0  )
+ IF(AND(AC372&lt;AdóHó,                            AF372=2),   SUMIF(AB:AB,AB372-1,AE:AE),0  )
+ IF(                                                                  AF372=2,    SUMIF(AB:AB,AB372,AE:AE   ),0  )</f>
        <v>0</v>
      </c>
      <c r="AH372" s="272">
        <f ca="1">SUM(AG$2:AG372)</f>
        <v>1139324.2410681627</v>
      </c>
    </row>
    <row r="373" spans="1:34">
      <c r="A373" s="265">
        <f t="shared" si="61"/>
        <v>31</v>
      </c>
      <c r="B373" s="265">
        <f t="shared" si="62"/>
        <v>11</v>
      </c>
      <c r="C373" s="265">
        <f t="shared" ca="1" si="63"/>
        <v>32</v>
      </c>
      <c r="D373" s="265">
        <f t="shared" ca="1" si="64"/>
        <v>2</v>
      </c>
      <c r="E373" s="266">
        <v>5.0000000000000001E-3</v>
      </c>
      <c r="F373" s="267">
        <f>ÉV!$B$12</f>
        <v>0</v>
      </c>
      <c r="G373" s="271">
        <f ca="1">VLOOKUP(A373,ÉV!$A$18:$B$65,2,0)</f>
        <v>0</v>
      </c>
      <c r="H373" s="271">
        <f ca="1">IF(OR(A373=1,AND(C373=ÉV!$I$2,D373&gt;ÉV!$J$2),C373&gt;ÉV!$I$2),0,INDEX(Pz!$B$2:$AM$48,A373-1,ÉV!$G$2-9)/100000*ÉV!$B$10)</f>
        <v>0</v>
      </c>
      <c r="I373" s="271">
        <f ca="1">INDEX(Pz!$B$2:$AM$48,HÓ!A373,ÉV!$G$2-9)/100000*ÉV!$B$10</f>
        <v>0</v>
      </c>
      <c r="J373" s="273">
        <f ca="1">IF(OR(A373=1,A373=2,AND(C373=ÉV!$I$2,D373&gt;ÉV!$J$2),C373&gt;ÉV!$I$2),0,VLOOKUP(A373-2,ÉV!$A$18:$C$65,3,0))</f>
        <v>0</v>
      </c>
      <c r="K373" s="273">
        <f ca="1">IF(OR(A373=1,AND(C373=ÉV!$I$2,D373&gt;ÉV!$J$2),C373&gt;ÉV!$I$2),0,VLOOKUP(A373-1,ÉV!$A$18:$C$65,3,0))</f>
        <v>0</v>
      </c>
      <c r="L373" s="273">
        <f ca="1">VLOOKUP(A373,ÉV!$A$18:$C$65,3,0)*IF(OR(AND(C373=ÉV!$I$2,D373&gt;ÉV!$J$2),C373&gt;ÉV!$I$2),0,1)</f>
        <v>0</v>
      </c>
      <c r="M373" s="273">
        <f ca="1">(K373*(12-B373)/12+L373*B373/12)*IF(A373&gt;ÉV!$G$2,0,1)+IF(A373&gt;ÉV!$G$2,M372,0)*IF(OR(AND(C373=ÉV!$I$2,D373&gt;ÉV!$J$2),C373&gt;ÉV!$I$2),0,1)</f>
        <v>0</v>
      </c>
      <c r="N373" s="274">
        <f ca="1">IF(AND(C373=1,D373&lt;12),0,1)*IF(D373=12,MAX(0,F373-E373-0.003)*0.9*((K373+I373)*(B373/12)+(J373+H373)*(1-B373/12))+MAX(0,F373-0.003)*0.9*N372+N372,IF(AND(C373=ÉV!$I$2,D373=ÉV!$J$2),(M373+N372)*MAX(0,F373-0.003)*0.9*(D373/12)+N372,N372))*IF(OR(C373&gt;ÉV!$I$2,AND(C373=ÉV!$I$2,D373&gt;ÉV!$J$2)),0,1)</f>
        <v>0</v>
      </c>
      <c r="O373" s="313">
        <f ca="1">IF(MAX(AF$2:AF372)=2,      0,IF(OR(AC373=7, AF373=2),    SUM(AE$2:AE373),    O372)   )</f>
        <v>0</v>
      </c>
      <c r="P373" s="271">
        <f ca="1">IF(D373=12,V373+P372+P372*(F373-0.003)*0.9,IF(AND(C373=ÉV!$I$2,D373=ÉV!$J$2),V373+P372+P372*(F373-0.003)*0.9*D373/12,P372))*IF(OR(C373&gt;ÉV!$I$2,AND(C373=ÉV!$I$2,D373&gt;ÉV!$J$2)),0,1)</f>
        <v>0</v>
      </c>
      <c r="Q373" s="275">
        <f ca="1">(N373+P373)*IF(OR(AND(C373=ÉV!$I$2,D373&gt;ÉV!$J$2),C373&gt;ÉV!$I$2),0,1)</f>
        <v>0</v>
      </c>
      <c r="R373" s="271">
        <f ca="1">(MAX(0,F373-E373-0.003)*0.9*((K373+I373)*(1/12)))*IF(OR(C373&gt;ÉV!$I$2,AND(C373=ÉV!$I$2,D373&gt;ÉV!$J$2)),0,1)</f>
        <v>0</v>
      </c>
      <c r="S373" s="271">
        <f ca="1">(MAX(0,F373-0.003)*0.9*((O373)*(1/12)))*IF(OR(C373&gt;ÉV!$I$2,AND(C373=ÉV!$I$2,D373&gt;ÉV!$J$2)),0,1)</f>
        <v>0</v>
      </c>
      <c r="T373" s="271">
        <f ca="1">(MAX(0,F373-0.003)*0.9*((Q372)*(1/12)))*IF(OR(C373&gt;ÉV!$I$2,AND(C373=ÉV!$I$2,D373&gt;ÉV!$J$2)),0,1)</f>
        <v>0</v>
      </c>
      <c r="U373" s="271">
        <f ca="1">IF($D373=1,R373,R373+U372)*IF(OR(C373&gt;ÉV!$I$2,AND(C373=ÉV!$I$2,D373&gt;ÉV!$J$2)),0,1)</f>
        <v>0</v>
      </c>
      <c r="V373" s="271">
        <f ca="1">IF($D373=1,S373,S373+V372)*IF(OR(C373&gt;ÉV!$I$2,AND(C373=ÉV!$I$2,D373&gt;ÉV!$J$2)),0,1)</f>
        <v>0</v>
      </c>
      <c r="W373" s="271">
        <f ca="1">IF($D373=1,T373,T373+W372)*IF(OR(C373&gt;ÉV!$I$2,AND(C373=ÉV!$I$2,D373&gt;ÉV!$J$2)),0,1)</f>
        <v>0</v>
      </c>
      <c r="X373" s="271">
        <f ca="1">IF(OR(D373=12,AND(C373=ÉV!$I$2,D373=ÉV!$J$2)),SUM(U373:W373)+X372,X372)*IF(OR(C373&gt;ÉV!$I$2,AND(C373=ÉV!$I$2,D373&gt;ÉV!$J$2)),0,1)</f>
        <v>0</v>
      </c>
      <c r="Y373" s="271">
        <f t="shared" ca="1" si="57"/>
        <v>0</v>
      </c>
      <c r="Z373" s="265">
        <f t="shared" si="58"/>
        <v>11</v>
      </c>
      <c r="AA373" s="272">
        <f t="shared" ca="1" si="59"/>
        <v>0</v>
      </c>
      <c r="AB373" s="265">
        <f t="shared" ca="1" si="65"/>
        <v>2048</v>
      </c>
      <c r="AC373" s="265">
        <f t="shared" ca="1" si="66"/>
        <v>2</v>
      </c>
      <c r="AD373" s="276">
        <f ca="1">IF(     OR(               AND(MAX(AF$6:AF373)&lt;2,  AC373=12),                 AF373=2),                   SUMIF(AB:AB,AB373,AA:AA),                       0)</f>
        <v>0</v>
      </c>
      <c r="AE373" s="277">
        <f t="shared" ca="1" si="67"/>
        <v>0</v>
      </c>
      <c r="AF373" s="277">
        <f t="shared" ca="1" si="60"/>
        <v>0</v>
      </c>
      <c r="AG373" s="402">
        <f ca="1">IF(  AND(AC373=AdóHó,   MAX(AF$1:AF372)&lt;2),   SUMIF(AB:AB,AB373-1,AE:AE),0  )
+ IF(AND(AC373&lt;AdóHó,                            AF373=2),   SUMIF(AB:AB,AB373-1,AE:AE),0  )
+ IF(                                                                  AF373=2,    SUMIF(AB:AB,AB373,AE:AE   ),0  )</f>
        <v>0</v>
      </c>
      <c r="AH373" s="272">
        <f ca="1">SUM(AG$2:AG373)</f>
        <v>1139324.2410681627</v>
      </c>
    </row>
    <row r="374" spans="1:34">
      <c r="A374" s="265">
        <f t="shared" si="61"/>
        <v>31</v>
      </c>
      <c r="B374" s="265">
        <f t="shared" si="62"/>
        <v>12</v>
      </c>
      <c r="C374" s="265">
        <f t="shared" ca="1" si="63"/>
        <v>32</v>
      </c>
      <c r="D374" s="265">
        <f t="shared" ca="1" si="64"/>
        <v>3</v>
      </c>
      <c r="E374" s="266">
        <v>5.0000000000000001E-3</v>
      </c>
      <c r="F374" s="267">
        <f>ÉV!$B$12</f>
        <v>0</v>
      </c>
      <c r="G374" s="271">
        <f ca="1">VLOOKUP(A374,ÉV!$A$18:$B$65,2,0)</f>
        <v>0</v>
      </c>
      <c r="H374" s="271">
        <f ca="1">IF(OR(A374=1,AND(C374=ÉV!$I$2,D374&gt;ÉV!$J$2),C374&gt;ÉV!$I$2),0,INDEX(Pz!$B$2:$AM$48,A374-1,ÉV!$G$2-9)/100000*ÉV!$B$10)</f>
        <v>0</v>
      </c>
      <c r="I374" s="271">
        <f ca="1">INDEX(Pz!$B$2:$AM$48,HÓ!A374,ÉV!$G$2-9)/100000*ÉV!$B$10</f>
        <v>0</v>
      </c>
      <c r="J374" s="273">
        <f ca="1">IF(OR(A374=1,A374=2,AND(C374=ÉV!$I$2,D374&gt;ÉV!$J$2),C374&gt;ÉV!$I$2),0,VLOOKUP(A374-2,ÉV!$A$18:$C$65,3,0))</f>
        <v>0</v>
      </c>
      <c r="K374" s="273">
        <f ca="1">IF(OR(A374=1,AND(C374=ÉV!$I$2,D374&gt;ÉV!$J$2),C374&gt;ÉV!$I$2),0,VLOOKUP(A374-1,ÉV!$A$18:$C$65,3,0))</f>
        <v>0</v>
      </c>
      <c r="L374" s="273">
        <f ca="1">VLOOKUP(A374,ÉV!$A$18:$C$65,3,0)*IF(OR(AND(C374=ÉV!$I$2,D374&gt;ÉV!$J$2),C374&gt;ÉV!$I$2),0,1)</f>
        <v>0</v>
      </c>
      <c r="M374" s="273">
        <f ca="1">(K374*(12-B374)/12+L374*B374/12)*IF(A374&gt;ÉV!$G$2,0,1)+IF(A374&gt;ÉV!$G$2,M373,0)*IF(OR(AND(C374=ÉV!$I$2,D374&gt;ÉV!$J$2),C374&gt;ÉV!$I$2),0,1)</f>
        <v>0</v>
      </c>
      <c r="N374" s="274">
        <f ca="1">IF(AND(C374=1,D374&lt;12),0,1)*IF(D374=12,MAX(0,F374-E374-0.003)*0.9*((K374+I374)*(B374/12)+(J374+H374)*(1-B374/12))+MAX(0,F374-0.003)*0.9*N373+N373,IF(AND(C374=ÉV!$I$2,D374=ÉV!$J$2),(M374+N373)*MAX(0,F374-0.003)*0.9*(D374/12)+N373,N373))*IF(OR(C374&gt;ÉV!$I$2,AND(C374=ÉV!$I$2,D374&gt;ÉV!$J$2)),0,1)</f>
        <v>0</v>
      </c>
      <c r="O374" s="313">
        <f ca="1">IF(MAX(AF$2:AF373)=2,      0,IF(OR(AC374=7, AF374=2),    SUM(AE$2:AE374),    O373)   )</f>
        <v>0</v>
      </c>
      <c r="P374" s="271">
        <f ca="1">IF(D374=12,V374+P373+P373*(F374-0.003)*0.9,IF(AND(C374=ÉV!$I$2,D374=ÉV!$J$2),V374+P373+P373*(F374-0.003)*0.9*D374/12,P373))*IF(OR(C374&gt;ÉV!$I$2,AND(C374=ÉV!$I$2,D374&gt;ÉV!$J$2)),0,1)</f>
        <v>0</v>
      </c>
      <c r="Q374" s="275">
        <f ca="1">(N374+P374)*IF(OR(AND(C374=ÉV!$I$2,D374&gt;ÉV!$J$2),C374&gt;ÉV!$I$2),0,1)</f>
        <v>0</v>
      </c>
      <c r="R374" s="271">
        <f ca="1">(MAX(0,F374-E374-0.003)*0.9*((K374+I374)*(1/12)))*IF(OR(C374&gt;ÉV!$I$2,AND(C374=ÉV!$I$2,D374&gt;ÉV!$J$2)),0,1)</f>
        <v>0</v>
      </c>
      <c r="S374" s="271">
        <f ca="1">(MAX(0,F374-0.003)*0.9*((O374)*(1/12)))*IF(OR(C374&gt;ÉV!$I$2,AND(C374=ÉV!$I$2,D374&gt;ÉV!$J$2)),0,1)</f>
        <v>0</v>
      </c>
      <c r="T374" s="271">
        <f ca="1">(MAX(0,F374-0.003)*0.9*((Q373)*(1/12)))*IF(OR(C374&gt;ÉV!$I$2,AND(C374=ÉV!$I$2,D374&gt;ÉV!$J$2)),0,1)</f>
        <v>0</v>
      </c>
      <c r="U374" s="271">
        <f ca="1">IF($D374=1,R374,R374+U373)*IF(OR(C374&gt;ÉV!$I$2,AND(C374=ÉV!$I$2,D374&gt;ÉV!$J$2)),0,1)</f>
        <v>0</v>
      </c>
      <c r="V374" s="271">
        <f ca="1">IF($D374=1,S374,S374+V373)*IF(OR(C374&gt;ÉV!$I$2,AND(C374=ÉV!$I$2,D374&gt;ÉV!$J$2)),0,1)</f>
        <v>0</v>
      </c>
      <c r="W374" s="271">
        <f ca="1">IF($D374=1,T374,T374+W373)*IF(OR(C374&gt;ÉV!$I$2,AND(C374=ÉV!$I$2,D374&gt;ÉV!$J$2)),0,1)</f>
        <v>0</v>
      </c>
      <c r="X374" s="271">
        <f ca="1">IF(OR(D374=12,AND(C374=ÉV!$I$2,D374=ÉV!$J$2)),SUM(U374:W374)+X373,X373)*IF(OR(C374&gt;ÉV!$I$2,AND(C374=ÉV!$I$2,D374&gt;ÉV!$J$2)),0,1)</f>
        <v>0</v>
      </c>
      <c r="Y374" s="271">
        <f t="shared" ca="1" si="57"/>
        <v>0</v>
      </c>
      <c r="Z374" s="265">
        <f t="shared" si="58"/>
        <v>12</v>
      </c>
      <c r="AA374" s="272">
        <f t="shared" ca="1" si="59"/>
        <v>0</v>
      </c>
      <c r="AB374" s="265">
        <f t="shared" ca="1" si="65"/>
        <v>2048</v>
      </c>
      <c r="AC374" s="265">
        <f t="shared" ca="1" si="66"/>
        <v>3</v>
      </c>
      <c r="AD374" s="276">
        <f ca="1">IF(     OR(               AND(MAX(AF$6:AF374)&lt;2,  AC374=12),                 AF374=2),                   SUMIF(AB:AB,AB374,AA:AA),                       0)</f>
        <v>0</v>
      </c>
      <c r="AE374" s="277">
        <f t="shared" ca="1" si="67"/>
        <v>0</v>
      </c>
      <c r="AF374" s="277">
        <f t="shared" ca="1" si="60"/>
        <v>0</v>
      </c>
      <c r="AG374" s="402">
        <f ca="1">IF(  AND(AC374=AdóHó,   MAX(AF$1:AF373)&lt;2),   SUMIF(AB:AB,AB374-1,AE:AE),0  )
+ IF(AND(AC374&lt;AdóHó,                            AF374=2),   SUMIF(AB:AB,AB374-1,AE:AE),0  )
+ IF(                                                                  AF374=2,    SUMIF(AB:AB,AB374,AE:AE   ),0  )</f>
        <v>0</v>
      </c>
      <c r="AH374" s="272">
        <f ca="1">SUM(AG$2:AG374)</f>
        <v>1139324.2410681627</v>
      </c>
    </row>
    <row r="375" spans="1:34">
      <c r="A375" s="265">
        <f t="shared" si="61"/>
        <v>32</v>
      </c>
      <c r="B375" s="265">
        <f t="shared" si="62"/>
        <v>1</v>
      </c>
      <c r="C375" s="265">
        <f t="shared" ca="1" si="63"/>
        <v>32</v>
      </c>
      <c r="D375" s="265">
        <f t="shared" ca="1" si="64"/>
        <v>4</v>
      </c>
      <c r="E375" s="266">
        <v>5.0000000000000001E-3</v>
      </c>
      <c r="F375" s="267">
        <f>ÉV!$B$12</f>
        <v>0</v>
      </c>
      <c r="G375" s="271">
        <f ca="1">VLOOKUP(A375,ÉV!$A$18:$B$65,2,0)</f>
        <v>0</v>
      </c>
      <c r="H375" s="271">
        <f ca="1">IF(OR(A375=1,AND(C375=ÉV!$I$2,D375&gt;ÉV!$J$2),C375&gt;ÉV!$I$2),0,INDEX(Pz!$B$2:$AM$48,A375-1,ÉV!$G$2-9)/100000*ÉV!$B$10)</f>
        <v>0</v>
      </c>
      <c r="I375" s="271">
        <f ca="1">INDEX(Pz!$B$2:$AM$48,HÓ!A375,ÉV!$G$2-9)/100000*ÉV!$B$10</f>
        <v>0</v>
      </c>
      <c r="J375" s="273">
        <f ca="1">IF(OR(A375=1,A375=2,AND(C375=ÉV!$I$2,D375&gt;ÉV!$J$2),C375&gt;ÉV!$I$2),0,VLOOKUP(A375-2,ÉV!$A$18:$C$65,3,0))</f>
        <v>0</v>
      </c>
      <c r="K375" s="273">
        <f ca="1">IF(OR(A375=1,AND(C375=ÉV!$I$2,D375&gt;ÉV!$J$2),C375&gt;ÉV!$I$2),0,VLOOKUP(A375-1,ÉV!$A$18:$C$65,3,0))</f>
        <v>0</v>
      </c>
      <c r="L375" s="273">
        <f ca="1">VLOOKUP(A375,ÉV!$A$18:$C$65,3,0)*IF(OR(AND(C375=ÉV!$I$2,D375&gt;ÉV!$J$2),C375&gt;ÉV!$I$2),0,1)</f>
        <v>0</v>
      </c>
      <c r="M375" s="273">
        <f ca="1">(K375*(12-B375)/12+L375*B375/12)*IF(A375&gt;ÉV!$G$2,0,1)+IF(A375&gt;ÉV!$G$2,M374,0)*IF(OR(AND(C375=ÉV!$I$2,D375&gt;ÉV!$J$2),C375&gt;ÉV!$I$2),0,1)</f>
        <v>0</v>
      </c>
      <c r="N375" s="274">
        <f ca="1">IF(AND(C375=1,D375&lt;12),0,1)*IF(D375=12,MAX(0,F375-E375-0.003)*0.9*((K375+I375)*(B375/12)+(J375+H375)*(1-B375/12))+MAX(0,F375-0.003)*0.9*N374+N374,IF(AND(C375=ÉV!$I$2,D375=ÉV!$J$2),(M375+N374)*MAX(0,F375-0.003)*0.9*(D375/12)+N374,N374))*IF(OR(C375&gt;ÉV!$I$2,AND(C375=ÉV!$I$2,D375&gt;ÉV!$J$2)),0,1)</f>
        <v>0</v>
      </c>
      <c r="O375" s="313">
        <f ca="1">IF(MAX(AF$2:AF374)=2,      0,IF(OR(AC375=7, AF375=2),    SUM(AE$2:AE375),    O374)   )</f>
        <v>0</v>
      </c>
      <c r="P375" s="271">
        <f ca="1">IF(D375=12,V375+P374+P374*(F375-0.003)*0.9,IF(AND(C375=ÉV!$I$2,D375=ÉV!$J$2),V375+P374+P374*(F375-0.003)*0.9*D375/12,P374))*IF(OR(C375&gt;ÉV!$I$2,AND(C375=ÉV!$I$2,D375&gt;ÉV!$J$2)),0,1)</f>
        <v>0</v>
      </c>
      <c r="Q375" s="275">
        <f ca="1">(N375+P375)*IF(OR(AND(C375=ÉV!$I$2,D375&gt;ÉV!$J$2),C375&gt;ÉV!$I$2),0,1)</f>
        <v>0</v>
      </c>
      <c r="R375" s="271">
        <f ca="1">(MAX(0,F375-E375-0.003)*0.9*((K375+I375)*(1/12)))*IF(OR(C375&gt;ÉV!$I$2,AND(C375=ÉV!$I$2,D375&gt;ÉV!$J$2)),0,1)</f>
        <v>0</v>
      </c>
      <c r="S375" s="271">
        <f ca="1">(MAX(0,F375-0.003)*0.9*((O375)*(1/12)))*IF(OR(C375&gt;ÉV!$I$2,AND(C375=ÉV!$I$2,D375&gt;ÉV!$J$2)),0,1)</f>
        <v>0</v>
      </c>
      <c r="T375" s="271">
        <f ca="1">(MAX(0,F375-0.003)*0.9*((Q374)*(1/12)))*IF(OR(C375&gt;ÉV!$I$2,AND(C375=ÉV!$I$2,D375&gt;ÉV!$J$2)),0,1)</f>
        <v>0</v>
      </c>
      <c r="U375" s="271">
        <f ca="1">IF($D375=1,R375,R375+U374)*IF(OR(C375&gt;ÉV!$I$2,AND(C375=ÉV!$I$2,D375&gt;ÉV!$J$2)),0,1)</f>
        <v>0</v>
      </c>
      <c r="V375" s="271">
        <f ca="1">IF($D375=1,S375,S375+V374)*IF(OR(C375&gt;ÉV!$I$2,AND(C375=ÉV!$I$2,D375&gt;ÉV!$J$2)),0,1)</f>
        <v>0</v>
      </c>
      <c r="W375" s="271">
        <f ca="1">IF($D375=1,T375,T375+W374)*IF(OR(C375&gt;ÉV!$I$2,AND(C375=ÉV!$I$2,D375&gt;ÉV!$J$2)),0,1)</f>
        <v>0</v>
      </c>
      <c r="X375" s="271">
        <f ca="1">IF(OR(D375=12,AND(C375=ÉV!$I$2,D375=ÉV!$J$2)),SUM(U375:W375)+X374,X374)*IF(OR(C375&gt;ÉV!$I$2,AND(C375=ÉV!$I$2,D375&gt;ÉV!$J$2)),0,1)</f>
        <v>0</v>
      </c>
      <c r="Y375" s="271">
        <f t="shared" ca="1" si="57"/>
        <v>0</v>
      </c>
      <c r="Z375" s="265">
        <f t="shared" si="58"/>
        <v>1</v>
      </c>
      <c r="AA375" s="272">
        <f t="shared" ca="1" si="59"/>
        <v>0</v>
      </c>
      <c r="AB375" s="265">
        <f t="shared" ca="1" si="65"/>
        <v>2048</v>
      </c>
      <c r="AC375" s="265">
        <f t="shared" ca="1" si="66"/>
        <v>4</v>
      </c>
      <c r="AD375" s="276">
        <f ca="1">IF(     OR(               AND(MAX(AF$6:AF375)&lt;2,  AC375=12),                 AF375=2),                   SUMIF(AB:AB,AB375,AA:AA),                       0)</f>
        <v>0</v>
      </c>
      <c r="AE375" s="277">
        <f t="shared" ca="1" si="67"/>
        <v>0</v>
      </c>
      <c r="AF375" s="277">
        <f t="shared" ca="1" si="60"/>
        <v>0</v>
      </c>
      <c r="AG375" s="402">
        <f ca="1">IF(  AND(AC375=AdóHó,   MAX(AF$1:AF374)&lt;2),   SUMIF(AB:AB,AB375-1,AE:AE),0  )
+ IF(AND(AC375&lt;AdóHó,                            AF375=2),   SUMIF(AB:AB,AB375-1,AE:AE),0  )
+ IF(                                                                  AF375=2,    SUMIF(AB:AB,AB375,AE:AE   ),0  )</f>
        <v>0</v>
      </c>
      <c r="AH375" s="272">
        <f ca="1">SUM(AG$2:AG375)</f>
        <v>1139324.2410681627</v>
      </c>
    </row>
    <row r="376" spans="1:34">
      <c r="A376" s="265">
        <f t="shared" si="61"/>
        <v>32</v>
      </c>
      <c r="B376" s="265">
        <f t="shared" si="62"/>
        <v>2</v>
      </c>
      <c r="C376" s="265">
        <f t="shared" ca="1" si="63"/>
        <v>32</v>
      </c>
      <c r="D376" s="265">
        <f t="shared" ca="1" si="64"/>
        <v>5</v>
      </c>
      <c r="E376" s="266">
        <v>5.0000000000000001E-3</v>
      </c>
      <c r="F376" s="267">
        <f>ÉV!$B$12</f>
        <v>0</v>
      </c>
      <c r="G376" s="271">
        <f ca="1">VLOOKUP(A376,ÉV!$A$18:$B$65,2,0)</f>
        <v>0</v>
      </c>
      <c r="H376" s="271">
        <f ca="1">IF(OR(A376=1,AND(C376=ÉV!$I$2,D376&gt;ÉV!$J$2),C376&gt;ÉV!$I$2),0,INDEX(Pz!$B$2:$AM$48,A376-1,ÉV!$G$2-9)/100000*ÉV!$B$10)</f>
        <v>0</v>
      </c>
      <c r="I376" s="271">
        <f ca="1">INDEX(Pz!$B$2:$AM$48,HÓ!A376,ÉV!$G$2-9)/100000*ÉV!$B$10</f>
        <v>0</v>
      </c>
      <c r="J376" s="273">
        <f ca="1">IF(OR(A376=1,A376=2,AND(C376=ÉV!$I$2,D376&gt;ÉV!$J$2),C376&gt;ÉV!$I$2),0,VLOOKUP(A376-2,ÉV!$A$18:$C$65,3,0))</f>
        <v>0</v>
      </c>
      <c r="K376" s="273">
        <f ca="1">IF(OR(A376=1,AND(C376=ÉV!$I$2,D376&gt;ÉV!$J$2),C376&gt;ÉV!$I$2),0,VLOOKUP(A376-1,ÉV!$A$18:$C$65,3,0))</f>
        <v>0</v>
      </c>
      <c r="L376" s="273">
        <f ca="1">VLOOKUP(A376,ÉV!$A$18:$C$65,3,0)*IF(OR(AND(C376=ÉV!$I$2,D376&gt;ÉV!$J$2),C376&gt;ÉV!$I$2),0,1)</f>
        <v>0</v>
      </c>
      <c r="M376" s="273">
        <f ca="1">(K376*(12-B376)/12+L376*B376/12)*IF(A376&gt;ÉV!$G$2,0,1)+IF(A376&gt;ÉV!$G$2,M375,0)*IF(OR(AND(C376=ÉV!$I$2,D376&gt;ÉV!$J$2),C376&gt;ÉV!$I$2),0,1)</f>
        <v>0</v>
      </c>
      <c r="N376" s="274">
        <f ca="1">IF(AND(C376=1,D376&lt;12),0,1)*IF(D376=12,MAX(0,F376-E376-0.003)*0.9*((K376+I376)*(B376/12)+(J376+H376)*(1-B376/12))+MAX(0,F376-0.003)*0.9*N375+N375,IF(AND(C376=ÉV!$I$2,D376=ÉV!$J$2),(M376+N375)*MAX(0,F376-0.003)*0.9*(D376/12)+N375,N375))*IF(OR(C376&gt;ÉV!$I$2,AND(C376=ÉV!$I$2,D376&gt;ÉV!$J$2)),0,1)</f>
        <v>0</v>
      </c>
      <c r="O376" s="313">
        <f ca="1">IF(MAX(AF$2:AF375)=2,      0,IF(OR(AC376=7, AF376=2),    SUM(AE$2:AE376),    O375)   )</f>
        <v>0</v>
      </c>
      <c r="P376" s="271">
        <f ca="1">IF(D376=12,V376+P375+P375*(F376-0.003)*0.9,IF(AND(C376=ÉV!$I$2,D376=ÉV!$J$2),V376+P375+P375*(F376-0.003)*0.9*D376/12,P375))*IF(OR(C376&gt;ÉV!$I$2,AND(C376=ÉV!$I$2,D376&gt;ÉV!$J$2)),0,1)</f>
        <v>0</v>
      </c>
      <c r="Q376" s="275">
        <f ca="1">(N376+P376)*IF(OR(AND(C376=ÉV!$I$2,D376&gt;ÉV!$J$2),C376&gt;ÉV!$I$2),0,1)</f>
        <v>0</v>
      </c>
      <c r="R376" s="271">
        <f ca="1">(MAX(0,F376-E376-0.003)*0.9*((K376+I376)*(1/12)))*IF(OR(C376&gt;ÉV!$I$2,AND(C376=ÉV!$I$2,D376&gt;ÉV!$J$2)),0,1)</f>
        <v>0</v>
      </c>
      <c r="S376" s="271">
        <f ca="1">(MAX(0,F376-0.003)*0.9*((O376)*(1/12)))*IF(OR(C376&gt;ÉV!$I$2,AND(C376=ÉV!$I$2,D376&gt;ÉV!$J$2)),0,1)</f>
        <v>0</v>
      </c>
      <c r="T376" s="271">
        <f ca="1">(MAX(0,F376-0.003)*0.9*((Q375)*(1/12)))*IF(OR(C376&gt;ÉV!$I$2,AND(C376=ÉV!$I$2,D376&gt;ÉV!$J$2)),0,1)</f>
        <v>0</v>
      </c>
      <c r="U376" s="271">
        <f ca="1">IF($D376=1,R376,R376+U375)*IF(OR(C376&gt;ÉV!$I$2,AND(C376=ÉV!$I$2,D376&gt;ÉV!$J$2)),0,1)</f>
        <v>0</v>
      </c>
      <c r="V376" s="271">
        <f ca="1">IF($D376=1,S376,S376+V375)*IF(OR(C376&gt;ÉV!$I$2,AND(C376=ÉV!$I$2,D376&gt;ÉV!$J$2)),0,1)</f>
        <v>0</v>
      </c>
      <c r="W376" s="271">
        <f ca="1">IF($D376=1,T376,T376+W375)*IF(OR(C376&gt;ÉV!$I$2,AND(C376=ÉV!$I$2,D376&gt;ÉV!$J$2)),0,1)</f>
        <v>0</v>
      </c>
      <c r="X376" s="271">
        <f ca="1">IF(OR(D376=12,AND(C376=ÉV!$I$2,D376=ÉV!$J$2)),SUM(U376:W376)+X375,X375)*IF(OR(C376&gt;ÉV!$I$2,AND(C376=ÉV!$I$2,D376&gt;ÉV!$J$2)),0,1)</f>
        <v>0</v>
      </c>
      <c r="Y376" s="271">
        <f t="shared" ca="1" si="57"/>
        <v>0</v>
      </c>
      <c r="Z376" s="265">
        <f t="shared" si="58"/>
        <v>2</v>
      </c>
      <c r="AA376" s="272">
        <f t="shared" ca="1" si="59"/>
        <v>0</v>
      </c>
      <c r="AB376" s="265">
        <f t="shared" ca="1" si="65"/>
        <v>2048</v>
      </c>
      <c r="AC376" s="265">
        <f t="shared" ca="1" si="66"/>
        <v>5</v>
      </c>
      <c r="AD376" s="276">
        <f ca="1">IF(     OR(               AND(MAX(AF$6:AF376)&lt;2,  AC376=12),                 AF376=2),                   SUMIF(AB:AB,AB376,AA:AA),                       0)</f>
        <v>0</v>
      </c>
      <c r="AE376" s="277">
        <f t="shared" ca="1" si="67"/>
        <v>0</v>
      </c>
      <c r="AF376" s="277">
        <f t="shared" ca="1" si="60"/>
        <v>0</v>
      </c>
      <c r="AG376" s="402">
        <f ca="1">IF(  AND(AC376=AdóHó,   MAX(AF$1:AF375)&lt;2),   SUMIF(AB:AB,AB376-1,AE:AE),0  )
+ IF(AND(AC376&lt;AdóHó,                            AF376=2),   SUMIF(AB:AB,AB376-1,AE:AE),0  )
+ IF(                                                                  AF376=2,    SUMIF(AB:AB,AB376,AE:AE   ),0  )</f>
        <v>0</v>
      </c>
      <c r="AH376" s="272">
        <f ca="1">SUM(AG$2:AG376)</f>
        <v>1139324.2410681627</v>
      </c>
    </row>
    <row r="377" spans="1:34">
      <c r="A377" s="265">
        <f t="shared" si="61"/>
        <v>32</v>
      </c>
      <c r="B377" s="265">
        <f t="shared" si="62"/>
        <v>3</v>
      </c>
      <c r="C377" s="265">
        <f t="shared" ca="1" si="63"/>
        <v>32</v>
      </c>
      <c r="D377" s="265">
        <f t="shared" ca="1" si="64"/>
        <v>6</v>
      </c>
      <c r="E377" s="266">
        <v>5.0000000000000001E-3</v>
      </c>
      <c r="F377" s="267">
        <f>ÉV!$B$12</f>
        <v>0</v>
      </c>
      <c r="G377" s="271">
        <f ca="1">VLOOKUP(A377,ÉV!$A$18:$B$65,2,0)</f>
        <v>0</v>
      </c>
      <c r="H377" s="271">
        <f ca="1">IF(OR(A377=1,AND(C377=ÉV!$I$2,D377&gt;ÉV!$J$2),C377&gt;ÉV!$I$2),0,INDEX(Pz!$B$2:$AM$48,A377-1,ÉV!$G$2-9)/100000*ÉV!$B$10)</f>
        <v>0</v>
      </c>
      <c r="I377" s="271">
        <f ca="1">INDEX(Pz!$B$2:$AM$48,HÓ!A377,ÉV!$G$2-9)/100000*ÉV!$B$10</f>
        <v>0</v>
      </c>
      <c r="J377" s="273">
        <f ca="1">IF(OR(A377=1,A377=2,AND(C377=ÉV!$I$2,D377&gt;ÉV!$J$2),C377&gt;ÉV!$I$2),0,VLOOKUP(A377-2,ÉV!$A$18:$C$65,3,0))</f>
        <v>0</v>
      </c>
      <c r="K377" s="273">
        <f ca="1">IF(OR(A377=1,AND(C377=ÉV!$I$2,D377&gt;ÉV!$J$2),C377&gt;ÉV!$I$2),0,VLOOKUP(A377-1,ÉV!$A$18:$C$65,3,0))</f>
        <v>0</v>
      </c>
      <c r="L377" s="273">
        <f ca="1">VLOOKUP(A377,ÉV!$A$18:$C$65,3,0)*IF(OR(AND(C377=ÉV!$I$2,D377&gt;ÉV!$J$2),C377&gt;ÉV!$I$2),0,1)</f>
        <v>0</v>
      </c>
      <c r="M377" s="273">
        <f ca="1">(K377*(12-B377)/12+L377*B377/12)*IF(A377&gt;ÉV!$G$2,0,1)+IF(A377&gt;ÉV!$G$2,M376,0)*IF(OR(AND(C377=ÉV!$I$2,D377&gt;ÉV!$J$2),C377&gt;ÉV!$I$2),0,1)</f>
        <v>0</v>
      </c>
      <c r="N377" s="274">
        <f ca="1">IF(AND(C377=1,D377&lt;12),0,1)*IF(D377=12,MAX(0,F377-E377-0.003)*0.9*((K377+I377)*(B377/12)+(J377+H377)*(1-B377/12))+MAX(0,F377-0.003)*0.9*N376+N376,IF(AND(C377=ÉV!$I$2,D377=ÉV!$J$2),(M377+N376)*MAX(0,F377-0.003)*0.9*(D377/12)+N376,N376))*IF(OR(C377&gt;ÉV!$I$2,AND(C377=ÉV!$I$2,D377&gt;ÉV!$J$2)),0,1)</f>
        <v>0</v>
      </c>
      <c r="O377" s="313">
        <f ca="1">IF(MAX(AF$2:AF376)=2,      0,IF(OR(AC377=7, AF377=2),    SUM(AE$2:AE377),    O376)   )</f>
        <v>0</v>
      </c>
      <c r="P377" s="271">
        <f ca="1">IF(D377=12,V377+P376+P376*(F377-0.003)*0.9,IF(AND(C377=ÉV!$I$2,D377=ÉV!$J$2),V377+P376+P376*(F377-0.003)*0.9*D377/12,P376))*IF(OR(C377&gt;ÉV!$I$2,AND(C377=ÉV!$I$2,D377&gt;ÉV!$J$2)),0,1)</f>
        <v>0</v>
      </c>
      <c r="Q377" s="275">
        <f ca="1">(N377+P377)*IF(OR(AND(C377=ÉV!$I$2,D377&gt;ÉV!$J$2),C377&gt;ÉV!$I$2),0,1)</f>
        <v>0</v>
      </c>
      <c r="R377" s="271">
        <f ca="1">(MAX(0,F377-E377-0.003)*0.9*((K377+I377)*(1/12)))*IF(OR(C377&gt;ÉV!$I$2,AND(C377=ÉV!$I$2,D377&gt;ÉV!$J$2)),0,1)</f>
        <v>0</v>
      </c>
      <c r="S377" s="271">
        <f ca="1">(MAX(0,F377-0.003)*0.9*((O377)*(1/12)))*IF(OR(C377&gt;ÉV!$I$2,AND(C377=ÉV!$I$2,D377&gt;ÉV!$J$2)),0,1)</f>
        <v>0</v>
      </c>
      <c r="T377" s="271">
        <f ca="1">(MAX(0,F377-0.003)*0.9*((Q376)*(1/12)))*IF(OR(C377&gt;ÉV!$I$2,AND(C377=ÉV!$I$2,D377&gt;ÉV!$J$2)),0,1)</f>
        <v>0</v>
      </c>
      <c r="U377" s="271">
        <f ca="1">IF($D377=1,R377,R377+U376)*IF(OR(C377&gt;ÉV!$I$2,AND(C377=ÉV!$I$2,D377&gt;ÉV!$J$2)),0,1)</f>
        <v>0</v>
      </c>
      <c r="V377" s="271">
        <f ca="1">IF($D377=1,S377,S377+V376)*IF(OR(C377&gt;ÉV!$I$2,AND(C377=ÉV!$I$2,D377&gt;ÉV!$J$2)),0,1)</f>
        <v>0</v>
      </c>
      <c r="W377" s="271">
        <f ca="1">IF($D377=1,T377,T377+W376)*IF(OR(C377&gt;ÉV!$I$2,AND(C377=ÉV!$I$2,D377&gt;ÉV!$J$2)),0,1)</f>
        <v>0</v>
      </c>
      <c r="X377" s="271">
        <f ca="1">IF(OR(D377=12,AND(C377=ÉV!$I$2,D377=ÉV!$J$2)),SUM(U377:W377)+X376,X376)*IF(OR(C377&gt;ÉV!$I$2,AND(C377=ÉV!$I$2,D377&gt;ÉV!$J$2)),0,1)</f>
        <v>0</v>
      </c>
      <c r="Y377" s="271">
        <f t="shared" ca="1" si="57"/>
        <v>0</v>
      </c>
      <c r="Z377" s="265">
        <f t="shared" si="58"/>
        <v>3</v>
      </c>
      <c r="AA377" s="272">
        <f t="shared" ca="1" si="59"/>
        <v>0</v>
      </c>
      <c r="AB377" s="265">
        <f t="shared" ca="1" si="65"/>
        <v>2048</v>
      </c>
      <c r="AC377" s="265">
        <f t="shared" ca="1" si="66"/>
        <v>6</v>
      </c>
      <c r="AD377" s="276">
        <f ca="1">IF(     OR(               AND(MAX(AF$6:AF377)&lt;2,  AC377=12),                 AF377=2),                   SUMIF(AB:AB,AB377,AA:AA),                       0)</f>
        <v>0</v>
      </c>
      <c r="AE377" s="277">
        <f t="shared" ca="1" si="67"/>
        <v>0</v>
      </c>
      <c r="AF377" s="277">
        <f t="shared" ca="1" si="60"/>
        <v>0</v>
      </c>
      <c r="AG377" s="402">
        <f ca="1">IF(  AND(AC377=AdóHó,   MAX(AF$1:AF376)&lt;2),   SUMIF(AB:AB,AB377-1,AE:AE),0  )
+ IF(AND(AC377&lt;AdóHó,                            AF377=2),   SUMIF(AB:AB,AB377-1,AE:AE),0  )
+ IF(                                                                  AF377=2,    SUMIF(AB:AB,AB377,AE:AE   ),0  )</f>
        <v>0</v>
      </c>
      <c r="AH377" s="272">
        <f ca="1">SUM(AG$2:AG377)</f>
        <v>1139324.2410681627</v>
      </c>
    </row>
    <row r="378" spans="1:34">
      <c r="A378" s="265">
        <f t="shared" si="61"/>
        <v>32</v>
      </c>
      <c r="B378" s="265">
        <f t="shared" si="62"/>
        <v>4</v>
      </c>
      <c r="C378" s="265">
        <f t="shared" ca="1" si="63"/>
        <v>32</v>
      </c>
      <c r="D378" s="265">
        <f t="shared" ca="1" si="64"/>
        <v>7</v>
      </c>
      <c r="E378" s="266">
        <v>5.0000000000000001E-3</v>
      </c>
      <c r="F378" s="267">
        <f>ÉV!$B$12</f>
        <v>0</v>
      </c>
      <c r="G378" s="271">
        <f ca="1">VLOOKUP(A378,ÉV!$A$18:$B$65,2,0)</f>
        <v>0</v>
      </c>
      <c r="H378" s="271">
        <f ca="1">IF(OR(A378=1,AND(C378=ÉV!$I$2,D378&gt;ÉV!$J$2),C378&gt;ÉV!$I$2),0,INDEX(Pz!$B$2:$AM$48,A378-1,ÉV!$G$2-9)/100000*ÉV!$B$10)</f>
        <v>0</v>
      </c>
      <c r="I378" s="271">
        <f ca="1">INDEX(Pz!$B$2:$AM$48,HÓ!A378,ÉV!$G$2-9)/100000*ÉV!$B$10</f>
        <v>0</v>
      </c>
      <c r="J378" s="273">
        <f ca="1">IF(OR(A378=1,A378=2,AND(C378=ÉV!$I$2,D378&gt;ÉV!$J$2),C378&gt;ÉV!$I$2),0,VLOOKUP(A378-2,ÉV!$A$18:$C$65,3,0))</f>
        <v>0</v>
      </c>
      <c r="K378" s="273">
        <f ca="1">IF(OR(A378=1,AND(C378=ÉV!$I$2,D378&gt;ÉV!$J$2),C378&gt;ÉV!$I$2),0,VLOOKUP(A378-1,ÉV!$A$18:$C$65,3,0))</f>
        <v>0</v>
      </c>
      <c r="L378" s="273">
        <f ca="1">VLOOKUP(A378,ÉV!$A$18:$C$65,3,0)*IF(OR(AND(C378=ÉV!$I$2,D378&gt;ÉV!$J$2),C378&gt;ÉV!$I$2),0,1)</f>
        <v>0</v>
      </c>
      <c r="M378" s="273">
        <f ca="1">(K378*(12-B378)/12+L378*B378/12)*IF(A378&gt;ÉV!$G$2,0,1)+IF(A378&gt;ÉV!$G$2,M377,0)*IF(OR(AND(C378=ÉV!$I$2,D378&gt;ÉV!$J$2),C378&gt;ÉV!$I$2),0,1)</f>
        <v>0</v>
      </c>
      <c r="N378" s="274">
        <f ca="1">IF(AND(C378=1,D378&lt;12),0,1)*IF(D378=12,MAX(0,F378-E378-0.003)*0.9*((K378+I378)*(B378/12)+(J378+H378)*(1-B378/12))+MAX(0,F378-0.003)*0.9*N377+N377,IF(AND(C378=ÉV!$I$2,D378=ÉV!$J$2),(M378+N377)*MAX(0,F378-0.003)*0.9*(D378/12)+N377,N377))*IF(OR(C378&gt;ÉV!$I$2,AND(C378=ÉV!$I$2,D378&gt;ÉV!$J$2)),0,1)</f>
        <v>0</v>
      </c>
      <c r="O378" s="313">
        <f ca="1">IF(MAX(AF$2:AF377)=2,      0,IF(OR(AC378=7, AF378=2),    SUM(AE$2:AE378),    O377)   )</f>
        <v>0</v>
      </c>
      <c r="P378" s="271">
        <f ca="1">IF(D378=12,V378+P377+P377*(F378-0.003)*0.9,IF(AND(C378=ÉV!$I$2,D378=ÉV!$J$2),V378+P377+P377*(F378-0.003)*0.9*D378/12,P377))*IF(OR(C378&gt;ÉV!$I$2,AND(C378=ÉV!$I$2,D378&gt;ÉV!$J$2)),0,1)</f>
        <v>0</v>
      </c>
      <c r="Q378" s="275">
        <f ca="1">(N378+P378)*IF(OR(AND(C378=ÉV!$I$2,D378&gt;ÉV!$J$2),C378&gt;ÉV!$I$2),0,1)</f>
        <v>0</v>
      </c>
      <c r="R378" s="271">
        <f ca="1">(MAX(0,F378-E378-0.003)*0.9*((K378+I378)*(1/12)))*IF(OR(C378&gt;ÉV!$I$2,AND(C378=ÉV!$I$2,D378&gt;ÉV!$J$2)),0,1)</f>
        <v>0</v>
      </c>
      <c r="S378" s="271">
        <f ca="1">(MAX(0,F378-0.003)*0.9*((O378)*(1/12)))*IF(OR(C378&gt;ÉV!$I$2,AND(C378=ÉV!$I$2,D378&gt;ÉV!$J$2)),0,1)</f>
        <v>0</v>
      </c>
      <c r="T378" s="271">
        <f ca="1">(MAX(0,F378-0.003)*0.9*((Q377)*(1/12)))*IF(OR(C378&gt;ÉV!$I$2,AND(C378=ÉV!$I$2,D378&gt;ÉV!$J$2)),0,1)</f>
        <v>0</v>
      </c>
      <c r="U378" s="271">
        <f ca="1">IF($D378=1,R378,R378+U377)*IF(OR(C378&gt;ÉV!$I$2,AND(C378=ÉV!$I$2,D378&gt;ÉV!$J$2)),0,1)</f>
        <v>0</v>
      </c>
      <c r="V378" s="271">
        <f ca="1">IF($D378=1,S378,S378+V377)*IF(OR(C378&gt;ÉV!$I$2,AND(C378=ÉV!$I$2,D378&gt;ÉV!$J$2)),0,1)</f>
        <v>0</v>
      </c>
      <c r="W378" s="271">
        <f ca="1">IF($D378=1,T378,T378+W377)*IF(OR(C378&gt;ÉV!$I$2,AND(C378=ÉV!$I$2,D378&gt;ÉV!$J$2)),0,1)</f>
        <v>0</v>
      </c>
      <c r="X378" s="271">
        <f ca="1">IF(OR(D378=12,AND(C378=ÉV!$I$2,D378=ÉV!$J$2)),SUM(U378:W378)+X377,X377)*IF(OR(C378&gt;ÉV!$I$2,AND(C378=ÉV!$I$2,D378&gt;ÉV!$J$2)),0,1)</f>
        <v>0</v>
      </c>
      <c r="Y378" s="271">
        <f t="shared" ca="1" si="57"/>
        <v>0</v>
      </c>
      <c r="Z378" s="265">
        <f t="shared" si="58"/>
        <v>4</v>
      </c>
      <c r="AA378" s="272">
        <f t="shared" ca="1" si="59"/>
        <v>0</v>
      </c>
      <c r="AB378" s="265">
        <f t="shared" ca="1" si="65"/>
        <v>2048</v>
      </c>
      <c r="AC378" s="265">
        <f t="shared" ca="1" si="66"/>
        <v>7</v>
      </c>
      <c r="AD378" s="276">
        <f ca="1">IF(     OR(               AND(MAX(AF$6:AF378)&lt;2,  AC378=12),                 AF378=2),                   SUMIF(AB:AB,AB378,AA:AA),                       0)</f>
        <v>0</v>
      </c>
      <c r="AE378" s="277">
        <f t="shared" ca="1" si="67"/>
        <v>0</v>
      </c>
      <c r="AF378" s="277">
        <f t="shared" ca="1" si="60"/>
        <v>0</v>
      </c>
      <c r="AG378" s="402">
        <f ca="1">IF(  AND(AC378=AdóHó,   MAX(AF$1:AF377)&lt;2),   SUMIF(AB:AB,AB378-1,AE:AE),0  )
+ IF(AND(AC378&lt;AdóHó,                            AF378=2),   SUMIF(AB:AB,AB378-1,AE:AE),0  )
+ IF(                                                                  AF378=2,    SUMIF(AB:AB,AB378,AE:AE   ),0  )</f>
        <v>0</v>
      </c>
      <c r="AH378" s="272">
        <f ca="1">SUM(AG$2:AG378)</f>
        <v>1139324.2410681627</v>
      </c>
    </row>
    <row r="379" spans="1:34">
      <c r="A379" s="265">
        <f t="shared" si="61"/>
        <v>32</v>
      </c>
      <c r="B379" s="265">
        <f t="shared" si="62"/>
        <v>5</v>
      </c>
      <c r="C379" s="265">
        <f t="shared" ca="1" si="63"/>
        <v>32</v>
      </c>
      <c r="D379" s="265">
        <f t="shared" ca="1" si="64"/>
        <v>8</v>
      </c>
      <c r="E379" s="266">
        <v>5.0000000000000001E-3</v>
      </c>
      <c r="F379" s="267">
        <f>ÉV!$B$12</f>
        <v>0</v>
      </c>
      <c r="G379" s="271">
        <f ca="1">VLOOKUP(A379,ÉV!$A$18:$B$65,2,0)</f>
        <v>0</v>
      </c>
      <c r="H379" s="271">
        <f ca="1">IF(OR(A379=1,AND(C379=ÉV!$I$2,D379&gt;ÉV!$J$2),C379&gt;ÉV!$I$2),0,INDEX(Pz!$B$2:$AM$48,A379-1,ÉV!$G$2-9)/100000*ÉV!$B$10)</f>
        <v>0</v>
      </c>
      <c r="I379" s="271">
        <f ca="1">INDEX(Pz!$B$2:$AM$48,HÓ!A379,ÉV!$G$2-9)/100000*ÉV!$B$10</f>
        <v>0</v>
      </c>
      <c r="J379" s="273">
        <f ca="1">IF(OR(A379=1,A379=2,AND(C379=ÉV!$I$2,D379&gt;ÉV!$J$2),C379&gt;ÉV!$I$2),0,VLOOKUP(A379-2,ÉV!$A$18:$C$65,3,0))</f>
        <v>0</v>
      </c>
      <c r="K379" s="273">
        <f ca="1">IF(OR(A379=1,AND(C379=ÉV!$I$2,D379&gt;ÉV!$J$2),C379&gt;ÉV!$I$2),0,VLOOKUP(A379-1,ÉV!$A$18:$C$65,3,0))</f>
        <v>0</v>
      </c>
      <c r="L379" s="273">
        <f ca="1">VLOOKUP(A379,ÉV!$A$18:$C$65,3,0)*IF(OR(AND(C379=ÉV!$I$2,D379&gt;ÉV!$J$2),C379&gt;ÉV!$I$2),0,1)</f>
        <v>0</v>
      </c>
      <c r="M379" s="273">
        <f ca="1">(K379*(12-B379)/12+L379*B379/12)*IF(A379&gt;ÉV!$G$2,0,1)+IF(A379&gt;ÉV!$G$2,M378,0)*IF(OR(AND(C379=ÉV!$I$2,D379&gt;ÉV!$J$2),C379&gt;ÉV!$I$2),0,1)</f>
        <v>0</v>
      </c>
      <c r="N379" s="274">
        <f ca="1">IF(AND(C379=1,D379&lt;12),0,1)*IF(D379=12,MAX(0,F379-E379-0.003)*0.9*((K379+I379)*(B379/12)+(J379+H379)*(1-B379/12))+MAX(0,F379-0.003)*0.9*N378+N378,IF(AND(C379=ÉV!$I$2,D379=ÉV!$J$2),(M379+N378)*MAX(0,F379-0.003)*0.9*(D379/12)+N378,N378))*IF(OR(C379&gt;ÉV!$I$2,AND(C379=ÉV!$I$2,D379&gt;ÉV!$J$2)),0,1)</f>
        <v>0</v>
      </c>
      <c r="O379" s="313">
        <f ca="1">IF(MAX(AF$2:AF378)=2,      0,IF(OR(AC379=7, AF379=2),    SUM(AE$2:AE379),    O378)   )</f>
        <v>0</v>
      </c>
      <c r="P379" s="271">
        <f ca="1">IF(D379=12,V379+P378+P378*(F379-0.003)*0.9,IF(AND(C379=ÉV!$I$2,D379=ÉV!$J$2),V379+P378+P378*(F379-0.003)*0.9*D379/12,P378))*IF(OR(C379&gt;ÉV!$I$2,AND(C379=ÉV!$I$2,D379&gt;ÉV!$J$2)),0,1)</f>
        <v>0</v>
      </c>
      <c r="Q379" s="275">
        <f ca="1">(N379+P379)*IF(OR(AND(C379=ÉV!$I$2,D379&gt;ÉV!$J$2),C379&gt;ÉV!$I$2),0,1)</f>
        <v>0</v>
      </c>
      <c r="R379" s="271">
        <f ca="1">(MAX(0,F379-E379-0.003)*0.9*((K379+I379)*(1/12)))*IF(OR(C379&gt;ÉV!$I$2,AND(C379=ÉV!$I$2,D379&gt;ÉV!$J$2)),0,1)</f>
        <v>0</v>
      </c>
      <c r="S379" s="271">
        <f ca="1">(MAX(0,F379-0.003)*0.9*((O379)*(1/12)))*IF(OR(C379&gt;ÉV!$I$2,AND(C379=ÉV!$I$2,D379&gt;ÉV!$J$2)),0,1)</f>
        <v>0</v>
      </c>
      <c r="T379" s="271">
        <f ca="1">(MAX(0,F379-0.003)*0.9*((Q378)*(1/12)))*IF(OR(C379&gt;ÉV!$I$2,AND(C379=ÉV!$I$2,D379&gt;ÉV!$J$2)),0,1)</f>
        <v>0</v>
      </c>
      <c r="U379" s="271">
        <f ca="1">IF($D379=1,R379,R379+U378)*IF(OR(C379&gt;ÉV!$I$2,AND(C379=ÉV!$I$2,D379&gt;ÉV!$J$2)),0,1)</f>
        <v>0</v>
      </c>
      <c r="V379" s="271">
        <f ca="1">IF($D379=1,S379,S379+V378)*IF(OR(C379&gt;ÉV!$I$2,AND(C379=ÉV!$I$2,D379&gt;ÉV!$J$2)),0,1)</f>
        <v>0</v>
      </c>
      <c r="W379" s="271">
        <f ca="1">IF($D379=1,T379,T379+W378)*IF(OR(C379&gt;ÉV!$I$2,AND(C379=ÉV!$I$2,D379&gt;ÉV!$J$2)),0,1)</f>
        <v>0</v>
      </c>
      <c r="X379" s="271">
        <f ca="1">IF(OR(D379=12,AND(C379=ÉV!$I$2,D379=ÉV!$J$2)),SUM(U379:W379)+X378,X378)*IF(OR(C379&gt;ÉV!$I$2,AND(C379=ÉV!$I$2,D379&gt;ÉV!$J$2)),0,1)</f>
        <v>0</v>
      </c>
      <c r="Y379" s="271">
        <f t="shared" ca="1" si="57"/>
        <v>0</v>
      </c>
      <c r="Z379" s="265">
        <f t="shared" si="58"/>
        <v>5</v>
      </c>
      <c r="AA379" s="272">
        <f t="shared" ca="1" si="59"/>
        <v>0</v>
      </c>
      <c r="AB379" s="265">
        <f t="shared" ca="1" si="65"/>
        <v>2048</v>
      </c>
      <c r="AC379" s="265">
        <f t="shared" ca="1" si="66"/>
        <v>8</v>
      </c>
      <c r="AD379" s="276">
        <f ca="1">IF(     OR(               AND(MAX(AF$6:AF379)&lt;2,  AC379=12),                 AF379=2),                   SUMIF(AB:AB,AB379,AA:AA),                       0)</f>
        <v>0</v>
      </c>
      <c r="AE379" s="277">
        <f t="shared" ca="1" si="67"/>
        <v>0</v>
      </c>
      <c r="AF379" s="277">
        <f t="shared" ca="1" si="60"/>
        <v>0</v>
      </c>
      <c r="AG379" s="402">
        <f ca="1">IF(  AND(AC379=AdóHó,   MAX(AF$1:AF378)&lt;2),   SUMIF(AB:AB,AB379-1,AE:AE),0  )
+ IF(AND(AC379&lt;AdóHó,                            AF379=2),   SUMIF(AB:AB,AB379-1,AE:AE),0  )
+ IF(                                                                  AF379=2,    SUMIF(AB:AB,AB379,AE:AE   ),0  )</f>
        <v>0</v>
      </c>
      <c r="AH379" s="272">
        <f ca="1">SUM(AG$2:AG379)</f>
        <v>1139324.2410681627</v>
      </c>
    </row>
    <row r="380" spans="1:34">
      <c r="A380" s="265">
        <f t="shared" si="61"/>
        <v>32</v>
      </c>
      <c r="B380" s="265">
        <f t="shared" si="62"/>
        <v>6</v>
      </c>
      <c r="C380" s="265">
        <f t="shared" ca="1" si="63"/>
        <v>32</v>
      </c>
      <c r="D380" s="265">
        <f t="shared" ca="1" si="64"/>
        <v>9</v>
      </c>
      <c r="E380" s="266">
        <v>5.0000000000000001E-3</v>
      </c>
      <c r="F380" s="267">
        <f>ÉV!$B$12</f>
        <v>0</v>
      </c>
      <c r="G380" s="271">
        <f ca="1">VLOOKUP(A380,ÉV!$A$18:$B$65,2,0)</f>
        <v>0</v>
      </c>
      <c r="H380" s="271">
        <f ca="1">IF(OR(A380=1,AND(C380=ÉV!$I$2,D380&gt;ÉV!$J$2),C380&gt;ÉV!$I$2),0,INDEX(Pz!$B$2:$AM$48,A380-1,ÉV!$G$2-9)/100000*ÉV!$B$10)</f>
        <v>0</v>
      </c>
      <c r="I380" s="271">
        <f ca="1">INDEX(Pz!$B$2:$AM$48,HÓ!A380,ÉV!$G$2-9)/100000*ÉV!$B$10</f>
        <v>0</v>
      </c>
      <c r="J380" s="273">
        <f ca="1">IF(OR(A380=1,A380=2,AND(C380=ÉV!$I$2,D380&gt;ÉV!$J$2),C380&gt;ÉV!$I$2),0,VLOOKUP(A380-2,ÉV!$A$18:$C$65,3,0))</f>
        <v>0</v>
      </c>
      <c r="K380" s="273">
        <f ca="1">IF(OR(A380=1,AND(C380=ÉV!$I$2,D380&gt;ÉV!$J$2),C380&gt;ÉV!$I$2),0,VLOOKUP(A380-1,ÉV!$A$18:$C$65,3,0))</f>
        <v>0</v>
      </c>
      <c r="L380" s="273">
        <f ca="1">VLOOKUP(A380,ÉV!$A$18:$C$65,3,0)*IF(OR(AND(C380=ÉV!$I$2,D380&gt;ÉV!$J$2),C380&gt;ÉV!$I$2),0,1)</f>
        <v>0</v>
      </c>
      <c r="M380" s="273">
        <f ca="1">(K380*(12-B380)/12+L380*B380/12)*IF(A380&gt;ÉV!$G$2,0,1)+IF(A380&gt;ÉV!$G$2,M379,0)*IF(OR(AND(C380=ÉV!$I$2,D380&gt;ÉV!$J$2),C380&gt;ÉV!$I$2),0,1)</f>
        <v>0</v>
      </c>
      <c r="N380" s="274">
        <f ca="1">IF(AND(C380=1,D380&lt;12),0,1)*IF(D380=12,MAX(0,F380-E380-0.003)*0.9*((K380+I380)*(B380/12)+(J380+H380)*(1-B380/12))+MAX(0,F380-0.003)*0.9*N379+N379,IF(AND(C380=ÉV!$I$2,D380=ÉV!$J$2),(M380+N379)*MAX(0,F380-0.003)*0.9*(D380/12)+N379,N379))*IF(OR(C380&gt;ÉV!$I$2,AND(C380=ÉV!$I$2,D380&gt;ÉV!$J$2)),0,1)</f>
        <v>0</v>
      </c>
      <c r="O380" s="313">
        <f ca="1">IF(MAX(AF$2:AF379)=2,      0,IF(OR(AC380=7, AF380=2),    SUM(AE$2:AE380),    O379)   )</f>
        <v>0</v>
      </c>
      <c r="P380" s="271">
        <f ca="1">IF(D380=12,V380+P379+P379*(F380-0.003)*0.9,IF(AND(C380=ÉV!$I$2,D380=ÉV!$J$2),V380+P379+P379*(F380-0.003)*0.9*D380/12,P379))*IF(OR(C380&gt;ÉV!$I$2,AND(C380=ÉV!$I$2,D380&gt;ÉV!$J$2)),0,1)</f>
        <v>0</v>
      </c>
      <c r="Q380" s="275">
        <f ca="1">(N380+P380)*IF(OR(AND(C380=ÉV!$I$2,D380&gt;ÉV!$J$2),C380&gt;ÉV!$I$2),0,1)</f>
        <v>0</v>
      </c>
      <c r="R380" s="271">
        <f ca="1">(MAX(0,F380-E380-0.003)*0.9*((K380+I380)*(1/12)))*IF(OR(C380&gt;ÉV!$I$2,AND(C380=ÉV!$I$2,D380&gt;ÉV!$J$2)),0,1)</f>
        <v>0</v>
      </c>
      <c r="S380" s="271">
        <f ca="1">(MAX(0,F380-0.003)*0.9*((O380)*(1/12)))*IF(OR(C380&gt;ÉV!$I$2,AND(C380=ÉV!$I$2,D380&gt;ÉV!$J$2)),0,1)</f>
        <v>0</v>
      </c>
      <c r="T380" s="271">
        <f ca="1">(MAX(0,F380-0.003)*0.9*((Q379)*(1/12)))*IF(OR(C380&gt;ÉV!$I$2,AND(C380=ÉV!$I$2,D380&gt;ÉV!$J$2)),0,1)</f>
        <v>0</v>
      </c>
      <c r="U380" s="271">
        <f ca="1">IF($D380=1,R380,R380+U379)*IF(OR(C380&gt;ÉV!$I$2,AND(C380=ÉV!$I$2,D380&gt;ÉV!$J$2)),0,1)</f>
        <v>0</v>
      </c>
      <c r="V380" s="271">
        <f ca="1">IF($D380=1,S380,S380+V379)*IF(OR(C380&gt;ÉV!$I$2,AND(C380=ÉV!$I$2,D380&gt;ÉV!$J$2)),0,1)</f>
        <v>0</v>
      </c>
      <c r="W380" s="271">
        <f ca="1">IF($D380=1,T380,T380+W379)*IF(OR(C380&gt;ÉV!$I$2,AND(C380=ÉV!$I$2,D380&gt;ÉV!$J$2)),0,1)</f>
        <v>0</v>
      </c>
      <c r="X380" s="271">
        <f ca="1">IF(OR(D380=12,AND(C380=ÉV!$I$2,D380=ÉV!$J$2)),SUM(U380:W380)+X379,X379)*IF(OR(C380&gt;ÉV!$I$2,AND(C380=ÉV!$I$2,D380&gt;ÉV!$J$2)),0,1)</f>
        <v>0</v>
      </c>
      <c r="Y380" s="271">
        <f t="shared" ca="1" si="57"/>
        <v>0</v>
      </c>
      <c r="Z380" s="265">
        <f t="shared" si="58"/>
        <v>6</v>
      </c>
      <c r="AA380" s="272">
        <f t="shared" ca="1" si="59"/>
        <v>0</v>
      </c>
      <c r="AB380" s="265">
        <f t="shared" ca="1" si="65"/>
        <v>2048</v>
      </c>
      <c r="AC380" s="265">
        <f t="shared" ca="1" si="66"/>
        <v>9</v>
      </c>
      <c r="AD380" s="276">
        <f ca="1">IF(     OR(               AND(MAX(AF$6:AF380)&lt;2,  AC380=12),                 AF380=2),                   SUMIF(AB:AB,AB380,AA:AA),                       0)</f>
        <v>0</v>
      </c>
      <c r="AE380" s="277">
        <f t="shared" ca="1" si="67"/>
        <v>0</v>
      </c>
      <c r="AF380" s="277">
        <f t="shared" ca="1" si="60"/>
        <v>0</v>
      </c>
      <c r="AG380" s="402">
        <f ca="1">IF(  AND(AC380=AdóHó,   MAX(AF$1:AF379)&lt;2),   SUMIF(AB:AB,AB380-1,AE:AE),0  )
+ IF(AND(AC380&lt;AdóHó,                            AF380=2),   SUMIF(AB:AB,AB380-1,AE:AE),0  )
+ IF(                                                                  AF380=2,    SUMIF(AB:AB,AB380,AE:AE   ),0  )</f>
        <v>0</v>
      </c>
      <c r="AH380" s="272">
        <f ca="1">SUM(AG$2:AG380)</f>
        <v>1139324.2410681627</v>
      </c>
    </row>
    <row r="381" spans="1:34">
      <c r="A381" s="265">
        <f t="shared" si="61"/>
        <v>32</v>
      </c>
      <c r="B381" s="265">
        <f t="shared" si="62"/>
        <v>7</v>
      </c>
      <c r="C381" s="265">
        <f t="shared" ca="1" si="63"/>
        <v>32</v>
      </c>
      <c r="D381" s="265">
        <f t="shared" ca="1" si="64"/>
        <v>10</v>
      </c>
      <c r="E381" s="266">
        <v>5.0000000000000001E-3</v>
      </c>
      <c r="F381" s="267">
        <f>ÉV!$B$12</f>
        <v>0</v>
      </c>
      <c r="G381" s="271">
        <f ca="1">VLOOKUP(A381,ÉV!$A$18:$B$65,2,0)</f>
        <v>0</v>
      </c>
      <c r="H381" s="271">
        <f ca="1">IF(OR(A381=1,AND(C381=ÉV!$I$2,D381&gt;ÉV!$J$2),C381&gt;ÉV!$I$2),0,INDEX(Pz!$B$2:$AM$48,A381-1,ÉV!$G$2-9)/100000*ÉV!$B$10)</f>
        <v>0</v>
      </c>
      <c r="I381" s="271">
        <f ca="1">INDEX(Pz!$B$2:$AM$48,HÓ!A381,ÉV!$G$2-9)/100000*ÉV!$B$10</f>
        <v>0</v>
      </c>
      <c r="J381" s="273">
        <f ca="1">IF(OR(A381=1,A381=2,AND(C381=ÉV!$I$2,D381&gt;ÉV!$J$2),C381&gt;ÉV!$I$2),0,VLOOKUP(A381-2,ÉV!$A$18:$C$65,3,0))</f>
        <v>0</v>
      </c>
      <c r="K381" s="273">
        <f ca="1">IF(OR(A381=1,AND(C381=ÉV!$I$2,D381&gt;ÉV!$J$2),C381&gt;ÉV!$I$2),0,VLOOKUP(A381-1,ÉV!$A$18:$C$65,3,0))</f>
        <v>0</v>
      </c>
      <c r="L381" s="273">
        <f ca="1">VLOOKUP(A381,ÉV!$A$18:$C$65,3,0)*IF(OR(AND(C381=ÉV!$I$2,D381&gt;ÉV!$J$2),C381&gt;ÉV!$I$2),0,1)</f>
        <v>0</v>
      </c>
      <c r="M381" s="273">
        <f ca="1">(K381*(12-B381)/12+L381*B381/12)*IF(A381&gt;ÉV!$G$2,0,1)+IF(A381&gt;ÉV!$G$2,M380,0)*IF(OR(AND(C381=ÉV!$I$2,D381&gt;ÉV!$J$2),C381&gt;ÉV!$I$2),0,1)</f>
        <v>0</v>
      </c>
      <c r="N381" s="274">
        <f ca="1">IF(AND(C381=1,D381&lt;12),0,1)*IF(D381=12,MAX(0,F381-E381-0.003)*0.9*((K381+I381)*(B381/12)+(J381+H381)*(1-B381/12))+MAX(0,F381-0.003)*0.9*N380+N380,IF(AND(C381=ÉV!$I$2,D381=ÉV!$J$2),(M381+N380)*MAX(0,F381-0.003)*0.9*(D381/12)+N380,N380))*IF(OR(C381&gt;ÉV!$I$2,AND(C381=ÉV!$I$2,D381&gt;ÉV!$J$2)),0,1)</f>
        <v>0</v>
      </c>
      <c r="O381" s="313">
        <f ca="1">IF(MAX(AF$2:AF380)=2,      0,IF(OR(AC381=7, AF381=2),    SUM(AE$2:AE381),    O380)   )</f>
        <v>0</v>
      </c>
      <c r="P381" s="271">
        <f ca="1">IF(D381=12,V381+P380+P380*(F381-0.003)*0.9,IF(AND(C381=ÉV!$I$2,D381=ÉV!$J$2),V381+P380+P380*(F381-0.003)*0.9*D381/12,P380))*IF(OR(C381&gt;ÉV!$I$2,AND(C381=ÉV!$I$2,D381&gt;ÉV!$J$2)),0,1)</f>
        <v>0</v>
      </c>
      <c r="Q381" s="275">
        <f ca="1">(N381+P381)*IF(OR(AND(C381=ÉV!$I$2,D381&gt;ÉV!$J$2),C381&gt;ÉV!$I$2),0,1)</f>
        <v>0</v>
      </c>
      <c r="R381" s="271">
        <f ca="1">(MAX(0,F381-E381-0.003)*0.9*((K381+I381)*(1/12)))*IF(OR(C381&gt;ÉV!$I$2,AND(C381=ÉV!$I$2,D381&gt;ÉV!$J$2)),0,1)</f>
        <v>0</v>
      </c>
      <c r="S381" s="271">
        <f ca="1">(MAX(0,F381-0.003)*0.9*((O381)*(1/12)))*IF(OR(C381&gt;ÉV!$I$2,AND(C381=ÉV!$I$2,D381&gt;ÉV!$J$2)),0,1)</f>
        <v>0</v>
      </c>
      <c r="T381" s="271">
        <f ca="1">(MAX(0,F381-0.003)*0.9*((Q380)*(1/12)))*IF(OR(C381&gt;ÉV!$I$2,AND(C381=ÉV!$I$2,D381&gt;ÉV!$J$2)),0,1)</f>
        <v>0</v>
      </c>
      <c r="U381" s="271">
        <f ca="1">IF($D381=1,R381,R381+U380)*IF(OR(C381&gt;ÉV!$I$2,AND(C381=ÉV!$I$2,D381&gt;ÉV!$J$2)),0,1)</f>
        <v>0</v>
      </c>
      <c r="V381" s="271">
        <f ca="1">IF($D381=1,S381,S381+V380)*IF(OR(C381&gt;ÉV!$I$2,AND(C381=ÉV!$I$2,D381&gt;ÉV!$J$2)),0,1)</f>
        <v>0</v>
      </c>
      <c r="W381" s="271">
        <f ca="1">IF($D381=1,T381,T381+W380)*IF(OR(C381&gt;ÉV!$I$2,AND(C381=ÉV!$I$2,D381&gt;ÉV!$J$2)),0,1)</f>
        <v>0</v>
      </c>
      <c r="X381" s="271">
        <f ca="1">IF(OR(D381=12,AND(C381=ÉV!$I$2,D381=ÉV!$J$2)),SUM(U381:W381)+X380,X380)*IF(OR(C381&gt;ÉV!$I$2,AND(C381=ÉV!$I$2,D381&gt;ÉV!$J$2)),0,1)</f>
        <v>0</v>
      </c>
      <c r="Y381" s="271">
        <f t="shared" ca="1" si="57"/>
        <v>0</v>
      </c>
      <c r="Z381" s="265">
        <f t="shared" si="58"/>
        <v>7</v>
      </c>
      <c r="AA381" s="272">
        <f t="shared" ca="1" si="59"/>
        <v>0</v>
      </c>
      <c r="AB381" s="265">
        <f t="shared" ca="1" si="65"/>
        <v>2048</v>
      </c>
      <c r="AC381" s="265">
        <f t="shared" ca="1" si="66"/>
        <v>10</v>
      </c>
      <c r="AD381" s="276">
        <f ca="1">IF(     OR(               AND(MAX(AF$6:AF381)&lt;2,  AC381=12),                 AF381=2),                   SUMIF(AB:AB,AB381,AA:AA),                       0)</f>
        <v>0</v>
      </c>
      <c r="AE381" s="277">
        <f t="shared" ca="1" si="67"/>
        <v>0</v>
      </c>
      <c r="AF381" s="277">
        <f t="shared" ca="1" si="60"/>
        <v>0</v>
      </c>
      <c r="AG381" s="402">
        <f ca="1">IF(  AND(AC381=AdóHó,   MAX(AF$1:AF380)&lt;2),   SUMIF(AB:AB,AB381-1,AE:AE),0  )
+ IF(AND(AC381&lt;AdóHó,                            AF381=2),   SUMIF(AB:AB,AB381-1,AE:AE),0  )
+ IF(                                                                  AF381=2,    SUMIF(AB:AB,AB381,AE:AE   ),0  )</f>
        <v>0</v>
      </c>
      <c r="AH381" s="272">
        <f ca="1">SUM(AG$2:AG381)</f>
        <v>1139324.2410681627</v>
      </c>
    </row>
    <row r="382" spans="1:34">
      <c r="A382" s="265">
        <f t="shared" si="61"/>
        <v>32</v>
      </c>
      <c r="B382" s="265">
        <f t="shared" si="62"/>
        <v>8</v>
      </c>
      <c r="C382" s="265">
        <f t="shared" ca="1" si="63"/>
        <v>32</v>
      </c>
      <c r="D382" s="265">
        <f t="shared" ca="1" si="64"/>
        <v>11</v>
      </c>
      <c r="E382" s="266">
        <v>5.0000000000000001E-3</v>
      </c>
      <c r="F382" s="267">
        <f>ÉV!$B$12</f>
        <v>0</v>
      </c>
      <c r="G382" s="271">
        <f ca="1">VLOOKUP(A382,ÉV!$A$18:$B$65,2,0)</f>
        <v>0</v>
      </c>
      <c r="H382" s="271">
        <f ca="1">IF(OR(A382=1,AND(C382=ÉV!$I$2,D382&gt;ÉV!$J$2),C382&gt;ÉV!$I$2),0,INDEX(Pz!$B$2:$AM$48,A382-1,ÉV!$G$2-9)/100000*ÉV!$B$10)</f>
        <v>0</v>
      </c>
      <c r="I382" s="271">
        <f ca="1">INDEX(Pz!$B$2:$AM$48,HÓ!A382,ÉV!$G$2-9)/100000*ÉV!$B$10</f>
        <v>0</v>
      </c>
      <c r="J382" s="273">
        <f ca="1">IF(OR(A382=1,A382=2,AND(C382=ÉV!$I$2,D382&gt;ÉV!$J$2),C382&gt;ÉV!$I$2),0,VLOOKUP(A382-2,ÉV!$A$18:$C$65,3,0))</f>
        <v>0</v>
      </c>
      <c r="K382" s="273">
        <f ca="1">IF(OR(A382=1,AND(C382=ÉV!$I$2,D382&gt;ÉV!$J$2),C382&gt;ÉV!$I$2),0,VLOOKUP(A382-1,ÉV!$A$18:$C$65,3,0))</f>
        <v>0</v>
      </c>
      <c r="L382" s="273">
        <f ca="1">VLOOKUP(A382,ÉV!$A$18:$C$65,3,0)*IF(OR(AND(C382=ÉV!$I$2,D382&gt;ÉV!$J$2),C382&gt;ÉV!$I$2),0,1)</f>
        <v>0</v>
      </c>
      <c r="M382" s="273">
        <f ca="1">(K382*(12-B382)/12+L382*B382/12)*IF(A382&gt;ÉV!$G$2,0,1)+IF(A382&gt;ÉV!$G$2,M381,0)*IF(OR(AND(C382=ÉV!$I$2,D382&gt;ÉV!$J$2),C382&gt;ÉV!$I$2),0,1)</f>
        <v>0</v>
      </c>
      <c r="N382" s="274">
        <f ca="1">IF(AND(C382=1,D382&lt;12),0,1)*IF(D382=12,MAX(0,F382-E382-0.003)*0.9*((K382+I382)*(B382/12)+(J382+H382)*(1-B382/12))+MAX(0,F382-0.003)*0.9*N381+N381,IF(AND(C382=ÉV!$I$2,D382=ÉV!$J$2),(M382+N381)*MAX(0,F382-0.003)*0.9*(D382/12)+N381,N381))*IF(OR(C382&gt;ÉV!$I$2,AND(C382=ÉV!$I$2,D382&gt;ÉV!$J$2)),0,1)</f>
        <v>0</v>
      </c>
      <c r="O382" s="313">
        <f ca="1">IF(MAX(AF$2:AF381)=2,      0,IF(OR(AC382=7, AF382=2),    SUM(AE$2:AE382),    O381)   )</f>
        <v>0</v>
      </c>
      <c r="P382" s="271">
        <f ca="1">IF(D382=12,V382+P381+P381*(F382-0.003)*0.9,IF(AND(C382=ÉV!$I$2,D382=ÉV!$J$2),V382+P381+P381*(F382-0.003)*0.9*D382/12,P381))*IF(OR(C382&gt;ÉV!$I$2,AND(C382=ÉV!$I$2,D382&gt;ÉV!$J$2)),0,1)</f>
        <v>0</v>
      </c>
      <c r="Q382" s="275">
        <f ca="1">(N382+P382)*IF(OR(AND(C382=ÉV!$I$2,D382&gt;ÉV!$J$2),C382&gt;ÉV!$I$2),0,1)</f>
        <v>0</v>
      </c>
      <c r="R382" s="271">
        <f ca="1">(MAX(0,F382-E382-0.003)*0.9*((K382+I382)*(1/12)))*IF(OR(C382&gt;ÉV!$I$2,AND(C382=ÉV!$I$2,D382&gt;ÉV!$J$2)),0,1)</f>
        <v>0</v>
      </c>
      <c r="S382" s="271">
        <f ca="1">(MAX(0,F382-0.003)*0.9*((O382)*(1/12)))*IF(OR(C382&gt;ÉV!$I$2,AND(C382=ÉV!$I$2,D382&gt;ÉV!$J$2)),0,1)</f>
        <v>0</v>
      </c>
      <c r="T382" s="271">
        <f ca="1">(MAX(0,F382-0.003)*0.9*((Q381)*(1/12)))*IF(OR(C382&gt;ÉV!$I$2,AND(C382=ÉV!$I$2,D382&gt;ÉV!$J$2)),0,1)</f>
        <v>0</v>
      </c>
      <c r="U382" s="271">
        <f ca="1">IF($D382=1,R382,R382+U381)*IF(OR(C382&gt;ÉV!$I$2,AND(C382=ÉV!$I$2,D382&gt;ÉV!$J$2)),0,1)</f>
        <v>0</v>
      </c>
      <c r="V382" s="271">
        <f ca="1">IF($D382=1,S382,S382+V381)*IF(OR(C382&gt;ÉV!$I$2,AND(C382=ÉV!$I$2,D382&gt;ÉV!$J$2)),0,1)</f>
        <v>0</v>
      </c>
      <c r="W382" s="271">
        <f ca="1">IF($D382=1,T382,T382+W381)*IF(OR(C382&gt;ÉV!$I$2,AND(C382=ÉV!$I$2,D382&gt;ÉV!$J$2)),0,1)</f>
        <v>0</v>
      </c>
      <c r="X382" s="271">
        <f ca="1">IF(OR(D382=12,AND(C382=ÉV!$I$2,D382=ÉV!$J$2)),SUM(U382:W382)+X381,X381)*IF(OR(C382&gt;ÉV!$I$2,AND(C382=ÉV!$I$2,D382&gt;ÉV!$J$2)),0,1)</f>
        <v>0</v>
      </c>
      <c r="Y382" s="271">
        <f t="shared" ca="1" si="57"/>
        <v>0</v>
      </c>
      <c r="Z382" s="265">
        <f t="shared" si="58"/>
        <v>8</v>
      </c>
      <c r="AA382" s="272">
        <f t="shared" ca="1" si="59"/>
        <v>0</v>
      </c>
      <c r="AB382" s="265">
        <f t="shared" ca="1" si="65"/>
        <v>2048</v>
      </c>
      <c r="AC382" s="265">
        <f t="shared" ca="1" si="66"/>
        <v>11</v>
      </c>
      <c r="AD382" s="276">
        <f ca="1">IF(     OR(               AND(MAX(AF$6:AF382)&lt;2,  AC382=12),                 AF382=2),                   SUMIF(AB:AB,AB382,AA:AA),                       0)</f>
        <v>0</v>
      </c>
      <c r="AE382" s="277">
        <f t="shared" ca="1" si="67"/>
        <v>0</v>
      </c>
      <c r="AF382" s="277">
        <f t="shared" ca="1" si="60"/>
        <v>0</v>
      </c>
      <c r="AG382" s="402">
        <f ca="1">IF(  AND(AC382=AdóHó,   MAX(AF$1:AF381)&lt;2),   SUMIF(AB:AB,AB382-1,AE:AE),0  )
+ IF(AND(AC382&lt;AdóHó,                            AF382=2),   SUMIF(AB:AB,AB382-1,AE:AE),0  )
+ IF(                                                                  AF382=2,    SUMIF(AB:AB,AB382,AE:AE   ),0  )</f>
        <v>0</v>
      </c>
      <c r="AH382" s="272">
        <f ca="1">SUM(AG$2:AG382)</f>
        <v>1139324.2410681627</v>
      </c>
    </row>
    <row r="383" spans="1:34">
      <c r="A383" s="265">
        <f t="shared" si="61"/>
        <v>32</v>
      </c>
      <c r="B383" s="265">
        <f t="shared" si="62"/>
        <v>9</v>
      </c>
      <c r="C383" s="265">
        <f t="shared" ca="1" si="63"/>
        <v>32</v>
      </c>
      <c r="D383" s="265">
        <f t="shared" ca="1" si="64"/>
        <v>12</v>
      </c>
      <c r="E383" s="266">
        <v>5.0000000000000001E-3</v>
      </c>
      <c r="F383" s="267">
        <f>ÉV!$B$12</f>
        <v>0</v>
      </c>
      <c r="G383" s="271">
        <f ca="1">VLOOKUP(A383,ÉV!$A$18:$B$65,2,0)</f>
        <v>0</v>
      </c>
      <c r="H383" s="271">
        <f ca="1">IF(OR(A383=1,AND(C383=ÉV!$I$2,D383&gt;ÉV!$J$2),C383&gt;ÉV!$I$2),0,INDEX(Pz!$B$2:$AM$48,A383-1,ÉV!$G$2-9)/100000*ÉV!$B$10)</f>
        <v>0</v>
      </c>
      <c r="I383" s="271">
        <f ca="1">INDEX(Pz!$B$2:$AM$48,HÓ!A383,ÉV!$G$2-9)/100000*ÉV!$B$10</f>
        <v>0</v>
      </c>
      <c r="J383" s="273">
        <f ca="1">IF(OR(A383=1,A383=2,AND(C383=ÉV!$I$2,D383&gt;ÉV!$J$2),C383&gt;ÉV!$I$2),0,VLOOKUP(A383-2,ÉV!$A$18:$C$65,3,0))</f>
        <v>0</v>
      </c>
      <c r="K383" s="273">
        <f ca="1">IF(OR(A383=1,AND(C383=ÉV!$I$2,D383&gt;ÉV!$J$2),C383&gt;ÉV!$I$2),0,VLOOKUP(A383-1,ÉV!$A$18:$C$65,3,0))</f>
        <v>0</v>
      </c>
      <c r="L383" s="273">
        <f ca="1">VLOOKUP(A383,ÉV!$A$18:$C$65,3,0)*IF(OR(AND(C383=ÉV!$I$2,D383&gt;ÉV!$J$2),C383&gt;ÉV!$I$2),0,1)</f>
        <v>0</v>
      </c>
      <c r="M383" s="273">
        <f ca="1">(K383*(12-B383)/12+L383*B383/12)*IF(A383&gt;ÉV!$G$2,0,1)+IF(A383&gt;ÉV!$G$2,M382,0)*IF(OR(AND(C383=ÉV!$I$2,D383&gt;ÉV!$J$2),C383&gt;ÉV!$I$2),0,1)</f>
        <v>0</v>
      </c>
      <c r="N383" s="274">
        <f ca="1">IF(AND(C383=1,D383&lt;12),0,1)*IF(D383=12,MAX(0,F383-E383-0.003)*0.9*((K383+I383)*(B383/12)+(J383+H383)*(1-B383/12))+MAX(0,F383-0.003)*0.9*N382+N382,IF(AND(C383=ÉV!$I$2,D383=ÉV!$J$2),(M383+N382)*MAX(0,F383-0.003)*0.9*(D383/12)+N382,N382))*IF(OR(C383&gt;ÉV!$I$2,AND(C383=ÉV!$I$2,D383&gt;ÉV!$J$2)),0,1)</f>
        <v>0</v>
      </c>
      <c r="O383" s="313">
        <f ca="1">IF(MAX(AF$2:AF382)=2,      0,IF(OR(AC383=7, AF383=2),    SUM(AE$2:AE383),    O382)   )</f>
        <v>0</v>
      </c>
      <c r="P383" s="271">
        <f ca="1">IF(D383=12,V383+P382+P382*(F383-0.003)*0.9,IF(AND(C383=ÉV!$I$2,D383=ÉV!$J$2),V383+P382+P382*(F383-0.003)*0.9*D383/12,P382))*IF(OR(C383&gt;ÉV!$I$2,AND(C383=ÉV!$I$2,D383&gt;ÉV!$J$2)),0,1)</f>
        <v>0</v>
      </c>
      <c r="Q383" s="275">
        <f ca="1">(N383+P383)*IF(OR(AND(C383=ÉV!$I$2,D383&gt;ÉV!$J$2),C383&gt;ÉV!$I$2),0,1)</f>
        <v>0</v>
      </c>
      <c r="R383" s="271">
        <f ca="1">(MAX(0,F383-E383-0.003)*0.9*((K383+I383)*(1/12)))*IF(OR(C383&gt;ÉV!$I$2,AND(C383=ÉV!$I$2,D383&gt;ÉV!$J$2)),0,1)</f>
        <v>0</v>
      </c>
      <c r="S383" s="271">
        <f ca="1">(MAX(0,F383-0.003)*0.9*((O383)*(1/12)))*IF(OR(C383&gt;ÉV!$I$2,AND(C383=ÉV!$I$2,D383&gt;ÉV!$J$2)),0,1)</f>
        <v>0</v>
      </c>
      <c r="T383" s="271">
        <f ca="1">(MAX(0,F383-0.003)*0.9*((Q382)*(1/12)))*IF(OR(C383&gt;ÉV!$I$2,AND(C383=ÉV!$I$2,D383&gt;ÉV!$J$2)),0,1)</f>
        <v>0</v>
      </c>
      <c r="U383" s="271">
        <f ca="1">IF($D383=1,R383,R383+U382)*IF(OR(C383&gt;ÉV!$I$2,AND(C383=ÉV!$I$2,D383&gt;ÉV!$J$2)),0,1)</f>
        <v>0</v>
      </c>
      <c r="V383" s="271">
        <f ca="1">IF($D383=1,S383,S383+V382)*IF(OR(C383&gt;ÉV!$I$2,AND(C383=ÉV!$I$2,D383&gt;ÉV!$J$2)),0,1)</f>
        <v>0</v>
      </c>
      <c r="W383" s="271">
        <f ca="1">IF($D383=1,T383,T383+W382)*IF(OR(C383&gt;ÉV!$I$2,AND(C383=ÉV!$I$2,D383&gt;ÉV!$J$2)),0,1)</f>
        <v>0</v>
      </c>
      <c r="X383" s="271">
        <f ca="1">IF(OR(D383=12,AND(C383=ÉV!$I$2,D383=ÉV!$J$2)),SUM(U383:W383)+X382,X382)*IF(OR(C383&gt;ÉV!$I$2,AND(C383=ÉV!$I$2,D383&gt;ÉV!$J$2)),0,1)</f>
        <v>0</v>
      </c>
      <c r="Y383" s="271">
        <f t="shared" ca="1" si="57"/>
        <v>0</v>
      </c>
      <c r="Z383" s="265">
        <f t="shared" si="58"/>
        <v>9</v>
      </c>
      <c r="AA383" s="272">
        <f t="shared" ca="1" si="59"/>
        <v>0</v>
      </c>
      <c r="AB383" s="265">
        <f t="shared" ca="1" si="65"/>
        <v>2048</v>
      </c>
      <c r="AC383" s="265">
        <f t="shared" ca="1" si="66"/>
        <v>12</v>
      </c>
      <c r="AD383" s="276">
        <f ca="1">IF(     OR(               AND(MAX(AF$6:AF383)&lt;2,  AC383=12),                 AF383=2),                   SUMIF(AB:AB,AB383,AA:AA),                       0)</f>
        <v>0</v>
      </c>
      <c r="AE383" s="277">
        <f t="shared" ca="1" si="67"/>
        <v>0</v>
      </c>
      <c r="AF383" s="277">
        <f t="shared" ca="1" si="60"/>
        <v>0</v>
      </c>
      <c r="AG383" s="402">
        <f ca="1">IF(  AND(AC383=AdóHó,   MAX(AF$1:AF382)&lt;2),   SUMIF(AB:AB,AB383-1,AE:AE),0  )
+ IF(AND(AC383&lt;AdóHó,                            AF383=2),   SUMIF(AB:AB,AB383-1,AE:AE),0  )
+ IF(                                                                  AF383=2,    SUMIF(AB:AB,AB383,AE:AE   ),0  )</f>
        <v>0</v>
      </c>
      <c r="AH383" s="272">
        <f ca="1">SUM(AG$2:AG383)</f>
        <v>1139324.2410681627</v>
      </c>
    </row>
    <row r="384" spans="1:34">
      <c r="A384" s="265">
        <f t="shared" si="61"/>
        <v>32</v>
      </c>
      <c r="B384" s="265">
        <f t="shared" si="62"/>
        <v>10</v>
      </c>
      <c r="C384" s="265">
        <f t="shared" ca="1" si="63"/>
        <v>33</v>
      </c>
      <c r="D384" s="265">
        <f t="shared" ca="1" si="64"/>
        <v>1</v>
      </c>
      <c r="E384" s="266">
        <v>5.0000000000000001E-3</v>
      </c>
      <c r="F384" s="267">
        <f>ÉV!$B$12</f>
        <v>0</v>
      </c>
      <c r="G384" s="271">
        <f ca="1">VLOOKUP(A384,ÉV!$A$18:$B$65,2,0)</f>
        <v>0</v>
      </c>
      <c r="H384" s="271">
        <f ca="1">IF(OR(A384=1,AND(C384=ÉV!$I$2,D384&gt;ÉV!$J$2),C384&gt;ÉV!$I$2),0,INDEX(Pz!$B$2:$AM$48,A384-1,ÉV!$G$2-9)/100000*ÉV!$B$10)</f>
        <v>0</v>
      </c>
      <c r="I384" s="271">
        <f ca="1">INDEX(Pz!$B$2:$AM$48,HÓ!A384,ÉV!$G$2-9)/100000*ÉV!$B$10</f>
        <v>0</v>
      </c>
      <c r="J384" s="273">
        <f ca="1">IF(OR(A384=1,A384=2,AND(C384=ÉV!$I$2,D384&gt;ÉV!$J$2),C384&gt;ÉV!$I$2),0,VLOOKUP(A384-2,ÉV!$A$18:$C$65,3,0))</f>
        <v>0</v>
      </c>
      <c r="K384" s="273">
        <f ca="1">IF(OR(A384=1,AND(C384=ÉV!$I$2,D384&gt;ÉV!$J$2),C384&gt;ÉV!$I$2),0,VLOOKUP(A384-1,ÉV!$A$18:$C$65,3,0))</f>
        <v>0</v>
      </c>
      <c r="L384" s="273">
        <f ca="1">VLOOKUP(A384,ÉV!$A$18:$C$65,3,0)*IF(OR(AND(C384=ÉV!$I$2,D384&gt;ÉV!$J$2),C384&gt;ÉV!$I$2),0,1)</f>
        <v>0</v>
      </c>
      <c r="M384" s="273">
        <f ca="1">(K384*(12-B384)/12+L384*B384/12)*IF(A384&gt;ÉV!$G$2,0,1)+IF(A384&gt;ÉV!$G$2,M383,0)*IF(OR(AND(C384=ÉV!$I$2,D384&gt;ÉV!$J$2),C384&gt;ÉV!$I$2),0,1)</f>
        <v>0</v>
      </c>
      <c r="N384" s="274">
        <f ca="1">IF(AND(C384=1,D384&lt;12),0,1)*IF(D384=12,MAX(0,F384-E384-0.003)*0.9*((K384+I384)*(B384/12)+(J384+H384)*(1-B384/12))+MAX(0,F384-0.003)*0.9*N383+N383,IF(AND(C384=ÉV!$I$2,D384=ÉV!$J$2),(M384+N383)*MAX(0,F384-0.003)*0.9*(D384/12)+N383,N383))*IF(OR(C384&gt;ÉV!$I$2,AND(C384=ÉV!$I$2,D384&gt;ÉV!$J$2)),0,1)</f>
        <v>0</v>
      </c>
      <c r="O384" s="313">
        <f ca="1">IF(MAX(AF$2:AF383)=2,      0,IF(OR(AC384=7, AF384=2),    SUM(AE$2:AE384),    O383)   )</f>
        <v>0</v>
      </c>
      <c r="P384" s="271">
        <f ca="1">IF(D384=12,V384+P383+P383*(F384-0.003)*0.9,IF(AND(C384=ÉV!$I$2,D384=ÉV!$J$2),V384+P383+P383*(F384-0.003)*0.9*D384/12,P383))*IF(OR(C384&gt;ÉV!$I$2,AND(C384=ÉV!$I$2,D384&gt;ÉV!$J$2)),0,1)</f>
        <v>0</v>
      </c>
      <c r="Q384" s="275">
        <f ca="1">(N384+P384)*IF(OR(AND(C384=ÉV!$I$2,D384&gt;ÉV!$J$2),C384&gt;ÉV!$I$2),0,1)</f>
        <v>0</v>
      </c>
      <c r="R384" s="271">
        <f ca="1">(MAX(0,F384-E384-0.003)*0.9*((K384+I384)*(1/12)))*IF(OR(C384&gt;ÉV!$I$2,AND(C384=ÉV!$I$2,D384&gt;ÉV!$J$2)),0,1)</f>
        <v>0</v>
      </c>
      <c r="S384" s="271">
        <f ca="1">(MAX(0,F384-0.003)*0.9*((O384)*(1/12)))*IF(OR(C384&gt;ÉV!$I$2,AND(C384=ÉV!$I$2,D384&gt;ÉV!$J$2)),0,1)</f>
        <v>0</v>
      </c>
      <c r="T384" s="271">
        <f ca="1">(MAX(0,F384-0.003)*0.9*((Q383)*(1/12)))*IF(OR(C384&gt;ÉV!$I$2,AND(C384=ÉV!$I$2,D384&gt;ÉV!$J$2)),0,1)</f>
        <v>0</v>
      </c>
      <c r="U384" s="271">
        <f ca="1">IF($D384=1,R384,R384+U383)*IF(OR(C384&gt;ÉV!$I$2,AND(C384=ÉV!$I$2,D384&gt;ÉV!$J$2)),0,1)</f>
        <v>0</v>
      </c>
      <c r="V384" s="271">
        <f ca="1">IF($D384=1,S384,S384+V383)*IF(OR(C384&gt;ÉV!$I$2,AND(C384=ÉV!$I$2,D384&gt;ÉV!$J$2)),0,1)</f>
        <v>0</v>
      </c>
      <c r="W384" s="271">
        <f ca="1">IF($D384=1,T384,T384+W383)*IF(OR(C384&gt;ÉV!$I$2,AND(C384=ÉV!$I$2,D384&gt;ÉV!$J$2)),0,1)</f>
        <v>0</v>
      </c>
      <c r="X384" s="271">
        <f ca="1">IF(OR(D384=12,AND(C384=ÉV!$I$2,D384=ÉV!$J$2)),SUM(U384:W384)+X383,X383)*IF(OR(C384&gt;ÉV!$I$2,AND(C384=ÉV!$I$2,D384&gt;ÉV!$J$2)),0,1)</f>
        <v>0</v>
      </c>
      <c r="Y384" s="271">
        <f t="shared" ca="1" si="57"/>
        <v>0</v>
      </c>
      <c r="Z384" s="265">
        <f t="shared" si="58"/>
        <v>10</v>
      </c>
      <c r="AA384" s="272">
        <f t="shared" ca="1" si="59"/>
        <v>0</v>
      </c>
      <c r="AB384" s="265">
        <f t="shared" ca="1" si="65"/>
        <v>2049</v>
      </c>
      <c r="AC384" s="265">
        <f t="shared" ca="1" si="66"/>
        <v>1</v>
      </c>
      <c r="AD384" s="276">
        <f ca="1">IF(     OR(               AND(MAX(AF$6:AF384)&lt;2,  AC384=12),                 AF384=2),                   SUMIF(AB:AB,AB384,AA:AA),                       0)</f>
        <v>0</v>
      </c>
      <c r="AE384" s="277">
        <f t="shared" ca="1" si="67"/>
        <v>0</v>
      </c>
      <c r="AF384" s="277">
        <f t="shared" ca="1" si="60"/>
        <v>0</v>
      </c>
      <c r="AG384" s="402">
        <f ca="1">IF(  AND(AC384=AdóHó,   MAX(AF$1:AF383)&lt;2),   SUMIF(AB:AB,AB384-1,AE:AE),0  )
+ IF(AND(AC384&lt;AdóHó,                            AF384=2),   SUMIF(AB:AB,AB384-1,AE:AE),0  )
+ IF(                                                                  AF384=2,    SUMIF(AB:AB,AB384,AE:AE   ),0  )</f>
        <v>0</v>
      </c>
      <c r="AH384" s="272">
        <f ca="1">SUM(AG$2:AG384)</f>
        <v>1139324.2410681627</v>
      </c>
    </row>
    <row r="385" spans="1:34">
      <c r="A385" s="265">
        <f t="shared" si="61"/>
        <v>32</v>
      </c>
      <c r="B385" s="265">
        <f t="shared" si="62"/>
        <v>11</v>
      </c>
      <c r="C385" s="265">
        <f t="shared" ca="1" si="63"/>
        <v>33</v>
      </c>
      <c r="D385" s="265">
        <f t="shared" ca="1" si="64"/>
        <v>2</v>
      </c>
      <c r="E385" s="266">
        <v>5.0000000000000001E-3</v>
      </c>
      <c r="F385" s="267">
        <f>ÉV!$B$12</f>
        <v>0</v>
      </c>
      <c r="G385" s="271">
        <f ca="1">VLOOKUP(A385,ÉV!$A$18:$B$65,2,0)</f>
        <v>0</v>
      </c>
      <c r="H385" s="271">
        <f ca="1">IF(OR(A385=1,AND(C385=ÉV!$I$2,D385&gt;ÉV!$J$2),C385&gt;ÉV!$I$2),0,INDEX(Pz!$B$2:$AM$48,A385-1,ÉV!$G$2-9)/100000*ÉV!$B$10)</f>
        <v>0</v>
      </c>
      <c r="I385" s="271">
        <f ca="1">INDEX(Pz!$B$2:$AM$48,HÓ!A385,ÉV!$G$2-9)/100000*ÉV!$B$10</f>
        <v>0</v>
      </c>
      <c r="J385" s="273">
        <f ca="1">IF(OR(A385=1,A385=2,AND(C385=ÉV!$I$2,D385&gt;ÉV!$J$2),C385&gt;ÉV!$I$2),0,VLOOKUP(A385-2,ÉV!$A$18:$C$65,3,0))</f>
        <v>0</v>
      </c>
      <c r="K385" s="273">
        <f ca="1">IF(OR(A385=1,AND(C385=ÉV!$I$2,D385&gt;ÉV!$J$2),C385&gt;ÉV!$I$2),0,VLOOKUP(A385-1,ÉV!$A$18:$C$65,3,0))</f>
        <v>0</v>
      </c>
      <c r="L385" s="273">
        <f ca="1">VLOOKUP(A385,ÉV!$A$18:$C$65,3,0)*IF(OR(AND(C385=ÉV!$I$2,D385&gt;ÉV!$J$2),C385&gt;ÉV!$I$2),0,1)</f>
        <v>0</v>
      </c>
      <c r="M385" s="273">
        <f ca="1">(K385*(12-B385)/12+L385*B385/12)*IF(A385&gt;ÉV!$G$2,0,1)+IF(A385&gt;ÉV!$G$2,M384,0)*IF(OR(AND(C385=ÉV!$I$2,D385&gt;ÉV!$J$2),C385&gt;ÉV!$I$2),0,1)</f>
        <v>0</v>
      </c>
      <c r="N385" s="274">
        <f ca="1">IF(AND(C385=1,D385&lt;12),0,1)*IF(D385=12,MAX(0,F385-E385-0.003)*0.9*((K385+I385)*(B385/12)+(J385+H385)*(1-B385/12))+MAX(0,F385-0.003)*0.9*N384+N384,IF(AND(C385=ÉV!$I$2,D385=ÉV!$J$2),(M385+N384)*MAX(0,F385-0.003)*0.9*(D385/12)+N384,N384))*IF(OR(C385&gt;ÉV!$I$2,AND(C385=ÉV!$I$2,D385&gt;ÉV!$J$2)),0,1)</f>
        <v>0</v>
      </c>
      <c r="O385" s="313">
        <f ca="1">IF(MAX(AF$2:AF384)=2,      0,IF(OR(AC385=7, AF385=2),    SUM(AE$2:AE385),    O384)   )</f>
        <v>0</v>
      </c>
      <c r="P385" s="271">
        <f ca="1">IF(D385=12,V385+P384+P384*(F385-0.003)*0.9,IF(AND(C385=ÉV!$I$2,D385=ÉV!$J$2),V385+P384+P384*(F385-0.003)*0.9*D385/12,P384))*IF(OR(C385&gt;ÉV!$I$2,AND(C385=ÉV!$I$2,D385&gt;ÉV!$J$2)),0,1)</f>
        <v>0</v>
      </c>
      <c r="Q385" s="275">
        <f ca="1">(N385+P385)*IF(OR(AND(C385=ÉV!$I$2,D385&gt;ÉV!$J$2),C385&gt;ÉV!$I$2),0,1)</f>
        <v>0</v>
      </c>
      <c r="R385" s="271">
        <f ca="1">(MAX(0,F385-E385-0.003)*0.9*((K385+I385)*(1/12)))*IF(OR(C385&gt;ÉV!$I$2,AND(C385=ÉV!$I$2,D385&gt;ÉV!$J$2)),0,1)</f>
        <v>0</v>
      </c>
      <c r="S385" s="271">
        <f ca="1">(MAX(0,F385-0.003)*0.9*((O385)*(1/12)))*IF(OR(C385&gt;ÉV!$I$2,AND(C385=ÉV!$I$2,D385&gt;ÉV!$J$2)),0,1)</f>
        <v>0</v>
      </c>
      <c r="T385" s="271">
        <f ca="1">(MAX(0,F385-0.003)*0.9*((Q384)*(1/12)))*IF(OR(C385&gt;ÉV!$I$2,AND(C385=ÉV!$I$2,D385&gt;ÉV!$J$2)),0,1)</f>
        <v>0</v>
      </c>
      <c r="U385" s="271">
        <f ca="1">IF($D385=1,R385,R385+U384)*IF(OR(C385&gt;ÉV!$I$2,AND(C385=ÉV!$I$2,D385&gt;ÉV!$J$2)),0,1)</f>
        <v>0</v>
      </c>
      <c r="V385" s="271">
        <f ca="1">IF($D385=1,S385,S385+V384)*IF(OR(C385&gt;ÉV!$I$2,AND(C385=ÉV!$I$2,D385&gt;ÉV!$J$2)),0,1)</f>
        <v>0</v>
      </c>
      <c r="W385" s="271">
        <f ca="1">IF($D385=1,T385,T385+W384)*IF(OR(C385&gt;ÉV!$I$2,AND(C385=ÉV!$I$2,D385&gt;ÉV!$J$2)),0,1)</f>
        <v>0</v>
      </c>
      <c r="X385" s="271">
        <f ca="1">IF(OR(D385=12,AND(C385=ÉV!$I$2,D385=ÉV!$J$2)),SUM(U385:W385)+X384,X384)*IF(OR(C385&gt;ÉV!$I$2,AND(C385=ÉV!$I$2,D385&gt;ÉV!$J$2)),0,1)</f>
        <v>0</v>
      </c>
      <c r="Y385" s="271">
        <f t="shared" ca="1" si="57"/>
        <v>0</v>
      </c>
      <c r="Z385" s="265">
        <f t="shared" si="58"/>
        <v>11</v>
      </c>
      <c r="AA385" s="272">
        <f t="shared" ca="1" si="59"/>
        <v>0</v>
      </c>
      <c r="AB385" s="265">
        <f t="shared" ca="1" si="65"/>
        <v>2049</v>
      </c>
      <c r="AC385" s="265">
        <f t="shared" ca="1" si="66"/>
        <v>2</v>
      </c>
      <c r="AD385" s="276">
        <f ca="1">IF(     OR(               AND(MAX(AF$6:AF385)&lt;2,  AC385=12),                 AF385=2),                   SUMIF(AB:AB,AB385,AA:AA),                       0)</f>
        <v>0</v>
      </c>
      <c r="AE385" s="277">
        <f t="shared" ca="1" si="67"/>
        <v>0</v>
      </c>
      <c r="AF385" s="277">
        <f t="shared" ca="1" si="60"/>
        <v>0</v>
      </c>
      <c r="AG385" s="402">
        <f ca="1">IF(  AND(AC385=AdóHó,   MAX(AF$1:AF384)&lt;2),   SUMIF(AB:AB,AB385-1,AE:AE),0  )
+ IF(AND(AC385&lt;AdóHó,                            AF385=2),   SUMIF(AB:AB,AB385-1,AE:AE),0  )
+ IF(                                                                  AF385=2,    SUMIF(AB:AB,AB385,AE:AE   ),0  )</f>
        <v>0</v>
      </c>
      <c r="AH385" s="272">
        <f ca="1">SUM(AG$2:AG385)</f>
        <v>1139324.2410681627</v>
      </c>
    </row>
    <row r="386" spans="1:34">
      <c r="A386" s="265">
        <f t="shared" si="61"/>
        <v>32</v>
      </c>
      <c r="B386" s="265">
        <f t="shared" si="62"/>
        <v>12</v>
      </c>
      <c r="C386" s="265">
        <f t="shared" ca="1" si="63"/>
        <v>33</v>
      </c>
      <c r="D386" s="265">
        <f t="shared" ca="1" si="64"/>
        <v>3</v>
      </c>
      <c r="E386" s="266">
        <v>5.0000000000000001E-3</v>
      </c>
      <c r="F386" s="267">
        <f>ÉV!$B$12</f>
        <v>0</v>
      </c>
      <c r="G386" s="271">
        <f ca="1">VLOOKUP(A386,ÉV!$A$18:$B$65,2,0)</f>
        <v>0</v>
      </c>
      <c r="H386" s="271">
        <f ca="1">IF(OR(A386=1,AND(C386=ÉV!$I$2,D386&gt;ÉV!$J$2),C386&gt;ÉV!$I$2),0,INDEX(Pz!$B$2:$AM$48,A386-1,ÉV!$G$2-9)/100000*ÉV!$B$10)</f>
        <v>0</v>
      </c>
      <c r="I386" s="271">
        <f ca="1">INDEX(Pz!$B$2:$AM$48,HÓ!A386,ÉV!$G$2-9)/100000*ÉV!$B$10</f>
        <v>0</v>
      </c>
      <c r="J386" s="273">
        <f ca="1">IF(OR(A386=1,A386=2,AND(C386=ÉV!$I$2,D386&gt;ÉV!$J$2),C386&gt;ÉV!$I$2),0,VLOOKUP(A386-2,ÉV!$A$18:$C$65,3,0))</f>
        <v>0</v>
      </c>
      <c r="K386" s="273">
        <f ca="1">IF(OR(A386=1,AND(C386=ÉV!$I$2,D386&gt;ÉV!$J$2),C386&gt;ÉV!$I$2),0,VLOOKUP(A386-1,ÉV!$A$18:$C$65,3,0))</f>
        <v>0</v>
      </c>
      <c r="L386" s="273">
        <f ca="1">VLOOKUP(A386,ÉV!$A$18:$C$65,3,0)*IF(OR(AND(C386=ÉV!$I$2,D386&gt;ÉV!$J$2),C386&gt;ÉV!$I$2),0,1)</f>
        <v>0</v>
      </c>
      <c r="M386" s="273">
        <f ca="1">(K386*(12-B386)/12+L386*B386/12)*IF(A386&gt;ÉV!$G$2,0,1)+IF(A386&gt;ÉV!$G$2,M385,0)*IF(OR(AND(C386=ÉV!$I$2,D386&gt;ÉV!$J$2),C386&gt;ÉV!$I$2),0,1)</f>
        <v>0</v>
      </c>
      <c r="N386" s="274">
        <f ca="1">IF(AND(C386=1,D386&lt;12),0,1)*IF(D386=12,MAX(0,F386-E386-0.003)*0.9*((K386+I386)*(B386/12)+(J386+H386)*(1-B386/12))+MAX(0,F386-0.003)*0.9*N385+N385,IF(AND(C386=ÉV!$I$2,D386=ÉV!$J$2),(M386+N385)*MAX(0,F386-0.003)*0.9*(D386/12)+N385,N385))*IF(OR(C386&gt;ÉV!$I$2,AND(C386=ÉV!$I$2,D386&gt;ÉV!$J$2)),0,1)</f>
        <v>0</v>
      </c>
      <c r="O386" s="313">
        <f ca="1">IF(MAX(AF$2:AF385)=2,      0,IF(OR(AC386=7, AF386=2),    SUM(AE$2:AE386),    O385)   )</f>
        <v>0</v>
      </c>
      <c r="P386" s="271">
        <f ca="1">IF(D386=12,V386+P385+P385*(F386-0.003)*0.9,IF(AND(C386=ÉV!$I$2,D386=ÉV!$J$2),V386+P385+P385*(F386-0.003)*0.9*D386/12,P385))*IF(OR(C386&gt;ÉV!$I$2,AND(C386=ÉV!$I$2,D386&gt;ÉV!$J$2)),0,1)</f>
        <v>0</v>
      </c>
      <c r="Q386" s="275">
        <f ca="1">(N386+P386)*IF(OR(AND(C386=ÉV!$I$2,D386&gt;ÉV!$J$2),C386&gt;ÉV!$I$2),0,1)</f>
        <v>0</v>
      </c>
      <c r="R386" s="271">
        <f ca="1">(MAX(0,F386-E386-0.003)*0.9*((K386+I386)*(1/12)))*IF(OR(C386&gt;ÉV!$I$2,AND(C386=ÉV!$I$2,D386&gt;ÉV!$J$2)),0,1)</f>
        <v>0</v>
      </c>
      <c r="S386" s="271">
        <f ca="1">(MAX(0,F386-0.003)*0.9*((O386)*(1/12)))*IF(OR(C386&gt;ÉV!$I$2,AND(C386=ÉV!$I$2,D386&gt;ÉV!$J$2)),0,1)</f>
        <v>0</v>
      </c>
      <c r="T386" s="271">
        <f ca="1">(MAX(0,F386-0.003)*0.9*((Q385)*(1/12)))*IF(OR(C386&gt;ÉV!$I$2,AND(C386=ÉV!$I$2,D386&gt;ÉV!$J$2)),0,1)</f>
        <v>0</v>
      </c>
      <c r="U386" s="271">
        <f ca="1">IF($D386=1,R386,R386+U385)*IF(OR(C386&gt;ÉV!$I$2,AND(C386=ÉV!$I$2,D386&gt;ÉV!$J$2)),0,1)</f>
        <v>0</v>
      </c>
      <c r="V386" s="271">
        <f ca="1">IF($D386=1,S386,S386+V385)*IF(OR(C386&gt;ÉV!$I$2,AND(C386=ÉV!$I$2,D386&gt;ÉV!$J$2)),0,1)</f>
        <v>0</v>
      </c>
      <c r="W386" s="271">
        <f ca="1">IF($D386=1,T386,T386+W385)*IF(OR(C386&gt;ÉV!$I$2,AND(C386=ÉV!$I$2,D386&gt;ÉV!$J$2)),0,1)</f>
        <v>0</v>
      </c>
      <c r="X386" s="271">
        <f ca="1">IF(OR(D386=12,AND(C386=ÉV!$I$2,D386=ÉV!$J$2)),SUM(U386:W386)+X385,X385)*IF(OR(C386&gt;ÉV!$I$2,AND(C386=ÉV!$I$2,D386&gt;ÉV!$J$2)),0,1)</f>
        <v>0</v>
      </c>
      <c r="Y386" s="271">
        <f t="shared" ca="1" si="57"/>
        <v>0</v>
      </c>
      <c r="Z386" s="265">
        <f t="shared" si="58"/>
        <v>12</v>
      </c>
      <c r="AA386" s="272">
        <f t="shared" ca="1" si="59"/>
        <v>0</v>
      </c>
      <c r="AB386" s="265">
        <f t="shared" ca="1" si="65"/>
        <v>2049</v>
      </c>
      <c r="AC386" s="265">
        <f t="shared" ca="1" si="66"/>
        <v>3</v>
      </c>
      <c r="AD386" s="276">
        <f ca="1">IF(     OR(               AND(MAX(AF$6:AF386)&lt;2,  AC386=12),                 AF386=2),                   SUMIF(AB:AB,AB386,AA:AA),                       0)</f>
        <v>0</v>
      </c>
      <c r="AE386" s="277">
        <f t="shared" ca="1" si="67"/>
        <v>0</v>
      </c>
      <c r="AF386" s="277">
        <f t="shared" ca="1" si="60"/>
        <v>0</v>
      </c>
      <c r="AG386" s="402">
        <f ca="1">IF(  AND(AC386=AdóHó,   MAX(AF$1:AF385)&lt;2),   SUMIF(AB:AB,AB386-1,AE:AE),0  )
+ IF(AND(AC386&lt;AdóHó,                            AF386=2),   SUMIF(AB:AB,AB386-1,AE:AE),0  )
+ IF(                                                                  AF386=2,    SUMIF(AB:AB,AB386,AE:AE   ),0  )</f>
        <v>0</v>
      </c>
      <c r="AH386" s="272">
        <f ca="1">SUM(AG$2:AG386)</f>
        <v>1139324.2410681627</v>
      </c>
    </row>
    <row r="387" spans="1:34">
      <c r="A387" s="265">
        <f t="shared" si="61"/>
        <v>33</v>
      </c>
      <c r="B387" s="265">
        <f t="shared" si="62"/>
        <v>1</v>
      </c>
      <c r="C387" s="265">
        <f t="shared" ca="1" si="63"/>
        <v>33</v>
      </c>
      <c r="D387" s="265">
        <f t="shared" ca="1" si="64"/>
        <v>4</v>
      </c>
      <c r="E387" s="266">
        <v>5.0000000000000001E-3</v>
      </c>
      <c r="F387" s="267">
        <f>ÉV!$B$12</f>
        <v>0</v>
      </c>
      <c r="G387" s="271">
        <f ca="1">VLOOKUP(A387,ÉV!$A$18:$B$65,2,0)</f>
        <v>0</v>
      </c>
      <c r="H387" s="271">
        <f ca="1">IF(OR(A387=1,AND(C387=ÉV!$I$2,D387&gt;ÉV!$J$2),C387&gt;ÉV!$I$2),0,INDEX(Pz!$B$2:$AM$48,A387-1,ÉV!$G$2-9)/100000*ÉV!$B$10)</f>
        <v>0</v>
      </c>
      <c r="I387" s="271">
        <f ca="1">INDEX(Pz!$B$2:$AM$48,HÓ!A387,ÉV!$G$2-9)/100000*ÉV!$B$10</f>
        <v>0</v>
      </c>
      <c r="J387" s="273">
        <f ca="1">IF(OR(A387=1,A387=2,AND(C387=ÉV!$I$2,D387&gt;ÉV!$J$2),C387&gt;ÉV!$I$2),0,VLOOKUP(A387-2,ÉV!$A$18:$C$65,3,0))</f>
        <v>0</v>
      </c>
      <c r="K387" s="273">
        <f ca="1">IF(OR(A387=1,AND(C387=ÉV!$I$2,D387&gt;ÉV!$J$2),C387&gt;ÉV!$I$2),0,VLOOKUP(A387-1,ÉV!$A$18:$C$65,3,0))</f>
        <v>0</v>
      </c>
      <c r="L387" s="273">
        <f ca="1">VLOOKUP(A387,ÉV!$A$18:$C$65,3,0)*IF(OR(AND(C387=ÉV!$I$2,D387&gt;ÉV!$J$2),C387&gt;ÉV!$I$2),0,1)</f>
        <v>0</v>
      </c>
      <c r="M387" s="273">
        <f ca="1">(K387*(12-B387)/12+L387*B387/12)*IF(A387&gt;ÉV!$G$2,0,1)+IF(A387&gt;ÉV!$G$2,M386,0)*IF(OR(AND(C387=ÉV!$I$2,D387&gt;ÉV!$J$2),C387&gt;ÉV!$I$2),0,1)</f>
        <v>0</v>
      </c>
      <c r="N387" s="274">
        <f ca="1">IF(AND(C387=1,D387&lt;12),0,1)*IF(D387=12,MAX(0,F387-E387-0.003)*0.9*((K387+I387)*(B387/12)+(J387+H387)*(1-B387/12))+MAX(0,F387-0.003)*0.9*N386+N386,IF(AND(C387=ÉV!$I$2,D387=ÉV!$J$2),(M387+N386)*MAX(0,F387-0.003)*0.9*(D387/12)+N386,N386))*IF(OR(C387&gt;ÉV!$I$2,AND(C387=ÉV!$I$2,D387&gt;ÉV!$J$2)),0,1)</f>
        <v>0</v>
      </c>
      <c r="O387" s="313">
        <f ca="1">IF(MAX(AF$2:AF386)=2,      0,IF(OR(AC387=7, AF387=2),    SUM(AE$2:AE387),    O386)   )</f>
        <v>0</v>
      </c>
      <c r="P387" s="271">
        <f ca="1">IF(D387=12,V387+P386+P386*(F387-0.003)*0.9,IF(AND(C387=ÉV!$I$2,D387=ÉV!$J$2),V387+P386+P386*(F387-0.003)*0.9*D387/12,P386))*IF(OR(C387&gt;ÉV!$I$2,AND(C387=ÉV!$I$2,D387&gt;ÉV!$J$2)),0,1)</f>
        <v>0</v>
      </c>
      <c r="Q387" s="275">
        <f ca="1">(N387+P387)*IF(OR(AND(C387=ÉV!$I$2,D387&gt;ÉV!$J$2),C387&gt;ÉV!$I$2),0,1)</f>
        <v>0</v>
      </c>
      <c r="R387" s="271">
        <f ca="1">(MAX(0,F387-E387-0.003)*0.9*((K387+I387)*(1/12)))*IF(OR(C387&gt;ÉV!$I$2,AND(C387=ÉV!$I$2,D387&gt;ÉV!$J$2)),0,1)</f>
        <v>0</v>
      </c>
      <c r="S387" s="271">
        <f ca="1">(MAX(0,F387-0.003)*0.9*((O387)*(1/12)))*IF(OR(C387&gt;ÉV!$I$2,AND(C387=ÉV!$I$2,D387&gt;ÉV!$J$2)),0,1)</f>
        <v>0</v>
      </c>
      <c r="T387" s="271">
        <f ca="1">(MAX(0,F387-0.003)*0.9*((Q386)*(1/12)))*IF(OR(C387&gt;ÉV!$I$2,AND(C387=ÉV!$I$2,D387&gt;ÉV!$J$2)),0,1)</f>
        <v>0</v>
      </c>
      <c r="U387" s="271">
        <f ca="1">IF($D387=1,R387,R387+U386)*IF(OR(C387&gt;ÉV!$I$2,AND(C387=ÉV!$I$2,D387&gt;ÉV!$J$2)),0,1)</f>
        <v>0</v>
      </c>
      <c r="V387" s="271">
        <f ca="1">IF($D387=1,S387,S387+V386)*IF(OR(C387&gt;ÉV!$I$2,AND(C387=ÉV!$I$2,D387&gt;ÉV!$J$2)),0,1)</f>
        <v>0</v>
      </c>
      <c r="W387" s="271">
        <f ca="1">IF($D387=1,T387,T387+W386)*IF(OR(C387&gt;ÉV!$I$2,AND(C387=ÉV!$I$2,D387&gt;ÉV!$J$2)),0,1)</f>
        <v>0</v>
      </c>
      <c r="X387" s="271">
        <f ca="1">IF(OR(D387=12,AND(C387=ÉV!$I$2,D387=ÉV!$J$2)),SUM(U387:W387)+X386,X386)*IF(OR(C387&gt;ÉV!$I$2,AND(C387=ÉV!$I$2,D387&gt;ÉV!$J$2)),0,1)</f>
        <v>0</v>
      </c>
      <c r="Y387" s="271">
        <f t="shared" ref="Y387:Y450" ca="1" si="68">X387-Q387</f>
        <v>0</v>
      </c>
      <c r="Z387" s="265">
        <f t="shared" ref="Z387:Z450" si="69">B387</f>
        <v>1</v>
      </c>
      <c r="AA387" s="272">
        <f t="shared" ref="AA387:AA450" ca="1" si="70">IF(OR(FizGyakNr=12, MOD(B387,12/FizGyakNr)=1),  1,0)    *      G387/FizGyakNr</f>
        <v>0</v>
      </c>
      <c r="AB387" s="265">
        <f t="shared" ca="1" si="65"/>
        <v>2049</v>
      </c>
      <c r="AC387" s="265">
        <f t="shared" ca="1" si="66"/>
        <v>4</v>
      </c>
      <c r="AD387" s="276">
        <f ca="1">IF(     OR(               AND(MAX(AF$6:AF387)&lt;2,  AC387=12),                 AF387=2),                   SUMIF(AB:AB,AB387,AA:AA),                       0)</f>
        <v>0</v>
      </c>
      <c r="AE387" s="277">
        <f t="shared" ca="1" si="67"/>
        <v>0</v>
      </c>
      <c r="AF387" s="277">
        <f t="shared" ref="AF387:AF450" ca="1" si="71" xml:space="preserve"> IF(DATE(AB387,AC387,1)=DATE(YEAR(LejáratNyug),MONTH(LejáratNyug),1),     2,   IF(AND(A387=TartamDíjfiz,B387=12),     1,   0)  )</f>
        <v>0</v>
      </c>
      <c r="AG387" s="402">
        <f ca="1">IF(  AND(AC387=AdóHó,   MAX(AF$1:AF386)&lt;2),   SUMIF(AB:AB,AB387-1,AE:AE),0  )
+ IF(AND(AC387&lt;AdóHó,                            AF387=2),   SUMIF(AB:AB,AB387-1,AE:AE),0  )
+ IF(                                                                  AF387=2,    SUMIF(AB:AB,AB387,AE:AE   ),0  )</f>
        <v>0</v>
      </c>
      <c r="AH387" s="272">
        <f ca="1">SUM(AG$2:AG387)</f>
        <v>1139324.2410681627</v>
      </c>
    </row>
    <row r="388" spans="1:34">
      <c r="A388" s="265">
        <f t="shared" si="61"/>
        <v>33</v>
      </c>
      <c r="B388" s="265">
        <f t="shared" si="62"/>
        <v>2</v>
      </c>
      <c r="C388" s="265">
        <f t="shared" ca="1" si="63"/>
        <v>33</v>
      </c>
      <c r="D388" s="265">
        <f t="shared" ca="1" si="64"/>
        <v>5</v>
      </c>
      <c r="E388" s="266">
        <v>5.0000000000000001E-3</v>
      </c>
      <c r="F388" s="267">
        <f>ÉV!$B$12</f>
        <v>0</v>
      </c>
      <c r="G388" s="271">
        <f ca="1">VLOOKUP(A388,ÉV!$A$18:$B$65,2,0)</f>
        <v>0</v>
      </c>
      <c r="H388" s="271">
        <f ca="1">IF(OR(A388=1,AND(C388=ÉV!$I$2,D388&gt;ÉV!$J$2),C388&gt;ÉV!$I$2),0,INDEX(Pz!$B$2:$AM$48,A388-1,ÉV!$G$2-9)/100000*ÉV!$B$10)</f>
        <v>0</v>
      </c>
      <c r="I388" s="271">
        <f ca="1">INDEX(Pz!$B$2:$AM$48,HÓ!A388,ÉV!$G$2-9)/100000*ÉV!$B$10</f>
        <v>0</v>
      </c>
      <c r="J388" s="273">
        <f ca="1">IF(OR(A388=1,A388=2,AND(C388=ÉV!$I$2,D388&gt;ÉV!$J$2),C388&gt;ÉV!$I$2),0,VLOOKUP(A388-2,ÉV!$A$18:$C$65,3,0))</f>
        <v>0</v>
      </c>
      <c r="K388" s="273">
        <f ca="1">IF(OR(A388=1,AND(C388=ÉV!$I$2,D388&gt;ÉV!$J$2),C388&gt;ÉV!$I$2),0,VLOOKUP(A388-1,ÉV!$A$18:$C$65,3,0))</f>
        <v>0</v>
      </c>
      <c r="L388" s="273">
        <f ca="1">VLOOKUP(A388,ÉV!$A$18:$C$65,3,0)*IF(OR(AND(C388=ÉV!$I$2,D388&gt;ÉV!$J$2),C388&gt;ÉV!$I$2),0,1)</f>
        <v>0</v>
      </c>
      <c r="M388" s="273">
        <f ca="1">(K388*(12-B388)/12+L388*B388/12)*IF(A388&gt;ÉV!$G$2,0,1)+IF(A388&gt;ÉV!$G$2,M387,0)*IF(OR(AND(C388=ÉV!$I$2,D388&gt;ÉV!$J$2),C388&gt;ÉV!$I$2),0,1)</f>
        <v>0</v>
      </c>
      <c r="N388" s="274">
        <f ca="1">IF(AND(C388=1,D388&lt;12),0,1)*IF(D388=12,MAX(0,F388-E388-0.003)*0.9*((K388+I388)*(B388/12)+(J388+H388)*(1-B388/12))+MAX(0,F388-0.003)*0.9*N387+N387,IF(AND(C388=ÉV!$I$2,D388=ÉV!$J$2),(M388+N387)*MAX(0,F388-0.003)*0.9*(D388/12)+N387,N387))*IF(OR(C388&gt;ÉV!$I$2,AND(C388=ÉV!$I$2,D388&gt;ÉV!$J$2)),0,1)</f>
        <v>0</v>
      </c>
      <c r="O388" s="313">
        <f ca="1">IF(MAX(AF$2:AF387)=2,      0,IF(OR(AC388=7, AF388=2),    SUM(AE$2:AE388),    O387)   )</f>
        <v>0</v>
      </c>
      <c r="P388" s="271">
        <f ca="1">IF(D388=12,V388+P387+P387*(F388-0.003)*0.9,IF(AND(C388=ÉV!$I$2,D388=ÉV!$J$2),V388+P387+P387*(F388-0.003)*0.9*D388/12,P387))*IF(OR(C388&gt;ÉV!$I$2,AND(C388=ÉV!$I$2,D388&gt;ÉV!$J$2)),0,1)</f>
        <v>0</v>
      </c>
      <c r="Q388" s="275">
        <f ca="1">(N388+P388)*IF(OR(AND(C388=ÉV!$I$2,D388&gt;ÉV!$J$2),C388&gt;ÉV!$I$2),0,1)</f>
        <v>0</v>
      </c>
      <c r="R388" s="271">
        <f ca="1">(MAX(0,F388-E388-0.003)*0.9*((K388+I388)*(1/12)))*IF(OR(C388&gt;ÉV!$I$2,AND(C388=ÉV!$I$2,D388&gt;ÉV!$J$2)),0,1)</f>
        <v>0</v>
      </c>
      <c r="S388" s="271">
        <f ca="1">(MAX(0,F388-0.003)*0.9*((O388)*(1/12)))*IF(OR(C388&gt;ÉV!$I$2,AND(C388=ÉV!$I$2,D388&gt;ÉV!$J$2)),0,1)</f>
        <v>0</v>
      </c>
      <c r="T388" s="271">
        <f ca="1">(MAX(0,F388-0.003)*0.9*((Q387)*(1/12)))*IF(OR(C388&gt;ÉV!$I$2,AND(C388=ÉV!$I$2,D388&gt;ÉV!$J$2)),0,1)</f>
        <v>0</v>
      </c>
      <c r="U388" s="271">
        <f ca="1">IF($D388=1,R388,R388+U387)*IF(OR(C388&gt;ÉV!$I$2,AND(C388=ÉV!$I$2,D388&gt;ÉV!$J$2)),0,1)</f>
        <v>0</v>
      </c>
      <c r="V388" s="271">
        <f ca="1">IF($D388=1,S388,S388+V387)*IF(OR(C388&gt;ÉV!$I$2,AND(C388=ÉV!$I$2,D388&gt;ÉV!$J$2)),0,1)</f>
        <v>0</v>
      </c>
      <c r="W388" s="271">
        <f ca="1">IF($D388=1,T388,T388+W387)*IF(OR(C388&gt;ÉV!$I$2,AND(C388=ÉV!$I$2,D388&gt;ÉV!$J$2)),0,1)</f>
        <v>0</v>
      </c>
      <c r="X388" s="271">
        <f ca="1">IF(OR(D388=12,AND(C388=ÉV!$I$2,D388=ÉV!$J$2)),SUM(U388:W388)+X387,X387)*IF(OR(C388&gt;ÉV!$I$2,AND(C388=ÉV!$I$2,D388&gt;ÉV!$J$2)),0,1)</f>
        <v>0</v>
      </c>
      <c r="Y388" s="271">
        <f t="shared" ca="1" si="68"/>
        <v>0</v>
      </c>
      <c r="Z388" s="265">
        <f t="shared" si="69"/>
        <v>2</v>
      </c>
      <c r="AA388" s="272">
        <f t="shared" ca="1" si="70"/>
        <v>0</v>
      </c>
      <c r="AB388" s="265">
        <f t="shared" ca="1" si="65"/>
        <v>2049</v>
      </c>
      <c r="AC388" s="265">
        <f t="shared" ca="1" si="66"/>
        <v>5</v>
      </c>
      <c r="AD388" s="276">
        <f ca="1">IF(     OR(               AND(MAX(AF$6:AF388)&lt;2,  AC388=12),                 AF388=2),                   SUMIF(AB:AB,AB388,AA:AA),                       0)</f>
        <v>0</v>
      </c>
      <c r="AE388" s="277">
        <f t="shared" ca="1" si="67"/>
        <v>0</v>
      </c>
      <c r="AF388" s="277">
        <f t="shared" ca="1" si="71"/>
        <v>0</v>
      </c>
      <c r="AG388" s="402">
        <f ca="1">IF(  AND(AC388=AdóHó,   MAX(AF$1:AF387)&lt;2),   SUMIF(AB:AB,AB388-1,AE:AE),0  )
+ IF(AND(AC388&lt;AdóHó,                            AF388=2),   SUMIF(AB:AB,AB388-1,AE:AE),0  )
+ IF(                                                                  AF388=2,    SUMIF(AB:AB,AB388,AE:AE   ),0  )</f>
        <v>0</v>
      </c>
      <c r="AH388" s="272">
        <f ca="1">SUM(AG$2:AG388)</f>
        <v>1139324.2410681627</v>
      </c>
    </row>
    <row r="389" spans="1:34">
      <c r="A389" s="265">
        <f t="shared" ref="A389:A419" si="72">IF(B388=12,A388+1,A388)</f>
        <v>33</v>
      </c>
      <c r="B389" s="265">
        <f t="shared" ref="B389:B419" si="73">IF(B388=12,1,B388+1)</f>
        <v>3</v>
      </c>
      <c r="C389" s="265">
        <f t="shared" ref="C389:C452" ca="1" si="74">IF(D388=12,C388+1,C388)</f>
        <v>33</v>
      </c>
      <c r="D389" s="265">
        <f t="shared" ref="D389:D452" ca="1" si="75">IF(D388=12,1,D388+1)</f>
        <v>6</v>
      </c>
      <c r="E389" s="266">
        <v>5.0000000000000001E-3</v>
      </c>
      <c r="F389" s="267">
        <f>ÉV!$B$12</f>
        <v>0</v>
      </c>
      <c r="G389" s="271">
        <f ca="1">VLOOKUP(A389,ÉV!$A$18:$B$65,2,0)</f>
        <v>0</v>
      </c>
      <c r="H389" s="271">
        <f ca="1">IF(OR(A389=1,AND(C389=ÉV!$I$2,D389&gt;ÉV!$J$2),C389&gt;ÉV!$I$2),0,INDEX(Pz!$B$2:$AM$48,A389-1,ÉV!$G$2-9)/100000*ÉV!$B$10)</f>
        <v>0</v>
      </c>
      <c r="I389" s="271">
        <f ca="1">INDEX(Pz!$B$2:$AM$48,HÓ!A389,ÉV!$G$2-9)/100000*ÉV!$B$10</f>
        <v>0</v>
      </c>
      <c r="J389" s="273">
        <f ca="1">IF(OR(A389=1,A389=2,AND(C389=ÉV!$I$2,D389&gt;ÉV!$J$2),C389&gt;ÉV!$I$2),0,VLOOKUP(A389-2,ÉV!$A$18:$C$65,3,0))</f>
        <v>0</v>
      </c>
      <c r="K389" s="273">
        <f ca="1">IF(OR(A389=1,AND(C389=ÉV!$I$2,D389&gt;ÉV!$J$2),C389&gt;ÉV!$I$2),0,VLOOKUP(A389-1,ÉV!$A$18:$C$65,3,0))</f>
        <v>0</v>
      </c>
      <c r="L389" s="273">
        <f ca="1">VLOOKUP(A389,ÉV!$A$18:$C$65,3,0)*IF(OR(AND(C389=ÉV!$I$2,D389&gt;ÉV!$J$2),C389&gt;ÉV!$I$2),0,1)</f>
        <v>0</v>
      </c>
      <c r="M389" s="273">
        <f ca="1">(K389*(12-B389)/12+L389*B389/12)*IF(A389&gt;ÉV!$G$2,0,1)+IF(A389&gt;ÉV!$G$2,M388,0)*IF(OR(AND(C389=ÉV!$I$2,D389&gt;ÉV!$J$2),C389&gt;ÉV!$I$2),0,1)</f>
        <v>0</v>
      </c>
      <c r="N389" s="274">
        <f ca="1">IF(AND(C389=1,D389&lt;12),0,1)*IF(D389=12,MAX(0,F389-E389-0.003)*0.9*((K389+I389)*(B389/12)+(J389+H389)*(1-B389/12))+MAX(0,F389-0.003)*0.9*N388+N388,IF(AND(C389=ÉV!$I$2,D389=ÉV!$J$2),(M389+N388)*MAX(0,F389-0.003)*0.9*(D389/12)+N388,N388))*IF(OR(C389&gt;ÉV!$I$2,AND(C389=ÉV!$I$2,D389&gt;ÉV!$J$2)),0,1)</f>
        <v>0</v>
      </c>
      <c r="O389" s="313">
        <f ca="1">IF(MAX(AF$2:AF388)=2,      0,IF(OR(AC389=7, AF389=2),    SUM(AE$2:AE389),    O388)   )</f>
        <v>0</v>
      </c>
      <c r="P389" s="271">
        <f ca="1">IF(D389=12,V389+P388+P388*(F389-0.003)*0.9,IF(AND(C389=ÉV!$I$2,D389=ÉV!$J$2),V389+P388+P388*(F389-0.003)*0.9*D389/12,P388))*IF(OR(C389&gt;ÉV!$I$2,AND(C389=ÉV!$I$2,D389&gt;ÉV!$J$2)),0,1)</f>
        <v>0</v>
      </c>
      <c r="Q389" s="275">
        <f ca="1">(N389+P389)*IF(OR(AND(C389=ÉV!$I$2,D389&gt;ÉV!$J$2),C389&gt;ÉV!$I$2),0,1)</f>
        <v>0</v>
      </c>
      <c r="R389" s="271">
        <f ca="1">(MAX(0,F389-E389-0.003)*0.9*((K389+I389)*(1/12)))*IF(OR(C389&gt;ÉV!$I$2,AND(C389=ÉV!$I$2,D389&gt;ÉV!$J$2)),0,1)</f>
        <v>0</v>
      </c>
      <c r="S389" s="271">
        <f ca="1">(MAX(0,F389-0.003)*0.9*((O389)*(1/12)))*IF(OR(C389&gt;ÉV!$I$2,AND(C389=ÉV!$I$2,D389&gt;ÉV!$J$2)),0,1)</f>
        <v>0</v>
      </c>
      <c r="T389" s="271">
        <f ca="1">(MAX(0,F389-0.003)*0.9*((Q388)*(1/12)))*IF(OR(C389&gt;ÉV!$I$2,AND(C389=ÉV!$I$2,D389&gt;ÉV!$J$2)),0,1)</f>
        <v>0</v>
      </c>
      <c r="U389" s="271">
        <f ca="1">IF($D389=1,R389,R389+U388)*IF(OR(C389&gt;ÉV!$I$2,AND(C389=ÉV!$I$2,D389&gt;ÉV!$J$2)),0,1)</f>
        <v>0</v>
      </c>
      <c r="V389" s="271">
        <f ca="1">IF($D389=1,S389,S389+V388)*IF(OR(C389&gt;ÉV!$I$2,AND(C389=ÉV!$I$2,D389&gt;ÉV!$J$2)),0,1)</f>
        <v>0</v>
      </c>
      <c r="W389" s="271">
        <f ca="1">IF($D389=1,T389,T389+W388)*IF(OR(C389&gt;ÉV!$I$2,AND(C389=ÉV!$I$2,D389&gt;ÉV!$J$2)),0,1)</f>
        <v>0</v>
      </c>
      <c r="X389" s="271">
        <f ca="1">IF(OR(D389=12,AND(C389=ÉV!$I$2,D389=ÉV!$J$2)),SUM(U389:W389)+X388,X388)*IF(OR(C389&gt;ÉV!$I$2,AND(C389=ÉV!$I$2,D389&gt;ÉV!$J$2)),0,1)</f>
        <v>0</v>
      </c>
      <c r="Y389" s="271">
        <f t="shared" ca="1" si="68"/>
        <v>0</v>
      </c>
      <c r="Z389" s="265">
        <f t="shared" si="69"/>
        <v>3</v>
      </c>
      <c r="AA389" s="272">
        <f t="shared" ca="1" si="70"/>
        <v>0</v>
      </c>
      <c r="AB389" s="265">
        <f t="shared" ref="AB389:AB452" ca="1" si="76">IF(AC388=12,AB388+1,AB388)</f>
        <v>2049</v>
      </c>
      <c r="AC389" s="265">
        <f t="shared" ref="AC389:AC452" ca="1" si="77">IF(AC388=12,1,AC388+1)</f>
        <v>6</v>
      </c>
      <c r="AD389" s="276">
        <f ca="1">IF(     OR(               AND(MAX(AF$6:AF389)&lt;2,  AC389=12),                 AF389=2),                   SUMIF(AB:AB,AB389,AA:AA),                       0)</f>
        <v>0</v>
      </c>
      <c r="AE389" s="277">
        <f t="shared" ca="1" si="67"/>
        <v>0</v>
      </c>
      <c r="AF389" s="277">
        <f t="shared" ca="1" si="71"/>
        <v>0</v>
      </c>
      <c r="AG389" s="402">
        <f ca="1">IF(  AND(AC389=AdóHó,   MAX(AF$1:AF388)&lt;2),   SUMIF(AB:AB,AB389-1,AE:AE),0  )
+ IF(AND(AC389&lt;AdóHó,                            AF389=2),   SUMIF(AB:AB,AB389-1,AE:AE),0  )
+ IF(                                                                  AF389=2,    SUMIF(AB:AB,AB389,AE:AE   ),0  )</f>
        <v>0</v>
      </c>
      <c r="AH389" s="272">
        <f ca="1">SUM(AG$2:AG389)</f>
        <v>1139324.2410681627</v>
      </c>
    </row>
    <row r="390" spans="1:34">
      <c r="A390" s="265">
        <f t="shared" si="72"/>
        <v>33</v>
      </c>
      <c r="B390" s="265">
        <f t="shared" si="73"/>
        <v>4</v>
      </c>
      <c r="C390" s="265">
        <f t="shared" ca="1" si="74"/>
        <v>33</v>
      </c>
      <c r="D390" s="265">
        <f t="shared" ca="1" si="75"/>
        <v>7</v>
      </c>
      <c r="E390" s="266">
        <v>5.0000000000000001E-3</v>
      </c>
      <c r="F390" s="267">
        <f>ÉV!$B$12</f>
        <v>0</v>
      </c>
      <c r="G390" s="271">
        <f ca="1">VLOOKUP(A390,ÉV!$A$18:$B$65,2,0)</f>
        <v>0</v>
      </c>
      <c r="H390" s="271">
        <f ca="1">IF(OR(A390=1,AND(C390=ÉV!$I$2,D390&gt;ÉV!$J$2),C390&gt;ÉV!$I$2),0,INDEX(Pz!$B$2:$AM$48,A390-1,ÉV!$G$2-9)/100000*ÉV!$B$10)</f>
        <v>0</v>
      </c>
      <c r="I390" s="271">
        <f ca="1">INDEX(Pz!$B$2:$AM$48,HÓ!A390,ÉV!$G$2-9)/100000*ÉV!$B$10</f>
        <v>0</v>
      </c>
      <c r="J390" s="273">
        <f ca="1">IF(OR(A390=1,A390=2,AND(C390=ÉV!$I$2,D390&gt;ÉV!$J$2),C390&gt;ÉV!$I$2),0,VLOOKUP(A390-2,ÉV!$A$18:$C$65,3,0))</f>
        <v>0</v>
      </c>
      <c r="K390" s="273">
        <f ca="1">IF(OR(A390=1,AND(C390=ÉV!$I$2,D390&gt;ÉV!$J$2),C390&gt;ÉV!$I$2),0,VLOOKUP(A390-1,ÉV!$A$18:$C$65,3,0))</f>
        <v>0</v>
      </c>
      <c r="L390" s="273">
        <f ca="1">VLOOKUP(A390,ÉV!$A$18:$C$65,3,0)*IF(OR(AND(C390=ÉV!$I$2,D390&gt;ÉV!$J$2),C390&gt;ÉV!$I$2),0,1)</f>
        <v>0</v>
      </c>
      <c r="M390" s="273">
        <f ca="1">(K390*(12-B390)/12+L390*B390/12)*IF(A390&gt;ÉV!$G$2,0,1)+IF(A390&gt;ÉV!$G$2,M389,0)*IF(OR(AND(C390=ÉV!$I$2,D390&gt;ÉV!$J$2),C390&gt;ÉV!$I$2),0,1)</f>
        <v>0</v>
      </c>
      <c r="N390" s="274">
        <f ca="1">IF(AND(C390=1,D390&lt;12),0,1)*IF(D390=12,MAX(0,F390-E390-0.003)*0.9*((K390+I390)*(B390/12)+(J390+H390)*(1-B390/12))+MAX(0,F390-0.003)*0.9*N389+N389,IF(AND(C390=ÉV!$I$2,D390=ÉV!$J$2),(M390+N389)*MAX(0,F390-0.003)*0.9*(D390/12)+N389,N389))*IF(OR(C390&gt;ÉV!$I$2,AND(C390=ÉV!$I$2,D390&gt;ÉV!$J$2)),0,1)</f>
        <v>0</v>
      </c>
      <c r="O390" s="313">
        <f ca="1">IF(MAX(AF$2:AF389)=2,      0,IF(OR(AC390=7, AF390=2),    SUM(AE$2:AE390),    O389)   )</f>
        <v>0</v>
      </c>
      <c r="P390" s="271">
        <f ca="1">IF(D390=12,V390+P389+P389*(F390-0.003)*0.9,IF(AND(C390=ÉV!$I$2,D390=ÉV!$J$2),V390+P389+P389*(F390-0.003)*0.9*D390/12,P389))*IF(OR(C390&gt;ÉV!$I$2,AND(C390=ÉV!$I$2,D390&gt;ÉV!$J$2)),0,1)</f>
        <v>0</v>
      </c>
      <c r="Q390" s="275">
        <f ca="1">(N390+P390)*IF(OR(AND(C390=ÉV!$I$2,D390&gt;ÉV!$J$2),C390&gt;ÉV!$I$2),0,1)</f>
        <v>0</v>
      </c>
      <c r="R390" s="271">
        <f ca="1">(MAX(0,F390-E390-0.003)*0.9*((K390+I390)*(1/12)))*IF(OR(C390&gt;ÉV!$I$2,AND(C390=ÉV!$I$2,D390&gt;ÉV!$J$2)),0,1)</f>
        <v>0</v>
      </c>
      <c r="S390" s="271">
        <f ca="1">(MAX(0,F390-0.003)*0.9*((O390)*(1/12)))*IF(OR(C390&gt;ÉV!$I$2,AND(C390=ÉV!$I$2,D390&gt;ÉV!$J$2)),0,1)</f>
        <v>0</v>
      </c>
      <c r="T390" s="271">
        <f ca="1">(MAX(0,F390-0.003)*0.9*((Q389)*(1/12)))*IF(OR(C390&gt;ÉV!$I$2,AND(C390=ÉV!$I$2,D390&gt;ÉV!$J$2)),0,1)</f>
        <v>0</v>
      </c>
      <c r="U390" s="271">
        <f ca="1">IF($D390=1,R390,R390+U389)*IF(OR(C390&gt;ÉV!$I$2,AND(C390=ÉV!$I$2,D390&gt;ÉV!$J$2)),0,1)</f>
        <v>0</v>
      </c>
      <c r="V390" s="271">
        <f ca="1">IF($D390=1,S390,S390+V389)*IF(OR(C390&gt;ÉV!$I$2,AND(C390=ÉV!$I$2,D390&gt;ÉV!$J$2)),0,1)</f>
        <v>0</v>
      </c>
      <c r="W390" s="271">
        <f ca="1">IF($D390=1,T390,T390+W389)*IF(OR(C390&gt;ÉV!$I$2,AND(C390=ÉV!$I$2,D390&gt;ÉV!$J$2)),0,1)</f>
        <v>0</v>
      </c>
      <c r="X390" s="271">
        <f ca="1">IF(OR(D390=12,AND(C390=ÉV!$I$2,D390=ÉV!$J$2)),SUM(U390:W390)+X389,X389)*IF(OR(C390&gt;ÉV!$I$2,AND(C390=ÉV!$I$2,D390&gt;ÉV!$J$2)),0,1)</f>
        <v>0</v>
      </c>
      <c r="Y390" s="271">
        <f t="shared" ca="1" si="68"/>
        <v>0</v>
      </c>
      <c r="Z390" s="265">
        <f t="shared" si="69"/>
        <v>4</v>
      </c>
      <c r="AA390" s="272">
        <f t="shared" ca="1" si="70"/>
        <v>0</v>
      </c>
      <c r="AB390" s="265">
        <f t="shared" ca="1" si="76"/>
        <v>2049</v>
      </c>
      <c r="AC390" s="265">
        <f t="shared" ca="1" si="77"/>
        <v>7</v>
      </c>
      <c r="AD390" s="276">
        <f ca="1">IF(     OR(               AND(MAX(AF$6:AF390)&lt;2,  AC390=12),                 AF390=2),                   SUMIF(AB:AB,AB390,AA:AA),                       0)</f>
        <v>0</v>
      </c>
      <c r="AE390" s="277">
        <f t="shared" ca="1" si="67"/>
        <v>0</v>
      </c>
      <c r="AF390" s="277">
        <f t="shared" ca="1" si="71"/>
        <v>0</v>
      </c>
      <c r="AG390" s="402">
        <f ca="1">IF(  AND(AC390=AdóHó,   MAX(AF$1:AF389)&lt;2),   SUMIF(AB:AB,AB390-1,AE:AE),0  )
+ IF(AND(AC390&lt;AdóHó,                            AF390=2),   SUMIF(AB:AB,AB390-1,AE:AE),0  )
+ IF(                                                                  AF390=2,    SUMIF(AB:AB,AB390,AE:AE   ),0  )</f>
        <v>0</v>
      </c>
      <c r="AH390" s="272">
        <f ca="1">SUM(AG$2:AG390)</f>
        <v>1139324.2410681627</v>
      </c>
    </row>
    <row r="391" spans="1:34">
      <c r="A391" s="265">
        <f t="shared" si="72"/>
        <v>33</v>
      </c>
      <c r="B391" s="265">
        <f t="shared" si="73"/>
        <v>5</v>
      </c>
      <c r="C391" s="265">
        <f t="shared" ca="1" si="74"/>
        <v>33</v>
      </c>
      <c r="D391" s="265">
        <f t="shared" ca="1" si="75"/>
        <v>8</v>
      </c>
      <c r="E391" s="266">
        <v>5.0000000000000001E-3</v>
      </c>
      <c r="F391" s="267">
        <f>ÉV!$B$12</f>
        <v>0</v>
      </c>
      <c r="G391" s="271">
        <f ca="1">VLOOKUP(A391,ÉV!$A$18:$B$65,2,0)</f>
        <v>0</v>
      </c>
      <c r="H391" s="271">
        <f ca="1">IF(OR(A391=1,AND(C391=ÉV!$I$2,D391&gt;ÉV!$J$2),C391&gt;ÉV!$I$2),0,INDEX(Pz!$B$2:$AM$48,A391-1,ÉV!$G$2-9)/100000*ÉV!$B$10)</f>
        <v>0</v>
      </c>
      <c r="I391" s="271">
        <f ca="1">INDEX(Pz!$B$2:$AM$48,HÓ!A391,ÉV!$G$2-9)/100000*ÉV!$B$10</f>
        <v>0</v>
      </c>
      <c r="J391" s="273">
        <f ca="1">IF(OR(A391=1,A391=2,AND(C391=ÉV!$I$2,D391&gt;ÉV!$J$2),C391&gt;ÉV!$I$2),0,VLOOKUP(A391-2,ÉV!$A$18:$C$65,3,0))</f>
        <v>0</v>
      </c>
      <c r="K391" s="273">
        <f ca="1">IF(OR(A391=1,AND(C391=ÉV!$I$2,D391&gt;ÉV!$J$2),C391&gt;ÉV!$I$2),0,VLOOKUP(A391-1,ÉV!$A$18:$C$65,3,0))</f>
        <v>0</v>
      </c>
      <c r="L391" s="273">
        <f ca="1">VLOOKUP(A391,ÉV!$A$18:$C$65,3,0)*IF(OR(AND(C391=ÉV!$I$2,D391&gt;ÉV!$J$2),C391&gt;ÉV!$I$2),0,1)</f>
        <v>0</v>
      </c>
      <c r="M391" s="273">
        <f ca="1">(K391*(12-B391)/12+L391*B391/12)*IF(A391&gt;ÉV!$G$2,0,1)+IF(A391&gt;ÉV!$G$2,M390,0)*IF(OR(AND(C391=ÉV!$I$2,D391&gt;ÉV!$J$2),C391&gt;ÉV!$I$2),0,1)</f>
        <v>0</v>
      </c>
      <c r="N391" s="274">
        <f ca="1">IF(AND(C391=1,D391&lt;12),0,1)*IF(D391=12,MAX(0,F391-E391-0.003)*0.9*((K391+I391)*(B391/12)+(J391+H391)*(1-B391/12))+MAX(0,F391-0.003)*0.9*N390+N390,IF(AND(C391=ÉV!$I$2,D391=ÉV!$J$2),(M391+N390)*MAX(0,F391-0.003)*0.9*(D391/12)+N390,N390))*IF(OR(C391&gt;ÉV!$I$2,AND(C391=ÉV!$I$2,D391&gt;ÉV!$J$2)),0,1)</f>
        <v>0</v>
      </c>
      <c r="O391" s="313">
        <f ca="1">IF(MAX(AF$2:AF390)=2,      0,IF(OR(AC391=7, AF391=2),    SUM(AE$2:AE391),    O390)   )</f>
        <v>0</v>
      </c>
      <c r="P391" s="271">
        <f ca="1">IF(D391=12,V391+P390+P390*(F391-0.003)*0.9,IF(AND(C391=ÉV!$I$2,D391=ÉV!$J$2),V391+P390+P390*(F391-0.003)*0.9*D391/12,P390))*IF(OR(C391&gt;ÉV!$I$2,AND(C391=ÉV!$I$2,D391&gt;ÉV!$J$2)),0,1)</f>
        <v>0</v>
      </c>
      <c r="Q391" s="275">
        <f ca="1">(N391+P391)*IF(OR(AND(C391=ÉV!$I$2,D391&gt;ÉV!$J$2),C391&gt;ÉV!$I$2),0,1)</f>
        <v>0</v>
      </c>
      <c r="R391" s="271">
        <f ca="1">(MAX(0,F391-E391-0.003)*0.9*((K391+I391)*(1/12)))*IF(OR(C391&gt;ÉV!$I$2,AND(C391=ÉV!$I$2,D391&gt;ÉV!$J$2)),0,1)</f>
        <v>0</v>
      </c>
      <c r="S391" s="271">
        <f ca="1">(MAX(0,F391-0.003)*0.9*((O391)*(1/12)))*IF(OR(C391&gt;ÉV!$I$2,AND(C391=ÉV!$I$2,D391&gt;ÉV!$J$2)),0,1)</f>
        <v>0</v>
      </c>
      <c r="T391" s="271">
        <f ca="1">(MAX(0,F391-0.003)*0.9*((Q390)*(1/12)))*IF(OR(C391&gt;ÉV!$I$2,AND(C391=ÉV!$I$2,D391&gt;ÉV!$J$2)),0,1)</f>
        <v>0</v>
      </c>
      <c r="U391" s="271">
        <f ca="1">IF($D391=1,R391,R391+U390)*IF(OR(C391&gt;ÉV!$I$2,AND(C391=ÉV!$I$2,D391&gt;ÉV!$J$2)),0,1)</f>
        <v>0</v>
      </c>
      <c r="V391" s="271">
        <f ca="1">IF($D391=1,S391,S391+V390)*IF(OR(C391&gt;ÉV!$I$2,AND(C391=ÉV!$I$2,D391&gt;ÉV!$J$2)),0,1)</f>
        <v>0</v>
      </c>
      <c r="W391" s="271">
        <f ca="1">IF($D391=1,T391,T391+W390)*IF(OR(C391&gt;ÉV!$I$2,AND(C391=ÉV!$I$2,D391&gt;ÉV!$J$2)),0,1)</f>
        <v>0</v>
      </c>
      <c r="X391" s="271">
        <f ca="1">IF(OR(D391=12,AND(C391=ÉV!$I$2,D391=ÉV!$J$2)),SUM(U391:W391)+X390,X390)*IF(OR(C391&gt;ÉV!$I$2,AND(C391=ÉV!$I$2,D391&gt;ÉV!$J$2)),0,1)</f>
        <v>0</v>
      </c>
      <c r="Y391" s="271">
        <f t="shared" ca="1" si="68"/>
        <v>0</v>
      </c>
      <c r="Z391" s="265">
        <f t="shared" si="69"/>
        <v>5</v>
      </c>
      <c r="AA391" s="272">
        <f t="shared" ca="1" si="70"/>
        <v>0</v>
      </c>
      <c r="AB391" s="265">
        <f t="shared" ca="1" si="76"/>
        <v>2049</v>
      </c>
      <c r="AC391" s="265">
        <f t="shared" ca="1" si="77"/>
        <v>8</v>
      </c>
      <c r="AD391" s="276">
        <f ca="1">IF(     OR(               AND(MAX(AF$6:AF391)&lt;2,  AC391=12),                 AF391=2),                   SUMIF(AB:AB,AB391,AA:AA),                       0)</f>
        <v>0</v>
      </c>
      <c r="AE391" s="277">
        <f t="shared" ca="1" si="67"/>
        <v>0</v>
      </c>
      <c r="AF391" s="277">
        <f t="shared" ca="1" si="71"/>
        <v>0</v>
      </c>
      <c r="AG391" s="402">
        <f ca="1">IF(  AND(AC391=AdóHó,   MAX(AF$1:AF390)&lt;2),   SUMIF(AB:AB,AB391-1,AE:AE),0  )
+ IF(AND(AC391&lt;AdóHó,                            AF391=2),   SUMIF(AB:AB,AB391-1,AE:AE),0  )
+ IF(                                                                  AF391=2,    SUMIF(AB:AB,AB391,AE:AE   ),0  )</f>
        <v>0</v>
      </c>
      <c r="AH391" s="272">
        <f ca="1">SUM(AG$2:AG391)</f>
        <v>1139324.2410681627</v>
      </c>
    </row>
    <row r="392" spans="1:34">
      <c r="A392" s="265">
        <f t="shared" si="72"/>
        <v>33</v>
      </c>
      <c r="B392" s="265">
        <f t="shared" si="73"/>
        <v>6</v>
      </c>
      <c r="C392" s="265">
        <f t="shared" ca="1" si="74"/>
        <v>33</v>
      </c>
      <c r="D392" s="265">
        <f t="shared" ca="1" si="75"/>
        <v>9</v>
      </c>
      <c r="E392" s="266">
        <v>5.0000000000000001E-3</v>
      </c>
      <c r="F392" s="267">
        <f>ÉV!$B$12</f>
        <v>0</v>
      </c>
      <c r="G392" s="271">
        <f ca="1">VLOOKUP(A392,ÉV!$A$18:$B$65,2,0)</f>
        <v>0</v>
      </c>
      <c r="H392" s="271">
        <f ca="1">IF(OR(A392=1,AND(C392=ÉV!$I$2,D392&gt;ÉV!$J$2),C392&gt;ÉV!$I$2),0,INDEX(Pz!$B$2:$AM$48,A392-1,ÉV!$G$2-9)/100000*ÉV!$B$10)</f>
        <v>0</v>
      </c>
      <c r="I392" s="271">
        <f ca="1">INDEX(Pz!$B$2:$AM$48,HÓ!A392,ÉV!$G$2-9)/100000*ÉV!$B$10</f>
        <v>0</v>
      </c>
      <c r="J392" s="273">
        <f ca="1">IF(OR(A392=1,A392=2,AND(C392=ÉV!$I$2,D392&gt;ÉV!$J$2),C392&gt;ÉV!$I$2),0,VLOOKUP(A392-2,ÉV!$A$18:$C$65,3,0))</f>
        <v>0</v>
      </c>
      <c r="K392" s="273">
        <f ca="1">IF(OR(A392=1,AND(C392=ÉV!$I$2,D392&gt;ÉV!$J$2),C392&gt;ÉV!$I$2),0,VLOOKUP(A392-1,ÉV!$A$18:$C$65,3,0))</f>
        <v>0</v>
      </c>
      <c r="L392" s="273">
        <f ca="1">VLOOKUP(A392,ÉV!$A$18:$C$65,3,0)*IF(OR(AND(C392=ÉV!$I$2,D392&gt;ÉV!$J$2),C392&gt;ÉV!$I$2),0,1)</f>
        <v>0</v>
      </c>
      <c r="M392" s="273">
        <f ca="1">(K392*(12-B392)/12+L392*B392/12)*IF(A392&gt;ÉV!$G$2,0,1)+IF(A392&gt;ÉV!$G$2,M391,0)*IF(OR(AND(C392=ÉV!$I$2,D392&gt;ÉV!$J$2),C392&gt;ÉV!$I$2),0,1)</f>
        <v>0</v>
      </c>
      <c r="N392" s="274">
        <f ca="1">IF(AND(C392=1,D392&lt;12),0,1)*IF(D392=12,MAX(0,F392-E392-0.003)*0.9*((K392+I392)*(B392/12)+(J392+H392)*(1-B392/12))+MAX(0,F392-0.003)*0.9*N391+N391,IF(AND(C392=ÉV!$I$2,D392=ÉV!$J$2),(M392+N391)*MAX(0,F392-0.003)*0.9*(D392/12)+N391,N391))*IF(OR(C392&gt;ÉV!$I$2,AND(C392=ÉV!$I$2,D392&gt;ÉV!$J$2)),0,1)</f>
        <v>0</v>
      </c>
      <c r="O392" s="313">
        <f ca="1">IF(MAX(AF$2:AF391)=2,      0,IF(OR(AC392=7, AF392=2),    SUM(AE$2:AE392),    O391)   )</f>
        <v>0</v>
      </c>
      <c r="P392" s="271">
        <f ca="1">IF(D392=12,V392+P391+P391*(F392-0.003)*0.9,IF(AND(C392=ÉV!$I$2,D392=ÉV!$J$2),V392+P391+P391*(F392-0.003)*0.9*D392/12,P391))*IF(OR(C392&gt;ÉV!$I$2,AND(C392=ÉV!$I$2,D392&gt;ÉV!$J$2)),0,1)</f>
        <v>0</v>
      </c>
      <c r="Q392" s="275">
        <f ca="1">(N392+P392)*IF(OR(AND(C392=ÉV!$I$2,D392&gt;ÉV!$J$2),C392&gt;ÉV!$I$2),0,1)</f>
        <v>0</v>
      </c>
      <c r="R392" s="271">
        <f ca="1">(MAX(0,F392-E392-0.003)*0.9*((K392+I392)*(1/12)))*IF(OR(C392&gt;ÉV!$I$2,AND(C392=ÉV!$I$2,D392&gt;ÉV!$J$2)),0,1)</f>
        <v>0</v>
      </c>
      <c r="S392" s="271">
        <f ca="1">(MAX(0,F392-0.003)*0.9*((O392)*(1/12)))*IF(OR(C392&gt;ÉV!$I$2,AND(C392=ÉV!$I$2,D392&gt;ÉV!$J$2)),0,1)</f>
        <v>0</v>
      </c>
      <c r="T392" s="271">
        <f ca="1">(MAX(0,F392-0.003)*0.9*((Q391)*(1/12)))*IF(OR(C392&gt;ÉV!$I$2,AND(C392=ÉV!$I$2,D392&gt;ÉV!$J$2)),0,1)</f>
        <v>0</v>
      </c>
      <c r="U392" s="271">
        <f ca="1">IF($D392=1,R392,R392+U391)*IF(OR(C392&gt;ÉV!$I$2,AND(C392=ÉV!$I$2,D392&gt;ÉV!$J$2)),0,1)</f>
        <v>0</v>
      </c>
      <c r="V392" s="271">
        <f ca="1">IF($D392=1,S392,S392+V391)*IF(OR(C392&gt;ÉV!$I$2,AND(C392=ÉV!$I$2,D392&gt;ÉV!$J$2)),0,1)</f>
        <v>0</v>
      </c>
      <c r="W392" s="271">
        <f ca="1">IF($D392=1,T392,T392+W391)*IF(OR(C392&gt;ÉV!$I$2,AND(C392=ÉV!$I$2,D392&gt;ÉV!$J$2)),0,1)</f>
        <v>0</v>
      </c>
      <c r="X392" s="271">
        <f ca="1">IF(OR(D392=12,AND(C392=ÉV!$I$2,D392=ÉV!$J$2)),SUM(U392:W392)+X391,X391)*IF(OR(C392&gt;ÉV!$I$2,AND(C392=ÉV!$I$2,D392&gt;ÉV!$J$2)),0,1)</f>
        <v>0</v>
      </c>
      <c r="Y392" s="271">
        <f t="shared" ca="1" si="68"/>
        <v>0</v>
      </c>
      <c r="Z392" s="265">
        <f t="shared" si="69"/>
        <v>6</v>
      </c>
      <c r="AA392" s="272">
        <f t="shared" ca="1" si="70"/>
        <v>0</v>
      </c>
      <c r="AB392" s="265">
        <f t="shared" ca="1" si="76"/>
        <v>2049</v>
      </c>
      <c r="AC392" s="265">
        <f t="shared" ca="1" si="77"/>
        <v>9</v>
      </c>
      <c r="AD392" s="276">
        <f ca="1">IF(     OR(               AND(MAX(AF$6:AF392)&lt;2,  AC392=12),                 AF392=2),                   SUMIF(AB:AB,AB392,AA:AA),                       0)</f>
        <v>0</v>
      </c>
      <c r="AE392" s="277">
        <f t="shared" ca="1" si="67"/>
        <v>0</v>
      </c>
      <c r="AF392" s="277">
        <f t="shared" ca="1" si="71"/>
        <v>0</v>
      </c>
      <c r="AG392" s="402">
        <f ca="1">IF(  AND(AC392=AdóHó,   MAX(AF$1:AF391)&lt;2),   SUMIF(AB:AB,AB392-1,AE:AE),0  )
+ IF(AND(AC392&lt;AdóHó,                            AF392=2),   SUMIF(AB:AB,AB392-1,AE:AE),0  )
+ IF(                                                                  AF392=2,    SUMIF(AB:AB,AB392,AE:AE   ),0  )</f>
        <v>0</v>
      </c>
      <c r="AH392" s="272">
        <f ca="1">SUM(AG$2:AG392)</f>
        <v>1139324.2410681627</v>
      </c>
    </row>
    <row r="393" spans="1:34">
      <c r="A393" s="265">
        <f t="shared" si="72"/>
        <v>33</v>
      </c>
      <c r="B393" s="265">
        <f t="shared" si="73"/>
        <v>7</v>
      </c>
      <c r="C393" s="265">
        <f t="shared" ca="1" si="74"/>
        <v>33</v>
      </c>
      <c r="D393" s="265">
        <f t="shared" ca="1" si="75"/>
        <v>10</v>
      </c>
      <c r="E393" s="266">
        <v>5.0000000000000001E-3</v>
      </c>
      <c r="F393" s="267">
        <f>ÉV!$B$12</f>
        <v>0</v>
      </c>
      <c r="G393" s="271">
        <f ca="1">VLOOKUP(A393,ÉV!$A$18:$B$65,2,0)</f>
        <v>0</v>
      </c>
      <c r="H393" s="271">
        <f ca="1">IF(OR(A393=1,AND(C393=ÉV!$I$2,D393&gt;ÉV!$J$2),C393&gt;ÉV!$I$2),0,INDEX(Pz!$B$2:$AM$48,A393-1,ÉV!$G$2-9)/100000*ÉV!$B$10)</f>
        <v>0</v>
      </c>
      <c r="I393" s="271">
        <f ca="1">INDEX(Pz!$B$2:$AM$48,HÓ!A393,ÉV!$G$2-9)/100000*ÉV!$B$10</f>
        <v>0</v>
      </c>
      <c r="J393" s="273">
        <f ca="1">IF(OR(A393=1,A393=2,AND(C393=ÉV!$I$2,D393&gt;ÉV!$J$2),C393&gt;ÉV!$I$2),0,VLOOKUP(A393-2,ÉV!$A$18:$C$65,3,0))</f>
        <v>0</v>
      </c>
      <c r="K393" s="273">
        <f ca="1">IF(OR(A393=1,AND(C393=ÉV!$I$2,D393&gt;ÉV!$J$2),C393&gt;ÉV!$I$2),0,VLOOKUP(A393-1,ÉV!$A$18:$C$65,3,0))</f>
        <v>0</v>
      </c>
      <c r="L393" s="273">
        <f ca="1">VLOOKUP(A393,ÉV!$A$18:$C$65,3,0)*IF(OR(AND(C393=ÉV!$I$2,D393&gt;ÉV!$J$2),C393&gt;ÉV!$I$2),0,1)</f>
        <v>0</v>
      </c>
      <c r="M393" s="273">
        <f ca="1">(K393*(12-B393)/12+L393*B393/12)*IF(A393&gt;ÉV!$G$2,0,1)+IF(A393&gt;ÉV!$G$2,M392,0)*IF(OR(AND(C393=ÉV!$I$2,D393&gt;ÉV!$J$2),C393&gt;ÉV!$I$2),0,1)</f>
        <v>0</v>
      </c>
      <c r="N393" s="274">
        <f ca="1">IF(AND(C393=1,D393&lt;12),0,1)*IF(D393=12,MAX(0,F393-E393-0.003)*0.9*((K393+I393)*(B393/12)+(J393+H393)*(1-B393/12))+MAX(0,F393-0.003)*0.9*N392+N392,IF(AND(C393=ÉV!$I$2,D393=ÉV!$J$2),(M393+N392)*MAX(0,F393-0.003)*0.9*(D393/12)+N392,N392))*IF(OR(C393&gt;ÉV!$I$2,AND(C393=ÉV!$I$2,D393&gt;ÉV!$J$2)),0,1)</f>
        <v>0</v>
      </c>
      <c r="O393" s="313">
        <f ca="1">IF(MAX(AF$2:AF392)=2,      0,IF(OR(AC393=7, AF393=2),    SUM(AE$2:AE393),    O392)   )</f>
        <v>0</v>
      </c>
      <c r="P393" s="271">
        <f ca="1">IF(D393=12,V393+P392+P392*(F393-0.003)*0.9,IF(AND(C393=ÉV!$I$2,D393=ÉV!$J$2),V393+P392+P392*(F393-0.003)*0.9*D393/12,P392))*IF(OR(C393&gt;ÉV!$I$2,AND(C393=ÉV!$I$2,D393&gt;ÉV!$J$2)),0,1)</f>
        <v>0</v>
      </c>
      <c r="Q393" s="275">
        <f ca="1">(N393+P393)*IF(OR(AND(C393=ÉV!$I$2,D393&gt;ÉV!$J$2),C393&gt;ÉV!$I$2),0,1)</f>
        <v>0</v>
      </c>
      <c r="R393" s="271">
        <f ca="1">(MAX(0,F393-E393-0.003)*0.9*((K393+I393)*(1/12)))*IF(OR(C393&gt;ÉV!$I$2,AND(C393=ÉV!$I$2,D393&gt;ÉV!$J$2)),0,1)</f>
        <v>0</v>
      </c>
      <c r="S393" s="271">
        <f ca="1">(MAX(0,F393-0.003)*0.9*((O393)*(1/12)))*IF(OR(C393&gt;ÉV!$I$2,AND(C393=ÉV!$I$2,D393&gt;ÉV!$J$2)),0,1)</f>
        <v>0</v>
      </c>
      <c r="T393" s="271">
        <f ca="1">(MAX(0,F393-0.003)*0.9*((Q392)*(1/12)))*IF(OR(C393&gt;ÉV!$I$2,AND(C393=ÉV!$I$2,D393&gt;ÉV!$J$2)),0,1)</f>
        <v>0</v>
      </c>
      <c r="U393" s="271">
        <f ca="1">IF($D393=1,R393,R393+U392)*IF(OR(C393&gt;ÉV!$I$2,AND(C393=ÉV!$I$2,D393&gt;ÉV!$J$2)),0,1)</f>
        <v>0</v>
      </c>
      <c r="V393" s="271">
        <f ca="1">IF($D393=1,S393,S393+V392)*IF(OR(C393&gt;ÉV!$I$2,AND(C393=ÉV!$I$2,D393&gt;ÉV!$J$2)),0,1)</f>
        <v>0</v>
      </c>
      <c r="W393" s="271">
        <f ca="1">IF($D393=1,T393,T393+W392)*IF(OR(C393&gt;ÉV!$I$2,AND(C393=ÉV!$I$2,D393&gt;ÉV!$J$2)),0,1)</f>
        <v>0</v>
      </c>
      <c r="X393" s="271">
        <f ca="1">IF(OR(D393=12,AND(C393=ÉV!$I$2,D393=ÉV!$J$2)),SUM(U393:W393)+X392,X392)*IF(OR(C393&gt;ÉV!$I$2,AND(C393=ÉV!$I$2,D393&gt;ÉV!$J$2)),0,1)</f>
        <v>0</v>
      </c>
      <c r="Y393" s="271">
        <f t="shared" ca="1" si="68"/>
        <v>0</v>
      </c>
      <c r="Z393" s="265">
        <f t="shared" si="69"/>
        <v>7</v>
      </c>
      <c r="AA393" s="272">
        <f t="shared" ca="1" si="70"/>
        <v>0</v>
      </c>
      <c r="AB393" s="265">
        <f t="shared" ca="1" si="76"/>
        <v>2049</v>
      </c>
      <c r="AC393" s="265">
        <f t="shared" ca="1" si="77"/>
        <v>10</v>
      </c>
      <c r="AD393" s="276">
        <f ca="1">IF(     OR(               AND(MAX(AF$6:AF393)&lt;2,  AC393=12),                 AF393=2),                   SUMIF(AB:AB,AB393,AA:AA),                       0)</f>
        <v>0</v>
      </c>
      <c r="AE393" s="277">
        <f t="shared" ca="1" si="67"/>
        <v>0</v>
      </c>
      <c r="AF393" s="277">
        <f t="shared" ca="1" si="71"/>
        <v>0</v>
      </c>
      <c r="AG393" s="402">
        <f ca="1">IF(  AND(AC393=AdóHó,   MAX(AF$1:AF392)&lt;2),   SUMIF(AB:AB,AB393-1,AE:AE),0  )
+ IF(AND(AC393&lt;AdóHó,                            AF393=2),   SUMIF(AB:AB,AB393-1,AE:AE),0  )
+ IF(                                                                  AF393=2,    SUMIF(AB:AB,AB393,AE:AE   ),0  )</f>
        <v>0</v>
      </c>
      <c r="AH393" s="272">
        <f ca="1">SUM(AG$2:AG393)</f>
        <v>1139324.2410681627</v>
      </c>
    </row>
    <row r="394" spans="1:34">
      <c r="A394" s="265">
        <f t="shared" si="72"/>
        <v>33</v>
      </c>
      <c r="B394" s="265">
        <f t="shared" si="73"/>
        <v>8</v>
      </c>
      <c r="C394" s="265">
        <f t="shared" ca="1" si="74"/>
        <v>33</v>
      </c>
      <c r="D394" s="265">
        <f t="shared" ca="1" si="75"/>
        <v>11</v>
      </c>
      <c r="E394" s="266">
        <v>5.0000000000000001E-3</v>
      </c>
      <c r="F394" s="267">
        <f>ÉV!$B$12</f>
        <v>0</v>
      </c>
      <c r="G394" s="271">
        <f ca="1">VLOOKUP(A394,ÉV!$A$18:$B$65,2,0)</f>
        <v>0</v>
      </c>
      <c r="H394" s="271">
        <f ca="1">IF(OR(A394=1,AND(C394=ÉV!$I$2,D394&gt;ÉV!$J$2),C394&gt;ÉV!$I$2),0,INDEX(Pz!$B$2:$AM$48,A394-1,ÉV!$G$2-9)/100000*ÉV!$B$10)</f>
        <v>0</v>
      </c>
      <c r="I394" s="271">
        <f ca="1">INDEX(Pz!$B$2:$AM$48,HÓ!A394,ÉV!$G$2-9)/100000*ÉV!$B$10</f>
        <v>0</v>
      </c>
      <c r="J394" s="273">
        <f ca="1">IF(OR(A394=1,A394=2,AND(C394=ÉV!$I$2,D394&gt;ÉV!$J$2),C394&gt;ÉV!$I$2),0,VLOOKUP(A394-2,ÉV!$A$18:$C$65,3,0))</f>
        <v>0</v>
      </c>
      <c r="K394" s="273">
        <f ca="1">IF(OR(A394=1,AND(C394=ÉV!$I$2,D394&gt;ÉV!$J$2),C394&gt;ÉV!$I$2),0,VLOOKUP(A394-1,ÉV!$A$18:$C$65,3,0))</f>
        <v>0</v>
      </c>
      <c r="L394" s="273">
        <f ca="1">VLOOKUP(A394,ÉV!$A$18:$C$65,3,0)*IF(OR(AND(C394=ÉV!$I$2,D394&gt;ÉV!$J$2),C394&gt;ÉV!$I$2),0,1)</f>
        <v>0</v>
      </c>
      <c r="M394" s="273">
        <f ca="1">(K394*(12-B394)/12+L394*B394/12)*IF(A394&gt;ÉV!$G$2,0,1)+IF(A394&gt;ÉV!$G$2,M393,0)*IF(OR(AND(C394=ÉV!$I$2,D394&gt;ÉV!$J$2),C394&gt;ÉV!$I$2),0,1)</f>
        <v>0</v>
      </c>
      <c r="N394" s="274">
        <f ca="1">IF(AND(C394=1,D394&lt;12),0,1)*IF(D394=12,MAX(0,F394-E394-0.003)*0.9*((K394+I394)*(B394/12)+(J394+H394)*(1-B394/12))+MAX(0,F394-0.003)*0.9*N393+N393,IF(AND(C394=ÉV!$I$2,D394=ÉV!$J$2),(M394+N393)*MAX(0,F394-0.003)*0.9*(D394/12)+N393,N393))*IF(OR(C394&gt;ÉV!$I$2,AND(C394=ÉV!$I$2,D394&gt;ÉV!$J$2)),0,1)</f>
        <v>0</v>
      </c>
      <c r="O394" s="313">
        <f ca="1">IF(MAX(AF$2:AF393)=2,      0,IF(OR(AC394=7, AF394=2),    SUM(AE$2:AE394),    O393)   )</f>
        <v>0</v>
      </c>
      <c r="P394" s="271">
        <f ca="1">IF(D394=12,V394+P393+P393*(F394-0.003)*0.9,IF(AND(C394=ÉV!$I$2,D394=ÉV!$J$2),V394+P393+P393*(F394-0.003)*0.9*D394/12,P393))*IF(OR(C394&gt;ÉV!$I$2,AND(C394=ÉV!$I$2,D394&gt;ÉV!$J$2)),0,1)</f>
        <v>0</v>
      </c>
      <c r="Q394" s="275">
        <f ca="1">(N394+P394)*IF(OR(AND(C394=ÉV!$I$2,D394&gt;ÉV!$J$2),C394&gt;ÉV!$I$2),0,1)</f>
        <v>0</v>
      </c>
      <c r="R394" s="271">
        <f ca="1">(MAX(0,F394-E394-0.003)*0.9*((K394+I394)*(1/12)))*IF(OR(C394&gt;ÉV!$I$2,AND(C394=ÉV!$I$2,D394&gt;ÉV!$J$2)),0,1)</f>
        <v>0</v>
      </c>
      <c r="S394" s="271">
        <f ca="1">(MAX(0,F394-0.003)*0.9*((O394)*(1/12)))*IF(OR(C394&gt;ÉV!$I$2,AND(C394=ÉV!$I$2,D394&gt;ÉV!$J$2)),0,1)</f>
        <v>0</v>
      </c>
      <c r="T394" s="271">
        <f ca="1">(MAX(0,F394-0.003)*0.9*((Q393)*(1/12)))*IF(OR(C394&gt;ÉV!$I$2,AND(C394=ÉV!$I$2,D394&gt;ÉV!$J$2)),0,1)</f>
        <v>0</v>
      </c>
      <c r="U394" s="271">
        <f ca="1">IF($D394=1,R394,R394+U393)*IF(OR(C394&gt;ÉV!$I$2,AND(C394=ÉV!$I$2,D394&gt;ÉV!$J$2)),0,1)</f>
        <v>0</v>
      </c>
      <c r="V394" s="271">
        <f ca="1">IF($D394=1,S394,S394+V393)*IF(OR(C394&gt;ÉV!$I$2,AND(C394=ÉV!$I$2,D394&gt;ÉV!$J$2)),0,1)</f>
        <v>0</v>
      </c>
      <c r="W394" s="271">
        <f ca="1">IF($D394=1,T394,T394+W393)*IF(OR(C394&gt;ÉV!$I$2,AND(C394=ÉV!$I$2,D394&gt;ÉV!$J$2)),0,1)</f>
        <v>0</v>
      </c>
      <c r="X394" s="271">
        <f ca="1">IF(OR(D394=12,AND(C394=ÉV!$I$2,D394=ÉV!$J$2)),SUM(U394:W394)+X393,X393)*IF(OR(C394&gt;ÉV!$I$2,AND(C394=ÉV!$I$2,D394&gt;ÉV!$J$2)),0,1)</f>
        <v>0</v>
      </c>
      <c r="Y394" s="271">
        <f t="shared" ca="1" si="68"/>
        <v>0</v>
      </c>
      <c r="Z394" s="265">
        <f t="shared" si="69"/>
        <v>8</v>
      </c>
      <c r="AA394" s="272">
        <f t="shared" ca="1" si="70"/>
        <v>0</v>
      </c>
      <c r="AB394" s="265">
        <f t="shared" ca="1" si="76"/>
        <v>2049</v>
      </c>
      <c r="AC394" s="265">
        <f t="shared" ca="1" si="77"/>
        <v>11</v>
      </c>
      <c r="AD394" s="276">
        <f ca="1">IF(     OR(               AND(MAX(AF$6:AF394)&lt;2,  AC394=12),                 AF394=2),                   SUMIF(AB:AB,AB394,AA:AA),                       0)</f>
        <v>0</v>
      </c>
      <c r="AE394" s="277">
        <f t="shared" ca="1" si="67"/>
        <v>0</v>
      </c>
      <c r="AF394" s="277">
        <f t="shared" ca="1" si="71"/>
        <v>0</v>
      </c>
      <c r="AG394" s="402">
        <f ca="1">IF(  AND(AC394=AdóHó,   MAX(AF$1:AF393)&lt;2),   SUMIF(AB:AB,AB394-1,AE:AE),0  )
+ IF(AND(AC394&lt;AdóHó,                            AF394=2),   SUMIF(AB:AB,AB394-1,AE:AE),0  )
+ IF(                                                                  AF394=2,    SUMIF(AB:AB,AB394,AE:AE   ),0  )</f>
        <v>0</v>
      </c>
      <c r="AH394" s="272">
        <f ca="1">SUM(AG$2:AG394)</f>
        <v>1139324.2410681627</v>
      </c>
    </row>
    <row r="395" spans="1:34">
      <c r="A395" s="265">
        <f t="shared" si="72"/>
        <v>33</v>
      </c>
      <c r="B395" s="265">
        <f t="shared" si="73"/>
        <v>9</v>
      </c>
      <c r="C395" s="265">
        <f t="shared" ca="1" si="74"/>
        <v>33</v>
      </c>
      <c r="D395" s="265">
        <f t="shared" ca="1" si="75"/>
        <v>12</v>
      </c>
      <c r="E395" s="266">
        <v>5.0000000000000001E-3</v>
      </c>
      <c r="F395" s="267">
        <f>ÉV!$B$12</f>
        <v>0</v>
      </c>
      <c r="G395" s="271">
        <f ca="1">VLOOKUP(A395,ÉV!$A$18:$B$65,2,0)</f>
        <v>0</v>
      </c>
      <c r="H395" s="271">
        <f ca="1">IF(OR(A395=1,AND(C395=ÉV!$I$2,D395&gt;ÉV!$J$2),C395&gt;ÉV!$I$2),0,INDEX(Pz!$B$2:$AM$48,A395-1,ÉV!$G$2-9)/100000*ÉV!$B$10)</f>
        <v>0</v>
      </c>
      <c r="I395" s="271">
        <f ca="1">INDEX(Pz!$B$2:$AM$48,HÓ!A395,ÉV!$G$2-9)/100000*ÉV!$B$10</f>
        <v>0</v>
      </c>
      <c r="J395" s="273">
        <f ca="1">IF(OR(A395=1,A395=2,AND(C395=ÉV!$I$2,D395&gt;ÉV!$J$2),C395&gt;ÉV!$I$2),0,VLOOKUP(A395-2,ÉV!$A$18:$C$65,3,0))</f>
        <v>0</v>
      </c>
      <c r="K395" s="273">
        <f ca="1">IF(OR(A395=1,AND(C395=ÉV!$I$2,D395&gt;ÉV!$J$2),C395&gt;ÉV!$I$2),0,VLOOKUP(A395-1,ÉV!$A$18:$C$65,3,0))</f>
        <v>0</v>
      </c>
      <c r="L395" s="273">
        <f ca="1">VLOOKUP(A395,ÉV!$A$18:$C$65,3,0)*IF(OR(AND(C395=ÉV!$I$2,D395&gt;ÉV!$J$2),C395&gt;ÉV!$I$2),0,1)</f>
        <v>0</v>
      </c>
      <c r="M395" s="273">
        <f ca="1">(K395*(12-B395)/12+L395*B395/12)*IF(A395&gt;ÉV!$G$2,0,1)+IF(A395&gt;ÉV!$G$2,M394,0)*IF(OR(AND(C395=ÉV!$I$2,D395&gt;ÉV!$J$2),C395&gt;ÉV!$I$2),0,1)</f>
        <v>0</v>
      </c>
      <c r="N395" s="274">
        <f ca="1">IF(AND(C395=1,D395&lt;12),0,1)*IF(D395=12,MAX(0,F395-E395-0.003)*0.9*((K395+I395)*(B395/12)+(J395+H395)*(1-B395/12))+MAX(0,F395-0.003)*0.9*N394+N394,IF(AND(C395=ÉV!$I$2,D395=ÉV!$J$2),(M395+N394)*MAX(0,F395-0.003)*0.9*(D395/12)+N394,N394))*IF(OR(C395&gt;ÉV!$I$2,AND(C395=ÉV!$I$2,D395&gt;ÉV!$J$2)),0,1)</f>
        <v>0</v>
      </c>
      <c r="O395" s="313">
        <f ca="1">IF(MAX(AF$2:AF394)=2,      0,IF(OR(AC395=7, AF395=2),    SUM(AE$2:AE395),    O394)   )</f>
        <v>0</v>
      </c>
      <c r="P395" s="271">
        <f ca="1">IF(D395=12,V395+P394+P394*(F395-0.003)*0.9,IF(AND(C395=ÉV!$I$2,D395=ÉV!$J$2),V395+P394+P394*(F395-0.003)*0.9*D395/12,P394))*IF(OR(C395&gt;ÉV!$I$2,AND(C395=ÉV!$I$2,D395&gt;ÉV!$J$2)),0,1)</f>
        <v>0</v>
      </c>
      <c r="Q395" s="275">
        <f ca="1">(N395+P395)*IF(OR(AND(C395=ÉV!$I$2,D395&gt;ÉV!$J$2),C395&gt;ÉV!$I$2),0,1)</f>
        <v>0</v>
      </c>
      <c r="R395" s="271">
        <f ca="1">(MAX(0,F395-E395-0.003)*0.9*((K395+I395)*(1/12)))*IF(OR(C395&gt;ÉV!$I$2,AND(C395=ÉV!$I$2,D395&gt;ÉV!$J$2)),0,1)</f>
        <v>0</v>
      </c>
      <c r="S395" s="271">
        <f ca="1">(MAX(0,F395-0.003)*0.9*((O395)*(1/12)))*IF(OR(C395&gt;ÉV!$I$2,AND(C395=ÉV!$I$2,D395&gt;ÉV!$J$2)),0,1)</f>
        <v>0</v>
      </c>
      <c r="T395" s="271">
        <f ca="1">(MAX(0,F395-0.003)*0.9*((Q394)*(1/12)))*IF(OR(C395&gt;ÉV!$I$2,AND(C395=ÉV!$I$2,D395&gt;ÉV!$J$2)),0,1)</f>
        <v>0</v>
      </c>
      <c r="U395" s="271">
        <f ca="1">IF($D395=1,R395,R395+U394)*IF(OR(C395&gt;ÉV!$I$2,AND(C395=ÉV!$I$2,D395&gt;ÉV!$J$2)),0,1)</f>
        <v>0</v>
      </c>
      <c r="V395" s="271">
        <f ca="1">IF($D395=1,S395,S395+V394)*IF(OR(C395&gt;ÉV!$I$2,AND(C395=ÉV!$I$2,D395&gt;ÉV!$J$2)),0,1)</f>
        <v>0</v>
      </c>
      <c r="W395" s="271">
        <f ca="1">IF($D395=1,T395,T395+W394)*IF(OR(C395&gt;ÉV!$I$2,AND(C395=ÉV!$I$2,D395&gt;ÉV!$J$2)),0,1)</f>
        <v>0</v>
      </c>
      <c r="X395" s="271">
        <f ca="1">IF(OR(D395=12,AND(C395=ÉV!$I$2,D395=ÉV!$J$2)),SUM(U395:W395)+X394,X394)*IF(OR(C395&gt;ÉV!$I$2,AND(C395=ÉV!$I$2,D395&gt;ÉV!$J$2)),0,1)</f>
        <v>0</v>
      </c>
      <c r="Y395" s="271">
        <f t="shared" ca="1" si="68"/>
        <v>0</v>
      </c>
      <c r="Z395" s="265">
        <f t="shared" si="69"/>
        <v>9</v>
      </c>
      <c r="AA395" s="272">
        <f t="shared" ca="1" si="70"/>
        <v>0</v>
      </c>
      <c r="AB395" s="265">
        <f t="shared" ca="1" si="76"/>
        <v>2049</v>
      </c>
      <c r="AC395" s="265">
        <f t="shared" ca="1" si="77"/>
        <v>12</v>
      </c>
      <c r="AD395" s="276">
        <f ca="1">IF(     OR(               AND(MAX(AF$6:AF395)&lt;2,  AC395=12),                 AF395=2),                   SUMIF(AB:AB,AB395,AA:AA),                       0)</f>
        <v>0</v>
      </c>
      <c r="AE395" s="277">
        <f t="shared" ca="1" si="67"/>
        <v>0</v>
      </c>
      <c r="AF395" s="277">
        <f t="shared" ca="1" si="71"/>
        <v>0</v>
      </c>
      <c r="AG395" s="402">
        <f ca="1">IF(  AND(AC395=AdóHó,   MAX(AF$1:AF394)&lt;2),   SUMIF(AB:AB,AB395-1,AE:AE),0  )
+ IF(AND(AC395&lt;AdóHó,                            AF395=2),   SUMIF(AB:AB,AB395-1,AE:AE),0  )
+ IF(                                                                  AF395=2,    SUMIF(AB:AB,AB395,AE:AE   ),0  )</f>
        <v>0</v>
      </c>
      <c r="AH395" s="272">
        <f ca="1">SUM(AG$2:AG395)</f>
        <v>1139324.2410681627</v>
      </c>
    </row>
    <row r="396" spans="1:34">
      <c r="A396" s="265">
        <f t="shared" si="72"/>
        <v>33</v>
      </c>
      <c r="B396" s="265">
        <f t="shared" si="73"/>
        <v>10</v>
      </c>
      <c r="C396" s="265">
        <f t="shared" ca="1" si="74"/>
        <v>34</v>
      </c>
      <c r="D396" s="265">
        <f t="shared" ca="1" si="75"/>
        <v>1</v>
      </c>
      <c r="E396" s="266">
        <v>5.0000000000000001E-3</v>
      </c>
      <c r="F396" s="267">
        <f>ÉV!$B$12</f>
        <v>0</v>
      </c>
      <c r="G396" s="271">
        <f ca="1">VLOOKUP(A396,ÉV!$A$18:$B$65,2,0)</f>
        <v>0</v>
      </c>
      <c r="H396" s="271">
        <f ca="1">IF(OR(A396=1,AND(C396=ÉV!$I$2,D396&gt;ÉV!$J$2),C396&gt;ÉV!$I$2),0,INDEX(Pz!$B$2:$AM$48,A396-1,ÉV!$G$2-9)/100000*ÉV!$B$10)</f>
        <v>0</v>
      </c>
      <c r="I396" s="271">
        <f ca="1">INDEX(Pz!$B$2:$AM$48,HÓ!A396,ÉV!$G$2-9)/100000*ÉV!$B$10</f>
        <v>0</v>
      </c>
      <c r="J396" s="273">
        <f ca="1">IF(OR(A396=1,A396=2,AND(C396=ÉV!$I$2,D396&gt;ÉV!$J$2),C396&gt;ÉV!$I$2),0,VLOOKUP(A396-2,ÉV!$A$18:$C$65,3,0))</f>
        <v>0</v>
      </c>
      <c r="K396" s="273">
        <f ca="1">IF(OR(A396=1,AND(C396=ÉV!$I$2,D396&gt;ÉV!$J$2),C396&gt;ÉV!$I$2),0,VLOOKUP(A396-1,ÉV!$A$18:$C$65,3,0))</f>
        <v>0</v>
      </c>
      <c r="L396" s="273">
        <f ca="1">VLOOKUP(A396,ÉV!$A$18:$C$65,3,0)*IF(OR(AND(C396=ÉV!$I$2,D396&gt;ÉV!$J$2),C396&gt;ÉV!$I$2),0,1)</f>
        <v>0</v>
      </c>
      <c r="M396" s="273">
        <f ca="1">(K396*(12-B396)/12+L396*B396/12)*IF(A396&gt;ÉV!$G$2,0,1)+IF(A396&gt;ÉV!$G$2,M395,0)*IF(OR(AND(C396=ÉV!$I$2,D396&gt;ÉV!$J$2),C396&gt;ÉV!$I$2),0,1)</f>
        <v>0</v>
      </c>
      <c r="N396" s="274">
        <f ca="1">IF(AND(C396=1,D396&lt;12),0,1)*IF(D396=12,MAX(0,F396-E396-0.003)*0.9*((K396+I396)*(B396/12)+(J396+H396)*(1-B396/12))+MAX(0,F396-0.003)*0.9*N395+N395,IF(AND(C396=ÉV!$I$2,D396=ÉV!$J$2),(M396+N395)*MAX(0,F396-0.003)*0.9*(D396/12)+N395,N395))*IF(OR(C396&gt;ÉV!$I$2,AND(C396=ÉV!$I$2,D396&gt;ÉV!$J$2)),0,1)</f>
        <v>0</v>
      </c>
      <c r="O396" s="313">
        <f ca="1">IF(MAX(AF$2:AF395)=2,      0,IF(OR(AC396=7, AF396=2),    SUM(AE$2:AE396),    O395)   )</f>
        <v>0</v>
      </c>
      <c r="P396" s="271">
        <f ca="1">IF(D396=12,V396+P395+P395*(F396-0.003)*0.9,IF(AND(C396=ÉV!$I$2,D396=ÉV!$J$2),V396+P395+P395*(F396-0.003)*0.9*D396/12,P395))*IF(OR(C396&gt;ÉV!$I$2,AND(C396=ÉV!$I$2,D396&gt;ÉV!$J$2)),0,1)</f>
        <v>0</v>
      </c>
      <c r="Q396" s="275">
        <f ca="1">(N396+P396)*IF(OR(AND(C396=ÉV!$I$2,D396&gt;ÉV!$J$2),C396&gt;ÉV!$I$2),0,1)</f>
        <v>0</v>
      </c>
      <c r="R396" s="271">
        <f ca="1">(MAX(0,F396-E396-0.003)*0.9*((K396+I396)*(1/12)))*IF(OR(C396&gt;ÉV!$I$2,AND(C396=ÉV!$I$2,D396&gt;ÉV!$J$2)),0,1)</f>
        <v>0</v>
      </c>
      <c r="S396" s="271">
        <f ca="1">(MAX(0,F396-0.003)*0.9*((O396)*(1/12)))*IF(OR(C396&gt;ÉV!$I$2,AND(C396=ÉV!$I$2,D396&gt;ÉV!$J$2)),0,1)</f>
        <v>0</v>
      </c>
      <c r="T396" s="271">
        <f ca="1">(MAX(0,F396-0.003)*0.9*((Q395)*(1/12)))*IF(OR(C396&gt;ÉV!$I$2,AND(C396=ÉV!$I$2,D396&gt;ÉV!$J$2)),0,1)</f>
        <v>0</v>
      </c>
      <c r="U396" s="271">
        <f ca="1">IF($D396=1,R396,R396+U395)*IF(OR(C396&gt;ÉV!$I$2,AND(C396=ÉV!$I$2,D396&gt;ÉV!$J$2)),0,1)</f>
        <v>0</v>
      </c>
      <c r="V396" s="271">
        <f ca="1">IF($D396=1,S396,S396+V395)*IF(OR(C396&gt;ÉV!$I$2,AND(C396=ÉV!$I$2,D396&gt;ÉV!$J$2)),0,1)</f>
        <v>0</v>
      </c>
      <c r="W396" s="271">
        <f ca="1">IF($D396=1,T396,T396+W395)*IF(OR(C396&gt;ÉV!$I$2,AND(C396=ÉV!$I$2,D396&gt;ÉV!$J$2)),0,1)</f>
        <v>0</v>
      </c>
      <c r="X396" s="271">
        <f ca="1">IF(OR(D396=12,AND(C396=ÉV!$I$2,D396=ÉV!$J$2)),SUM(U396:W396)+X395,X395)*IF(OR(C396&gt;ÉV!$I$2,AND(C396=ÉV!$I$2,D396&gt;ÉV!$J$2)),0,1)</f>
        <v>0</v>
      </c>
      <c r="Y396" s="271">
        <f t="shared" ca="1" si="68"/>
        <v>0</v>
      </c>
      <c r="Z396" s="265">
        <f t="shared" si="69"/>
        <v>10</v>
      </c>
      <c r="AA396" s="272">
        <f t="shared" ca="1" si="70"/>
        <v>0</v>
      </c>
      <c r="AB396" s="265">
        <f t="shared" ca="1" si="76"/>
        <v>2050</v>
      </c>
      <c r="AC396" s="265">
        <f t="shared" ca="1" si="77"/>
        <v>1</v>
      </c>
      <c r="AD396" s="276">
        <f ca="1">IF(     OR(               AND(MAX(AF$6:AF396)&lt;2,  AC396=12),                 AF396=2),                   SUMIF(AB:AB,AB396,AA:AA),                       0)</f>
        <v>0</v>
      </c>
      <c r="AE396" s="277">
        <f t="shared" ca="1" si="67"/>
        <v>0</v>
      </c>
      <c r="AF396" s="277">
        <f t="shared" ca="1" si="71"/>
        <v>0</v>
      </c>
      <c r="AG396" s="402">
        <f ca="1">IF(  AND(AC396=AdóHó,   MAX(AF$1:AF395)&lt;2),   SUMIF(AB:AB,AB396-1,AE:AE),0  )
+ IF(AND(AC396&lt;AdóHó,                            AF396=2),   SUMIF(AB:AB,AB396-1,AE:AE),0  )
+ IF(                                                                  AF396=2,    SUMIF(AB:AB,AB396,AE:AE   ),0  )</f>
        <v>0</v>
      </c>
      <c r="AH396" s="272">
        <f ca="1">SUM(AG$2:AG396)</f>
        <v>1139324.2410681627</v>
      </c>
    </row>
    <row r="397" spans="1:34">
      <c r="A397" s="265">
        <f t="shared" si="72"/>
        <v>33</v>
      </c>
      <c r="B397" s="265">
        <f t="shared" si="73"/>
        <v>11</v>
      </c>
      <c r="C397" s="265">
        <f t="shared" ca="1" si="74"/>
        <v>34</v>
      </c>
      <c r="D397" s="265">
        <f t="shared" ca="1" si="75"/>
        <v>2</v>
      </c>
      <c r="E397" s="266">
        <v>5.0000000000000001E-3</v>
      </c>
      <c r="F397" s="267">
        <f>ÉV!$B$12</f>
        <v>0</v>
      </c>
      <c r="G397" s="271">
        <f ca="1">VLOOKUP(A397,ÉV!$A$18:$B$65,2,0)</f>
        <v>0</v>
      </c>
      <c r="H397" s="271">
        <f ca="1">IF(OR(A397=1,AND(C397=ÉV!$I$2,D397&gt;ÉV!$J$2),C397&gt;ÉV!$I$2),0,INDEX(Pz!$B$2:$AM$48,A397-1,ÉV!$G$2-9)/100000*ÉV!$B$10)</f>
        <v>0</v>
      </c>
      <c r="I397" s="271">
        <f ca="1">INDEX(Pz!$B$2:$AM$48,HÓ!A397,ÉV!$G$2-9)/100000*ÉV!$B$10</f>
        <v>0</v>
      </c>
      <c r="J397" s="273">
        <f ca="1">IF(OR(A397=1,A397=2,AND(C397=ÉV!$I$2,D397&gt;ÉV!$J$2),C397&gt;ÉV!$I$2),0,VLOOKUP(A397-2,ÉV!$A$18:$C$65,3,0))</f>
        <v>0</v>
      </c>
      <c r="K397" s="273">
        <f ca="1">IF(OR(A397=1,AND(C397=ÉV!$I$2,D397&gt;ÉV!$J$2),C397&gt;ÉV!$I$2),0,VLOOKUP(A397-1,ÉV!$A$18:$C$65,3,0))</f>
        <v>0</v>
      </c>
      <c r="L397" s="273">
        <f ca="1">VLOOKUP(A397,ÉV!$A$18:$C$65,3,0)*IF(OR(AND(C397=ÉV!$I$2,D397&gt;ÉV!$J$2),C397&gt;ÉV!$I$2),0,1)</f>
        <v>0</v>
      </c>
      <c r="M397" s="273">
        <f ca="1">(K397*(12-B397)/12+L397*B397/12)*IF(A397&gt;ÉV!$G$2,0,1)+IF(A397&gt;ÉV!$G$2,M396,0)*IF(OR(AND(C397=ÉV!$I$2,D397&gt;ÉV!$J$2),C397&gt;ÉV!$I$2),0,1)</f>
        <v>0</v>
      </c>
      <c r="N397" s="274">
        <f ca="1">IF(AND(C397=1,D397&lt;12),0,1)*IF(D397=12,MAX(0,F397-E397-0.003)*0.9*((K397+I397)*(B397/12)+(J397+H397)*(1-B397/12))+MAX(0,F397-0.003)*0.9*N396+N396,IF(AND(C397=ÉV!$I$2,D397=ÉV!$J$2),(M397+N396)*MAX(0,F397-0.003)*0.9*(D397/12)+N396,N396))*IF(OR(C397&gt;ÉV!$I$2,AND(C397=ÉV!$I$2,D397&gt;ÉV!$J$2)),0,1)</f>
        <v>0</v>
      </c>
      <c r="O397" s="313">
        <f ca="1">IF(MAX(AF$2:AF396)=2,      0,IF(OR(AC397=7, AF397=2),    SUM(AE$2:AE397),    O396)   )</f>
        <v>0</v>
      </c>
      <c r="P397" s="271">
        <f ca="1">IF(D397=12,V397+P396+P396*(F397-0.003)*0.9,IF(AND(C397=ÉV!$I$2,D397=ÉV!$J$2),V397+P396+P396*(F397-0.003)*0.9*D397/12,P396))*IF(OR(C397&gt;ÉV!$I$2,AND(C397=ÉV!$I$2,D397&gt;ÉV!$J$2)),0,1)</f>
        <v>0</v>
      </c>
      <c r="Q397" s="275">
        <f ca="1">(N397+P397)*IF(OR(AND(C397=ÉV!$I$2,D397&gt;ÉV!$J$2),C397&gt;ÉV!$I$2),0,1)</f>
        <v>0</v>
      </c>
      <c r="R397" s="271">
        <f ca="1">(MAX(0,F397-E397-0.003)*0.9*((K397+I397)*(1/12)))*IF(OR(C397&gt;ÉV!$I$2,AND(C397=ÉV!$I$2,D397&gt;ÉV!$J$2)),0,1)</f>
        <v>0</v>
      </c>
      <c r="S397" s="271">
        <f ca="1">(MAX(0,F397-0.003)*0.9*((O397)*(1/12)))*IF(OR(C397&gt;ÉV!$I$2,AND(C397=ÉV!$I$2,D397&gt;ÉV!$J$2)),0,1)</f>
        <v>0</v>
      </c>
      <c r="T397" s="271">
        <f ca="1">(MAX(0,F397-0.003)*0.9*((Q396)*(1/12)))*IF(OR(C397&gt;ÉV!$I$2,AND(C397=ÉV!$I$2,D397&gt;ÉV!$J$2)),0,1)</f>
        <v>0</v>
      </c>
      <c r="U397" s="271">
        <f ca="1">IF($D397=1,R397,R397+U396)*IF(OR(C397&gt;ÉV!$I$2,AND(C397=ÉV!$I$2,D397&gt;ÉV!$J$2)),0,1)</f>
        <v>0</v>
      </c>
      <c r="V397" s="271">
        <f ca="1">IF($D397=1,S397,S397+V396)*IF(OR(C397&gt;ÉV!$I$2,AND(C397=ÉV!$I$2,D397&gt;ÉV!$J$2)),0,1)</f>
        <v>0</v>
      </c>
      <c r="W397" s="271">
        <f ca="1">IF($D397=1,T397,T397+W396)*IF(OR(C397&gt;ÉV!$I$2,AND(C397=ÉV!$I$2,D397&gt;ÉV!$J$2)),0,1)</f>
        <v>0</v>
      </c>
      <c r="X397" s="271">
        <f ca="1">IF(OR(D397=12,AND(C397=ÉV!$I$2,D397=ÉV!$J$2)),SUM(U397:W397)+X396,X396)*IF(OR(C397&gt;ÉV!$I$2,AND(C397=ÉV!$I$2,D397&gt;ÉV!$J$2)),0,1)</f>
        <v>0</v>
      </c>
      <c r="Y397" s="271">
        <f t="shared" ca="1" si="68"/>
        <v>0</v>
      </c>
      <c r="Z397" s="265">
        <f t="shared" si="69"/>
        <v>11</v>
      </c>
      <c r="AA397" s="272">
        <f t="shared" ca="1" si="70"/>
        <v>0</v>
      </c>
      <c r="AB397" s="265">
        <f t="shared" ca="1" si="76"/>
        <v>2050</v>
      </c>
      <c r="AC397" s="265">
        <f t="shared" ca="1" si="77"/>
        <v>2</v>
      </c>
      <c r="AD397" s="276">
        <f ca="1">IF(     OR(               AND(MAX(AF$6:AF397)&lt;2,  AC397=12),                 AF397=2),                   SUMIF(AB:AB,AB397,AA:AA),                       0)</f>
        <v>0</v>
      </c>
      <c r="AE397" s="277">
        <f t="shared" ca="1" si="67"/>
        <v>0</v>
      </c>
      <c r="AF397" s="277">
        <f t="shared" ca="1" si="71"/>
        <v>0</v>
      </c>
      <c r="AG397" s="402">
        <f ca="1">IF(  AND(AC397=AdóHó,   MAX(AF$1:AF396)&lt;2),   SUMIF(AB:AB,AB397-1,AE:AE),0  )
+ IF(AND(AC397&lt;AdóHó,                            AF397=2),   SUMIF(AB:AB,AB397-1,AE:AE),0  )
+ IF(                                                                  AF397=2,    SUMIF(AB:AB,AB397,AE:AE   ),0  )</f>
        <v>0</v>
      </c>
      <c r="AH397" s="272">
        <f ca="1">SUM(AG$2:AG397)</f>
        <v>1139324.2410681627</v>
      </c>
    </row>
    <row r="398" spans="1:34">
      <c r="A398" s="265">
        <f t="shared" si="72"/>
        <v>33</v>
      </c>
      <c r="B398" s="265">
        <f t="shared" si="73"/>
        <v>12</v>
      </c>
      <c r="C398" s="265">
        <f t="shared" ca="1" si="74"/>
        <v>34</v>
      </c>
      <c r="D398" s="265">
        <f t="shared" ca="1" si="75"/>
        <v>3</v>
      </c>
      <c r="E398" s="266">
        <v>5.0000000000000001E-3</v>
      </c>
      <c r="F398" s="267">
        <f>ÉV!$B$12</f>
        <v>0</v>
      </c>
      <c r="G398" s="271">
        <f ca="1">VLOOKUP(A398,ÉV!$A$18:$B$65,2,0)</f>
        <v>0</v>
      </c>
      <c r="H398" s="271">
        <f ca="1">IF(OR(A398=1,AND(C398=ÉV!$I$2,D398&gt;ÉV!$J$2),C398&gt;ÉV!$I$2),0,INDEX(Pz!$B$2:$AM$48,A398-1,ÉV!$G$2-9)/100000*ÉV!$B$10)</f>
        <v>0</v>
      </c>
      <c r="I398" s="271">
        <f ca="1">INDEX(Pz!$B$2:$AM$48,HÓ!A398,ÉV!$G$2-9)/100000*ÉV!$B$10</f>
        <v>0</v>
      </c>
      <c r="J398" s="273">
        <f ca="1">IF(OR(A398=1,A398=2,AND(C398=ÉV!$I$2,D398&gt;ÉV!$J$2),C398&gt;ÉV!$I$2),0,VLOOKUP(A398-2,ÉV!$A$18:$C$65,3,0))</f>
        <v>0</v>
      </c>
      <c r="K398" s="273">
        <f ca="1">IF(OR(A398=1,AND(C398=ÉV!$I$2,D398&gt;ÉV!$J$2),C398&gt;ÉV!$I$2),0,VLOOKUP(A398-1,ÉV!$A$18:$C$65,3,0))</f>
        <v>0</v>
      </c>
      <c r="L398" s="273">
        <f ca="1">VLOOKUP(A398,ÉV!$A$18:$C$65,3,0)*IF(OR(AND(C398=ÉV!$I$2,D398&gt;ÉV!$J$2),C398&gt;ÉV!$I$2),0,1)</f>
        <v>0</v>
      </c>
      <c r="M398" s="273">
        <f ca="1">(K398*(12-B398)/12+L398*B398/12)*IF(A398&gt;ÉV!$G$2,0,1)+IF(A398&gt;ÉV!$G$2,M397,0)*IF(OR(AND(C398=ÉV!$I$2,D398&gt;ÉV!$J$2),C398&gt;ÉV!$I$2),0,1)</f>
        <v>0</v>
      </c>
      <c r="N398" s="274">
        <f ca="1">IF(AND(C398=1,D398&lt;12),0,1)*IF(D398=12,MAX(0,F398-E398-0.003)*0.9*((K398+I398)*(B398/12)+(J398+H398)*(1-B398/12))+MAX(0,F398-0.003)*0.9*N397+N397,IF(AND(C398=ÉV!$I$2,D398=ÉV!$J$2),(M398+N397)*MAX(0,F398-0.003)*0.9*(D398/12)+N397,N397))*IF(OR(C398&gt;ÉV!$I$2,AND(C398=ÉV!$I$2,D398&gt;ÉV!$J$2)),0,1)</f>
        <v>0</v>
      </c>
      <c r="O398" s="313">
        <f ca="1">IF(MAX(AF$2:AF397)=2,      0,IF(OR(AC398=7, AF398=2),    SUM(AE$2:AE398),    O397)   )</f>
        <v>0</v>
      </c>
      <c r="P398" s="271">
        <f ca="1">IF(D398=12,V398+P397+P397*(F398-0.003)*0.9,IF(AND(C398=ÉV!$I$2,D398=ÉV!$J$2),V398+P397+P397*(F398-0.003)*0.9*D398/12,P397))*IF(OR(C398&gt;ÉV!$I$2,AND(C398=ÉV!$I$2,D398&gt;ÉV!$J$2)),0,1)</f>
        <v>0</v>
      </c>
      <c r="Q398" s="275">
        <f ca="1">(N398+P398)*IF(OR(AND(C398=ÉV!$I$2,D398&gt;ÉV!$J$2),C398&gt;ÉV!$I$2),0,1)</f>
        <v>0</v>
      </c>
      <c r="R398" s="271">
        <f ca="1">(MAX(0,F398-E398-0.003)*0.9*((K398+I398)*(1/12)))*IF(OR(C398&gt;ÉV!$I$2,AND(C398=ÉV!$I$2,D398&gt;ÉV!$J$2)),0,1)</f>
        <v>0</v>
      </c>
      <c r="S398" s="271">
        <f ca="1">(MAX(0,F398-0.003)*0.9*((O398)*(1/12)))*IF(OR(C398&gt;ÉV!$I$2,AND(C398=ÉV!$I$2,D398&gt;ÉV!$J$2)),0,1)</f>
        <v>0</v>
      </c>
      <c r="T398" s="271">
        <f ca="1">(MAX(0,F398-0.003)*0.9*((Q397)*(1/12)))*IF(OR(C398&gt;ÉV!$I$2,AND(C398=ÉV!$I$2,D398&gt;ÉV!$J$2)),0,1)</f>
        <v>0</v>
      </c>
      <c r="U398" s="271">
        <f ca="1">IF($D398=1,R398,R398+U397)*IF(OR(C398&gt;ÉV!$I$2,AND(C398=ÉV!$I$2,D398&gt;ÉV!$J$2)),0,1)</f>
        <v>0</v>
      </c>
      <c r="V398" s="271">
        <f ca="1">IF($D398=1,S398,S398+V397)*IF(OR(C398&gt;ÉV!$I$2,AND(C398=ÉV!$I$2,D398&gt;ÉV!$J$2)),0,1)</f>
        <v>0</v>
      </c>
      <c r="W398" s="271">
        <f ca="1">IF($D398=1,T398,T398+W397)*IF(OR(C398&gt;ÉV!$I$2,AND(C398=ÉV!$I$2,D398&gt;ÉV!$J$2)),0,1)</f>
        <v>0</v>
      </c>
      <c r="X398" s="271">
        <f ca="1">IF(OR(D398=12,AND(C398=ÉV!$I$2,D398=ÉV!$J$2)),SUM(U398:W398)+X397,X397)*IF(OR(C398&gt;ÉV!$I$2,AND(C398=ÉV!$I$2,D398&gt;ÉV!$J$2)),0,1)</f>
        <v>0</v>
      </c>
      <c r="Y398" s="271">
        <f t="shared" ca="1" si="68"/>
        <v>0</v>
      </c>
      <c r="Z398" s="265">
        <f t="shared" si="69"/>
        <v>12</v>
      </c>
      <c r="AA398" s="272">
        <f t="shared" ca="1" si="70"/>
        <v>0</v>
      </c>
      <c r="AB398" s="265">
        <f t="shared" ca="1" si="76"/>
        <v>2050</v>
      </c>
      <c r="AC398" s="265">
        <f t="shared" ca="1" si="77"/>
        <v>3</v>
      </c>
      <c r="AD398" s="276">
        <f ca="1">IF(     OR(               AND(MAX(AF$6:AF398)&lt;2,  AC398=12),                 AF398=2),                   SUMIF(AB:AB,AB398,AA:AA),                       0)</f>
        <v>0</v>
      </c>
      <c r="AE398" s="277">
        <f t="shared" ref="AE398:AE461" ca="1" si="78">MIN(AD398*0.2,130000)</f>
        <v>0</v>
      </c>
      <c r="AF398" s="277">
        <f t="shared" ca="1" si="71"/>
        <v>0</v>
      </c>
      <c r="AG398" s="402">
        <f ca="1">IF(  AND(AC398=AdóHó,   MAX(AF$1:AF397)&lt;2),   SUMIF(AB:AB,AB398-1,AE:AE),0  )
+ IF(AND(AC398&lt;AdóHó,                            AF398=2),   SUMIF(AB:AB,AB398-1,AE:AE),0  )
+ IF(                                                                  AF398=2,    SUMIF(AB:AB,AB398,AE:AE   ),0  )</f>
        <v>0</v>
      </c>
      <c r="AH398" s="272">
        <f ca="1">SUM(AG$2:AG398)</f>
        <v>1139324.2410681627</v>
      </c>
    </row>
    <row r="399" spans="1:34">
      <c r="A399" s="265">
        <f t="shared" si="72"/>
        <v>34</v>
      </c>
      <c r="B399" s="265">
        <f t="shared" si="73"/>
        <v>1</v>
      </c>
      <c r="C399" s="265">
        <f t="shared" ca="1" si="74"/>
        <v>34</v>
      </c>
      <c r="D399" s="265">
        <f t="shared" ca="1" si="75"/>
        <v>4</v>
      </c>
      <c r="E399" s="266">
        <v>5.0000000000000001E-3</v>
      </c>
      <c r="F399" s="267">
        <f>ÉV!$B$12</f>
        <v>0</v>
      </c>
      <c r="G399" s="271">
        <f ca="1">VLOOKUP(A399,ÉV!$A$18:$B$65,2,0)</f>
        <v>0</v>
      </c>
      <c r="H399" s="271">
        <f ca="1">IF(OR(A399=1,AND(C399=ÉV!$I$2,D399&gt;ÉV!$J$2),C399&gt;ÉV!$I$2),0,INDEX(Pz!$B$2:$AM$48,A399-1,ÉV!$G$2-9)/100000*ÉV!$B$10)</f>
        <v>0</v>
      </c>
      <c r="I399" s="271">
        <f ca="1">INDEX(Pz!$B$2:$AM$48,HÓ!A399,ÉV!$G$2-9)/100000*ÉV!$B$10</f>
        <v>0</v>
      </c>
      <c r="J399" s="273">
        <f ca="1">IF(OR(A399=1,A399=2,AND(C399=ÉV!$I$2,D399&gt;ÉV!$J$2),C399&gt;ÉV!$I$2),0,VLOOKUP(A399-2,ÉV!$A$18:$C$65,3,0))</f>
        <v>0</v>
      </c>
      <c r="K399" s="273">
        <f ca="1">IF(OR(A399=1,AND(C399=ÉV!$I$2,D399&gt;ÉV!$J$2),C399&gt;ÉV!$I$2),0,VLOOKUP(A399-1,ÉV!$A$18:$C$65,3,0))</f>
        <v>0</v>
      </c>
      <c r="L399" s="273">
        <f ca="1">VLOOKUP(A399,ÉV!$A$18:$C$65,3,0)*IF(OR(AND(C399=ÉV!$I$2,D399&gt;ÉV!$J$2),C399&gt;ÉV!$I$2),0,1)</f>
        <v>0</v>
      </c>
      <c r="M399" s="273">
        <f ca="1">(K399*(12-B399)/12+L399*B399/12)*IF(A399&gt;ÉV!$G$2,0,1)+IF(A399&gt;ÉV!$G$2,M398,0)*IF(OR(AND(C399=ÉV!$I$2,D399&gt;ÉV!$J$2),C399&gt;ÉV!$I$2),0,1)</f>
        <v>0</v>
      </c>
      <c r="N399" s="274">
        <f ca="1">IF(AND(C399=1,D399&lt;12),0,1)*IF(D399=12,MAX(0,F399-E399-0.003)*0.9*((K399+I399)*(B399/12)+(J399+H399)*(1-B399/12))+MAX(0,F399-0.003)*0.9*N398+N398,IF(AND(C399=ÉV!$I$2,D399=ÉV!$J$2),(M399+N398)*MAX(0,F399-0.003)*0.9*(D399/12)+N398,N398))*IF(OR(C399&gt;ÉV!$I$2,AND(C399=ÉV!$I$2,D399&gt;ÉV!$J$2)),0,1)</f>
        <v>0</v>
      </c>
      <c r="O399" s="313">
        <f ca="1">IF(MAX(AF$2:AF398)=2,      0,IF(OR(AC399=7, AF399=2),    SUM(AE$2:AE399),    O398)   )</f>
        <v>0</v>
      </c>
      <c r="P399" s="271">
        <f ca="1">IF(D399=12,V399+P398+P398*(F399-0.003)*0.9,IF(AND(C399=ÉV!$I$2,D399=ÉV!$J$2),V399+P398+P398*(F399-0.003)*0.9*D399/12,P398))*IF(OR(C399&gt;ÉV!$I$2,AND(C399=ÉV!$I$2,D399&gt;ÉV!$J$2)),0,1)</f>
        <v>0</v>
      </c>
      <c r="Q399" s="275">
        <f ca="1">(N399+P399)*IF(OR(AND(C399=ÉV!$I$2,D399&gt;ÉV!$J$2),C399&gt;ÉV!$I$2),0,1)</f>
        <v>0</v>
      </c>
      <c r="R399" s="271">
        <f ca="1">(MAX(0,F399-E399-0.003)*0.9*((K399+I399)*(1/12)))*IF(OR(C399&gt;ÉV!$I$2,AND(C399=ÉV!$I$2,D399&gt;ÉV!$J$2)),0,1)</f>
        <v>0</v>
      </c>
      <c r="S399" s="271">
        <f ca="1">(MAX(0,F399-0.003)*0.9*((O399)*(1/12)))*IF(OR(C399&gt;ÉV!$I$2,AND(C399=ÉV!$I$2,D399&gt;ÉV!$J$2)),0,1)</f>
        <v>0</v>
      </c>
      <c r="T399" s="271">
        <f ca="1">(MAX(0,F399-0.003)*0.9*((Q398)*(1/12)))*IF(OR(C399&gt;ÉV!$I$2,AND(C399=ÉV!$I$2,D399&gt;ÉV!$J$2)),0,1)</f>
        <v>0</v>
      </c>
      <c r="U399" s="271">
        <f ca="1">IF($D399=1,R399,R399+U398)*IF(OR(C399&gt;ÉV!$I$2,AND(C399=ÉV!$I$2,D399&gt;ÉV!$J$2)),0,1)</f>
        <v>0</v>
      </c>
      <c r="V399" s="271">
        <f ca="1">IF($D399=1,S399,S399+V398)*IF(OR(C399&gt;ÉV!$I$2,AND(C399=ÉV!$I$2,D399&gt;ÉV!$J$2)),0,1)</f>
        <v>0</v>
      </c>
      <c r="W399" s="271">
        <f ca="1">IF($D399=1,T399,T399+W398)*IF(OR(C399&gt;ÉV!$I$2,AND(C399=ÉV!$I$2,D399&gt;ÉV!$J$2)),0,1)</f>
        <v>0</v>
      </c>
      <c r="X399" s="271">
        <f ca="1">IF(OR(D399=12,AND(C399=ÉV!$I$2,D399=ÉV!$J$2)),SUM(U399:W399)+X398,X398)*IF(OR(C399&gt;ÉV!$I$2,AND(C399=ÉV!$I$2,D399&gt;ÉV!$J$2)),0,1)</f>
        <v>0</v>
      </c>
      <c r="Y399" s="271">
        <f t="shared" ca="1" si="68"/>
        <v>0</v>
      </c>
      <c r="Z399" s="265">
        <f t="shared" si="69"/>
        <v>1</v>
      </c>
      <c r="AA399" s="272">
        <f t="shared" ca="1" si="70"/>
        <v>0</v>
      </c>
      <c r="AB399" s="265">
        <f t="shared" ca="1" si="76"/>
        <v>2050</v>
      </c>
      <c r="AC399" s="265">
        <f t="shared" ca="1" si="77"/>
        <v>4</v>
      </c>
      <c r="AD399" s="276">
        <f ca="1">IF(     OR(               AND(MAX(AF$6:AF399)&lt;2,  AC399=12),                 AF399=2),                   SUMIF(AB:AB,AB399,AA:AA),                       0)</f>
        <v>0</v>
      </c>
      <c r="AE399" s="277">
        <f t="shared" ca="1" si="78"/>
        <v>0</v>
      </c>
      <c r="AF399" s="277">
        <f t="shared" ca="1" si="71"/>
        <v>0</v>
      </c>
      <c r="AG399" s="402">
        <f ca="1">IF(  AND(AC399=AdóHó,   MAX(AF$1:AF398)&lt;2),   SUMIF(AB:AB,AB399-1,AE:AE),0  )
+ IF(AND(AC399&lt;AdóHó,                            AF399=2),   SUMIF(AB:AB,AB399-1,AE:AE),0  )
+ IF(                                                                  AF399=2,    SUMIF(AB:AB,AB399,AE:AE   ),0  )</f>
        <v>0</v>
      </c>
      <c r="AH399" s="272">
        <f ca="1">SUM(AG$2:AG399)</f>
        <v>1139324.2410681627</v>
      </c>
    </row>
    <row r="400" spans="1:34">
      <c r="A400" s="265">
        <f t="shared" si="72"/>
        <v>34</v>
      </c>
      <c r="B400" s="265">
        <f t="shared" si="73"/>
        <v>2</v>
      </c>
      <c r="C400" s="265">
        <f t="shared" ca="1" si="74"/>
        <v>34</v>
      </c>
      <c r="D400" s="265">
        <f t="shared" ca="1" si="75"/>
        <v>5</v>
      </c>
      <c r="E400" s="266">
        <v>5.0000000000000001E-3</v>
      </c>
      <c r="F400" s="267">
        <f>ÉV!$B$12</f>
        <v>0</v>
      </c>
      <c r="G400" s="271">
        <f ca="1">VLOOKUP(A400,ÉV!$A$18:$B$65,2,0)</f>
        <v>0</v>
      </c>
      <c r="H400" s="271">
        <f ca="1">IF(OR(A400=1,AND(C400=ÉV!$I$2,D400&gt;ÉV!$J$2),C400&gt;ÉV!$I$2),0,INDEX(Pz!$B$2:$AM$48,A400-1,ÉV!$G$2-9)/100000*ÉV!$B$10)</f>
        <v>0</v>
      </c>
      <c r="I400" s="271">
        <f ca="1">INDEX(Pz!$B$2:$AM$48,HÓ!A400,ÉV!$G$2-9)/100000*ÉV!$B$10</f>
        <v>0</v>
      </c>
      <c r="J400" s="273">
        <f ca="1">IF(OR(A400=1,A400=2,AND(C400=ÉV!$I$2,D400&gt;ÉV!$J$2),C400&gt;ÉV!$I$2),0,VLOOKUP(A400-2,ÉV!$A$18:$C$65,3,0))</f>
        <v>0</v>
      </c>
      <c r="K400" s="273">
        <f ca="1">IF(OR(A400=1,AND(C400=ÉV!$I$2,D400&gt;ÉV!$J$2),C400&gt;ÉV!$I$2),0,VLOOKUP(A400-1,ÉV!$A$18:$C$65,3,0))</f>
        <v>0</v>
      </c>
      <c r="L400" s="273">
        <f ca="1">VLOOKUP(A400,ÉV!$A$18:$C$65,3,0)*IF(OR(AND(C400=ÉV!$I$2,D400&gt;ÉV!$J$2),C400&gt;ÉV!$I$2),0,1)</f>
        <v>0</v>
      </c>
      <c r="M400" s="273">
        <f ca="1">(K400*(12-B400)/12+L400*B400/12)*IF(A400&gt;ÉV!$G$2,0,1)+IF(A400&gt;ÉV!$G$2,M399,0)*IF(OR(AND(C400=ÉV!$I$2,D400&gt;ÉV!$J$2),C400&gt;ÉV!$I$2),0,1)</f>
        <v>0</v>
      </c>
      <c r="N400" s="274">
        <f ca="1">IF(AND(C400=1,D400&lt;12),0,1)*IF(D400=12,MAX(0,F400-E400-0.003)*0.9*((K400+I400)*(B400/12)+(J400+H400)*(1-B400/12))+MAX(0,F400-0.003)*0.9*N399+N399,IF(AND(C400=ÉV!$I$2,D400=ÉV!$J$2),(M400+N399)*MAX(0,F400-0.003)*0.9*(D400/12)+N399,N399))*IF(OR(C400&gt;ÉV!$I$2,AND(C400=ÉV!$I$2,D400&gt;ÉV!$J$2)),0,1)</f>
        <v>0</v>
      </c>
      <c r="O400" s="313">
        <f ca="1">IF(MAX(AF$2:AF399)=2,      0,IF(OR(AC400=7, AF400=2),    SUM(AE$2:AE400),    O399)   )</f>
        <v>0</v>
      </c>
      <c r="P400" s="271">
        <f ca="1">IF(D400=12,V400+P399+P399*(F400-0.003)*0.9,IF(AND(C400=ÉV!$I$2,D400=ÉV!$J$2),V400+P399+P399*(F400-0.003)*0.9*D400/12,P399))*IF(OR(C400&gt;ÉV!$I$2,AND(C400=ÉV!$I$2,D400&gt;ÉV!$J$2)),0,1)</f>
        <v>0</v>
      </c>
      <c r="Q400" s="275">
        <f ca="1">(N400+P400)*IF(OR(AND(C400=ÉV!$I$2,D400&gt;ÉV!$J$2),C400&gt;ÉV!$I$2),0,1)</f>
        <v>0</v>
      </c>
      <c r="R400" s="271">
        <f ca="1">(MAX(0,F400-E400-0.003)*0.9*((K400+I400)*(1/12)))*IF(OR(C400&gt;ÉV!$I$2,AND(C400=ÉV!$I$2,D400&gt;ÉV!$J$2)),0,1)</f>
        <v>0</v>
      </c>
      <c r="S400" s="271">
        <f ca="1">(MAX(0,F400-0.003)*0.9*((O400)*(1/12)))*IF(OR(C400&gt;ÉV!$I$2,AND(C400=ÉV!$I$2,D400&gt;ÉV!$J$2)),0,1)</f>
        <v>0</v>
      </c>
      <c r="T400" s="271">
        <f ca="1">(MAX(0,F400-0.003)*0.9*((Q399)*(1/12)))*IF(OR(C400&gt;ÉV!$I$2,AND(C400=ÉV!$I$2,D400&gt;ÉV!$J$2)),0,1)</f>
        <v>0</v>
      </c>
      <c r="U400" s="271">
        <f ca="1">IF($D400=1,R400,R400+U399)*IF(OR(C400&gt;ÉV!$I$2,AND(C400=ÉV!$I$2,D400&gt;ÉV!$J$2)),0,1)</f>
        <v>0</v>
      </c>
      <c r="V400" s="271">
        <f ca="1">IF($D400=1,S400,S400+V399)*IF(OR(C400&gt;ÉV!$I$2,AND(C400=ÉV!$I$2,D400&gt;ÉV!$J$2)),0,1)</f>
        <v>0</v>
      </c>
      <c r="W400" s="271">
        <f ca="1">IF($D400=1,T400,T400+W399)*IF(OR(C400&gt;ÉV!$I$2,AND(C400=ÉV!$I$2,D400&gt;ÉV!$J$2)),0,1)</f>
        <v>0</v>
      </c>
      <c r="X400" s="271">
        <f ca="1">IF(OR(D400=12,AND(C400=ÉV!$I$2,D400=ÉV!$J$2)),SUM(U400:W400)+X399,X399)*IF(OR(C400&gt;ÉV!$I$2,AND(C400=ÉV!$I$2,D400&gt;ÉV!$J$2)),0,1)</f>
        <v>0</v>
      </c>
      <c r="Y400" s="271">
        <f t="shared" ca="1" si="68"/>
        <v>0</v>
      </c>
      <c r="Z400" s="265">
        <f t="shared" si="69"/>
        <v>2</v>
      </c>
      <c r="AA400" s="272">
        <f t="shared" ca="1" si="70"/>
        <v>0</v>
      </c>
      <c r="AB400" s="265">
        <f t="shared" ca="1" si="76"/>
        <v>2050</v>
      </c>
      <c r="AC400" s="265">
        <f t="shared" ca="1" si="77"/>
        <v>5</v>
      </c>
      <c r="AD400" s="276">
        <f ca="1">IF(     OR(               AND(MAX(AF$6:AF400)&lt;2,  AC400=12),                 AF400=2),                   SUMIF(AB:AB,AB400,AA:AA),                       0)</f>
        <v>0</v>
      </c>
      <c r="AE400" s="277">
        <f t="shared" ca="1" si="78"/>
        <v>0</v>
      </c>
      <c r="AF400" s="277">
        <f t="shared" ca="1" si="71"/>
        <v>0</v>
      </c>
      <c r="AG400" s="402">
        <f ca="1">IF(  AND(AC400=AdóHó,   MAX(AF$1:AF399)&lt;2),   SUMIF(AB:AB,AB400-1,AE:AE),0  )
+ IF(AND(AC400&lt;AdóHó,                            AF400=2),   SUMIF(AB:AB,AB400-1,AE:AE),0  )
+ IF(                                                                  AF400=2,    SUMIF(AB:AB,AB400,AE:AE   ),0  )</f>
        <v>0</v>
      </c>
      <c r="AH400" s="272">
        <f ca="1">SUM(AG$2:AG400)</f>
        <v>1139324.2410681627</v>
      </c>
    </row>
    <row r="401" spans="1:34">
      <c r="A401" s="265">
        <f t="shared" si="72"/>
        <v>34</v>
      </c>
      <c r="B401" s="265">
        <f t="shared" si="73"/>
        <v>3</v>
      </c>
      <c r="C401" s="265">
        <f t="shared" ca="1" si="74"/>
        <v>34</v>
      </c>
      <c r="D401" s="265">
        <f t="shared" ca="1" si="75"/>
        <v>6</v>
      </c>
      <c r="E401" s="266">
        <v>5.0000000000000001E-3</v>
      </c>
      <c r="F401" s="267">
        <f>ÉV!$B$12</f>
        <v>0</v>
      </c>
      <c r="G401" s="271">
        <f ca="1">VLOOKUP(A401,ÉV!$A$18:$B$65,2,0)</f>
        <v>0</v>
      </c>
      <c r="H401" s="271">
        <f ca="1">IF(OR(A401=1,AND(C401=ÉV!$I$2,D401&gt;ÉV!$J$2),C401&gt;ÉV!$I$2),0,INDEX(Pz!$B$2:$AM$48,A401-1,ÉV!$G$2-9)/100000*ÉV!$B$10)</f>
        <v>0</v>
      </c>
      <c r="I401" s="271">
        <f ca="1">INDEX(Pz!$B$2:$AM$48,HÓ!A401,ÉV!$G$2-9)/100000*ÉV!$B$10</f>
        <v>0</v>
      </c>
      <c r="J401" s="273">
        <f ca="1">IF(OR(A401=1,A401=2,AND(C401=ÉV!$I$2,D401&gt;ÉV!$J$2),C401&gt;ÉV!$I$2),0,VLOOKUP(A401-2,ÉV!$A$18:$C$65,3,0))</f>
        <v>0</v>
      </c>
      <c r="K401" s="273">
        <f ca="1">IF(OR(A401=1,AND(C401=ÉV!$I$2,D401&gt;ÉV!$J$2),C401&gt;ÉV!$I$2),0,VLOOKUP(A401-1,ÉV!$A$18:$C$65,3,0))</f>
        <v>0</v>
      </c>
      <c r="L401" s="273">
        <f ca="1">VLOOKUP(A401,ÉV!$A$18:$C$65,3,0)*IF(OR(AND(C401=ÉV!$I$2,D401&gt;ÉV!$J$2),C401&gt;ÉV!$I$2),0,1)</f>
        <v>0</v>
      </c>
      <c r="M401" s="273">
        <f ca="1">(K401*(12-B401)/12+L401*B401/12)*IF(A401&gt;ÉV!$G$2,0,1)+IF(A401&gt;ÉV!$G$2,M400,0)*IF(OR(AND(C401=ÉV!$I$2,D401&gt;ÉV!$J$2),C401&gt;ÉV!$I$2),0,1)</f>
        <v>0</v>
      </c>
      <c r="N401" s="274">
        <f ca="1">IF(AND(C401=1,D401&lt;12),0,1)*IF(D401=12,MAX(0,F401-E401-0.003)*0.9*((K401+I401)*(B401/12)+(J401+H401)*(1-B401/12))+MAX(0,F401-0.003)*0.9*N400+N400,IF(AND(C401=ÉV!$I$2,D401=ÉV!$J$2),(M401+N400)*MAX(0,F401-0.003)*0.9*(D401/12)+N400,N400))*IF(OR(C401&gt;ÉV!$I$2,AND(C401=ÉV!$I$2,D401&gt;ÉV!$J$2)),0,1)</f>
        <v>0</v>
      </c>
      <c r="O401" s="313">
        <f ca="1">IF(MAX(AF$2:AF400)=2,      0,IF(OR(AC401=7, AF401=2),    SUM(AE$2:AE401),    O400)   )</f>
        <v>0</v>
      </c>
      <c r="P401" s="271">
        <f ca="1">IF(D401=12,V401+P400+P400*(F401-0.003)*0.9,IF(AND(C401=ÉV!$I$2,D401=ÉV!$J$2),V401+P400+P400*(F401-0.003)*0.9*D401/12,P400))*IF(OR(C401&gt;ÉV!$I$2,AND(C401=ÉV!$I$2,D401&gt;ÉV!$J$2)),0,1)</f>
        <v>0</v>
      </c>
      <c r="Q401" s="275">
        <f ca="1">(N401+P401)*IF(OR(AND(C401=ÉV!$I$2,D401&gt;ÉV!$J$2),C401&gt;ÉV!$I$2),0,1)</f>
        <v>0</v>
      </c>
      <c r="R401" s="271">
        <f ca="1">(MAX(0,F401-E401-0.003)*0.9*((K401+I401)*(1/12)))*IF(OR(C401&gt;ÉV!$I$2,AND(C401=ÉV!$I$2,D401&gt;ÉV!$J$2)),0,1)</f>
        <v>0</v>
      </c>
      <c r="S401" s="271">
        <f ca="1">(MAX(0,F401-0.003)*0.9*((O401)*(1/12)))*IF(OR(C401&gt;ÉV!$I$2,AND(C401=ÉV!$I$2,D401&gt;ÉV!$J$2)),0,1)</f>
        <v>0</v>
      </c>
      <c r="T401" s="271">
        <f ca="1">(MAX(0,F401-0.003)*0.9*((Q400)*(1/12)))*IF(OR(C401&gt;ÉV!$I$2,AND(C401=ÉV!$I$2,D401&gt;ÉV!$J$2)),0,1)</f>
        <v>0</v>
      </c>
      <c r="U401" s="271">
        <f ca="1">IF($D401=1,R401,R401+U400)*IF(OR(C401&gt;ÉV!$I$2,AND(C401=ÉV!$I$2,D401&gt;ÉV!$J$2)),0,1)</f>
        <v>0</v>
      </c>
      <c r="V401" s="271">
        <f ca="1">IF($D401=1,S401,S401+V400)*IF(OR(C401&gt;ÉV!$I$2,AND(C401=ÉV!$I$2,D401&gt;ÉV!$J$2)),0,1)</f>
        <v>0</v>
      </c>
      <c r="W401" s="271">
        <f ca="1">IF($D401=1,T401,T401+W400)*IF(OR(C401&gt;ÉV!$I$2,AND(C401=ÉV!$I$2,D401&gt;ÉV!$J$2)),0,1)</f>
        <v>0</v>
      </c>
      <c r="X401" s="271">
        <f ca="1">IF(OR(D401=12,AND(C401=ÉV!$I$2,D401=ÉV!$J$2)),SUM(U401:W401)+X400,X400)*IF(OR(C401&gt;ÉV!$I$2,AND(C401=ÉV!$I$2,D401&gt;ÉV!$J$2)),0,1)</f>
        <v>0</v>
      </c>
      <c r="Y401" s="271">
        <f t="shared" ca="1" si="68"/>
        <v>0</v>
      </c>
      <c r="Z401" s="265">
        <f t="shared" si="69"/>
        <v>3</v>
      </c>
      <c r="AA401" s="272">
        <f t="shared" ca="1" si="70"/>
        <v>0</v>
      </c>
      <c r="AB401" s="265">
        <f t="shared" ca="1" si="76"/>
        <v>2050</v>
      </c>
      <c r="AC401" s="265">
        <f t="shared" ca="1" si="77"/>
        <v>6</v>
      </c>
      <c r="AD401" s="276">
        <f ca="1">IF(     OR(               AND(MAX(AF$6:AF401)&lt;2,  AC401=12),                 AF401=2),                   SUMIF(AB:AB,AB401,AA:AA),                       0)</f>
        <v>0</v>
      </c>
      <c r="AE401" s="277">
        <f t="shared" ca="1" si="78"/>
        <v>0</v>
      </c>
      <c r="AF401" s="277">
        <f t="shared" ca="1" si="71"/>
        <v>0</v>
      </c>
      <c r="AG401" s="402">
        <f ca="1">IF(  AND(AC401=AdóHó,   MAX(AF$1:AF400)&lt;2),   SUMIF(AB:AB,AB401-1,AE:AE),0  )
+ IF(AND(AC401&lt;AdóHó,                            AF401=2),   SUMIF(AB:AB,AB401-1,AE:AE),0  )
+ IF(                                                                  AF401=2,    SUMIF(AB:AB,AB401,AE:AE   ),0  )</f>
        <v>0</v>
      </c>
      <c r="AH401" s="272">
        <f ca="1">SUM(AG$2:AG401)</f>
        <v>1139324.2410681627</v>
      </c>
    </row>
    <row r="402" spans="1:34">
      <c r="A402" s="265">
        <f t="shared" si="72"/>
        <v>34</v>
      </c>
      <c r="B402" s="265">
        <f t="shared" si="73"/>
        <v>4</v>
      </c>
      <c r="C402" s="265">
        <f t="shared" ca="1" si="74"/>
        <v>34</v>
      </c>
      <c r="D402" s="265">
        <f t="shared" ca="1" si="75"/>
        <v>7</v>
      </c>
      <c r="E402" s="266">
        <v>5.0000000000000001E-3</v>
      </c>
      <c r="F402" s="267">
        <f>ÉV!$B$12</f>
        <v>0</v>
      </c>
      <c r="G402" s="271">
        <f ca="1">VLOOKUP(A402,ÉV!$A$18:$B$65,2,0)</f>
        <v>0</v>
      </c>
      <c r="H402" s="271">
        <f ca="1">IF(OR(A402=1,AND(C402=ÉV!$I$2,D402&gt;ÉV!$J$2),C402&gt;ÉV!$I$2),0,INDEX(Pz!$B$2:$AM$48,A402-1,ÉV!$G$2-9)/100000*ÉV!$B$10)</f>
        <v>0</v>
      </c>
      <c r="I402" s="271">
        <f ca="1">INDEX(Pz!$B$2:$AM$48,HÓ!A402,ÉV!$G$2-9)/100000*ÉV!$B$10</f>
        <v>0</v>
      </c>
      <c r="J402" s="273">
        <f ca="1">IF(OR(A402=1,A402=2,AND(C402=ÉV!$I$2,D402&gt;ÉV!$J$2),C402&gt;ÉV!$I$2),0,VLOOKUP(A402-2,ÉV!$A$18:$C$65,3,0))</f>
        <v>0</v>
      </c>
      <c r="K402" s="273">
        <f ca="1">IF(OR(A402=1,AND(C402=ÉV!$I$2,D402&gt;ÉV!$J$2),C402&gt;ÉV!$I$2),0,VLOOKUP(A402-1,ÉV!$A$18:$C$65,3,0))</f>
        <v>0</v>
      </c>
      <c r="L402" s="273">
        <f ca="1">VLOOKUP(A402,ÉV!$A$18:$C$65,3,0)*IF(OR(AND(C402=ÉV!$I$2,D402&gt;ÉV!$J$2),C402&gt;ÉV!$I$2),0,1)</f>
        <v>0</v>
      </c>
      <c r="M402" s="273">
        <f ca="1">(K402*(12-B402)/12+L402*B402/12)*IF(A402&gt;ÉV!$G$2,0,1)+IF(A402&gt;ÉV!$G$2,M401,0)*IF(OR(AND(C402=ÉV!$I$2,D402&gt;ÉV!$J$2),C402&gt;ÉV!$I$2),0,1)</f>
        <v>0</v>
      </c>
      <c r="N402" s="274">
        <f ca="1">IF(AND(C402=1,D402&lt;12),0,1)*IF(D402=12,MAX(0,F402-E402-0.003)*0.9*((K402+I402)*(B402/12)+(J402+H402)*(1-B402/12))+MAX(0,F402-0.003)*0.9*N401+N401,IF(AND(C402=ÉV!$I$2,D402=ÉV!$J$2),(M402+N401)*MAX(0,F402-0.003)*0.9*(D402/12)+N401,N401))*IF(OR(C402&gt;ÉV!$I$2,AND(C402=ÉV!$I$2,D402&gt;ÉV!$J$2)),0,1)</f>
        <v>0</v>
      </c>
      <c r="O402" s="313">
        <f ca="1">IF(MAX(AF$2:AF401)=2,      0,IF(OR(AC402=7, AF402=2),    SUM(AE$2:AE402),    O401)   )</f>
        <v>0</v>
      </c>
      <c r="P402" s="271">
        <f ca="1">IF(D402=12,V402+P401+P401*(F402-0.003)*0.9,IF(AND(C402=ÉV!$I$2,D402=ÉV!$J$2),V402+P401+P401*(F402-0.003)*0.9*D402/12,P401))*IF(OR(C402&gt;ÉV!$I$2,AND(C402=ÉV!$I$2,D402&gt;ÉV!$J$2)),0,1)</f>
        <v>0</v>
      </c>
      <c r="Q402" s="275">
        <f ca="1">(N402+P402)*IF(OR(AND(C402=ÉV!$I$2,D402&gt;ÉV!$J$2),C402&gt;ÉV!$I$2),0,1)</f>
        <v>0</v>
      </c>
      <c r="R402" s="271">
        <f ca="1">(MAX(0,F402-E402-0.003)*0.9*((K402+I402)*(1/12)))*IF(OR(C402&gt;ÉV!$I$2,AND(C402=ÉV!$I$2,D402&gt;ÉV!$J$2)),0,1)</f>
        <v>0</v>
      </c>
      <c r="S402" s="271">
        <f ca="1">(MAX(0,F402-0.003)*0.9*((O402)*(1/12)))*IF(OR(C402&gt;ÉV!$I$2,AND(C402=ÉV!$I$2,D402&gt;ÉV!$J$2)),0,1)</f>
        <v>0</v>
      </c>
      <c r="T402" s="271">
        <f ca="1">(MAX(0,F402-0.003)*0.9*((Q401)*(1/12)))*IF(OR(C402&gt;ÉV!$I$2,AND(C402=ÉV!$I$2,D402&gt;ÉV!$J$2)),0,1)</f>
        <v>0</v>
      </c>
      <c r="U402" s="271">
        <f ca="1">IF($D402=1,R402,R402+U401)*IF(OR(C402&gt;ÉV!$I$2,AND(C402=ÉV!$I$2,D402&gt;ÉV!$J$2)),0,1)</f>
        <v>0</v>
      </c>
      <c r="V402" s="271">
        <f ca="1">IF($D402=1,S402,S402+V401)*IF(OR(C402&gt;ÉV!$I$2,AND(C402=ÉV!$I$2,D402&gt;ÉV!$J$2)),0,1)</f>
        <v>0</v>
      </c>
      <c r="W402" s="271">
        <f ca="1">IF($D402=1,T402,T402+W401)*IF(OR(C402&gt;ÉV!$I$2,AND(C402=ÉV!$I$2,D402&gt;ÉV!$J$2)),0,1)</f>
        <v>0</v>
      </c>
      <c r="X402" s="271">
        <f ca="1">IF(OR(D402=12,AND(C402=ÉV!$I$2,D402=ÉV!$J$2)),SUM(U402:W402)+X401,X401)*IF(OR(C402&gt;ÉV!$I$2,AND(C402=ÉV!$I$2,D402&gt;ÉV!$J$2)),0,1)</f>
        <v>0</v>
      </c>
      <c r="Y402" s="271">
        <f t="shared" ca="1" si="68"/>
        <v>0</v>
      </c>
      <c r="Z402" s="265">
        <f t="shared" si="69"/>
        <v>4</v>
      </c>
      <c r="AA402" s="272">
        <f t="shared" ca="1" si="70"/>
        <v>0</v>
      </c>
      <c r="AB402" s="265">
        <f t="shared" ca="1" si="76"/>
        <v>2050</v>
      </c>
      <c r="AC402" s="265">
        <f t="shared" ca="1" si="77"/>
        <v>7</v>
      </c>
      <c r="AD402" s="276">
        <f ca="1">IF(     OR(               AND(MAX(AF$6:AF402)&lt;2,  AC402=12),                 AF402=2),                   SUMIF(AB:AB,AB402,AA:AA),                       0)</f>
        <v>0</v>
      </c>
      <c r="AE402" s="277">
        <f t="shared" ca="1" si="78"/>
        <v>0</v>
      </c>
      <c r="AF402" s="277">
        <f t="shared" ca="1" si="71"/>
        <v>0</v>
      </c>
      <c r="AG402" s="402">
        <f ca="1">IF(  AND(AC402=AdóHó,   MAX(AF$1:AF401)&lt;2),   SUMIF(AB:AB,AB402-1,AE:AE),0  )
+ IF(AND(AC402&lt;AdóHó,                            AF402=2),   SUMIF(AB:AB,AB402-1,AE:AE),0  )
+ IF(                                                                  AF402=2,    SUMIF(AB:AB,AB402,AE:AE   ),0  )</f>
        <v>0</v>
      </c>
      <c r="AH402" s="272">
        <f ca="1">SUM(AG$2:AG402)</f>
        <v>1139324.2410681627</v>
      </c>
    </row>
    <row r="403" spans="1:34">
      <c r="A403" s="265">
        <f t="shared" si="72"/>
        <v>34</v>
      </c>
      <c r="B403" s="265">
        <f t="shared" si="73"/>
        <v>5</v>
      </c>
      <c r="C403" s="265">
        <f t="shared" ca="1" si="74"/>
        <v>34</v>
      </c>
      <c r="D403" s="265">
        <f t="shared" ca="1" si="75"/>
        <v>8</v>
      </c>
      <c r="E403" s="266">
        <v>5.0000000000000001E-3</v>
      </c>
      <c r="F403" s="267">
        <f>ÉV!$B$12</f>
        <v>0</v>
      </c>
      <c r="G403" s="271">
        <f ca="1">VLOOKUP(A403,ÉV!$A$18:$B$65,2,0)</f>
        <v>0</v>
      </c>
      <c r="H403" s="271">
        <f ca="1">IF(OR(A403=1,AND(C403=ÉV!$I$2,D403&gt;ÉV!$J$2),C403&gt;ÉV!$I$2),0,INDEX(Pz!$B$2:$AM$48,A403-1,ÉV!$G$2-9)/100000*ÉV!$B$10)</f>
        <v>0</v>
      </c>
      <c r="I403" s="271">
        <f ca="1">INDEX(Pz!$B$2:$AM$48,HÓ!A403,ÉV!$G$2-9)/100000*ÉV!$B$10</f>
        <v>0</v>
      </c>
      <c r="J403" s="273">
        <f ca="1">IF(OR(A403=1,A403=2,AND(C403=ÉV!$I$2,D403&gt;ÉV!$J$2),C403&gt;ÉV!$I$2),0,VLOOKUP(A403-2,ÉV!$A$18:$C$65,3,0))</f>
        <v>0</v>
      </c>
      <c r="K403" s="273">
        <f ca="1">IF(OR(A403=1,AND(C403=ÉV!$I$2,D403&gt;ÉV!$J$2),C403&gt;ÉV!$I$2),0,VLOOKUP(A403-1,ÉV!$A$18:$C$65,3,0))</f>
        <v>0</v>
      </c>
      <c r="L403" s="273">
        <f ca="1">VLOOKUP(A403,ÉV!$A$18:$C$65,3,0)*IF(OR(AND(C403=ÉV!$I$2,D403&gt;ÉV!$J$2),C403&gt;ÉV!$I$2),0,1)</f>
        <v>0</v>
      </c>
      <c r="M403" s="273">
        <f ca="1">(K403*(12-B403)/12+L403*B403/12)*IF(A403&gt;ÉV!$G$2,0,1)+IF(A403&gt;ÉV!$G$2,M402,0)*IF(OR(AND(C403=ÉV!$I$2,D403&gt;ÉV!$J$2),C403&gt;ÉV!$I$2),0,1)</f>
        <v>0</v>
      </c>
      <c r="N403" s="274">
        <f ca="1">IF(AND(C403=1,D403&lt;12),0,1)*IF(D403=12,MAX(0,F403-E403-0.003)*0.9*((K403+I403)*(B403/12)+(J403+H403)*(1-B403/12))+MAX(0,F403-0.003)*0.9*N402+N402,IF(AND(C403=ÉV!$I$2,D403=ÉV!$J$2),(M403+N402)*MAX(0,F403-0.003)*0.9*(D403/12)+N402,N402))*IF(OR(C403&gt;ÉV!$I$2,AND(C403=ÉV!$I$2,D403&gt;ÉV!$J$2)),0,1)</f>
        <v>0</v>
      </c>
      <c r="O403" s="313">
        <f ca="1">IF(MAX(AF$2:AF402)=2,      0,IF(OR(AC403=7, AF403=2),    SUM(AE$2:AE403),    O402)   )</f>
        <v>0</v>
      </c>
      <c r="P403" s="271">
        <f ca="1">IF(D403=12,V403+P402+P402*(F403-0.003)*0.9,IF(AND(C403=ÉV!$I$2,D403=ÉV!$J$2),V403+P402+P402*(F403-0.003)*0.9*D403/12,P402))*IF(OR(C403&gt;ÉV!$I$2,AND(C403=ÉV!$I$2,D403&gt;ÉV!$J$2)),0,1)</f>
        <v>0</v>
      </c>
      <c r="Q403" s="275">
        <f ca="1">(N403+P403)*IF(OR(AND(C403=ÉV!$I$2,D403&gt;ÉV!$J$2),C403&gt;ÉV!$I$2),0,1)</f>
        <v>0</v>
      </c>
      <c r="R403" s="271">
        <f ca="1">(MAX(0,F403-E403-0.003)*0.9*((K403+I403)*(1/12)))*IF(OR(C403&gt;ÉV!$I$2,AND(C403=ÉV!$I$2,D403&gt;ÉV!$J$2)),0,1)</f>
        <v>0</v>
      </c>
      <c r="S403" s="271">
        <f ca="1">(MAX(0,F403-0.003)*0.9*((O403)*(1/12)))*IF(OR(C403&gt;ÉV!$I$2,AND(C403=ÉV!$I$2,D403&gt;ÉV!$J$2)),0,1)</f>
        <v>0</v>
      </c>
      <c r="T403" s="271">
        <f ca="1">(MAX(0,F403-0.003)*0.9*((Q402)*(1/12)))*IF(OR(C403&gt;ÉV!$I$2,AND(C403=ÉV!$I$2,D403&gt;ÉV!$J$2)),0,1)</f>
        <v>0</v>
      </c>
      <c r="U403" s="271">
        <f ca="1">IF($D403=1,R403,R403+U402)*IF(OR(C403&gt;ÉV!$I$2,AND(C403=ÉV!$I$2,D403&gt;ÉV!$J$2)),0,1)</f>
        <v>0</v>
      </c>
      <c r="V403" s="271">
        <f ca="1">IF($D403=1,S403,S403+V402)*IF(OR(C403&gt;ÉV!$I$2,AND(C403=ÉV!$I$2,D403&gt;ÉV!$J$2)),0,1)</f>
        <v>0</v>
      </c>
      <c r="W403" s="271">
        <f ca="1">IF($D403=1,T403,T403+W402)*IF(OR(C403&gt;ÉV!$I$2,AND(C403=ÉV!$I$2,D403&gt;ÉV!$J$2)),0,1)</f>
        <v>0</v>
      </c>
      <c r="X403" s="271">
        <f ca="1">IF(OR(D403=12,AND(C403=ÉV!$I$2,D403=ÉV!$J$2)),SUM(U403:W403)+X402,X402)*IF(OR(C403&gt;ÉV!$I$2,AND(C403=ÉV!$I$2,D403&gt;ÉV!$J$2)),0,1)</f>
        <v>0</v>
      </c>
      <c r="Y403" s="271">
        <f t="shared" ca="1" si="68"/>
        <v>0</v>
      </c>
      <c r="Z403" s="265">
        <f t="shared" si="69"/>
        <v>5</v>
      </c>
      <c r="AA403" s="272">
        <f t="shared" ca="1" si="70"/>
        <v>0</v>
      </c>
      <c r="AB403" s="265">
        <f t="shared" ca="1" si="76"/>
        <v>2050</v>
      </c>
      <c r="AC403" s="265">
        <f t="shared" ca="1" si="77"/>
        <v>8</v>
      </c>
      <c r="AD403" s="276">
        <f ca="1">IF(     OR(               AND(MAX(AF$6:AF403)&lt;2,  AC403=12),                 AF403=2),                   SUMIF(AB:AB,AB403,AA:AA),                       0)</f>
        <v>0</v>
      </c>
      <c r="AE403" s="277">
        <f t="shared" ca="1" si="78"/>
        <v>0</v>
      </c>
      <c r="AF403" s="277">
        <f t="shared" ca="1" si="71"/>
        <v>0</v>
      </c>
      <c r="AG403" s="402">
        <f ca="1">IF(  AND(AC403=AdóHó,   MAX(AF$1:AF402)&lt;2),   SUMIF(AB:AB,AB403-1,AE:AE),0  )
+ IF(AND(AC403&lt;AdóHó,                            AF403=2),   SUMIF(AB:AB,AB403-1,AE:AE),0  )
+ IF(                                                                  AF403=2,    SUMIF(AB:AB,AB403,AE:AE   ),0  )</f>
        <v>0</v>
      </c>
      <c r="AH403" s="272">
        <f ca="1">SUM(AG$2:AG403)</f>
        <v>1139324.2410681627</v>
      </c>
    </row>
    <row r="404" spans="1:34">
      <c r="A404" s="265">
        <f t="shared" si="72"/>
        <v>34</v>
      </c>
      <c r="B404" s="265">
        <f t="shared" si="73"/>
        <v>6</v>
      </c>
      <c r="C404" s="265">
        <f t="shared" ca="1" si="74"/>
        <v>34</v>
      </c>
      <c r="D404" s="265">
        <f t="shared" ca="1" si="75"/>
        <v>9</v>
      </c>
      <c r="E404" s="266">
        <v>5.0000000000000001E-3</v>
      </c>
      <c r="F404" s="267">
        <f>ÉV!$B$12</f>
        <v>0</v>
      </c>
      <c r="G404" s="271">
        <f ca="1">VLOOKUP(A404,ÉV!$A$18:$B$65,2,0)</f>
        <v>0</v>
      </c>
      <c r="H404" s="271">
        <f ca="1">IF(OR(A404=1,AND(C404=ÉV!$I$2,D404&gt;ÉV!$J$2),C404&gt;ÉV!$I$2),0,INDEX(Pz!$B$2:$AM$48,A404-1,ÉV!$G$2-9)/100000*ÉV!$B$10)</f>
        <v>0</v>
      </c>
      <c r="I404" s="271">
        <f ca="1">INDEX(Pz!$B$2:$AM$48,HÓ!A404,ÉV!$G$2-9)/100000*ÉV!$B$10</f>
        <v>0</v>
      </c>
      <c r="J404" s="273">
        <f ca="1">IF(OR(A404=1,A404=2,AND(C404=ÉV!$I$2,D404&gt;ÉV!$J$2),C404&gt;ÉV!$I$2),0,VLOOKUP(A404-2,ÉV!$A$18:$C$65,3,0))</f>
        <v>0</v>
      </c>
      <c r="K404" s="273">
        <f ca="1">IF(OR(A404=1,AND(C404=ÉV!$I$2,D404&gt;ÉV!$J$2),C404&gt;ÉV!$I$2),0,VLOOKUP(A404-1,ÉV!$A$18:$C$65,3,0))</f>
        <v>0</v>
      </c>
      <c r="L404" s="273">
        <f ca="1">VLOOKUP(A404,ÉV!$A$18:$C$65,3,0)*IF(OR(AND(C404=ÉV!$I$2,D404&gt;ÉV!$J$2),C404&gt;ÉV!$I$2),0,1)</f>
        <v>0</v>
      </c>
      <c r="M404" s="273">
        <f ca="1">(K404*(12-B404)/12+L404*B404/12)*IF(A404&gt;ÉV!$G$2,0,1)+IF(A404&gt;ÉV!$G$2,M403,0)*IF(OR(AND(C404=ÉV!$I$2,D404&gt;ÉV!$J$2),C404&gt;ÉV!$I$2),0,1)</f>
        <v>0</v>
      </c>
      <c r="N404" s="274">
        <f ca="1">IF(AND(C404=1,D404&lt;12),0,1)*IF(D404=12,MAX(0,F404-E404-0.003)*0.9*((K404+I404)*(B404/12)+(J404+H404)*(1-B404/12))+MAX(0,F404-0.003)*0.9*N403+N403,IF(AND(C404=ÉV!$I$2,D404=ÉV!$J$2),(M404+N403)*MAX(0,F404-0.003)*0.9*(D404/12)+N403,N403))*IF(OR(C404&gt;ÉV!$I$2,AND(C404=ÉV!$I$2,D404&gt;ÉV!$J$2)),0,1)</f>
        <v>0</v>
      </c>
      <c r="O404" s="313">
        <f ca="1">IF(MAX(AF$2:AF403)=2,      0,IF(OR(AC404=7, AF404=2),    SUM(AE$2:AE404),    O403)   )</f>
        <v>0</v>
      </c>
      <c r="P404" s="271">
        <f ca="1">IF(D404=12,V404+P403+P403*(F404-0.003)*0.9,IF(AND(C404=ÉV!$I$2,D404=ÉV!$J$2),V404+P403+P403*(F404-0.003)*0.9*D404/12,P403))*IF(OR(C404&gt;ÉV!$I$2,AND(C404=ÉV!$I$2,D404&gt;ÉV!$J$2)),0,1)</f>
        <v>0</v>
      </c>
      <c r="Q404" s="275">
        <f ca="1">(N404+P404)*IF(OR(AND(C404=ÉV!$I$2,D404&gt;ÉV!$J$2),C404&gt;ÉV!$I$2),0,1)</f>
        <v>0</v>
      </c>
      <c r="R404" s="271">
        <f ca="1">(MAX(0,F404-E404-0.003)*0.9*((K404+I404)*(1/12)))*IF(OR(C404&gt;ÉV!$I$2,AND(C404=ÉV!$I$2,D404&gt;ÉV!$J$2)),0,1)</f>
        <v>0</v>
      </c>
      <c r="S404" s="271">
        <f ca="1">(MAX(0,F404-0.003)*0.9*((O404)*(1/12)))*IF(OR(C404&gt;ÉV!$I$2,AND(C404=ÉV!$I$2,D404&gt;ÉV!$J$2)),0,1)</f>
        <v>0</v>
      </c>
      <c r="T404" s="271">
        <f ca="1">(MAX(0,F404-0.003)*0.9*((Q403)*(1/12)))*IF(OR(C404&gt;ÉV!$I$2,AND(C404=ÉV!$I$2,D404&gt;ÉV!$J$2)),0,1)</f>
        <v>0</v>
      </c>
      <c r="U404" s="271">
        <f ca="1">IF($D404=1,R404,R404+U403)*IF(OR(C404&gt;ÉV!$I$2,AND(C404=ÉV!$I$2,D404&gt;ÉV!$J$2)),0,1)</f>
        <v>0</v>
      </c>
      <c r="V404" s="271">
        <f ca="1">IF($D404=1,S404,S404+V403)*IF(OR(C404&gt;ÉV!$I$2,AND(C404=ÉV!$I$2,D404&gt;ÉV!$J$2)),0,1)</f>
        <v>0</v>
      </c>
      <c r="W404" s="271">
        <f ca="1">IF($D404=1,T404,T404+W403)*IF(OR(C404&gt;ÉV!$I$2,AND(C404=ÉV!$I$2,D404&gt;ÉV!$J$2)),0,1)</f>
        <v>0</v>
      </c>
      <c r="X404" s="271">
        <f ca="1">IF(OR(D404=12,AND(C404=ÉV!$I$2,D404=ÉV!$J$2)),SUM(U404:W404)+X403,X403)*IF(OR(C404&gt;ÉV!$I$2,AND(C404=ÉV!$I$2,D404&gt;ÉV!$J$2)),0,1)</f>
        <v>0</v>
      </c>
      <c r="Y404" s="271">
        <f t="shared" ca="1" si="68"/>
        <v>0</v>
      </c>
      <c r="Z404" s="265">
        <f t="shared" si="69"/>
        <v>6</v>
      </c>
      <c r="AA404" s="272">
        <f t="shared" ca="1" si="70"/>
        <v>0</v>
      </c>
      <c r="AB404" s="265">
        <f t="shared" ca="1" si="76"/>
        <v>2050</v>
      </c>
      <c r="AC404" s="265">
        <f t="shared" ca="1" si="77"/>
        <v>9</v>
      </c>
      <c r="AD404" s="276">
        <f ca="1">IF(     OR(               AND(MAX(AF$6:AF404)&lt;2,  AC404=12),                 AF404=2),                   SUMIF(AB:AB,AB404,AA:AA),                       0)</f>
        <v>0</v>
      </c>
      <c r="AE404" s="277">
        <f t="shared" ca="1" si="78"/>
        <v>0</v>
      </c>
      <c r="AF404" s="277">
        <f t="shared" ca="1" si="71"/>
        <v>0</v>
      </c>
      <c r="AG404" s="402">
        <f ca="1">IF(  AND(AC404=AdóHó,   MAX(AF$1:AF403)&lt;2),   SUMIF(AB:AB,AB404-1,AE:AE),0  )
+ IF(AND(AC404&lt;AdóHó,                            AF404=2),   SUMIF(AB:AB,AB404-1,AE:AE),0  )
+ IF(                                                                  AF404=2,    SUMIF(AB:AB,AB404,AE:AE   ),0  )</f>
        <v>0</v>
      </c>
      <c r="AH404" s="272">
        <f ca="1">SUM(AG$2:AG404)</f>
        <v>1139324.2410681627</v>
      </c>
    </row>
    <row r="405" spans="1:34">
      <c r="A405" s="265">
        <f t="shared" si="72"/>
        <v>34</v>
      </c>
      <c r="B405" s="265">
        <f t="shared" si="73"/>
        <v>7</v>
      </c>
      <c r="C405" s="265">
        <f t="shared" ca="1" si="74"/>
        <v>34</v>
      </c>
      <c r="D405" s="265">
        <f t="shared" ca="1" si="75"/>
        <v>10</v>
      </c>
      <c r="E405" s="266">
        <v>5.0000000000000001E-3</v>
      </c>
      <c r="F405" s="267">
        <f>ÉV!$B$12</f>
        <v>0</v>
      </c>
      <c r="G405" s="271">
        <f ca="1">VLOOKUP(A405,ÉV!$A$18:$B$65,2,0)</f>
        <v>0</v>
      </c>
      <c r="H405" s="271">
        <f ca="1">IF(OR(A405=1,AND(C405=ÉV!$I$2,D405&gt;ÉV!$J$2),C405&gt;ÉV!$I$2),0,INDEX(Pz!$B$2:$AM$48,A405-1,ÉV!$G$2-9)/100000*ÉV!$B$10)</f>
        <v>0</v>
      </c>
      <c r="I405" s="271">
        <f ca="1">INDEX(Pz!$B$2:$AM$48,HÓ!A405,ÉV!$G$2-9)/100000*ÉV!$B$10</f>
        <v>0</v>
      </c>
      <c r="J405" s="273">
        <f ca="1">IF(OR(A405=1,A405=2,AND(C405=ÉV!$I$2,D405&gt;ÉV!$J$2),C405&gt;ÉV!$I$2),0,VLOOKUP(A405-2,ÉV!$A$18:$C$65,3,0))</f>
        <v>0</v>
      </c>
      <c r="K405" s="273">
        <f ca="1">IF(OR(A405=1,AND(C405=ÉV!$I$2,D405&gt;ÉV!$J$2),C405&gt;ÉV!$I$2),0,VLOOKUP(A405-1,ÉV!$A$18:$C$65,3,0))</f>
        <v>0</v>
      </c>
      <c r="L405" s="273">
        <f ca="1">VLOOKUP(A405,ÉV!$A$18:$C$65,3,0)*IF(OR(AND(C405=ÉV!$I$2,D405&gt;ÉV!$J$2),C405&gt;ÉV!$I$2),0,1)</f>
        <v>0</v>
      </c>
      <c r="M405" s="273">
        <f ca="1">(K405*(12-B405)/12+L405*B405/12)*IF(A405&gt;ÉV!$G$2,0,1)+IF(A405&gt;ÉV!$G$2,M404,0)*IF(OR(AND(C405=ÉV!$I$2,D405&gt;ÉV!$J$2),C405&gt;ÉV!$I$2),0,1)</f>
        <v>0</v>
      </c>
      <c r="N405" s="274">
        <f ca="1">IF(AND(C405=1,D405&lt;12),0,1)*IF(D405=12,MAX(0,F405-E405-0.003)*0.9*((K405+I405)*(B405/12)+(J405+H405)*(1-B405/12))+MAX(0,F405-0.003)*0.9*N404+N404,IF(AND(C405=ÉV!$I$2,D405=ÉV!$J$2),(M405+N404)*MAX(0,F405-0.003)*0.9*(D405/12)+N404,N404))*IF(OR(C405&gt;ÉV!$I$2,AND(C405=ÉV!$I$2,D405&gt;ÉV!$J$2)),0,1)</f>
        <v>0</v>
      </c>
      <c r="O405" s="313">
        <f ca="1">IF(MAX(AF$2:AF404)=2,      0,IF(OR(AC405=7, AF405=2),    SUM(AE$2:AE405),    O404)   )</f>
        <v>0</v>
      </c>
      <c r="P405" s="271">
        <f ca="1">IF(D405=12,V405+P404+P404*(F405-0.003)*0.9,IF(AND(C405=ÉV!$I$2,D405=ÉV!$J$2),V405+P404+P404*(F405-0.003)*0.9*D405/12,P404))*IF(OR(C405&gt;ÉV!$I$2,AND(C405=ÉV!$I$2,D405&gt;ÉV!$J$2)),0,1)</f>
        <v>0</v>
      </c>
      <c r="Q405" s="275">
        <f ca="1">(N405+P405)*IF(OR(AND(C405=ÉV!$I$2,D405&gt;ÉV!$J$2),C405&gt;ÉV!$I$2),0,1)</f>
        <v>0</v>
      </c>
      <c r="R405" s="271">
        <f ca="1">(MAX(0,F405-E405-0.003)*0.9*((K405+I405)*(1/12)))*IF(OR(C405&gt;ÉV!$I$2,AND(C405=ÉV!$I$2,D405&gt;ÉV!$J$2)),0,1)</f>
        <v>0</v>
      </c>
      <c r="S405" s="271">
        <f ca="1">(MAX(0,F405-0.003)*0.9*((O405)*(1/12)))*IF(OR(C405&gt;ÉV!$I$2,AND(C405=ÉV!$I$2,D405&gt;ÉV!$J$2)),0,1)</f>
        <v>0</v>
      </c>
      <c r="T405" s="271">
        <f ca="1">(MAX(0,F405-0.003)*0.9*((Q404)*(1/12)))*IF(OR(C405&gt;ÉV!$I$2,AND(C405=ÉV!$I$2,D405&gt;ÉV!$J$2)),0,1)</f>
        <v>0</v>
      </c>
      <c r="U405" s="271">
        <f ca="1">IF($D405=1,R405,R405+U404)*IF(OR(C405&gt;ÉV!$I$2,AND(C405=ÉV!$I$2,D405&gt;ÉV!$J$2)),0,1)</f>
        <v>0</v>
      </c>
      <c r="V405" s="271">
        <f ca="1">IF($D405=1,S405,S405+V404)*IF(OR(C405&gt;ÉV!$I$2,AND(C405=ÉV!$I$2,D405&gt;ÉV!$J$2)),0,1)</f>
        <v>0</v>
      </c>
      <c r="W405" s="271">
        <f ca="1">IF($D405=1,T405,T405+W404)*IF(OR(C405&gt;ÉV!$I$2,AND(C405=ÉV!$I$2,D405&gt;ÉV!$J$2)),0,1)</f>
        <v>0</v>
      </c>
      <c r="X405" s="271">
        <f ca="1">IF(OR(D405=12,AND(C405=ÉV!$I$2,D405=ÉV!$J$2)),SUM(U405:W405)+X404,X404)*IF(OR(C405&gt;ÉV!$I$2,AND(C405=ÉV!$I$2,D405&gt;ÉV!$J$2)),0,1)</f>
        <v>0</v>
      </c>
      <c r="Y405" s="271">
        <f t="shared" ca="1" si="68"/>
        <v>0</v>
      </c>
      <c r="Z405" s="265">
        <f t="shared" si="69"/>
        <v>7</v>
      </c>
      <c r="AA405" s="272">
        <f t="shared" ca="1" si="70"/>
        <v>0</v>
      </c>
      <c r="AB405" s="265">
        <f t="shared" ca="1" si="76"/>
        <v>2050</v>
      </c>
      <c r="AC405" s="265">
        <f t="shared" ca="1" si="77"/>
        <v>10</v>
      </c>
      <c r="AD405" s="276">
        <f ca="1">IF(     OR(               AND(MAX(AF$6:AF405)&lt;2,  AC405=12),                 AF405=2),                   SUMIF(AB:AB,AB405,AA:AA),                       0)</f>
        <v>0</v>
      </c>
      <c r="AE405" s="277">
        <f t="shared" ca="1" si="78"/>
        <v>0</v>
      </c>
      <c r="AF405" s="277">
        <f t="shared" ca="1" si="71"/>
        <v>0</v>
      </c>
      <c r="AG405" s="402">
        <f ca="1">IF(  AND(AC405=AdóHó,   MAX(AF$1:AF404)&lt;2),   SUMIF(AB:AB,AB405-1,AE:AE),0  )
+ IF(AND(AC405&lt;AdóHó,                            AF405=2),   SUMIF(AB:AB,AB405-1,AE:AE),0  )
+ IF(                                                                  AF405=2,    SUMIF(AB:AB,AB405,AE:AE   ),0  )</f>
        <v>0</v>
      </c>
      <c r="AH405" s="272">
        <f ca="1">SUM(AG$2:AG405)</f>
        <v>1139324.2410681627</v>
      </c>
    </row>
    <row r="406" spans="1:34">
      <c r="A406" s="265">
        <f t="shared" si="72"/>
        <v>34</v>
      </c>
      <c r="B406" s="265">
        <f t="shared" si="73"/>
        <v>8</v>
      </c>
      <c r="C406" s="265">
        <f t="shared" ca="1" si="74"/>
        <v>34</v>
      </c>
      <c r="D406" s="265">
        <f t="shared" ca="1" si="75"/>
        <v>11</v>
      </c>
      <c r="E406" s="266">
        <v>5.0000000000000001E-3</v>
      </c>
      <c r="F406" s="267">
        <f>ÉV!$B$12</f>
        <v>0</v>
      </c>
      <c r="G406" s="271">
        <f ca="1">VLOOKUP(A406,ÉV!$A$18:$B$65,2,0)</f>
        <v>0</v>
      </c>
      <c r="H406" s="271">
        <f ca="1">IF(OR(A406=1,AND(C406=ÉV!$I$2,D406&gt;ÉV!$J$2),C406&gt;ÉV!$I$2),0,INDEX(Pz!$B$2:$AM$48,A406-1,ÉV!$G$2-9)/100000*ÉV!$B$10)</f>
        <v>0</v>
      </c>
      <c r="I406" s="271">
        <f ca="1">INDEX(Pz!$B$2:$AM$48,HÓ!A406,ÉV!$G$2-9)/100000*ÉV!$B$10</f>
        <v>0</v>
      </c>
      <c r="J406" s="273">
        <f ca="1">IF(OR(A406=1,A406=2,AND(C406=ÉV!$I$2,D406&gt;ÉV!$J$2),C406&gt;ÉV!$I$2),0,VLOOKUP(A406-2,ÉV!$A$18:$C$65,3,0))</f>
        <v>0</v>
      </c>
      <c r="K406" s="273">
        <f ca="1">IF(OR(A406=1,AND(C406=ÉV!$I$2,D406&gt;ÉV!$J$2),C406&gt;ÉV!$I$2),0,VLOOKUP(A406-1,ÉV!$A$18:$C$65,3,0))</f>
        <v>0</v>
      </c>
      <c r="L406" s="273">
        <f ca="1">VLOOKUP(A406,ÉV!$A$18:$C$65,3,0)*IF(OR(AND(C406=ÉV!$I$2,D406&gt;ÉV!$J$2),C406&gt;ÉV!$I$2),0,1)</f>
        <v>0</v>
      </c>
      <c r="M406" s="273">
        <f ca="1">(K406*(12-B406)/12+L406*B406/12)*IF(A406&gt;ÉV!$G$2,0,1)+IF(A406&gt;ÉV!$G$2,M405,0)*IF(OR(AND(C406=ÉV!$I$2,D406&gt;ÉV!$J$2),C406&gt;ÉV!$I$2),0,1)</f>
        <v>0</v>
      </c>
      <c r="N406" s="274">
        <f ca="1">IF(AND(C406=1,D406&lt;12),0,1)*IF(D406=12,MAX(0,F406-E406-0.003)*0.9*((K406+I406)*(B406/12)+(J406+H406)*(1-B406/12))+MAX(0,F406-0.003)*0.9*N405+N405,IF(AND(C406=ÉV!$I$2,D406=ÉV!$J$2),(M406+N405)*MAX(0,F406-0.003)*0.9*(D406/12)+N405,N405))*IF(OR(C406&gt;ÉV!$I$2,AND(C406=ÉV!$I$2,D406&gt;ÉV!$J$2)),0,1)</f>
        <v>0</v>
      </c>
      <c r="O406" s="313">
        <f ca="1">IF(MAX(AF$2:AF405)=2,      0,IF(OR(AC406=7, AF406=2),    SUM(AE$2:AE406),    O405)   )</f>
        <v>0</v>
      </c>
      <c r="P406" s="271">
        <f ca="1">IF(D406=12,V406+P405+P405*(F406-0.003)*0.9,IF(AND(C406=ÉV!$I$2,D406=ÉV!$J$2),V406+P405+P405*(F406-0.003)*0.9*D406/12,P405))*IF(OR(C406&gt;ÉV!$I$2,AND(C406=ÉV!$I$2,D406&gt;ÉV!$J$2)),0,1)</f>
        <v>0</v>
      </c>
      <c r="Q406" s="275">
        <f ca="1">(N406+P406)*IF(OR(AND(C406=ÉV!$I$2,D406&gt;ÉV!$J$2),C406&gt;ÉV!$I$2),0,1)</f>
        <v>0</v>
      </c>
      <c r="R406" s="271">
        <f ca="1">(MAX(0,F406-E406-0.003)*0.9*((K406+I406)*(1/12)))*IF(OR(C406&gt;ÉV!$I$2,AND(C406=ÉV!$I$2,D406&gt;ÉV!$J$2)),0,1)</f>
        <v>0</v>
      </c>
      <c r="S406" s="271">
        <f ca="1">(MAX(0,F406-0.003)*0.9*((O406)*(1/12)))*IF(OR(C406&gt;ÉV!$I$2,AND(C406=ÉV!$I$2,D406&gt;ÉV!$J$2)),0,1)</f>
        <v>0</v>
      </c>
      <c r="T406" s="271">
        <f ca="1">(MAX(0,F406-0.003)*0.9*((Q405)*(1/12)))*IF(OR(C406&gt;ÉV!$I$2,AND(C406=ÉV!$I$2,D406&gt;ÉV!$J$2)),0,1)</f>
        <v>0</v>
      </c>
      <c r="U406" s="271">
        <f ca="1">IF($D406=1,R406,R406+U405)*IF(OR(C406&gt;ÉV!$I$2,AND(C406=ÉV!$I$2,D406&gt;ÉV!$J$2)),0,1)</f>
        <v>0</v>
      </c>
      <c r="V406" s="271">
        <f ca="1">IF($D406=1,S406,S406+V405)*IF(OR(C406&gt;ÉV!$I$2,AND(C406=ÉV!$I$2,D406&gt;ÉV!$J$2)),0,1)</f>
        <v>0</v>
      </c>
      <c r="W406" s="271">
        <f ca="1">IF($D406=1,T406,T406+W405)*IF(OR(C406&gt;ÉV!$I$2,AND(C406=ÉV!$I$2,D406&gt;ÉV!$J$2)),0,1)</f>
        <v>0</v>
      </c>
      <c r="X406" s="271">
        <f ca="1">IF(OR(D406=12,AND(C406=ÉV!$I$2,D406=ÉV!$J$2)),SUM(U406:W406)+X405,X405)*IF(OR(C406&gt;ÉV!$I$2,AND(C406=ÉV!$I$2,D406&gt;ÉV!$J$2)),0,1)</f>
        <v>0</v>
      </c>
      <c r="Y406" s="271">
        <f t="shared" ca="1" si="68"/>
        <v>0</v>
      </c>
      <c r="Z406" s="265">
        <f t="shared" si="69"/>
        <v>8</v>
      </c>
      <c r="AA406" s="272">
        <f t="shared" ca="1" si="70"/>
        <v>0</v>
      </c>
      <c r="AB406" s="265">
        <f t="shared" ca="1" si="76"/>
        <v>2050</v>
      </c>
      <c r="AC406" s="265">
        <f t="shared" ca="1" si="77"/>
        <v>11</v>
      </c>
      <c r="AD406" s="276">
        <f ca="1">IF(     OR(               AND(MAX(AF$6:AF406)&lt;2,  AC406=12),                 AF406=2),                   SUMIF(AB:AB,AB406,AA:AA),                       0)</f>
        <v>0</v>
      </c>
      <c r="AE406" s="277">
        <f t="shared" ca="1" si="78"/>
        <v>0</v>
      </c>
      <c r="AF406" s="277">
        <f t="shared" ca="1" si="71"/>
        <v>0</v>
      </c>
      <c r="AG406" s="402">
        <f ca="1">IF(  AND(AC406=AdóHó,   MAX(AF$1:AF405)&lt;2),   SUMIF(AB:AB,AB406-1,AE:AE),0  )
+ IF(AND(AC406&lt;AdóHó,                            AF406=2),   SUMIF(AB:AB,AB406-1,AE:AE),0  )
+ IF(                                                                  AF406=2,    SUMIF(AB:AB,AB406,AE:AE   ),0  )</f>
        <v>0</v>
      </c>
      <c r="AH406" s="272">
        <f ca="1">SUM(AG$2:AG406)</f>
        <v>1139324.2410681627</v>
      </c>
    </row>
    <row r="407" spans="1:34">
      <c r="A407" s="265">
        <f t="shared" si="72"/>
        <v>34</v>
      </c>
      <c r="B407" s="265">
        <f t="shared" si="73"/>
        <v>9</v>
      </c>
      <c r="C407" s="265">
        <f t="shared" ca="1" si="74"/>
        <v>34</v>
      </c>
      <c r="D407" s="265">
        <f t="shared" ca="1" si="75"/>
        <v>12</v>
      </c>
      <c r="E407" s="266">
        <v>5.0000000000000001E-3</v>
      </c>
      <c r="F407" s="267">
        <f>ÉV!$B$12</f>
        <v>0</v>
      </c>
      <c r="G407" s="271">
        <f ca="1">VLOOKUP(A407,ÉV!$A$18:$B$65,2,0)</f>
        <v>0</v>
      </c>
      <c r="H407" s="271">
        <f ca="1">IF(OR(A407=1,AND(C407=ÉV!$I$2,D407&gt;ÉV!$J$2),C407&gt;ÉV!$I$2),0,INDEX(Pz!$B$2:$AM$48,A407-1,ÉV!$G$2-9)/100000*ÉV!$B$10)</f>
        <v>0</v>
      </c>
      <c r="I407" s="271">
        <f ca="1">INDEX(Pz!$B$2:$AM$48,HÓ!A407,ÉV!$G$2-9)/100000*ÉV!$B$10</f>
        <v>0</v>
      </c>
      <c r="J407" s="273">
        <f ca="1">IF(OR(A407=1,A407=2,AND(C407=ÉV!$I$2,D407&gt;ÉV!$J$2),C407&gt;ÉV!$I$2),0,VLOOKUP(A407-2,ÉV!$A$18:$C$65,3,0))</f>
        <v>0</v>
      </c>
      <c r="K407" s="273">
        <f ca="1">IF(OR(A407=1,AND(C407=ÉV!$I$2,D407&gt;ÉV!$J$2),C407&gt;ÉV!$I$2),0,VLOOKUP(A407-1,ÉV!$A$18:$C$65,3,0))</f>
        <v>0</v>
      </c>
      <c r="L407" s="273">
        <f ca="1">VLOOKUP(A407,ÉV!$A$18:$C$65,3,0)*IF(OR(AND(C407=ÉV!$I$2,D407&gt;ÉV!$J$2),C407&gt;ÉV!$I$2),0,1)</f>
        <v>0</v>
      </c>
      <c r="M407" s="273">
        <f ca="1">(K407*(12-B407)/12+L407*B407/12)*IF(A407&gt;ÉV!$G$2,0,1)+IF(A407&gt;ÉV!$G$2,M406,0)*IF(OR(AND(C407=ÉV!$I$2,D407&gt;ÉV!$J$2),C407&gt;ÉV!$I$2),0,1)</f>
        <v>0</v>
      </c>
      <c r="N407" s="274">
        <f ca="1">IF(AND(C407=1,D407&lt;12),0,1)*IF(D407=12,MAX(0,F407-E407-0.003)*0.9*((K407+I407)*(B407/12)+(J407+H407)*(1-B407/12))+MAX(0,F407-0.003)*0.9*N406+N406,IF(AND(C407=ÉV!$I$2,D407=ÉV!$J$2),(M407+N406)*MAX(0,F407-0.003)*0.9*(D407/12)+N406,N406))*IF(OR(C407&gt;ÉV!$I$2,AND(C407=ÉV!$I$2,D407&gt;ÉV!$J$2)),0,1)</f>
        <v>0</v>
      </c>
      <c r="O407" s="313">
        <f ca="1">IF(MAX(AF$2:AF406)=2,      0,IF(OR(AC407=7, AF407=2),    SUM(AE$2:AE407),    O406)   )</f>
        <v>0</v>
      </c>
      <c r="P407" s="271">
        <f ca="1">IF(D407=12,V407+P406+P406*(F407-0.003)*0.9,IF(AND(C407=ÉV!$I$2,D407=ÉV!$J$2),V407+P406+P406*(F407-0.003)*0.9*D407/12,P406))*IF(OR(C407&gt;ÉV!$I$2,AND(C407=ÉV!$I$2,D407&gt;ÉV!$J$2)),0,1)</f>
        <v>0</v>
      </c>
      <c r="Q407" s="275">
        <f ca="1">(N407+P407)*IF(OR(AND(C407=ÉV!$I$2,D407&gt;ÉV!$J$2),C407&gt;ÉV!$I$2),0,1)</f>
        <v>0</v>
      </c>
      <c r="R407" s="271">
        <f ca="1">(MAX(0,F407-E407-0.003)*0.9*((K407+I407)*(1/12)))*IF(OR(C407&gt;ÉV!$I$2,AND(C407=ÉV!$I$2,D407&gt;ÉV!$J$2)),0,1)</f>
        <v>0</v>
      </c>
      <c r="S407" s="271">
        <f ca="1">(MAX(0,F407-0.003)*0.9*((O407)*(1/12)))*IF(OR(C407&gt;ÉV!$I$2,AND(C407=ÉV!$I$2,D407&gt;ÉV!$J$2)),0,1)</f>
        <v>0</v>
      </c>
      <c r="T407" s="271">
        <f ca="1">(MAX(0,F407-0.003)*0.9*((Q406)*(1/12)))*IF(OR(C407&gt;ÉV!$I$2,AND(C407=ÉV!$I$2,D407&gt;ÉV!$J$2)),0,1)</f>
        <v>0</v>
      </c>
      <c r="U407" s="271">
        <f ca="1">IF($D407=1,R407,R407+U406)*IF(OR(C407&gt;ÉV!$I$2,AND(C407=ÉV!$I$2,D407&gt;ÉV!$J$2)),0,1)</f>
        <v>0</v>
      </c>
      <c r="V407" s="271">
        <f ca="1">IF($D407=1,S407,S407+V406)*IF(OR(C407&gt;ÉV!$I$2,AND(C407=ÉV!$I$2,D407&gt;ÉV!$J$2)),0,1)</f>
        <v>0</v>
      </c>
      <c r="W407" s="271">
        <f ca="1">IF($D407=1,T407,T407+W406)*IF(OR(C407&gt;ÉV!$I$2,AND(C407=ÉV!$I$2,D407&gt;ÉV!$J$2)),0,1)</f>
        <v>0</v>
      </c>
      <c r="X407" s="271">
        <f ca="1">IF(OR(D407=12,AND(C407=ÉV!$I$2,D407=ÉV!$J$2)),SUM(U407:W407)+X406,X406)*IF(OR(C407&gt;ÉV!$I$2,AND(C407=ÉV!$I$2,D407&gt;ÉV!$J$2)),0,1)</f>
        <v>0</v>
      </c>
      <c r="Y407" s="271">
        <f t="shared" ca="1" si="68"/>
        <v>0</v>
      </c>
      <c r="Z407" s="265">
        <f t="shared" si="69"/>
        <v>9</v>
      </c>
      <c r="AA407" s="272">
        <f t="shared" ca="1" si="70"/>
        <v>0</v>
      </c>
      <c r="AB407" s="265">
        <f t="shared" ca="1" si="76"/>
        <v>2050</v>
      </c>
      <c r="AC407" s="265">
        <f t="shared" ca="1" si="77"/>
        <v>12</v>
      </c>
      <c r="AD407" s="276">
        <f ca="1">IF(     OR(               AND(MAX(AF$6:AF407)&lt;2,  AC407=12),                 AF407=2),                   SUMIF(AB:AB,AB407,AA:AA),                       0)</f>
        <v>0</v>
      </c>
      <c r="AE407" s="277">
        <f t="shared" ca="1" si="78"/>
        <v>0</v>
      </c>
      <c r="AF407" s="277">
        <f t="shared" ca="1" si="71"/>
        <v>0</v>
      </c>
      <c r="AG407" s="402">
        <f ca="1">IF(  AND(AC407=AdóHó,   MAX(AF$1:AF406)&lt;2),   SUMIF(AB:AB,AB407-1,AE:AE),0  )
+ IF(AND(AC407&lt;AdóHó,                            AF407=2),   SUMIF(AB:AB,AB407-1,AE:AE),0  )
+ IF(                                                                  AF407=2,    SUMIF(AB:AB,AB407,AE:AE   ),0  )</f>
        <v>0</v>
      </c>
      <c r="AH407" s="272">
        <f ca="1">SUM(AG$2:AG407)</f>
        <v>1139324.2410681627</v>
      </c>
    </row>
    <row r="408" spans="1:34">
      <c r="A408" s="265">
        <f t="shared" si="72"/>
        <v>34</v>
      </c>
      <c r="B408" s="265">
        <f t="shared" si="73"/>
        <v>10</v>
      </c>
      <c r="C408" s="265">
        <f t="shared" ca="1" si="74"/>
        <v>35</v>
      </c>
      <c r="D408" s="265">
        <f t="shared" ca="1" si="75"/>
        <v>1</v>
      </c>
      <c r="E408" s="266">
        <v>5.0000000000000001E-3</v>
      </c>
      <c r="F408" s="267">
        <f>ÉV!$B$12</f>
        <v>0</v>
      </c>
      <c r="G408" s="271">
        <f ca="1">VLOOKUP(A408,ÉV!$A$18:$B$65,2,0)</f>
        <v>0</v>
      </c>
      <c r="H408" s="271">
        <f ca="1">IF(OR(A408=1,AND(C408=ÉV!$I$2,D408&gt;ÉV!$J$2),C408&gt;ÉV!$I$2),0,INDEX(Pz!$B$2:$AM$48,A408-1,ÉV!$G$2-9)/100000*ÉV!$B$10)</f>
        <v>0</v>
      </c>
      <c r="I408" s="271">
        <f ca="1">INDEX(Pz!$B$2:$AM$48,HÓ!A408,ÉV!$G$2-9)/100000*ÉV!$B$10</f>
        <v>0</v>
      </c>
      <c r="J408" s="273">
        <f ca="1">IF(OR(A408=1,A408=2,AND(C408=ÉV!$I$2,D408&gt;ÉV!$J$2),C408&gt;ÉV!$I$2),0,VLOOKUP(A408-2,ÉV!$A$18:$C$65,3,0))</f>
        <v>0</v>
      </c>
      <c r="K408" s="273">
        <f ca="1">IF(OR(A408=1,AND(C408=ÉV!$I$2,D408&gt;ÉV!$J$2),C408&gt;ÉV!$I$2),0,VLOOKUP(A408-1,ÉV!$A$18:$C$65,3,0))</f>
        <v>0</v>
      </c>
      <c r="L408" s="273">
        <f ca="1">VLOOKUP(A408,ÉV!$A$18:$C$65,3,0)*IF(OR(AND(C408=ÉV!$I$2,D408&gt;ÉV!$J$2),C408&gt;ÉV!$I$2),0,1)</f>
        <v>0</v>
      </c>
      <c r="M408" s="273">
        <f ca="1">(K408*(12-B408)/12+L408*B408/12)*IF(A408&gt;ÉV!$G$2,0,1)+IF(A408&gt;ÉV!$G$2,M407,0)*IF(OR(AND(C408=ÉV!$I$2,D408&gt;ÉV!$J$2),C408&gt;ÉV!$I$2),0,1)</f>
        <v>0</v>
      </c>
      <c r="N408" s="274">
        <f ca="1">IF(AND(C408=1,D408&lt;12),0,1)*IF(D408=12,MAX(0,F408-E408-0.003)*0.9*((K408+I408)*(B408/12)+(J408+H408)*(1-B408/12))+MAX(0,F408-0.003)*0.9*N407+N407,IF(AND(C408=ÉV!$I$2,D408=ÉV!$J$2),(M408+N407)*MAX(0,F408-0.003)*0.9*(D408/12)+N407,N407))*IF(OR(C408&gt;ÉV!$I$2,AND(C408=ÉV!$I$2,D408&gt;ÉV!$J$2)),0,1)</f>
        <v>0</v>
      </c>
      <c r="O408" s="313">
        <f ca="1">IF(MAX(AF$2:AF407)=2,      0,IF(OR(AC408=7, AF408=2),    SUM(AE$2:AE408),    O407)   )</f>
        <v>0</v>
      </c>
      <c r="P408" s="271">
        <f ca="1">IF(D408=12,V408+P407+P407*(F408-0.003)*0.9,IF(AND(C408=ÉV!$I$2,D408=ÉV!$J$2),V408+P407+P407*(F408-0.003)*0.9*D408/12,P407))*IF(OR(C408&gt;ÉV!$I$2,AND(C408=ÉV!$I$2,D408&gt;ÉV!$J$2)),0,1)</f>
        <v>0</v>
      </c>
      <c r="Q408" s="275">
        <f ca="1">(N408+P408)*IF(OR(AND(C408=ÉV!$I$2,D408&gt;ÉV!$J$2),C408&gt;ÉV!$I$2),0,1)</f>
        <v>0</v>
      </c>
      <c r="R408" s="271">
        <f ca="1">(MAX(0,F408-E408-0.003)*0.9*((K408+I408)*(1/12)))*IF(OR(C408&gt;ÉV!$I$2,AND(C408=ÉV!$I$2,D408&gt;ÉV!$J$2)),0,1)</f>
        <v>0</v>
      </c>
      <c r="S408" s="271">
        <f ca="1">(MAX(0,F408-0.003)*0.9*((O408)*(1/12)))*IF(OR(C408&gt;ÉV!$I$2,AND(C408=ÉV!$I$2,D408&gt;ÉV!$J$2)),0,1)</f>
        <v>0</v>
      </c>
      <c r="T408" s="271">
        <f ca="1">(MAX(0,F408-0.003)*0.9*((Q407)*(1/12)))*IF(OR(C408&gt;ÉV!$I$2,AND(C408=ÉV!$I$2,D408&gt;ÉV!$J$2)),0,1)</f>
        <v>0</v>
      </c>
      <c r="U408" s="271">
        <f ca="1">IF($D408=1,R408,R408+U407)*IF(OR(C408&gt;ÉV!$I$2,AND(C408=ÉV!$I$2,D408&gt;ÉV!$J$2)),0,1)</f>
        <v>0</v>
      </c>
      <c r="V408" s="271">
        <f ca="1">IF($D408=1,S408,S408+V407)*IF(OR(C408&gt;ÉV!$I$2,AND(C408=ÉV!$I$2,D408&gt;ÉV!$J$2)),0,1)</f>
        <v>0</v>
      </c>
      <c r="W408" s="271">
        <f ca="1">IF($D408=1,T408,T408+W407)*IF(OR(C408&gt;ÉV!$I$2,AND(C408=ÉV!$I$2,D408&gt;ÉV!$J$2)),0,1)</f>
        <v>0</v>
      </c>
      <c r="X408" s="271">
        <f ca="1">IF(OR(D408=12,AND(C408=ÉV!$I$2,D408=ÉV!$J$2)),SUM(U408:W408)+X407,X407)*IF(OR(C408&gt;ÉV!$I$2,AND(C408=ÉV!$I$2,D408&gt;ÉV!$J$2)),0,1)</f>
        <v>0</v>
      </c>
      <c r="Y408" s="271">
        <f t="shared" ca="1" si="68"/>
        <v>0</v>
      </c>
      <c r="Z408" s="265">
        <f t="shared" si="69"/>
        <v>10</v>
      </c>
      <c r="AA408" s="272">
        <f t="shared" ca="1" si="70"/>
        <v>0</v>
      </c>
      <c r="AB408" s="265">
        <f t="shared" ca="1" si="76"/>
        <v>2051</v>
      </c>
      <c r="AC408" s="265">
        <f t="shared" ca="1" si="77"/>
        <v>1</v>
      </c>
      <c r="AD408" s="276">
        <f ca="1">IF(     OR(               AND(MAX(AF$6:AF408)&lt;2,  AC408=12),                 AF408=2),                   SUMIF(AB:AB,AB408,AA:AA),                       0)</f>
        <v>0</v>
      </c>
      <c r="AE408" s="277">
        <f t="shared" ca="1" si="78"/>
        <v>0</v>
      </c>
      <c r="AF408" s="277">
        <f t="shared" ca="1" si="71"/>
        <v>0</v>
      </c>
      <c r="AG408" s="402">
        <f ca="1">IF(  AND(AC408=AdóHó,   MAX(AF$1:AF407)&lt;2),   SUMIF(AB:AB,AB408-1,AE:AE),0  )
+ IF(AND(AC408&lt;AdóHó,                            AF408=2),   SUMIF(AB:AB,AB408-1,AE:AE),0  )
+ IF(                                                                  AF408=2,    SUMIF(AB:AB,AB408,AE:AE   ),0  )</f>
        <v>0</v>
      </c>
      <c r="AH408" s="272">
        <f ca="1">SUM(AG$2:AG408)</f>
        <v>1139324.2410681627</v>
      </c>
    </row>
    <row r="409" spans="1:34">
      <c r="A409" s="265">
        <f t="shared" si="72"/>
        <v>34</v>
      </c>
      <c r="B409" s="265">
        <f t="shared" si="73"/>
        <v>11</v>
      </c>
      <c r="C409" s="265">
        <f t="shared" ca="1" si="74"/>
        <v>35</v>
      </c>
      <c r="D409" s="265">
        <f t="shared" ca="1" si="75"/>
        <v>2</v>
      </c>
      <c r="E409" s="266">
        <v>5.0000000000000001E-3</v>
      </c>
      <c r="F409" s="267">
        <f>ÉV!$B$12</f>
        <v>0</v>
      </c>
      <c r="G409" s="271">
        <f ca="1">VLOOKUP(A409,ÉV!$A$18:$B$65,2,0)</f>
        <v>0</v>
      </c>
      <c r="H409" s="271">
        <f ca="1">IF(OR(A409=1,AND(C409=ÉV!$I$2,D409&gt;ÉV!$J$2),C409&gt;ÉV!$I$2),0,INDEX(Pz!$B$2:$AM$48,A409-1,ÉV!$G$2-9)/100000*ÉV!$B$10)</f>
        <v>0</v>
      </c>
      <c r="I409" s="271">
        <f ca="1">INDEX(Pz!$B$2:$AM$48,HÓ!A409,ÉV!$G$2-9)/100000*ÉV!$B$10</f>
        <v>0</v>
      </c>
      <c r="J409" s="273">
        <f ca="1">IF(OR(A409=1,A409=2,AND(C409=ÉV!$I$2,D409&gt;ÉV!$J$2),C409&gt;ÉV!$I$2),0,VLOOKUP(A409-2,ÉV!$A$18:$C$65,3,0))</f>
        <v>0</v>
      </c>
      <c r="K409" s="273">
        <f ca="1">IF(OR(A409=1,AND(C409=ÉV!$I$2,D409&gt;ÉV!$J$2),C409&gt;ÉV!$I$2),0,VLOOKUP(A409-1,ÉV!$A$18:$C$65,3,0))</f>
        <v>0</v>
      </c>
      <c r="L409" s="273">
        <f ca="1">VLOOKUP(A409,ÉV!$A$18:$C$65,3,0)*IF(OR(AND(C409=ÉV!$I$2,D409&gt;ÉV!$J$2),C409&gt;ÉV!$I$2),0,1)</f>
        <v>0</v>
      </c>
      <c r="M409" s="273">
        <f ca="1">(K409*(12-B409)/12+L409*B409/12)*IF(A409&gt;ÉV!$G$2,0,1)+IF(A409&gt;ÉV!$G$2,M408,0)*IF(OR(AND(C409=ÉV!$I$2,D409&gt;ÉV!$J$2),C409&gt;ÉV!$I$2),0,1)</f>
        <v>0</v>
      </c>
      <c r="N409" s="274">
        <f ca="1">IF(AND(C409=1,D409&lt;12),0,1)*IF(D409=12,MAX(0,F409-E409-0.003)*0.9*((K409+I409)*(B409/12)+(J409+H409)*(1-B409/12))+MAX(0,F409-0.003)*0.9*N408+N408,IF(AND(C409=ÉV!$I$2,D409=ÉV!$J$2),(M409+N408)*MAX(0,F409-0.003)*0.9*(D409/12)+N408,N408))*IF(OR(C409&gt;ÉV!$I$2,AND(C409=ÉV!$I$2,D409&gt;ÉV!$J$2)),0,1)</f>
        <v>0</v>
      </c>
      <c r="O409" s="313">
        <f ca="1">IF(MAX(AF$2:AF408)=2,      0,IF(OR(AC409=7, AF409=2),    SUM(AE$2:AE409),    O408)   )</f>
        <v>0</v>
      </c>
      <c r="P409" s="271">
        <f ca="1">IF(D409=12,V409+P408+P408*(F409-0.003)*0.9,IF(AND(C409=ÉV!$I$2,D409=ÉV!$J$2),V409+P408+P408*(F409-0.003)*0.9*D409/12,P408))*IF(OR(C409&gt;ÉV!$I$2,AND(C409=ÉV!$I$2,D409&gt;ÉV!$J$2)),0,1)</f>
        <v>0</v>
      </c>
      <c r="Q409" s="275">
        <f ca="1">(N409+P409)*IF(OR(AND(C409=ÉV!$I$2,D409&gt;ÉV!$J$2),C409&gt;ÉV!$I$2),0,1)</f>
        <v>0</v>
      </c>
      <c r="R409" s="271">
        <f ca="1">(MAX(0,F409-E409-0.003)*0.9*((K409+I409)*(1/12)))*IF(OR(C409&gt;ÉV!$I$2,AND(C409=ÉV!$I$2,D409&gt;ÉV!$J$2)),0,1)</f>
        <v>0</v>
      </c>
      <c r="S409" s="271">
        <f ca="1">(MAX(0,F409-0.003)*0.9*((O409)*(1/12)))*IF(OR(C409&gt;ÉV!$I$2,AND(C409=ÉV!$I$2,D409&gt;ÉV!$J$2)),0,1)</f>
        <v>0</v>
      </c>
      <c r="T409" s="271">
        <f ca="1">(MAX(0,F409-0.003)*0.9*((Q408)*(1/12)))*IF(OR(C409&gt;ÉV!$I$2,AND(C409=ÉV!$I$2,D409&gt;ÉV!$J$2)),0,1)</f>
        <v>0</v>
      </c>
      <c r="U409" s="271">
        <f ca="1">IF($D409=1,R409,R409+U408)*IF(OR(C409&gt;ÉV!$I$2,AND(C409=ÉV!$I$2,D409&gt;ÉV!$J$2)),0,1)</f>
        <v>0</v>
      </c>
      <c r="V409" s="271">
        <f ca="1">IF($D409=1,S409,S409+V408)*IF(OR(C409&gt;ÉV!$I$2,AND(C409=ÉV!$I$2,D409&gt;ÉV!$J$2)),0,1)</f>
        <v>0</v>
      </c>
      <c r="W409" s="271">
        <f ca="1">IF($D409=1,T409,T409+W408)*IF(OR(C409&gt;ÉV!$I$2,AND(C409=ÉV!$I$2,D409&gt;ÉV!$J$2)),0,1)</f>
        <v>0</v>
      </c>
      <c r="X409" s="271">
        <f ca="1">IF(OR(D409=12,AND(C409=ÉV!$I$2,D409=ÉV!$J$2)),SUM(U409:W409)+X408,X408)*IF(OR(C409&gt;ÉV!$I$2,AND(C409=ÉV!$I$2,D409&gt;ÉV!$J$2)),0,1)</f>
        <v>0</v>
      </c>
      <c r="Y409" s="271">
        <f t="shared" ca="1" si="68"/>
        <v>0</v>
      </c>
      <c r="Z409" s="265">
        <f t="shared" si="69"/>
        <v>11</v>
      </c>
      <c r="AA409" s="272">
        <f t="shared" ca="1" si="70"/>
        <v>0</v>
      </c>
      <c r="AB409" s="265">
        <f t="shared" ca="1" si="76"/>
        <v>2051</v>
      </c>
      <c r="AC409" s="265">
        <f t="shared" ca="1" si="77"/>
        <v>2</v>
      </c>
      <c r="AD409" s="276">
        <f ca="1">IF(     OR(               AND(MAX(AF$6:AF409)&lt;2,  AC409=12),                 AF409=2),                   SUMIF(AB:AB,AB409,AA:AA),                       0)</f>
        <v>0</v>
      </c>
      <c r="AE409" s="277">
        <f t="shared" ca="1" si="78"/>
        <v>0</v>
      </c>
      <c r="AF409" s="277">
        <f t="shared" ca="1" si="71"/>
        <v>0</v>
      </c>
      <c r="AG409" s="402">
        <f ca="1">IF(  AND(AC409=AdóHó,   MAX(AF$1:AF408)&lt;2),   SUMIF(AB:AB,AB409-1,AE:AE),0  )
+ IF(AND(AC409&lt;AdóHó,                            AF409=2),   SUMIF(AB:AB,AB409-1,AE:AE),0  )
+ IF(                                                                  AF409=2,    SUMIF(AB:AB,AB409,AE:AE   ),0  )</f>
        <v>0</v>
      </c>
      <c r="AH409" s="272">
        <f ca="1">SUM(AG$2:AG409)</f>
        <v>1139324.2410681627</v>
      </c>
    </row>
    <row r="410" spans="1:34">
      <c r="A410" s="265">
        <f t="shared" si="72"/>
        <v>34</v>
      </c>
      <c r="B410" s="265">
        <f t="shared" si="73"/>
        <v>12</v>
      </c>
      <c r="C410" s="265">
        <f t="shared" ca="1" si="74"/>
        <v>35</v>
      </c>
      <c r="D410" s="265">
        <f t="shared" ca="1" si="75"/>
        <v>3</v>
      </c>
      <c r="E410" s="266">
        <v>5.0000000000000001E-3</v>
      </c>
      <c r="F410" s="267">
        <f>ÉV!$B$12</f>
        <v>0</v>
      </c>
      <c r="G410" s="271">
        <f ca="1">VLOOKUP(A410,ÉV!$A$18:$B$65,2,0)</f>
        <v>0</v>
      </c>
      <c r="H410" s="271">
        <f ca="1">IF(OR(A410=1,AND(C410=ÉV!$I$2,D410&gt;ÉV!$J$2),C410&gt;ÉV!$I$2),0,INDEX(Pz!$B$2:$AM$48,A410-1,ÉV!$G$2-9)/100000*ÉV!$B$10)</f>
        <v>0</v>
      </c>
      <c r="I410" s="271">
        <f ca="1">INDEX(Pz!$B$2:$AM$48,HÓ!A410,ÉV!$G$2-9)/100000*ÉV!$B$10</f>
        <v>0</v>
      </c>
      <c r="J410" s="273">
        <f ca="1">IF(OR(A410=1,A410=2,AND(C410=ÉV!$I$2,D410&gt;ÉV!$J$2),C410&gt;ÉV!$I$2),0,VLOOKUP(A410-2,ÉV!$A$18:$C$65,3,0))</f>
        <v>0</v>
      </c>
      <c r="K410" s="273">
        <f ca="1">IF(OR(A410=1,AND(C410=ÉV!$I$2,D410&gt;ÉV!$J$2),C410&gt;ÉV!$I$2),0,VLOOKUP(A410-1,ÉV!$A$18:$C$65,3,0))</f>
        <v>0</v>
      </c>
      <c r="L410" s="273">
        <f ca="1">VLOOKUP(A410,ÉV!$A$18:$C$65,3,0)*IF(OR(AND(C410=ÉV!$I$2,D410&gt;ÉV!$J$2),C410&gt;ÉV!$I$2),0,1)</f>
        <v>0</v>
      </c>
      <c r="M410" s="273">
        <f ca="1">(K410*(12-B410)/12+L410*B410/12)*IF(A410&gt;ÉV!$G$2,0,1)+IF(A410&gt;ÉV!$G$2,M409,0)*IF(OR(AND(C410=ÉV!$I$2,D410&gt;ÉV!$J$2),C410&gt;ÉV!$I$2),0,1)</f>
        <v>0</v>
      </c>
      <c r="N410" s="274">
        <f ca="1">IF(AND(C410=1,D410&lt;12),0,1)*IF(D410=12,MAX(0,F410-E410-0.003)*0.9*((K410+I410)*(B410/12)+(J410+H410)*(1-B410/12))+MAX(0,F410-0.003)*0.9*N409+N409,IF(AND(C410=ÉV!$I$2,D410=ÉV!$J$2),(M410+N409)*MAX(0,F410-0.003)*0.9*(D410/12)+N409,N409))*IF(OR(C410&gt;ÉV!$I$2,AND(C410=ÉV!$I$2,D410&gt;ÉV!$J$2)),0,1)</f>
        <v>0</v>
      </c>
      <c r="O410" s="313">
        <f ca="1">IF(MAX(AF$2:AF409)=2,      0,IF(OR(AC410=7, AF410=2),    SUM(AE$2:AE410),    O409)   )</f>
        <v>0</v>
      </c>
      <c r="P410" s="271">
        <f ca="1">IF(D410=12,V410+P409+P409*(F410-0.003)*0.9,IF(AND(C410=ÉV!$I$2,D410=ÉV!$J$2),V410+P409+P409*(F410-0.003)*0.9*D410/12,P409))*IF(OR(C410&gt;ÉV!$I$2,AND(C410=ÉV!$I$2,D410&gt;ÉV!$J$2)),0,1)</f>
        <v>0</v>
      </c>
      <c r="Q410" s="275">
        <f ca="1">(N410+P410)*IF(OR(AND(C410=ÉV!$I$2,D410&gt;ÉV!$J$2),C410&gt;ÉV!$I$2),0,1)</f>
        <v>0</v>
      </c>
      <c r="R410" s="271">
        <f ca="1">(MAX(0,F410-E410-0.003)*0.9*((K410+I410)*(1/12)))*IF(OR(C410&gt;ÉV!$I$2,AND(C410=ÉV!$I$2,D410&gt;ÉV!$J$2)),0,1)</f>
        <v>0</v>
      </c>
      <c r="S410" s="271">
        <f ca="1">(MAX(0,F410-0.003)*0.9*((O410)*(1/12)))*IF(OR(C410&gt;ÉV!$I$2,AND(C410=ÉV!$I$2,D410&gt;ÉV!$J$2)),0,1)</f>
        <v>0</v>
      </c>
      <c r="T410" s="271">
        <f ca="1">(MAX(0,F410-0.003)*0.9*((Q409)*(1/12)))*IF(OR(C410&gt;ÉV!$I$2,AND(C410=ÉV!$I$2,D410&gt;ÉV!$J$2)),0,1)</f>
        <v>0</v>
      </c>
      <c r="U410" s="271">
        <f ca="1">IF($D410=1,R410,R410+U409)*IF(OR(C410&gt;ÉV!$I$2,AND(C410=ÉV!$I$2,D410&gt;ÉV!$J$2)),0,1)</f>
        <v>0</v>
      </c>
      <c r="V410" s="271">
        <f ca="1">IF($D410=1,S410,S410+V409)*IF(OR(C410&gt;ÉV!$I$2,AND(C410=ÉV!$I$2,D410&gt;ÉV!$J$2)),0,1)</f>
        <v>0</v>
      </c>
      <c r="W410" s="271">
        <f ca="1">IF($D410=1,T410,T410+W409)*IF(OR(C410&gt;ÉV!$I$2,AND(C410=ÉV!$I$2,D410&gt;ÉV!$J$2)),0,1)</f>
        <v>0</v>
      </c>
      <c r="X410" s="271">
        <f ca="1">IF(OR(D410=12,AND(C410=ÉV!$I$2,D410=ÉV!$J$2)),SUM(U410:W410)+X409,X409)*IF(OR(C410&gt;ÉV!$I$2,AND(C410=ÉV!$I$2,D410&gt;ÉV!$J$2)),0,1)</f>
        <v>0</v>
      </c>
      <c r="Y410" s="271">
        <f t="shared" ca="1" si="68"/>
        <v>0</v>
      </c>
      <c r="Z410" s="265">
        <f t="shared" si="69"/>
        <v>12</v>
      </c>
      <c r="AA410" s="272">
        <f t="shared" ca="1" si="70"/>
        <v>0</v>
      </c>
      <c r="AB410" s="265">
        <f t="shared" ca="1" si="76"/>
        <v>2051</v>
      </c>
      <c r="AC410" s="265">
        <f t="shared" ca="1" si="77"/>
        <v>3</v>
      </c>
      <c r="AD410" s="276">
        <f ca="1">IF(     OR(               AND(MAX(AF$6:AF410)&lt;2,  AC410=12),                 AF410=2),                   SUMIF(AB:AB,AB410,AA:AA),                       0)</f>
        <v>0</v>
      </c>
      <c r="AE410" s="277">
        <f t="shared" ca="1" si="78"/>
        <v>0</v>
      </c>
      <c r="AF410" s="277">
        <f t="shared" ca="1" si="71"/>
        <v>0</v>
      </c>
      <c r="AG410" s="402">
        <f ca="1">IF(  AND(AC410=AdóHó,   MAX(AF$1:AF409)&lt;2),   SUMIF(AB:AB,AB410-1,AE:AE),0  )
+ IF(AND(AC410&lt;AdóHó,                            AF410=2),   SUMIF(AB:AB,AB410-1,AE:AE),0  )
+ IF(                                                                  AF410=2,    SUMIF(AB:AB,AB410,AE:AE   ),0  )</f>
        <v>0</v>
      </c>
      <c r="AH410" s="272">
        <f ca="1">SUM(AG$2:AG410)</f>
        <v>1139324.2410681627</v>
      </c>
    </row>
    <row r="411" spans="1:34">
      <c r="A411" s="265">
        <f t="shared" si="72"/>
        <v>35</v>
      </c>
      <c r="B411" s="265">
        <f t="shared" si="73"/>
        <v>1</v>
      </c>
      <c r="C411" s="265">
        <f t="shared" ca="1" si="74"/>
        <v>35</v>
      </c>
      <c r="D411" s="265">
        <f t="shared" ca="1" si="75"/>
        <v>4</v>
      </c>
      <c r="E411" s="266">
        <v>5.0000000000000001E-3</v>
      </c>
      <c r="F411" s="267">
        <f>ÉV!$B$12</f>
        <v>0</v>
      </c>
      <c r="G411" s="271">
        <f ca="1">VLOOKUP(A411,ÉV!$A$18:$B$65,2,0)</f>
        <v>0</v>
      </c>
      <c r="H411" s="271">
        <f ca="1">IF(OR(A411=1,AND(C411=ÉV!$I$2,D411&gt;ÉV!$J$2),C411&gt;ÉV!$I$2),0,INDEX(Pz!$B$2:$AM$48,A411-1,ÉV!$G$2-9)/100000*ÉV!$B$10)</f>
        <v>0</v>
      </c>
      <c r="I411" s="271">
        <f ca="1">INDEX(Pz!$B$2:$AM$48,HÓ!A411,ÉV!$G$2-9)/100000*ÉV!$B$10</f>
        <v>0</v>
      </c>
      <c r="J411" s="273">
        <f ca="1">IF(OR(A411=1,A411=2,AND(C411=ÉV!$I$2,D411&gt;ÉV!$J$2),C411&gt;ÉV!$I$2),0,VLOOKUP(A411-2,ÉV!$A$18:$C$65,3,0))</f>
        <v>0</v>
      </c>
      <c r="K411" s="273">
        <f ca="1">IF(OR(A411=1,AND(C411=ÉV!$I$2,D411&gt;ÉV!$J$2),C411&gt;ÉV!$I$2),0,VLOOKUP(A411-1,ÉV!$A$18:$C$65,3,0))</f>
        <v>0</v>
      </c>
      <c r="L411" s="273">
        <f ca="1">VLOOKUP(A411,ÉV!$A$18:$C$65,3,0)*IF(OR(AND(C411=ÉV!$I$2,D411&gt;ÉV!$J$2),C411&gt;ÉV!$I$2),0,1)</f>
        <v>0</v>
      </c>
      <c r="M411" s="273">
        <f ca="1">(K411*(12-B411)/12+L411*B411/12)*IF(A411&gt;ÉV!$G$2,0,1)+IF(A411&gt;ÉV!$G$2,M410,0)*IF(OR(AND(C411=ÉV!$I$2,D411&gt;ÉV!$J$2),C411&gt;ÉV!$I$2),0,1)</f>
        <v>0</v>
      </c>
      <c r="N411" s="274">
        <f ca="1">IF(AND(C411=1,D411&lt;12),0,1)*IF(D411=12,MAX(0,F411-E411-0.003)*0.9*((K411+I411)*(B411/12)+(J411+H411)*(1-B411/12))+MAX(0,F411-0.003)*0.9*N410+N410,IF(AND(C411=ÉV!$I$2,D411=ÉV!$J$2),(M411+N410)*MAX(0,F411-0.003)*0.9*(D411/12)+N410,N410))*IF(OR(C411&gt;ÉV!$I$2,AND(C411=ÉV!$I$2,D411&gt;ÉV!$J$2)),0,1)</f>
        <v>0</v>
      </c>
      <c r="O411" s="313">
        <f ca="1">IF(MAX(AF$2:AF410)=2,      0,IF(OR(AC411=7, AF411=2),    SUM(AE$2:AE411),    O410)   )</f>
        <v>0</v>
      </c>
      <c r="P411" s="271">
        <f ca="1">IF(D411=12,V411+P410+P410*(F411-0.003)*0.9,IF(AND(C411=ÉV!$I$2,D411=ÉV!$J$2),V411+P410+P410*(F411-0.003)*0.9*D411/12,P410))*IF(OR(C411&gt;ÉV!$I$2,AND(C411=ÉV!$I$2,D411&gt;ÉV!$J$2)),0,1)</f>
        <v>0</v>
      </c>
      <c r="Q411" s="275">
        <f ca="1">(N411+P411)*IF(OR(AND(C411=ÉV!$I$2,D411&gt;ÉV!$J$2),C411&gt;ÉV!$I$2),0,1)</f>
        <v>0</v>
      </c>
      <c r="R411" s="271">
        <f ca="1">(MAX(0,F411-E411-0.003)*0.9*((K411+I411)*(1/12)))*IF(OR(C411&gt;ÉV!$I$2,AND(C411=ÉV!$I$2,D411&gt;ÉV!$J$2)),0,1)</f>
        <v>0</v>
      </c>
      <c r="S411" s="271">
        <f ca="1">(MAX(0,F411-0.003)*0.9*((O411)*(1/12)))*IF(OR(C411&gt;ÉV!$I$2,AND(C411=ÉV!$I$2,D411&gt;ÉV!$J$2)),0,1)</f>
        <v>0</v>
      </c>
      <c r="T411" s="271">
        <f ca="1">(MAX(0,F411-0.003)*0.9*((Q410)*(1/12)))*IF(OR(C411&gt;ÉV!$I$2,AND(C411=ÉV!$I$2,D411&gt;ÉV!$J$2)),0,1)</f>
        <v>0</v>
      </c>
      <c r="U411" s="271">
        <f ca="1">IF($D411=1,R411,R411+U410)*IF(OR(C411&gt;ÉV!$I$2,AND(C411=ÉV!$I$2,D411&gt;ÉV!$J$2)),0,1)</f>
        <v>0</v>
      </c>
      <c r="V411" s="271">
        <f ca="1">IF($D411=1,S411,S411+V410)*IF(OR(C411&gt;ÉV!$I$2,AND(C411=ÉV!$I$2,D411&gt;ÉV!$J$2)),0,1)</f>
        <v>0</v>
      </c>
      <c r="W411" s="271">
        <f ca="1">IF($D411=1,T411,T411+W410)*IF(OR(C411&gt;ÉV!$I$2,AND(C411=ÉV!$I$2,D411&gt;ÉV!$J$2)),0,1)</f>
        <v>0</v>
      </c>
      <c r="X411" s="271">
        <f ca="1">IF(OR(D411=12,AND(C411=ÉV!$I$2,D411=ÉV!$J$2)),SUM(U411:W411)+X410,X410)*IF(OR(C411&gt;ÉV!$I$2,AND(C411=ÉV!$I$2,D411&gt;ÉV!$J$2)),0,1)</f>
        <v>0</v>
      </c>
      <c r="Y411" s="271">
        <f ca="1">X411-Q411</f>
        <v>0</v>
      </c>
      <c r="Z411" s="265">
        <f t="shared" si="69"/>
        <v>1</v>
      </c>
      <c r="AA411" s="272">
        <f t="shared" ca="1" si="70"/>
        <v>0</v>
      </c>
      <c r="AB411" s="265">
        <f t="shared" ca="1" si="76"/>
        <v>2051</v>
      </c>
      <c r="AC411" s="265">
        <f t="shared" ca="1" si="77"/>
        <v>4</v>
      </c>
      <c r="AD411" s="276">
        <f ca="1">IF(     OR(               AND(MAX(AF$6:AF411)&lt;2,  AC411=12),                 AF411=2),                   SUMIF(AB:AB,AB411,AA:AA),                       0)</f>
        <v>0</v>
      </c>
      <c r="AE411" s="277">
        <f t="shared" ca="1" si="78"/>
        <v>0</v>
      </c>
      <c r="AF411" s="277">
        <f t="shared" ca="1" si="71"/>
        <v>0</v>
      </c>
      <c r="AG411" s="402">
        <f ca="1">IF(  AND(AC411=AdóHó,   MAX(AF$1:AF410)&lt;2),   SUMIF(AB:AB,AB411-1,AE:AE),0  )
+ IF(AND(AC411&lt;AdóHó,                            AF411=2),   SUMIF(AB:AB,AB411-1,AE:AE),0  )
+ IF(                                                                  AF411=2,    SUMIF(AB:AB,AB411,AE:AE   ),0  )</f>
        <v>0</v>
      </c>
      <c r="AH411" s="272">
        <f ca="1">SUM(AG$2:AG411)</f>
        <v>1139324.2410681627</v>
      </c>
    </row>
    <row r="412" spans="1:34">
      <c r="A412" s="265">
        <f t="shared" si="72"/>
        <v>35</v>
      </c>
      <c r="B412" s="265">
        <f t="shared" si="73"/>
        <v>2</v>
      </c>
      <c r="C412" s="265">
        <f t="shared" ca="1" si="74"/>
        <v>35</v>
      </c>
      <c r="D412" s="265">
        <f t="shared" ca="1" si="75"/>
        <v>5</v>
      </c>
      <c r="E412" s="266">
        <v>5.0000000000000001E-3</v>
      </c>
      <c r="F412" s="267">
        <f>ÉV!$B$12</f>
        <v>0</v>
      </c>
      <c r="G412" s="271">
        <f ca="1">VLOOKUP(A412,ÉV!$A$18:$B$65,2,0)</f>
        <v>0</v>
      </c>
      <c r="H412" s="271">
        <f ca="1">IF(OR(A412=1,AND(C412=ÉV!$I$2,D412&gt;ÉV!$J$2),C412&gt;ÉV!$I$2),0,INDEX(Pz!$B$2:$AM$48,A412-1,ÉV!$G$2-9)/100000*ÉV!$B$10)</f>
        <v>0</v>
      </c>
      <c r="I412" s="271">
        <f ca="1">INDEX(Pz!$B$2:$AM$48,HÓ!A412,ÉV!$G$2-9)/100000*ÉV!$B$10</f>
        <v>0</v>
      </c>
      <c r="J412" s="273">
        <f ca="1">IF(OR(A412=1,A412=2,AND(C412=ÉV!$I$2,D412&gt;ÉV!$J$2),C412&gt;ÉV!$I$2),0,VLOOKUP(A412-2,ÉV!$A$18:$C$65,3,0))</f>
        <v>0</v>
      </c>
      <c r="K412" s="273">
        <f ca="1">IF(OR(A412=1,AND(C412=ÉV!$I$2,D412&gt;ÉV!$J$2),C412&gt;ÉV!$I$2),0,VLOOKUP(A412-1,ÉV!$A$18:$C$65,3,0))</f>
        <v>0</v>
      </c>
      <c r="L412" s="273">
        <f ca="1">VLOOKUP(A412,ÉV!$A$18:$C$65,3,0)*IF(OR(AND(C412=ÉV!$I$2,D412&gt;ÉV!$J$2),C412&gt;ÉV!$I$2),0,1)</f>
        <v>0</v>
      </c>
      <c r="M412" s="273">
        <f ca="1">(K412*(12-B412)/12+L412*B412/12)*IF(A412&gt;ÉV!$G$2,0,1)+IF(A412&gt;ÉV!$G$2,M411,0)*IF(OR(AND(C412=ÉV!$I$2,D412&gt;ÉV!$J$2),C412&gt;ÉV!$I$2),0,1)</f>
        <v>0</v>
      </c>
      <c r="N412" s="274">
        <f ca="1">IF(AND(C412=1,D412&lt;12),0,1)*IF(D412=12,MAX(0,F412-E412-0.003)*0.9*((K412+I412)*(B412/12)+(J412+H412)*(1-B412/12))+MAX(0,F412-0.003)*0.9*N411+N411,IF(AND(C412=ÉV!$I$2,D412=ÉV!$J$2),(M412+N411)*MAX(0,F412-0.003)*0.9*(D412/12)+N411,N411))*IF(OR(C412&gt;ÉV!$I$2,AND(C412=ÉV!$I$2,D412&gt;ÉV!$J$2)),0,1)</f>
        <v>0</v>
      </c>
      <c r="O412" s="313">
        <f ca="1">IF(MAX(AF$2:AF411)=2,      0,IF(OR(AC412=7, AF412=2),    SUM(AE$2:AE412),    O411)   )</f>
        <v>0</v>
      </c>
      <c r="P412" s="271">
        <f ca="1">IF(D412=12,V412+P411+P411*(F412-0.003)*0.9,IF(AND(C412=ÉV!$I$2,D412=ÉV!$J$2),V412+P411+P411*(F412-0.003)*0.9*D412/12,P411))*IF(OR(C412&gt;ÉV!$I$2,AND(C412=ÉV!$I$2,D412&gt;ÉV!$J$2)),0,1)</f>
        <v>0</v>
      </c>
      <c r="Q412" s="275">
        <f ca="1">(N412+P412)*IF(OR(AND(C412=ÉV!$I$2,D412&gt;ÉV!$J$2),C412&gt;ÉV!$I$2),0,1)</f>
        <v>0</v>
      </c>
      <c r="R412" s="271">
        <f ca="1">(MAX(0,F412-E412-0.003)*0.9*((K412+I412)*(1/12)))*IF(OR(C412&gt;ÉV!$I$2,AND(C412=ÉV!$I$2,D412&gt;ÉV!$J$2)),0,1)</f>
        <v>0</v>
      </c>
      <c r="S412" s="271">
        <f ca="1">(MAX(0,F412-0.003)*0.9*((O412)*(1/12)))*IF(OR(C412&gt;ÉV!$I$2,AND(C412=ÉV!$I$2,D412&gt;ÉV!$J$2)),0,1)</f>
        <v>0</v>
      </c>
      <c r="T412" s="271">
        <f ca="1">(MAX(0,F412-0.003)*0.9*((Q411)*(1/12)))*IF(OR(C412&gt;ÉV!$I$2,AND(C412=ÉV!$I$2,D412&gt;ÉV!$J$2)),0,1)</f>
        <v>0</v>
      </c>
      <c r="U412" s="271">
        <f ca="1">IF($D412=1,R412,R412+U411)*IF(OR(C412&gt;ÉV!$I$2,AND(C412=ÉV!$I$2,D412&gt;ÉV!$J$2)),0,1)</f>
        <v>0</v>
      </c>
      <c r="V412" s="271">
        <f ca="1">IF($D412=1,S412,S412+V411)*IF(OR(C412&gt;ÉV!$I$2,AND(C412=ÉV!$I$2,D412&gt;ÉV!$J$2)),0,1)</f>
        <v>0</v>
      </c>
      <c r="W412" s="271">
        <f ca="1">IF($D412=1,T412,T412+W411)*IF(OR(C412&gt;ÉV!$I$2,AND(C412=ÉV!$I$2,D412&gt;ÉV!$J$2)),0,1)</f>
        <v>0</v>
      </c>
      <c r="X412" s="271">
        <f ca="1">IF(OR(D412=12,AND(C412=ÉV!$I$2,D412=ÉV!$J$2)),SUM(U412:W412)+X411,X411)*IF(OR(C412&gt;ÉV!$I$2,AND(C412=ÉV!$I$2,D412&gt;ÉV!$J$2)),0,1)</f>
        <v>0</v>
      </c>
      <c r="Y412" s="271">
        <f t="shared" ca="1" si="68"/>
        <v>0</v>
      </c>
      <c r="Z412" s="265">
        <f t="shared" si="69"/>
        <v>2</v>
      </c>
      <c r="AA412" s="272">
        <f t="shared" ca="1" si="70"/>
        <v>0</v>
      </c>
      <c r="AB412" s="265">
        <f t="shared" ca="1" si="76"/>
        <v>2051</v>
      </c>
      <c r="AC412" s="265">
        <f t="shared" ca="1" si="77"/>
        <v>5</v>
      </c>
      <c r="AD412" s="276">
        <f ca="1">IF(     OR(               AND(MAX(AF$6:AF412)&lt;2,  AC412=12),                 AF412=2),                   SUMIF(AB:AB,AB412,AA:AA),                       0)</f>
        <v>0</v>
      </c>
      <c r="AE412" s="277">
        <f t="shared" ca="1" si="78"/>
        <v>0</v>
      </c>
      <c r="AF412" s="277">
        <f t="shared" ca="1" si="71"/>
        <v>0</v>
      </c>
      <c r="AG412" s="402">
        <f ca="1">IF(  AND(AC412=AdóHó,   MAX(AF$1:AF411)&lt;2),   SUMIF(AB:AB,AB412-1,AE:AE),0  )
+ IF(AND(AC412&lt;AdóHó,                            AF412=2),   SUMIF(AB:AB,AB412-1,AE:AE),0  )
+ IF(                                                                  AF412=2,    SUMIF(AB:AB,AB412,AE:AE   ),0  )</f>
        <v>0</v>
      </c>
      <c r="AH412" s="272">
        <f ca="1">SUM(AG$2:AG412)</f>
        <v>1139324.2410681627</v>
      </c>
    </row>
    <row r="413" spans="1:34">
      <c r="A413" s="265">
        <f t="shared" si="72"/>
        <v>35</v>
      </c>
      <c r="B413" s="265">
        <f t="shared" si="73"/>
        <v>3</v>
      </c>
      <c r="C413" s="265">
        <f t="shared" ca="1" si="74"/>
        <v>35</v>
      </c>
      <c r="D413" s="265">
        <f t="shared" ca="1" si="75"/>
        <v>6</v>
      </c>
      <c r="E413" s="266">
        <v>5.0000000000000001E-3</v>
      </c>
      <c r="F413" s="267">
        <f>ÉV!$B$12</f>
        <v>0</v>
      </c>
      <c r="G413" s="271">
        <f ca="1">VLOOKUP(A413,ÉV!$A$18:$B$65,2,0)</f>
        <v>0</v>
      </c>
      <c r="H413" s="271">
        <f ca="1">IF(OR(A413=1,AND(C413=ÉV!$I$2,D413&gt;ÉV!$J$2),C413&gt;ÉV!$I$2),0,INDEX(Pz!$B$2:$AM$48,A413-1,ÉV!$G$2-9)/100000*ÉV!$B$10)</f>
        <v>0</v>
      </c>
      <c r="I413" s="271">
        <f ca="1">INDEX(Pz!$B$2:$AM$48,HÓ!A413,ÉV!$G$2-9)/100000*ÉV!$B$10</f>
        <v>0</v>
      </c>
      <c r="J413" s="273">
        <f ca="1">IF(OR(A413=1,A413=2,AND(C413=ÉV!$I$2,D413&gt;ÉV!$J$2),C413&gt;ÉV!$I$2),0,VLOOKUP(A413-2,ÉV!$A$18:$C$65,3,0))</f>
        <v>0</v>
      </c>
      <c r="K413" s="273">
        <f ca="1">IF(OR(A413=1,AND(C413=ÉV!$I$2,D413&gt;ÉV!$J$2),C413&gt;ÉV!$I$2),0,VLOOKUP(A413-1,ÉV!$A$18:$C$65,3,0))</f>
        <v>0</v>
      </c>
      <c r="L413" s="273">
        <f ca="1">VLOOKUP(A413,ÉV!$A$18:$C$65,3,0)*IF(OR(AND(C413=ÉV!$I$2,D413&gt;ÉV!$J$2),C413&gt;ÉV!$I$2),0,1)</f>
        <v>0</v>
      </c>
      <c r="M413" s="273">
        <f ca="1">(K413*(12-B413)/12+L413*B413/12)*IF(A413&gt;ÉV!$G$2,0,1)+IF(A413&gt;ÉV!$G$2,M412,0)*IF(OR(AND(C413=ÉV!$I$2,D413&gt;ÉV!$J$2),C413&gt;ÉV!$I$2),0,1)</f>
        <v>0</v>
      </c>
      <c r="N413" s="274">
        <f ca="1">IF(AND(C413=1,D413&lt;12),0,1)*IF(D413=12,MAX(0,F413-E413-0.003)*0.9*((K413+I413)*(B413/12)+(J413+H413)*(1-B413/12))+MAX(0,F413-0.003)*0.9*N412+N412,IF(AND(C413=ÉV!$I$2,D413=ÉV!$J$2),(M413+N412)*MAX(0,F413-0.003)*0.9*(D413/12)+N412,N412))*IF(OR(C413&gt;ÉV!$I$2,AND(C413=ÉV!$I$2,D413&gt;ÉV!$J$2)),0,1)</f>
        <v>0</v>
      </c>
      <c r="O413" s="313">
        <f ca="1">IF(MAX(AF$2:AF412)=2,      0,IF(OR(AC413=7, AF413=2),    SUM(AE$2:AE413),    O412)   )</f>
        <v>0</v>
      </c>
      <c r="P413" s="271">
        <f ca="1">IF(D413=12,V413+P412+P412*(F413-0.003)*0.9,IF(AND(C413=ÉV!$I$2,D413=ÉV!$J$2),V413+P412+P412*(F413-0.003)*0.9*D413/12,P412))*IF(OR(C413&gt;ÉV!$I$2,AND(C413=ÉV!$I$2,D413&gt;ÉV!$J$2)),0,1)</f>
        <v>0</v>
      </c>
      <c r="Q413" s="275">
        <f ca="1">(N413+P413)*IF(OR(AND(C413=ÉV!$I$2,D413&gt;ÉV!$J$2),C413&gt;ÉV!$I$2),0,1)</f>
        <v>0</v>
      </c>
      <c r="R413" s="271">
        <f ca="1">(MAX(0,F413-E413-0.003)*0.9*((K413+I413)*(1/12)))*IF(OR(C413&gt;ÉV!$I$2,AND(C413=ÉV!$I$2,D413&gt;ÉV!$J$2)),0,1)</f>
        <v>0</v>
      </c>
      <c r="S413" s="271">
        <f ca="1">(MAX(0,F413-0.003)*0.9*((O413)*(1/12)))*IF(OR(C413&gt;ÉV!$I$2,AND(C413=ÉV!$I$2,D413&gt;ÉV!$J$2)),0,1)</f>
        <v>0</v>
      </c>
      <c r="T413" s="271">
        <f ca="1">(MAX(0,F413-0.003)*0.9*((Q412)*(1/12)))*IF(OR(C413&gt;ÉV!$I$2,AND(C413=ÉV!$I$2,D413&gt;ÉV!$J$2)),0,1)</f>
        <v>0</v>
      </c>
      <c r="U413" s="271">
        <f ca="1">IF($D413=1,R413,R413+U412)*IF(OR(C413&gt;ÉV!$I$2,AND(C413=ÉV!$I$2,D413&gt;ÉV!$J$2)),0,1)</f>
        <v>0</v>
      </c>
      <c r="V413" s="271">
        <f ca="1">IF($D413=1,S413,S413+V412)*IF(OR(C413&gt;ÉV!$I$2,AND(C413=ÉV!$I$2,D413&gt;ÉV!$J$2)),0,1)</f>
        <v>0</v>
      </c>
      <c r="W413" s="271">
        <f ca="1">IF($D413=1,T413,T413+W412)*IF(OR(C413&gt;ÉV!$I$2,AND(C413=ÉV!$I$2,D413&gt;ÉV!$J$2)),0,1)</f>
        <v>0</v>
      </c>
      <c r="X413" s="271">
        <f ca="1">IF(OR(D413=12,AND(C413=ÉV!$I$2,D413=ÉV!$J$2)),SUM(U413:W413)+X412,X412)*IF(OR(C413&gt;ÉV!$I$2,AND(C413=ÉV!$I$2,D413&gt;ÉV!$J$2)),0,1)</f>
        <v>0</v>
      </c>
      <c r="Y413" s="271">
        <f t="shared" ca="1" si="68"/>
        <v>0</v>
      </c>
      <c r="Z413" s="265">
        <f t="shared" si="69"/>
        <v>3</v>
      </c>
      <c r="AA413" s="272">
        <f t="shared" ca="1" si="70"/>
        <v>0</v>
      </c>
      <c r="AB413" s="265">
        <f t="shared" ca="1" si="76"/>
        <v>2051</v>
      </c>
      <c r="AC413" s="265">
        <f t="shared" ca="1" si="77"/>
        <v>6</v>
      </c>
      <c r="AD413" s="276">
        <f ca="1">IF(     OR(               AND(MAX(AF$6:AF413)&lt;2,  AC413=12),                 AF413=2),                   SUMIF(AB:AB,AB413,AA:AA),                       0)</f>
        <v>0</v>
      </c>
      <c r="AE413" s="277">
        <f t="shared" ca="1" si="78"/>
        <v>0</v>
      </c>
      <c r="AF413" s="277">
        <f t="shared" ca="1" si="71"/>
        <v>0</v>
      </c>
      <c r="AG413" s="402">
        <f ca="1">IF(  AND(AC413=AdóHó,   MAX(AF$1:AF412)&lt;2),   SUMIF(AB:AB,AB413-1,AE:AE),0  )
+ IF(AND(AC413&lt;AdóHó,                            AF413=2),   SUMIF(AB:AB,AB413-1,AE:AE),0  )
+ IF(                                                                  AF413=2,    SUMIF(AB:AB,AB413,AE:AE   ),0  )</f>
        <v>0</v>
      </c>
      <c r="AH413" s="272">
        <f ca="1">SUM(AG$2:AG413)</f>
        <v>1139324.2410681627</v>
      </c>
    </row>
    <row r="414" spans="1:34">
      <c r="A414" s="265">
        <f t="shared" si="72"/>
        <v>35</v>
      </c>
      <c r="B414" s="265">
        <f t="shared" si="73"/>
        <v>4</v>
      </c>
      <c r="C414" s="265">
        <f t="shared" ca="1" si="74"/>
        <v>35</v>
      </c>
      <c r="D414" s="265">
        <f t="shared" ca="1" si="75"/>
        <v>7</v>
      </c>
      <c r="E414" s="266">
        <v>5.0000000000000001E-3</v>
      </c>
      <c r="F414" s="267">
        <f>ÉV!$B$12</f>
        <v>0</v>
      </c>
      <c r="G414" s="271">
        <f ca="1">VLOOKUP(A414,ÉV!$A$18:$B$65,2,0)</f>
        <v>0</v>
      </c>
      <c r="H414" s="271">
        <f ca="1">IF(OR(A414=1,AND(C414=ÉV!$I$2,D414&gt;ÉV!$J$2),C414&gt;ÉV!$I$2),0,INDEX(Pz!$B$2:$AM$48,A414-1,ÉV!$G$2-9)/100000*ÉV!$B$10)</f>
        <v>0</v>
      </c>
      <c r="I414" s="271">
        <f ca="1">INDEX(Pz!$B$2:$AM$48,HÓ!A414,ÉV!$G$2-9)/100000*ÉV!$B$10</f>
        <v>0</v>
      </c>
      <c r="J414" s="273">
        <f ca="1">IF(OR(A414=1,A414=2,AND(C414=ÉV!$I$2,D414&gt;ÉV!$J$2),C414&gt;ÉV!$I$2),0,VLOOKUP(A414-2,ÉV!$A$18:$C$65,3,0))</f>
        <v>0</v>
      </c>
      <c r="K414" s="273">
        <f ca="1">IF(OR(A414=1,AND(C414=ÉV!$I$2,D414&gt;ÉV!$J$2),C414&gt;ÉV!$I$2),0,VLOOKUP(A414-1,ÉV!$A$18:$C$65,3,0))</f>
        <v>0</v>
      </c>
      <c r="L414" s="273">
        <f ca="1">VLOOKUP(A414,ÉV!$A$18:$C$65,3,0)*IF(OR(AND(C414=ÉV!$I$2,D414&gt;ÉV!$J$2),C414&gt;ÉV!$I$2),0,1)</f>
        <v>0</v>
      </c>
      <c r="M414" s="273">
        <f ca="1">(K414*(12-B414)/12+L414*B414/12)*IF(A414&gt;ÉV!$G$2,0,1)+IF(A414&gt;ÉV!$G$2,M413,0)*IF(OR(AND(C414=ÉV!$I$2,D414&gt;ÉV!$J$2),C414&gt;ÉV!$I$2),0,1)</f>
        <v>0</v>
      </c>
      <c r="N414" s="274">
        <f ca="1">IF(AND(C414=1,D414&lt;12),0,1)*IF(D414=12,MAX(0,F414-E414-0.003)*0.9*((K414+I414)*(B414/12)+(J414+H414)*(1-B414/12))+MAX(0,F414-0.003)*0.9*N413+N413,IF(AND(C414=ÉV!$I$2,D414=ÉV!$J$2),(M414+N413)*MAX(0,F414-0.003)*0.9*(D414/12)+N413,N413))*IF(OR(C414&gt;ÉV!$I$2,AND(C414=ÉV!$I$2,D414&gt;ÉV!$J$2)),0,1)</f>
        <v>0</v>
      </c>
      <c r="O414" s="313">
        <f ca="1">IF(MAX(AF$2:AF413)=2,      0,IF(OR(AC414=7, AF414=2),    SUM(AE$2:AE414),    O413)   )</f>
        <v>0</v>
      </c>
      <c r="P414" s="271">
        <f ca="1">IF(D414=12,V414+P413+P413*(F414-0.003)*0.9,IF(AND(C414=ÉV!$I$2,D414=ÉV!$J$2),V414+P413+P413*(F414-0.003)*0.9*D414/12,P413))*IF(OR(C414&gt;ÉV!$I$2,AND(C414=ÉV!$I$2,D414&gt;ÉV!$J$2)),0,1)</f>
        <v>0</v>
      </c>
      <c r="Q414" s="275">
        <f ca="1">(N414+P414)*IF(OR(AND(C414=ÉV!$I$2,D414&gt;ÉV!$J$2),C414&gt;ÉV!$I$2),0,1)</f>
        <v>0</v>
      </c>
      <c r="R414" s="271">
        <f ca="1">(MAX(0,F414-E414-0.003)*0.9*((K414+I414)*(1/12)))*IF(OR(C414&gt;ÉV!$I$2,AND(C414=ÉV!$I$2,D414&gt;ÉV!$J$2)),0,1)</f>
        <v>0</v>
      </c>
      <c r="S414" s="271">
        <f ca="1">(MAX(0,F414-0.003)*0.9*((O414)*(1/12)))*IF(OR(C414&gt;ÉV!$I$2,AND(C414=ÉV!$I$2,D414&gt;ÉV!$J$2)),0,1)</f>
        <v>0</v>
      </c>
      <c r="T414" s="271">
        <f ca="1">(MAX(0,F414-0.003)*0.9*((Q413)*(1/12)))*IF(OR(C414&gt;ÉV!$I$2,AND(C414=ÉV!$I$2,D414&gt;ÉV!$J$2)),0,1)</f>
        <v>0</v>
      </c>
      <c r="U414" s="271">
        <f ca="1">IF($D414=1,R414,R414+U413)*IF(OR(C414&gt;ÉV!$I$2,AND(C414=ÉV!$I$2,D414&gt;ÉV!$J$2)),0,1)</f>
        <v>0</v>
      </c>
      <c r="V414" s="271">
        <f ca="1">IF($D414=1,S414,S414+V413)*IF(OR(C414&gt;ÉV!$I$2,AND(C414=ÉV!$I$2,D414&gt;ÉV!$J$2)),0,1)</f>
        <v>0</v>
      </c>
      <c r="W414" s="271">
        <f ca="1">IF($D414=1,T414,T414+W413)*IF(OR(C414&gt;ÉV!$I$2,AND(C414=ÉV!$I$2,D414&gt;ÉV!$J$2)),0,1)</f>
        <v>0</v>
      </c>
      <c r="X414" s="271">
        <f ca="1">IF(OR(D414=12,AND(C414=ÉV!$I$2,D414=ÉV!$J$2)),SUM(U414:W414)+X413,X413)*IF(OR(C414&gt;ÉV!$I$2,AND(C414=ÉV!$I$2,D414&gt;ÉV!$J$2)),0,1)</f>
        <v>0</v>
      </c>
      <c r="Y414" s="271">
        <f t="shared" ca="1" si="68"/>
        <v>0</v>
      </c>
      <c r="Z414" s="265">
        <f t="shared" si="69"/>
        <v>4</v>
      </c>
      <c r="AA414" s="272">
        <f t="shared" ca="1" si="70"/>
        <v>0</v>
      </c>
      <c r="AB414" s="265">
        <f t="shared" ca="1" si="76"/>
        <v>2051</v>
      </c>
      <c r="AC414" s="265">
        <f t="shared" ca="1" si="77"/>
        <v>7</v>
      </c>
      <c r="AD414" s="276">
        <f ca="1">IF(     OR(               AND(MAX(AF$6:AF414)&lt;2,  AC414=12),                 AF414=2),                   SUMIF(AB:AB,AB414,AA:AA),                       0)</f>
        <v>0</v>
      </c>
      <c r="AE414" s="277">
        <f t="shared" ca="1" si="78"/>
        <v>0</v>
      </c>
      <c r="AF414" s="277">
        <f t="shared" ca="1" si="71"/>
        <v>0</v>
      </c>
      <c r="AG414" s="402">
        <f ca="1">IF(  AND(AC414=AdóHó,   MAX(AF$1:AF413)&lt;2),   SUMIF(AB:AB,AB414-1,AE:AE),0  )
+ IF(AND(AC414&lt;AdóHó,                            AF414=2),   SUMIF(AB:AB,AB414-1,AE:AE),0  )
+ IF(                                                                  AF414=2,    SUMIF(AB:AB,AB414,AE:AE   ),0  )</f>
        <v>0</v>
      </c>
      <c r="AH414" s="272">
        <f ca="1">SUM(AG$2:AG414)</f>
        <v>1139324.2410681627</v>
      </c>
    </row>
    <row r="415" spans="1:34">
      <c r="A415" s="265">
        <f t="shared" si="72"/>
        <v>35</v>
      </c>
      <c r="B415" s="265">
        <f t="shared" si="73"/>
        <v>5</v>
      </c>
      <c r="C415" s="265">
        <f t="shared" ca="1" si="74"/>
        <v>35</v>
      </c>
      <c r="D415" s="265">
        <f t="shared" ca="1" si="75"/>
        <v>8</v>
      </c>
      <c r="E415" s="266">
        <v>5.0000000000000001E-3</v>
      </c>
      <c r="F415" s="267">
        <f>ÉV!$B$12</f>
        <v>0</v>
      </c>
      <c r="G415" s="271">
        <f ca="1">VLOOKUP(A415,ÉV!$A$18:$B$65,2,0)</f>
        <v>0</v>
      </c>
      <c r="H415" s="271">
        <f ca="1">IF(OR(A415=1,AND(C415=ÉV!$I$2,D415&gt;ÉV!$J$2),C415&gt;ÉV!$I$2),0,INDEX(Pz!$B$2:$AM$48,A415-1,ÉV!$G$2-9)/100000*ÉV!$B$10)</f>
        <v>0</v>
      </c>
      <c r="I415" s="271">
        <f ca="1">INDEX(Pz!$B$2:$AM$48,HÓ!A415,ÉV!$G$2-9)/100000*ÉV!$B$10</f>
        <v>0</v>
      </c>
      <c r="J415" s="273">
        <f ca="1">IF(OR(A415=1,A415=2,AND(C415=ÉV!$I$2,D415&gt;ÉV!$J$2),C415&gt;ÉV!$I$2),0,VLOOKUP(A415-2,ÉV!$A$18:$C$65,3,0))</f>
        <v>0</v>
      </c>
      <c r="K415" s="273">
        <f ca="1">IF(OR(A415=1,AND(C415=ÉV!$I$2,D415&gt;ÉV!$J$2),C415&gt;ÉV!$I$2),0,VLOOKUP(A415-1,ÉV!$A$18:$C$65,3,0))</f>
        <v>0</v>
      </c>
      <c r="L415" s="273">
        <f ca="1">VLOOKUP(A415,ÉV!$A$18:$C$65,3,0)*IF(OR(AND(C415=ÉV!$I$2,D415&gt;ÉV!$J$2),C415&gt;ÉV!$I$2),0,1)</f>
        <v>0</v>
      </c>
      <c r="M415" s="273">
        <f ca="1">(K415*(12-B415)/12+L415*B415/12)*IF(A415&gt;ÉV!$G$2,0,1)+IF(A415&gt;ÉV!$G$2,M414,0)*IF(OR(AND(C415=ÉV!$I$2,D415&gt;ÉV!$J$2),C415&gt;ÉV!$I$2),0,1)</f>
        <v>0</v>
      </c>
      <c r="N415" s="274">
        <f ca="1">IF(AND(C415=1,D415&lt;12),0,1)*IF(D415=12,MAX(0,F415-E415-0.003)*0.9*((K415+I415)*(B415/12)+(J415+H415)*(1-B415/12))+MAX(0,F415-0.003)*0.9*N414+N414,IF(AND(C415=ÉV!$I$2,D415=ÉV!$J$2),(M415+N414)*MAX(0,F415-0.003)*0.9*(D415/12)+N414,N414))*IF(OR(C415&gt;ÉV!$I$2,AND(C415=ÉV!$I$2,D415&gt;ÉV!$J$2)),0,1)</f>
        <v>0</v>
      </c>
      <c r="O415" s="313">
        <f ca="1">IF(MAX(AF$2:AF414)=2,      0,IF(OR(AC415=7, AF415=2),    SUM(AE$2:AE415),    O414)   )</f>
        <v>0</v>
      </c>
      <c r="P415" s="271">
        <f ca="1">IF(D415=12,V415+P414+P414*(F415-0.003)*0.9,IF(AND(C415=ÉV!$I$2,D415=ÉV!$J$2),V415+P414+P414*(F415-0.003)*0.9*D415/12,P414))*IF(OR(C415&gt;ÉV!$I$2,AND(C415=ÉV!$I$2,D415&gt;ÉV!$J$2)),0,1)</f>
        <v>0</v>
      </c>
      <c r="Q415" s="275">
        <f ca="1">(N415+P415)*IF(OR(AND(C415=ÉV!$I$2,D415&gt;ÉV!$J$2),C415&gt;ÉV!$I$2),0,1)</f>
        <v>0</v>
      </c>
      <c r="R415" s="271">
        <f ca="1">(MAX(0,F415-E415-0.003)*0.9*((K415+I415)*(1/12)))*IF(OR(C415&gt;ÉV!$I$2,AND(C415=ÉV!$I$2,D415&gt;ÉV!$J$2)),0,1)</f>
        <v>0</v>
      </c>
      <c r="S415" s="271">
        <f ca="1">(MAX(0,F415-0.003)*0.9*((O415)*(1/12)))*IF(OR(C415&gt;ÉV!$I$2,AND(C415=ÉV!$I$2,D415&gt;ÉV!$J$2)),0,1)</f>
        <v>0</v>
      </c>
      <c r="T415" s="271">
        <f ca="1">(MAX(0,F415-0.003)*0.9*((Q414)*(1/12)))*IF(OR(C415&gt;ÉV!$I$2,AND(C415=ÉV!$I$2,D415&gt;ÉV!$J$2)),0,1)</f>
        <v>0</v>
      </c>
      <c r="U415" s="271">
        <f ca="1">IF($D415=1,R415,R415+U414)*IF(OR(C415&gt;ÉV!$I$2,AND(C415=ÉV!$I$2,D415&gt;ÉV!$J$2)),0,1)</f>
        <v>0</v>
      </c>
      <c r="V415" s="271">
        <f ca="1">IF($D415=1,S415,S415+V414)*IF(OR(C415&gt;ÉV!$I$2,AND(C415=ÉV!$I$2,D415&gt;ÉV!$J$2)),0,1)</f>
        <v>0</v>
      </c>
      <c r="W415" s="271">
        <f ca="1">IF($D415=1,T415,T415+W414)*IF(OR(C415&gt;ÉV!$I$2,AND(C415=ÉV!$I$2,D415&gt;ÉV!$J$2)),0,1)</f>
        <v>0</v>
      </c>
      <c r="X415" s="271">
        <f ca="1">IF(OR(D415=12,AND(C415=ÉV!$I$2,D415=ÉV!$J$2)),SUM(U415:W415)+X414,X414)*IF(OR(C415&gt;ÉV!$I$2,AND(C415=ÉV!$I$2,D415&gt;ÉV!$J$2)),0,1)</f>
        <v>0</v>
      </c>
      <c r="Y415" s="271">
        <f t="shared" ca="1" si="68"/>
        <v>0</v>
      </c>
      <c r="Z415" s="265">
        <f t="shared" si="69"/>
        <v>5</v>
      </c>
      <c r="AA415" s="272">
        <f t="shared" ca="1" si="70"/>
        <v>0</v>
      </c>
      <c r="AB415" s="265">
        <f t="shared" ca="1" si="76"/>
        <v>2051</v>
      </c>
      <c r="AC415" s="265">
        <f t="shared" ca="1" si="77"/>
        <v>8</v>
      </c>
      <c r="AD415" s="276">
        <f ca="1">IF(     OR(               AND(MAX(AF$6:AF415)&lt;2,  AC415=12),                 AF415=2),                   SUMIF(AB:AB,AB415,AA:AA),                       0)</f>
        <v>0</v>
      </c>
      <c r="AE415" s="277">
        <f t="shared" ca="1" si="78"/>
        <v>0</v>
      </c>
      <c r="AF415" s="277">
        <f t="shared" ca="1" si="71"/>
        <v>0</v>
      </c>
      <c r="AG415" s="402">
        <f ca="1">IF(  AND(AC415=AdóHó,   MAX(AF$1:AF414)&lt;2),   SUMIF(AB:AB,AB415-1,AE:AE),0  )
+ IF(AND(AC415&lt;AdóHó,                            AF415=2),   SUMIF(AB:AB,AB415-1,AE:AE),0  )
+ IF(                                                                  AF415=2,    SUMIF(AB:AB,AB415,AE:AE   ),0  )</f>
        <v>0</v>
      </c>
      <c r="AH415" s="272">
        <f ca="1">SUM(AG$2:AG415)</f>
        <v>1139324.2410681627</v>
      </c>
    </row>
    <row r="416" spans="1:34">
      <c r="A416" s="265">
        <f t="shared" si="72"/>
        <v>35</v>
      </c>
      <c r="B416" s="265">
        <f t="shared" si="73"/>
        <v>6</v>
      </c>
      <c r="C416" s="265">
        <f t="shared" ca="1" si="74"/>
        <v>35</v>
      </c>
      <c r="D416" s="265">
        <f t="shared" ca="1" si="75"/>
        <v>9</v>
      </c>
      <c r="E416" s="266">
        <v>5.0000000000000001E-3</v>
      </c>
      <c r="F416" s="267">
        <f>ÉV!$B$12</f>
        <v>0</v>
      </c>
      <c r="G416" s="271">
        <f ca="1">VLOOKUP(A416,ÉV!$A$18:$B$65,2,0)</f>
        <v>0</v>
      </c>
      <c r="H416" s="271">
        <f ca="1">IF(OR(A416=1,AND(C416=ÉV!$I$2,D416&gt;ÉV!$J$2),C416&gt;ÉV!$I$2),0,INDEX(Pz!$B$2:$AM$48,A416-1,ÉV!$G$2-9)/100000*ÉV!$B$10)</f>
        <v>0</v>
      </c>
      <c r="I416" s="271">
        <f ca="1">INDEX(Pz!$B$2:$AM$48,HÓ!A416,ÉV!$G$2-9)/100000*ÉV!$B$10</f>
        <v>0</v>
      </c>
      <c r="J416" s="273">
        <f ca="1">IF(OR(A416=1,A416=2,AND(C416=ÉV!$I$2,D416&gt;ÉV!$J$2),C416&gt;ÉV!$I$2),0,VLOOKUP(A416-2,ÉV!$A$18:$C$65,3,0))</f>
        <v>0</v>
      </c>
      <c r="K416" s="273">
        <f ca="1">IF(OR(A416=1,AND(C416=ÉV!$I$2,D416&gt;ÉV!$J$2),C416&gt;ÉV!$I$2),0,VLOOKUP(A416-1,ÉV!$A$18:$C$65,3,0))</f>
        <v>0</v>
      </c>
      <c r="L416" s="273">
        <f ca="1">VLOOKUP(A416,ÉV!$A$18:$C$65,3,0)*IF(OR(AND(C416=ÉV!$I$2,D416&gt;ÉV!$J$2),C416&gt;ÉV!$I$2),0,1)</f>
        <v>0</v>
      </c>
      <c r="M416" s="273">
        <f ca="1">(K416*(12-B416)/12+L416*B416/12)*IF(A416&gt;ÉV!$G$2,0,1)+IF(A416&gt;ÉV!$G$2,M415,0)*IF(OR(AND(C416=ÉV!$I$2,D416&gt;ÉV!$J$2),C416&gt;ÉV!$I$2),0,1)</f>
        <v>0</v>
      </c>
      <c r="N416" s="274">
        <f ca="1">IF(AND(C416=1,D416&lt;12),0,1)*IF(D416=12,MAX(0,F416-E416-0.003)*0.9*((K416+I416)*(B416/12)+(J416+H416)*(1-B416/12))+MAX(0,F416-0.003)*0.9*N415+N415,IF(AND(C416=ÉV!$I$2,D416=ÉV!$J$2),(M416+N415)*MAX(0,F416-0.003)*0.9*(D416/12)+N415,N415))*IF(OR(C416&gt;ÉV!$I$2,AND(C416=ÉV!$I$2,D416&gt;ÉV!$J$2)),0,1)</f>
        <v>0</v>
      </c>
      <c r="O416" s="313">
        <f ca="1">IF(MAX(AF$2:AF415)=2,      0,IF(OR(AC416=7, AF416=2),    SUM(AE$2:AE416),    O415)   )</f>
        <v>0</v>
      </c>
      <c r="P416" s="271">
        <f ca="1">IF(D416=12,V416+P415+P415*(F416-0.003)*0.9,IF(AND(C416=ÉV!$I$2,D416=ÉV!$J$2),V416+P415+P415*(F416-0.003)*0.9*D416/12,P415))*IF(OR(C416&gt;ÉV!$I$2,AND(C416=ÉV!$I$2,D416&gt;ÉV!$J$2)),0,1)</f>
        <v>0</v>
      </c>
      <c r="Q416" s="275">
        <f ca="1">(N416+P416)*IF(OR(AND(C416=ÉV!$I$2,D416&gt;ÉV!$J$2),C416&gt;ÉV!$I$2),0,1)</f>
        <v>0</v>
      </c>
      <c r="R416" s="271">
        <f ca="1">(MAX(0,F416-E416-0.003)*0.9*((K416+I416)*(1/12)))*IF(OR(C416&gt;ÉV!$I$2,AND(C416=ÉV!$I$2,D416&gt;ÉV!$J$2)),0,1)</f>
        <v>0</v>
      </c>
      <c r="S416" s="271">
        <f ca="1">(MAX(0,F416-0.003)*0.9*((O416)*(1/12)))*IF(OR(C416&gt;ÉV!$I$2,AND(C416=ÉV!$I$2,D416&gt;ÉV!$J$2)),0,1)</f>
        <v>0</v>
      </c>
      <c r="T416" s="271">
        <f ca="1">(MAX(0,F416-0.003)*0.9*((Q415)*(1/12)))*IF(OR(C416&gt;ÉV!$I$2,AND(C416=ÉV!$I$2,D416&gt;ÉV!$J$2)),0,1)</f>
        <v>0</v>
      </c>
      <c r="U416" s="271">
        <f ca="1">IF($D416=1,R416,R416+U415)*IF(OR(C416&gt;ÉV!$I$2,AND(C416=ÉV!$I$2,D416&gt;ÉV!$J$2)),0,1)</f>
        <v>0</v>
      </c>
      <c r="V416" s="271">
        <f ca="1">IF($D416=1,S416,S416+V415)*IF(OR(C416&gt;ÉV!$I$2,AND(C416=ÉV!$I$2,D416&gt;ÉV!$J$2)),0,1)</f>
        <v>0</v>
      </c>
      <c r="W416" s="271">
        <f ca="1">IF($D416=1,T416,T416+W415)*IF(OR(C416&gt;ÉV!$I$2,AND(C416=ÉV!$I$2,D416&gt;ÉV!$J$2)),0,1)</f>
        <v>0</v>
      </c>
      <c r="X416" s="271">
        <f ca="1">IF(OR(D416=12,AND(C416=ÉV!$I$2,D416=ÉV!$J$2)),SUM(U416:W416)+X415,X415)*IF(OR(C416&gt;ÉV!$I$2,AND(C416=ÉV!$I$2,D416&gt;ÉV!$J$2)),0,1)</f>
        <v>0</v>
      </c>
      <c r="Y416" s="271">
        <f t="shared" ca="1" si="68"/>
        <v>0</v>
      </c>
      <c r="Z416" s="265">
        <f t="shared" si="69"/>
        <v>6</v>
      </c>
      <c r="AA416" s="272">
        <f t="shared" ca="1" si="70"/>
        <v>0</v>
      </c>
      <c r="AB416" s="265">
        <f t="shared" ca="1" si="76"/>
        <v>2051</v>
      </c>
      <c r="AC416" s="265">
        <f t="shared" ca="1" si="77"/>
        <v>9</v>
      </c>
      <c r="AD416" s="276">
        <f ca="1">IF(     OR(               AND(MAX(AF$6:AF416)&lt;2,  AC416=12),                 AF416=2),                   SUMIF(AB:AB,AB416,AA:AA),                       0)</f>
        <v>0</v>
      </c>
      <c r="AE416" s="277">
        <f t="shared" ca="1" si="78"/>
        <v>0</v>
      </c>
      <c r="AF416" s="277">
        <f t="shared" ca="1" si="71"/>
        <v>0</v>
      </c>
      <c r="AG416" s="402">
        <f ca="1">IF(  AND(AC416=AdóHó,   MAX(AF$1:AF415)&lt;2),   SUMIF(AB:AB,AB416-1,AE:AE),0  )
+ IF(AND(AC416&lt;AdóHó,                            AF416=2),   SUMIF(AB:AB,AB416-1,AE:AE),0  )
+ IF(                                                                  AF416=2,    SUMIF(AB:AB,AB416,AE:AE   ),0  )</f>
        <v>0</v>
      </c>
      <c r="AH416" s="272">
        <f ca="1">SUM(AG$2:AG416)</f>
        <v>1139324.2410681627</v>
      </c>
    </row>
    <row r="417" spans="1:34">
      <c r="A417" s="265">
        <f t="shared" si="72"/>
        <v>35</v>
      </c>
      <c r="B417" s="265">
        <f t="shared" si="73"/>
        <v>7</v>
      </c>
      <c r="C417" s="265">
        <f t="shared" ca="1" si="74"/>
        <v>35</v>
      </c>
      <c r="D417" s="265">
        <f t="shared" ca="1" si="75"/>
        <v>10</v>
      </c>
      <c r="E417" s="266">
        <v>5.0000000000000001E-3</v>
      </c>
      <c r="F417" s="267">
        <f>ÉV!$B$12</f>
        <v>0</v>
      </c>
      <c r="G417" s="271">
        <f ca="1">VLOOKUP(A417,ÉV!$A$18:$B$65,2,0)</f>
        <v>0</v>
      </c>
      <c r="H417" s="271">
        <f ca="1">IF(OR(A417=1,AND(C417=ÉV!$I$2,D417&gt;ÉV!$J$2),C417&gt;ÉV!$I$2),0,INDEX(Pz!$B$2:$AM$48,A417-1,ÉV!$G$2-9)/100000*ÉV!$B$10)</f>
        <v>0</v>
      </c>
      <c r="I417" s="271">
        <f ca="1">INDEX(Pz!$B$2:$AM$48,HÓ!A417,ÉV!$G$2-9)/100000*ÉV!$B$10</f>
        <v>0</v>
      </c>
      <c r="J417" s="273">
        <f ca="1">IF(OR(A417=1,A417=2,AND(C417=ÉV!$I$2,D417&gt;ÉV!$J$2),C417&gt;ÉV!$I$2),0,VLOOKUP(A417-2,ÉV!$A$18:$C$65,3,0))</f>
        <v>0</v>
      </c>
      <c r="K417" s="273">
        <f ca="1">IF(OR(A417=1,AND(C417=ÉV!$I$2,D417&gt;ÉV!$J$2),C417&gt;ÉV!$I$2),0,VLOOKUP(A417-1,ÉV!$A$18:$C$65,3,0))</f>
        <v>0</v>
      </c>
      <c r="L417" s="273">
        <f ca="1">VLOOKUP(A417,ÉV!$A$18:$C$65,3,0)*IF(OR(AND(C417=ÉV!$I$2,D417&gt;ÉV!$J$2),C417&gt;ÉV!$I$2),0,1)</f>
        <v>0</v>
      </c>
      <c r="M417" s="273">
        <f ca="1">(K417*(12-B417)/12+L417*B417/12)*IF(A417&gt;ÉV!$G$2,0,1)+IF(A417&gt;ÉV!$G$2,M416,0)*IF(OR(AND(C417=ÉV!$I$2,D417&gt;ÉV!$J$2),C417&gt;ÉV!$I$2),0,1)</f>
        <v>0</v>
      </c>
      <c r="N417" s="274">
        <f ca="1">IF(AND(C417=1,D417&lt;12),0,1)*IF(D417=12,MAX(0,F417-E417-0.003)*0.9*((K417+I417)*(B417/12)+(J417+H417)*(1-B417/12))+MAX(0,F417-0.003)*0.9*N416+N416,IF(AND(C417=ÉV!$I$2,D417=ÉV!$J$2),(M417+N416)*MAX(0,F417-0.003)*0.9*(D417/12)+N416,N416))*IF(OR(C417&gt;ÉV!$I$2,AND(C417=ÉV!$I$2,D417&gt;ÉV!$J$2)),0,1)</f>
        <v>0</v>
      </c>
      <c r="O417" s="313">
        <f ca="1">IF(MAX(AF$2:AF416)=2,      0,IF(OR(AC417=7, AF417=2),    SUM(AE$2:AE417),    O416)   )</f>
        <v>0</v>
      </c>
      <c r="P417" s="271">
        <f ca="1">IF(D417=12,V417+P416+P416*(F417-0.003)*0.9,IF(AND(C417=ÉV!$I$2,D417=ÉV!$J$2),V417+P416+P416*(F417-0.003)*0.9*D417/12,P416))*IF(OR(C417&gt;ÉV!$I$2,AND(C417=ÉV!$I$2,D417&gt;ÉV!$J$2)),0,1)</f>
        <v>0</v>
      </c>
      <c r="Q417" s="275">
        <f ca="1">(N417+P417)*IF(OR(AND(C417=ÉV!$I$2,D417&gt;ÉV!$J$2),C417&gt;ÉV!$I$2),0,1)</f>
        <v>0</v>
      </c>
      <c r="R417" s="271">
        <f ca="1">(MAX(0,F417-E417-0.003)*0.9*((K417+I417)*(1/12)))*IF(OR(C417&gt;ÉV!$I$2,AND(C417=ÉV!$I$2,D417&gt;ÉV!$J$2)),0,1)</f>
        <v>0</v>
      </c>
      <c r="S417" s="271">
        <f ca="1">(MAX(0,F417-0.003)*0.9*((O417)*(1/12)))*IF(OR(C417&gt;ÉV!$I$2,AND(C417=ÉV!$I$2,D417&gt;ÉV!$J$2)),0,1)</f>
        <v>0</v>
      </c>
      <c r="T417" s="271">
        <f ca="1">(MAX(0,F417-0.003)*0.9*((Q416)*(1/12)))*IF(OR(C417&gt;ÉV!$I$2,AND(C417=ÉV!$I$2,D417&gt;ÉV!$J$2)),0,1)</f>
        <v>0</v>
      </c>
      <c r="U417" s="271">
        <f ca="1">IF($D417=1,R417,R417+U416)*IF(OR(C417&gt;ÉV!$I$2,AND(C417=ÉV!$I$2,D417&gt;ÉV!$J$2)),0,1)</f>
        <v>0</v>
      </c>
      <c r="V417" s="271">
        <f ca="1">IF($D417=1,S417,S417+V416)*IF(OR(C417&gt;ÉV!$I$2,AND(C417=ÉV!$I$2,D417&gt;ÉV!$J$2)),0,1)</f>
        <v>0</v>
      </c>
      <c r="W417" s="271">
        <f ca="1">IF($D417=1,T417,T417+W416)*IF(OR(C417&gt;ÉV!$I$2,AND(C417=ÉV!$I$2,D417&gt;ÉV!$J$2)),0,1)</f>
        <v>0</v>
      </c>
      <c r="X417" s="271">
        <f ca="1">IF(OR(D417=12,AND(C417=ÉV!$I$2,D417=ÉV!$J$2)),SUM(U417:W417)+X416,X416)*IF(OR(C417&gt;ÉV!$I$2,AND(C417=ÉV!$I$2,D417&gt;ÉV!$J$2)),0,1)</f>
        <v>0</v>
      </c>
      <c r="Y417" s="271">
        <f t="shared" ca="1" si="68"/>
        <v>0</v>
      </c>
      <c r="Z417" s="265">
        <f t="shared" si="69"/>
        <v>7</v>
      </c>
      <c r="AA417" s="272">
        <f t="shared" ca="1" si="70"/>
        <v>0</v>
      </c>
      <c r="AB417" s="265">
        <f t="shared" ca="1" si="76"/>
        <v>2051</v>
      </c>
      <c r="AC417" s="265">
        <f t="shared" ca="1" si="77"/>
        <v>10</v>
      </c>
      <c r="AD417" s="276">
        <f ca="1">IF(     OR(               AND(MAX(AF$6:AF417)&lt;2,  AC417=12),                 AF417=2),                   SUMIF(AB:AB,AB417,AA:AA),                       0)</f>
        <v>0</v>
      </c>
      <c r="AE417" s="277">
        <f t="shared" ca="1" si="78"/>
        <v>0</v>
      </c>
      <c r="AF417" s="277">
        <f t="shared" ca="1" si="71"/>
        <v>0</v>
      </c>
      <c r="AG417" s="402">
        <f ca="1">IF(  AND(AC417=AdóHó,   MAX(AF$1:AF416)&lt;2),   SUMIF(AB:AB,AB417-1,AE:AE),0  )
+ IF(AND(AC417&lt;AdóHó,                            AF417=2),   SUMIF(AB:AB,AB417-1,AE:AE),0  )
+ IF(                                                                  AF417=2,    SUMIF(AB:AB,AB417,AE:AE   ),0  )</f>
        <v>0</v>
      </c>
      <c r="AH417" s="272">
        <f ca="1">SUM(AG$2:AG417)</f>
        <v>1139324.2410681627</v>
      </c>
    </row>
    <row r="418" spans="1:34">
      <c r="A418" s="265">
        <f t="shared" si="72"/>
        <v>35</v>
      </c>
      <c r="B418" s="265">
        <f t="shared" si="73"/>
        <v>8</v>
      </c>
      <c r="C418" s="265">
        <f t="shared" ca="1" si="74"/>
        <v>35</v>
      </c>
      <c r="D418" s="265">
        <f t="shared" ca="1" si="75"/>
        <v>11</v>
      </c>
      <c r="E418" s="266">
        <v>5.0000000000000001E-3</v>
      </c>
      <c r="F418" s="267">
        <f>ÉV!$B$12</f>
        <v>0</v>
      </c>
      <c r="G418" s="271">
        <f ca="1">VLOOKUP(A418,ÉV!$A$18:$B$65,2,0)</f>
        <v>0</v>
      </c>
      <c r="H418" s="271">
        <f ca="1">IF(OR(A418=1,AND(C418=ÉV!$I$2,D418&gt;ÉV!$J$2),C418&gt;ÉV!$I$2),0,INDEX(Pz!$B$2:$AM$48,A418-1,ÉV!$G$2-9)/100000*ÉV!$B$10)</f>
        <v>0</v>
      </c>
      <c r="I418" s="271">
        <f ca="1">INDEX(Pz!$B$2:$AM$48,HÓ!A418,ÉV!$G$2-9)/100000*ÉV!$B$10</f>
        <v>0</v>
      </c>
      <c r="J418" s="273">
        <f ca="1">IF(OR(A418=1,A418=2,AND(C418=ÉV!$I$2,D418&gt;ÉV!$J$2),C418&gt;ÉV!$I$2),0,VLOOKUP(A418-2,ÉV!$A$18:$C$65,3,0))</f>
        <v>0</v>
      </c>
      <c r="K418" s="273">
        <f ca="1">IF(OR(A418=1,AND(C418=ÉV!$I$2,D418&gt;ÉV!$J$2),C418&gt;ÉV!$I$2),0,VLOOKUP(A418-1,ÉV!$A$18:$C$65,3,0))</f>
        <v>0</v>
      </c>
      <c r="L418" s="273">
        <f ca="1">VLOOKUP(A418,ÉV!$A$18:$C$65,3,0)*IF(OR(AND(C418=ÉV!$I$2,D418&gt;ÉV!$J$2),C418&gt;ÉV!$I$2),0,1)</f>
        <v>0</v>
      </c>
      <c r="M418" s="273">
        <f ca="1">(K418*(12-B418)/12+L418*B418/12)*IF(A418&gt;ÉV!$G$2,0,1)+IF(A418&gt;ÉV!$G$2,M417,0)*IF(OR(AND(C418=ÉV!$I$2,D418&gt;ÉV!$J$2),C418&gt;ÉV!$I$2),0,1)</f>
        <v>0</v>
      </c>
      <c r="N418" s="274">
        <f ca="1">IF(AND(C418=1,D418&lt;12),0,1)*IF(D418=12,MAX(0,F418-E418-0.003)*0.9*((K418+I418)*(B418/12)+(J418+H418)*(1-B418/12))+MAX(0,F418-0.003)*0.9*N417+N417,IF(AND(C418=ÉV!$I$2,D418=ÉV!$J$2),(M418+N417)*MAX(0,F418-0.003)*0.9*(D418/12)+N417,N417))*IF(OR(C418&gt;ÉV!$I$2,AND(C418=ÉV!$I$2,D418&gt;ÉV!$J$2)),0,1)</f>
        <v>0</v>
      </c>
      <c r="O418" s="313">
        <f ca="1">IF(MAX(AF$2:AF417)=2,      0,IF(OR(AC418=7, AF418=2),    SUM(AE$2:AE418),    O417)   )</f>
        <v>0</v>
      </c>
      <c r="P418" s="271">
        <f ca="1">IF(D418=12,V418+P417+P417*(F418-0.003)*0.9,IF(AND(C418=ÉV!$I$2,D418=ÉV!$J$2),V418+P417+P417*(F418-0.003)*0.9*D418/12,P417))*IF(OR(C418&gt;ÉV!$I$2,AND(C418=ÉV!$I$2,D418&gt;ÉV!$J$2)),0,1)</f>
        <v>0</v>
      </c>
      <c r="Q418" s="275">
        <f ca="1">(N418+P418)*IF(OR(AND(C418=ÉV!$I$2,D418&gt;ÉV!$J$2),C418&gt;ÉV!$I$2),0,1)</f>
        <v>0</v>
      </c>
      <c r="R418" s="271">
        <f ca="1">(MAX(0,F418-E418-0.003)*0.9*((K418+I418)*(1/12)))*IF(OR(C418&gt;ÉV!$I$2,AND(C418=ÉV!$I$2,D418&gt;ÉV!$J$2)),0,1)</f>
        <v>0</v>
      </c>
      <c r="S418" s="271">
        <f ca="1">(MAX(0,F418-0.003)*0.9*((O418)*(1/12)))*IF(OR(C418&gt;ÉV!$I$2,AND(C418=ÉV!$I$2,D418&gt;ÉV!$J$2)),0,1)</f>
        <v>0</v>
      </c>
      <c r="T418" s="271">
        <f ca="1">(MAX(0,F418-0.003)*0.9*((Q417)*(1/12)))*IF(OR(C418&gt;ÉV!$I$2,AND(C418=ÉV!$I$2,D418&gt;ÉV!$J$2)),0,1)</f>
        <v>0</v>
      </c>
      <c r="U418" s="271">
        <f ca="1">IF($D418=1,R418,R418+U417)*IF(OR(C418&gt;ÉV!$I$2,AND(C418=ÉV!$I$2,D418&gt;ÉV!$J$2)),0,1)</f>
        <v>0</v>
      </c>
      <c r="V418" s="271">
        <f ca="1">IF($D418=1,S418,S418+V417)*IF(OR(C418&gt;ÉV!$I$2,AND(C418=ÉV!$I$2,D418&gt;ÉV!$J$2)),0,1)</f>
        <v>0</v>
      </c>
      <c r="W418" s="271">
        <f ca="1">IF($D418=1,T418,T418+W417)*IF(OR(C418&gt;ÉV!$I$2,AND(C418=ÉV!$I$2,D418&gt;ÉV!$J$2)),0,1)</f>
        <v>0</v>
      </c>
      <c r="X418" s="271">
        <f ca="1">IF(OR(D418=12,AND(C418=ÉV!$I$2,D418=ÉV!$J$2)),SUM(U418:W418)+X417,X417)*IF(OR(C418&gt;ÉV!$I$2,AND(C418=ÉV!$I$2,D418&gt;ÉV!$J$2)),0,1)</f>
        <v>0</v>
      </c>
      <c r="Y418" s="271">
        <f t="shared" ca="1" si="68"/>
        <v>0</v>
      </c>
      <c r="Z418" s="265">
        <f t="shared" si="69"/>
        <v>8</v>
      </c>
      <c r="AA418" s="272">
        <f t="shared" ca="1" si="70"/>
        <v>0</v>
      </c>
      <c r="AB418" s="265">
        <f t="shared" ca="1" si="76"/>
        <v>2051</v>
      </c>
      <c r="AC418" s="265">
        <f t="shared" ca="1" si="77"/>
        <v>11</v>
      </c>
      <c r="AD418" s="276">
        <f ca="1">IF(     OR(               AND(MAX(AF$6:AF418)&lt;2,  AC418=12),                 AF418=2),                   SUMIF(AB:AB,AB418,AA:AA),                       0)</f>
        <v>0</v>
      </c>
      <c r="AE418" s="277">
        <f t="shared" ca="1" si="78"/>
        <v>0</v>
      </c>
      <c r="AF418" s="277">
        <f t="shared" ca="1" si="71"/>
        <v>0</v>
      </c>
      <c r="AG418" s="402">
        <f ca="1">IF(  AND(AC418=AdóHó,   MAX(AF$1:AF417)&lt;2),   SUMIF(AB:AB,AB418-1,AE:AE),0  )
+ IF(AND(AC418&lt;AdóHó,                            AF418=2),   SUMIF(AB:AB,AB418-1,AE:AE),0  )
+ IF(                                                                  AF418=2,    SUMIF(AB:AB,AB418,AE:AE   ),0  )</f>
        <v>0</v>
      </c>
      <c r="AH418" s="272">
        <f ca="1">SUM(AG$2:AG418)</f>
        <v>1139324.2410681627</v>
      </c>
    </row>
    <row r="419" spans="1:34">
      <c r="A419" s="265">
        <f t="shared" si="72"/>
        <v>35</v>
      </c>
      <c r="B419" s="265">
        <f t="shared" si="73"/>
        <v>9</v>
      </c>
      <c r="C419" s="265">
        <f t="shared" ca="1" si="74"/>
        <v>35</v>
      </c>
      <c r="D419" s="265">
        <f t="shared" ca="1" si="75"/>
        <v>12</v>
      </c>
      <c r="E419" s="266">
        <v>5.0000000000000001E-3</v>
      </c>
      <c r="F419" s="267">
        <f>ÉV!$B$12</f>
        <v>0</v>
      </c>
      <c r="G419" s="271">
        <f ca="1">VLOOKUP(A419,ÉV!$A$18:$B$65,2,0)</f>
        <v>0</v>
      </c>
      <c r="H419" s="271">
        <f ca="1">IF(OR(A419=1,AND(C419=ÉV!$I$2,D419&gt;ÉV!$J$2),C419&gt;ÉV!$I$2),0,INDEX(Pz!$B$2:$AM$48,A419-1,ÉV!$G$2-9)/100000*ÉV!$B$10)</f>
        <v>0</v>
      </c>
      <c r="I419" s="271">
        <f ca="1">INDEX(Pz!$B$2:$AM$48,HÓ!A419,ÉV!$G$2-9)/100000*ÉV!$B$10</f>
        <v>0</v>
      </c>
      <c r="J419" s="273">
        <f ca="1">IF(OR(A419=1,A419=2,AND(C419=ÉV!$I$2,D419&gt;ÉV!$J$2),C419&gt;ÉV!$I$2),0,VLOOKUP(A419-2,ÉV!$A$18:$C$65,3,0))</f>
        <v>0</v>
      </c>
      <c r="K419" s="273">
        <f ca="1">IF(OR(A419=1,AND(C419=ÉV!$I$2,D419&gt;ÉV!$J$2),C419&gt;ÉV!$I$2),0,VLOOKUP(A419-1,ÉV!$A$18:$C$65,3,0))</f>
        <v>0</v>
      </c>
      <c r="L419" s="273">
        <f ca="1">VLOOKUP(A419,ÉV!$A$18:$C$65,3,0)*IF(OR(AND(C419=ÉV!$I$2,D419&gt;ÉV!$J$2),C419&gt;ÉV!$I$2),0,1)</f>
        <v>0</v>
      </c>
      <c r="M419" s="273">
        <f ca="1">(K419*(12-B419)/12+L419*B419/12)*IF(A419&gt;ÉV!$G$2,0,1)+IF(A419&gt;ÉV!$G$2,M418,0)*IF(OR(AND(C419=ÉV!$I$2,D419&gt;ÉV!$J$2),C419&gt;ÉV!$I$2),0,1)</f>
        <v>0</v>
      </c>
      <c r="N419" s="274">
        <f ca="1">IF(AND(C419=1,D419&lt;12),0,1)*IF(D419=12,MAX(0,F419-E419-0.003)*0.9*((K419+I419)*(B419/12)+(J419+H419)*(1-B419/12))+MAX(0,F419-0.003)*0.9*N418+N418,IF(AND(C419=ÉV!$I$2,D419=ÉV!$J$2),(M419+N418)*MAX(0,F419-0.003)*0.9*(D419/12)+N418,N418))*IF(OR(C419&gt;ÉV!$I$2,AND(C419=ÉV!$I$2,D419&gt;ÉV!$J$2)),0,1)</f>
        <v>0</v>
      </c>
      <c r="O419" s="313">
        <f ca="1">IF(MAX(AF$2:AF418)=2,      0,IF(OR(AC419=7, AF419=2),    SUM(AE$2:AE419),    O418)   )</f>
        <v>0</v>
      </c>
      <c r="P419" s="271">
        <f ca="1">IF(D419=12,V419+P418+P418*(F419-0.003)*0.9,IF(AND(C419=ÉV!$I$2,D419=ÉV!$J$2),V419+P418+P418*(F419-0.003)*0.9*D419/12,P418))*IF(OR(C419&gt;ÉV!$I$2,AND(C419=ÉV!$I$2,D419&gt;ÉV!$J$2)),0,1)</f>
        <v>0</v>
      </c>
      <c r="Q419" s="275">
        <f ca="1">(N419+P419)*IF(OR(AND(C419=ÉV!$I$2,D419&gt;ÉV!$J$2),C419&gt;ÉV!$I$2),0,1)</f>
        <v>0</v>
      </c>
      <c r="R419" s="271">
        <f ca="1">(MAX(0,F419-E419-0.003)*0.9*((K419+I419)*(1/12)))*IF(OR(C419&gt;ÉV!$I$2,AND(C419=ÉV!$I$2,D419&gt;ÉV!$J$2)),0,1)</f>
        <v>0</v>
      </c>
      <c r="S419" s="271">
        <f ca="1">(MAX(0,F419-0.003)*0.9*((O419)*(1/12)))*IF(OR(C419&gt;ÉV!$I$2,AND(C419=ÉV!$I$2,D419&gt;ÉV!$J$2)),0,1)</f>
        <v>0</v>
      </c>
      <c r="T419" s="271">
        <f ca="1">(MAX(0,F419-0.003)*0.9*((Q418)*(1/12)))*IF(OR(C419&gt;ÉV!$I$2,AND(C419=ÉV!$I$2,D419&gt;ÉV!$J$2)),0,1)</f>
        <v>0</v>
      </c>
      <c r="U419" s="271">
        <f ca="1">IF($D419=1,R419,R419+U418)*IF(OR(C419&gt;ÉV!$I$2,AND(C419=ÉV!$I$2,D419&gt;ÉV!$J$2)),0,1)</f>
        <v>0</v>
      </c>
      <c r="V419" s="271">
        <f ca="1">IF($D419=1,S419,S419+V418)*IF(OR(C419&gt;ÉV!$I$2,AND(C419=ÉV!$I$2,D419&gt;ÉV!$J$2)),0,1)</f>
        <v>0</v>
      </c>
      <c r="W419" s="271">
        <f ca="1">IF($D419=1,T419,T419+W418)*IF(OR(C419&gt;ÉV!$I$2,AND(C419=ÉV!$I$2,D419&gt;ÉV!$J$2)),0,1)</f>
        <v>0</v>
      </c>
      <c r="X419" s="271">
        <f ca="1">IF(OR(D419=12,AND(C419=ÉV!$I$2,D419=ÉV!$J$2)),SUM(U419:W419)+X418,X418)*IF(OR(C419&gt;ÉV!$I$2,AND(C419=ÉV!$I$2,D419&gt;ÉV!$J$2)),0,1)</f>
        <v>0</v>
      </c>
      <c r="Y419" s="271">
        <f t="shared" ca="1" si="68"/>
        <v>0</v>
      </c>
      <c r="Z419" s="265">
        <f t="shared" si="69"/>
        <v>9</v>
      </c>
      <c r="AA419" s="272">
        <f t="shared" ca="1" si="70"/>
        <v>0</v>
      </c>
      <c r="AB419" s="265">
        <f t="shared" ca="1" si="76"/>
        <v>2051</v>
      </c>
      <c r="AC419" s="265">
        <f t="shared" ca="1" si="77"/>
        <v>12</v>
      </c>
      <c r="AD419" s="276">
        <f ca="1">IF(     OR(               AND(MAX(AF$6:AF419)&lt;2,  AC419=12),                 AF419=2),                   SUMIF(AB:AB,AB419,AA:AA),                       0)</f>
        <v>0</v>
      </c>
      <c r="AE419" s="277">
        <f t="shared" ca="1" si="78"/>
        <v>0</v>
      </c>
      <c r="AF419" s="277">
        <f t="shared" ca="1" si="71"/>
        <v>0</v>
      </c>
      <c r="AG419" s="402">
        <f ca="1">IF(  AND(AC419=AdóHó,   MAX(AF$1:AF418)&lt;2),   SUMIF(AB:AB,AB419-1,AE:AE),0  )
+ IF(AND(AC419&lt;AdóHó,                            AF419=2),   SUMIF(AB:AB,AB419-1,AE:AE),0  )
+ IF(                                                                  AF419=2,    SUMIF(AB:AB,AB419,AE:AE   ),0  )</f>
        <v>0</v>
      </c>
      <c r="AH419" s="272">
        <f ca="1">SUM(AG$2:AG419)</f>
        <v>1139324.2410681627</v>
      </c>
    </row>
    <row r="420" spans="1:34">
      <c r="A420" s="265">
        <f>IF(B419=12,A419+1,A419)</f>
        <v>35</v>
      </c>
      <c r="B420" s="265">
        <f>IF(B419=12,1,B419+1)</f>
        <v>10</v>
      </c>
      <c r="C420" s="265">
        <f t="shared" ca="1" si="74"/>
        <v>36</v>
      </c>
      <c r="D420" s="265">
        <f t="shared" ca="1" si="75"/>
        <v>1</v>
      </c>
      <c r="E420" s="266">
        <v>5.0000000000000001E-3</v>
      </c>
      <c r="F420" s="267">
        <f>ÉV!$B$12</f>
        <v>0</v>
      </c>
      <c r="G420" s="271">
        <f ca="1">VLOOKUP(A420,ÉV!$A$18:$B$65,2,0)</f>
        <v>0</v>
      </c>
      <c r="H420" s="271">
        <f ca="1">IF(OR(A420=1,AND(C420=ÉV!$I$2,D420&gt;ÉV!$J$2),C420&gt;ÉV!$I$2),0,INDEX(Pz!$B$2:$AM$48,A420-1,ÉV!$G$2-9)/100000*ÉV!$B$10)</f>
        <v>0</v>
      </c>
      <c r="I420" s="271">
        <f ca="1">INDEX(Pz!$B$2:$AM$48,HÓ!A420,ÉV!$G$2-9)/100000*ÉV!$B$10</f>
        <v>0</v>
      </c>
      <c r="J420" s="273">
        <f ca="1">IF(OR(A420=1,A420=2,AND(C420=ÉV!$I$2,D420&gt;ÉV!$J$2),C420&gt;ÉV!$I$2),0,VLOOKUP(A420-2,ÉV!$A$18:$C$65,3,0))</f>
        <v>0</v>
      </c>
      <c r="K420" s="273">
        <f ca="1">IF(OR(A420=1,AND(C420=ÉV!$I$2,D420&gt;ÉV!$J$2),C420&gt;ÉV!$I$2),0,VLOOKUP(A420-1,ÉV!$A$18:$C$65,3,0))</f>
        <v>0</v>
      </c>
      <c r="L420" s="273">
        <f ca="1">VLOOKUP(A420,ÉV!$A$18:$C$65,3,0)*IF(OR(AND(C420=ÉV!$I$2,D420&gt;ÉV!$J$2),C420&gt;ÉV!$I$2),0,1)</f>
        <v>0</v>
      </c>
      <c r="M420" s="273">
        <f ca="1">(K420*(12-B420)/12+L420*B420/12)*IF(A420&gt;ÉV!$G$2,0,1)+IF(A420&gt;ÉV!$G$2,M419,0)*IF(OR(AND(C420=ÉV!$I$2,D420&gt;ÉV!$J$2),C420&gt;ÉV!$I$2),0,1)</f>
        <v>0</v>
      </c>
      <c r="N420" s="274">
        <f ca="1">IF(AND(C420=1,D420&lt;12),0,1)*IF(D420=12,MAX(0,F420-E420-0.003)*0.9*((K420+I420)*(B420/12)+(J420+H420)*(1-B420/12))+MAX(0,F420-0.003)*0.9*N419+N419,IF(AND(C420=ÉV!$I$2,D420=ÉV!$J$2),(M420+N419)*MAX(0,F420-0.003)*0.9*(D420/12)+N419,N419))*IF(OR(C420&gt;ÉV!$I$2,AND(C420=ÉV!$I$2,D420&gt;ÉV!$J$2)),0,1)</f>
        <v>0</v>
      </c>
      <c r="O420" s="313">
        <f ca="1">IF(MAX(AF$2:AF419)=2,      0,IF(OR(AC420=7, AF420=2),    SUM(AE$2:AE420),    O419)   )</f>
        <v>0</v>
      </c>
      <c r="P420" s="271">
        <f ca="1">IF(D420=12,V420+P419+P419*(F420-0.003)*0.9,IF(AND(C420=ÉV!$I$2,D420=ÉV!$J$2),V420+P419+P419*(F420-0.003)*0.9*D420/12,P419))*IF(OR(C420&gt;ÉV!$I$2,AND(C420=ÉV!$I$2,D420&gt;ÉV!$J$2)),0,1)</f>
        <v>0</v>
      </c>
      <c r="Q420" s="275">
        <f ca="1">(N420+P420)*IF(OR(AND(C420=ÉV!$I$2,D420&gt;ÉV!$J$2),C420&gt;ÉV!$I$2),0,1)</f>
        <v>0</v>
      </c>
      <c r="R420" s="271">
        <f ca="1">(MAX(0,F420-E420-0.003)*0.9*((K420+I420)*(1/12)))*IF(OR(C420&gt;ÉV!$I$2,AND(C420=ÉV!$I$2,D420&gt;ÉV!$J$2)),0,1)</f>
        <v>0</v>
      </c>
      <c r="S420" s="271">
        <f ca="1">(MAX(0,F420-0.003)*0.9*((O420)*(1/12)))*IF(OR(C420&gt;ÉV!$I$2,AND(C420=ÉV!$I$2,D420&gt;ÉV!$J$2)),0,1)</f>
        <v>0</v>
      </c>
      <c r="T420" s="271">
        <f ca="1">(MAX(0,F420-0.003)*0.9*((Q419)*(1/12)))*IF(OR(C420&gt;ÉV!$I$2,AND(C420=ÉV!$I$2,D420&gt;ÉV!$J$2)),0,1)</f>
        <v>0</v>
      </c>
      <c r="U420" s="271">
        <f ca="1">IF($D420=1,R420,R420+U419)*IF(OR(C420&gt;ÉV!$I$2,AND(C420=ÉV!$I$2,D420&gt;ÉV!$J$2)),0,1)</f>
        <v>0</v>
      </c>
      <c r="V420" s="271">
        <f ca="1">IF($D420=1,S420,S420+V419)*IF(OR(C420&gt;ÉV!$I$2,AND(C420=ÉV!$I$2,D420&gt;ÉV!$J$2)),0,1)</f>
        <v>0</v>
      </c>
      <c r="W420" s="271">
        <f ca="1">IF($D420=1,T420,T420+W419)*IF(OR(C420&gt;ÉV!$I$2,AND(C420=ÉV!$I$2,D420&gt;ÉV!$J$2)),0,1)</f>
        <v>0</v>
      </c>
      <c r="X420" s="271">
        <f ca="1">IF(OR(D420=12,AND(C420=ÉV!$I$2,D420=ÉV!$J$2)),SUM(U420:W420)+X419,X419)*IF(OR(C420&gt;ÉV!$I$2,AND(C420=ÉV!$I$2,D420&gt;ÉV!$J$2)),0,1)</f>
        <v>0</v>
      </c>
      <c r="Y420" s="271">
        <f t="shared" ca="1" si="68"/>
        <v>0</v>
      </c>
      <c r="Z420" s="265">
        <f t="shared" si="69"/>
        <v>10</v>
      </c>
      <c r="AA420" s="272">
        <f t="shared" ca="1" si="70"/>
        <v>0</v>
      </c>
      <c r="AB420" s="265">
        <f t="shared" ca="1" si="76"/>
        <v>2052</v>
      </c>
      <c r="AC420" s="265">
        <f t="shared" ca="1" si="77"/>
        <v>1</v>
      </c>
      <c r="AD420" s="276">
        <f ca="1">IF(     OR(               AND(MAX(AF$6:AF420)&lt;2,  AC420=12),                 AF420=2),                   SUMIF(AB:AB,AB420,AA:AA),                       0)</f>
        <v>0</v>
      </c>
      <c r="AE420" s="277">
        <f t="shared" ca="1" si="78"/>
        <v>0</v>
      </c>
      <c r="AF420" s="277">
        <f t="shared" ca="1" si="71"/>
        <v>0</v>
      </c>
      <c r="AG420" s="402">
        <f ca="1">IF(  AND(AC420=AdóHó,   MAX(AF$1:AF419)&lt;2),   SUMIF(AB:AB,AB420-1,AE:AE),0  )
+ IF(AND(AC420&lt;AdóHó,                            AF420=2),   SUMIF(AB:AB,AB420-1,AE:AE),0  )
+ IF(                                                                  AF420=2,    SUMIF(AB:AB,AB420,AE:AE   ),0  )</f>
        <v>0</v>
      </c>
      <c r="AH420" s="272">
        <f ca="1">SUM(AG$2:AG420)</f>
        <v>1139324.2410681627</v>
      </c>
    </row>
    <row r="421" spans="1:34">
      <c r="A421" s="265">
        <f t="shared" ref="A421:A484" si="79">IF(B420=12,A420+1,A420)</f>
        <v>35</v>
      </c>
      <c r="B421" s="265">
        <f t="shared" ref="B421:B484" si="80">IF(B420=12,1,B420+1)</f>
        <v>11</v>
      </c>
      <c r="C421" s="265">
        <f t="shared" ca="1" si="74"/>
        <v>36</v>
      </c>
      <c r="D421" s="265">
        <f t="shared" ca="1" si="75"/>
        <v>2</v>
      </c>
      <c r="E421" s="266">
        <v>5.0000000000000001E-3</v>
      </c>
      <c r="F421" s="267">
        <f>ÉV!$B$12</f>
        <v>0</v>
      </c>
      <c r="G421" s="271">
        <f ca="1">VLOOKUP(A421,ÉV!$A$18:$B$65,2,0)</f>
        <v>0</v>
      </c>
      <c r="H421" s="271">
        <f ca="1">IF(OR(A421=1,AND(C421=ÉV!$I$2,D421&gt;ÉV!$J$2),C421&gt;ÉV!$I$2),0,INDEX(Pz!$B$2:$AM$48,A421-1,ÉV!$G$2-9)/100000*ÉV!$B$10)</f>
        <v>0</v>
      </c>
      <c r="I421" s="271">
        <f ca="1">INDEX(Pz!$B$2:$AM$48,HÓ!A421,ÉV!$G$2-9)/100000*ÉV!$B$10</f>
        <v>0</v>
      </c>
      <c r="J421" s="273">
        <f ca="1">IF(OR(A421=1,A421=2,AND(C421=ÉV!$I$2,D421&gt;ÉV!$J$2),C421&gt;ÉV!$I$2),0,VLOOKUP(A421-2,ÉV!$A$18:$C$65,3,0))</f>
        <v>0</v>
      </c>
      <c r="K421" s="273">
        <f ca="1">IF(OR(A421=1,AND(C421=ÉV!$I$2,D421&gt;ÉV!$J$2),C421&gt;ÉV!$I$2),0,VLOOKUP(A421-1,ÉV!$A$18:$C$65,3,0))</f>
        <v>0</v>
      </c>
      <c r="L421" s="273">
        <f ca="1">VLOOKUP(A421,ÉV!$A$18:$C$65,3,0)*IF(OR(AND(C421=ÉV!$I$2,D421&gt;ÉV!$J$2),C421&gt;ÉV!$I$2),0,1)</f>
        <v>0</v>
      </c>
      <c r="M421" s="273">
        <f ca="1">(K421*(12-B421)/12+L421*B421/12)*IF(A421&gt;ÉV!$G$2,0,1)+IF(A421&gt;ÉV!$G$2,M420,0)*IF(OR(AND(C421=ÉV!$I$2,D421&gt;ÉV!$J$2),C421&gt;ÉV!$I$2),0,1)</f>
        <v>0</v>
      </c>
      <c r="N421" s="274">
        <f ca="1">IF(AND(C421=1,D421&lt;12),0,1)*IF(D421=12,MAX(0,F421-E421-0.003)*0.9*((K421+I421)*(B421/12)+(J421+H421)*(1-B421/12))+MAX(0,F421-0.003)*0.9*N420+N420,IF(AND(C421=ÉV!$I$2,D421=ÉV!$J$2),(M421+N420)*MAX(0,F421-0.003)*0.9*(D421/12)+N420,N420))*IF(OR(C421&gt;ÉV!$I$2,AND(C421=ÉV!$I$2,D421&gt;ÉV!$J$2)),0,1)</f>
        <v>0</v>
      </c>
      <c r="O421" s="313">
        <f ca="1">IF(MAX(AF$2:AF420)=2,      0,IF(OR(AC421=7, AF421=2),    SUM(AE$2:AE421),    O420)   )</f>
        <v>0</v>
      </c>
      <c r="P421" s="271">
        <f ca="1">IF(D421=12,V421+P420+P420*(F421-0.003)*0.9,IF(AND(C421=ÉV!$I$2,D421=ÉV!$J$2),V421+P420+P420*(F421-0.003)*0.9*D421/12,P420))*IF(OR(C421&gt;ÉV!$I$2,AND(C421=ÉV!$I$2,D421&gt;ÉV!$J$2)),0,1)</f>
        <v>0</v>
      </c>
      <c r="Q421" s="275">
        <f ca="1">(N421+P421)*IF(OR(AND(C421=ÉV!$I$2,D421&gt;ÉV!$J$2),C421&gt;ÉV!$I$2),0,1)</f>
        <v>0</v>
      </c>
      <c r="R421" s="271">
        <f ca="1">(MAX(0,F421-E421-0.003)*0.9*((K421+I421)*(1/12)))*IF(OR(C421&gt;ÉV!$I$2,AND(C421=ÉV!$I$2,D421&gt;ÉV!$J$2)),0,1)</f>
        <v>0</v>
      </c>
      <c r="S421" s="271">
        <f ca="1">(MAX(0,F421-0.003)*0.9*((O421)*(1/12)))*IF(OR(C421&gt;ÉV!$I$2,AND(C421=ÉV!$I$2,D421&gt;ÉV!$J$2)),0,1)</f>
        <v>0</v>
      </c>
      <c r="T421" s="271">
        <f ca="1">(MAX(0,F421-0.003)*0.9*((Q420)*(1/12)))*IF(OR(C421&gt;ÉV!$I$2,AND(C421=ÉV!$I$2,D421&gt;ÉV!$J$2)),0,1)</f>
        <v>0</v>
      </c>
      <c r="U421" s="271">
        <f ca="1">IF($D421=1,R421,R421+U420)*IF(OR(C421&gt;ÉV!$I$2,AND(C421=ÉV!$I$2,D421&gt;ÉV!$J$2)),0,1)</f>
        <v>0</v>
      </c>
      <c r="V421" s="271">
        <f ca="1">IF($D421=1,S421,S421+V420)*IF(OR(C421&gt;ÉV!$I$2,AND(C421=ÉV!$I$2,D421&gt;ÉV!$J$2)),0,1)</f>
        <v>0</v>
      </c>
      <c r="W421" s="271">
        <f ca="1">IF($D421=1,T421,T421+W420)*IF(OR(C421&gt;ÉV!$I$2,AND(C421=ÉV!$I$2,D421&gt;ÉV!$J$2)),0,1)</f>
        <v>0</v>
      </c>
      <c r="X421" s="271">
        <f ca="1">IF(OR(D421=12,AND(C421=ÉV!$I$2,D421=ÉV!$J$2)),SUM(U421:W421)+X420,X420)*IF(OR(C421&gt;ÉV!$I$2,AND(C421=ÉV!$I$2,D421&gt;ÉV!$J$2)),0,1)</f>
        <v>0</v>
      </c>
      <c r="Y421" s="271">
        <f t="shared" ca="1" si="68"/>
        <v>0</v>
      </c>
      <c r="Z421" s="265">
        <f t="shared" si="69"/>
        <v>11</v>
      </c>
      <c r="AA421" s="272">
        <f t="shared" ca="1" si="70"/>
        <v>0</v>
      </c>
      <c r="AB421" s="265">
        <f t="shared" ca="1" si="76"/>
        <v>2052</v>
      </c>
      <c r="AC421" s="265">
        <f t="shared" ca="1" si="77"/>
        <v>2</v>
      </c>
      <c r="AD421" s="276">
        <f ca="1">IF(     OR(               AND(MAX(AF$6:AF421)&lt;2,  AC421=12),                 AF421=2),                   SUMIF(AB:AB,AB421,AA:AA),                       0)</f>
        <v>0</v>
      </c>
      <c r="AE421" s="277">
        <f t="shared" ca="1" si="78"/>
        <v>0</v>
      </c>
      <c r="AF421" s="277">
        <f t="shared" ca="1" si="71"/>
        <v>0</v>
      </c>
      <c r="AG421" s="402">
        <f ca="1">IF(  AND(AC421=AdóHó,   MAX(AF$1:AF420)&lt;2),   SUMIF(AB:AB,AB421-1,AE:AE),0  )
+ IF(AND(AC421&lt;AdóHó,                            AF421=2),   SUMIF(AB:AB,AB421-1,AE:AE),0  )
+ IF(                                                                  AF421=2,    SUMIF(AB:AB,AB421,AE:AE   ),0  )</f>
        <v>0</v>
      </c>
      <c r="AH421" s="272">
        <f ca="1">SUM(AG$2:AG421)</f>
        <v>1139324.2410681627</v>
      </c>
    </row>
    <row r="422" spans="1:34">
      <c r="A422" s="265">
        <f t="shared" si="79"/>
        <v>35</v>
      </c>
      <c r="B422" s="265">
        <f t="shared" si="80"/>
        <v>12</v>
      </c>
      <c r="C422" s="265">
        <f t="shared" ca="1" si="74"/>
        <v>36</v>
      </c>
      <c r="D422" s="265">
        <f t="shared" ca="1" si="75"/>
        <v>3</v>
      </c>
      <c r="E422" s="266">
        <v>5.0000000000000001E-3</v>
      </c>
      <c r="F422" s="267">
        <f>ÉV!$B$12</f>
        <v>0</v>
      </c>
      <c r="G422" s="271">
        <f ca="1">VLOOKUP(A422,ÉV!$A$18:$B$65,2,0)</f>
        <v>0</v>
      </c>
      <c r="H422" s="271">
        <f ca="1">IF(OR(A422=1,AND(C422=ÉV!$I$2,D422&gt;ÉV!$J$2),C422&gt;ÉV!$I$2),0,INDEX(Pz!$B$2:$AM$48,A422-1,ÉV!$G$2-9)/100000*ÉV!$B$10)</f>
        <v>0</v>
      </c>
      <c r="I422" s="271">
        <f ca="1">INDEX(Pz!$B$2:$AM$48,HÓ!A422,ÉV!$G$2-9)/100000*ÉV!$B$10</f>
        <v>0</v>
      </c>
      <c r="J422" s="273">
        <f ca="1">IF(OR(A422=1,A422=2,AND(C422=ÉV!$I$2,D422&gt;ÉV!$J$2),C422&gt;ÉV!$I$2),0,VLOOKUP(A422-2,ÉV!$A$18:$C$65,3,0))</f>
        <v>0</v>
      </c>
      <c r="K422" s="273">
        <f ca="1">IF(OR(A422=1,AND(C422=ÉV!$I$2,D422&gt;ÉV!$J$2),C422&gt;ÉV!$I$2),0,VLOOKUP(A422-1,ÉV!$A$18:$C$65,3,0))</f>
        <v>0</v>
      </c>
      <c r="L422" s="273">
        <f ca="1">VLOOKUP(A422,ÉV!$A$18:$C$65,3,0)*IF(OR(AND(C422=ÉV!$I$2,D422&gt;ÉV!$J$2),C422&gt;ÉV!$I$2),0,1)</f>
        <v>0</v>
      </c>
      <c r="M422" s="273">
        <f ca="1">(K422*(12-B422)/12+L422*B422/12)*IF(A422&gt;ÉV!$G$2,0,1)+IF(A422&gt;ÉV!$G$2,M421,0)*IF(OR(AND(C422=ÉV!$I$2,D422&gt;ÉV!$J$2),C422&gt;ÉV!$I$2),0,1)</f>
        <v>0</v>
      </c>
      <c r="N422" s="274">
        <f ca="1">IF(AND(C422=1,D422&lt;12),0,1)*IF(D422=12,MAX(0,F422-E422-0.003)*0.9*((K422+I422)*(B422/12)+(J422+H422)*(1-B422/12))+MAX(0,F422-0.003)*0.9*N421+N421,IF(AND(C422=ÉV!$I$2,D422=ÉV!$J$2),(M422+N421)*MAX(0,F422-0.003)*0.9*(D422/12)+N421,N421))*IF(OR(C422&gt;ÉV!$I$2,AND(C422=ÉV!$I$2,D422&gt;ÉV!$J$2)),0,1)</f>
        <v>0</v>
      </c>
      <c r="O422" s="313">
        <f ca="1">IF(MAX(AF$2:AF421)=2,      0,IF(OR(AC422=7, AF422=2),    SUM(AE$2:AE422),    O421)   )</f>
        <v>0</v>
      </c>
      <c r="P422" s="271">
        <f ca="1">IF(D422=12,V422+P421+P421*(F422-0.003)*0.9,IF(AND(C422=ÉV!$I$2,D422=ÉV!$J$2),V422+P421+P421*(F422-0.003)*0.9*D422/12,P421))*IF(OR(C422&gt;ÉV!$I$2,AND(C422=ÉV!$I$2,D422&gt;ÉV!$J$2)),0,1)</f>
        <v>0</v>
      </c>
      <c r="Q422" s="275">
        <f ca="1">(N422+P422)*IF(OR(AND(C422=ÉV!$I$2,D422&gt;ÉV!$J$2),C422&gt;ÉV!$I$2),0,1)</f>
        <v>0</v>
      </c>
      <c r="R422" s="271">
        <f ca="1">(MAX(0,F422-E422-0.003)*0.9*((K422+I422)*(1/12)))*IF(OR(C422&gt;ÉV!$I$2,AND(C422=ÉV!$I$2,D422&gt;ÉV!$J$2)),0,1)</f>
        <v>0</v>
      </c>
      <c r="S422" s="271">
        <f ca="1">(MAX(0,F422-0.003)*0.9*((O422)*(1/12)))*IF(OR(C422&gt;ÉV!$I$2,AND(C422=ÉV!$I$2,D422&gt;ÉV!$J$2)),0,1)</f>
        <v>0</v>
      </c>
      <c r="T422" s="271">
        <f ca="1">(MAX(0,F422-0.003)*0.9*((Q421)*(1/12)))*IF(OR(C422&gt;ÉV!$I$2,AND(C422=ÉV!$I$2,D422&gt;ÉV!$J$2)),0,1)</f>
        <v>0</v>
      </c>
      <c r="U422" s="271">
        <f ca="1">IF($D422=1,R422,R422+U421)*IF(OR(C422&gt;ÉV!$I$2,AND(C422=ÉV!$I$2,D422&gt;ÉV!$J$2)),0,1)</f>
        <v>0</v>
      </c>
      <c r="V422" s="271">
        <f ca="1">IF($D422=1,S422,S422+V421)*IF(OR(C422&gt;ÉV!$I$2,AND(C422=ÉV!$I$2,D422&gt;ÉV!$J$2)),0,1)</f>
        <v>0</v>
      </c>
      <c r="W422" s="271">
        <f ca="1">IF($D422=1,T422,T422+W421)*IF(OR(C422&gt;ÉV!$I$2,AND(C422=ÉV!$I$2,D422&gt;ÉV!$J$2)),0,1)</f>
        <v>0</v>
      </c>
      <c r="X422" s="271">
        <f ca="1">IF(OR(D422=12,AND(C422=ÉV!$I$2,D422=ÉV!$J$2)),SUM(U422:W422)+X421,X421)*IF(OR(C422&gt;ÉV!$I$2,AND(C422=ÉV!$I$2,D422&gt;ÉV!$J$2)),0,1)</f>
        <v>0</v>
      </c>
      <c r="Y422" s="271">
        <f t="shared" ca="1" si="68"/>
        <v>0</v>
      </c>
      <c r="Z422" s="265">
        <f t="shared" si="69"/>
        <v>12</v>
      </c>
      <c r="AA422" s="272">
        <f t="shared" ca="1" si="70"/>
        <v>0</v>
      </c>
      <c r="AB422" s="265">
        <f t="shared" ca="1" si="76"/>
        <v>2052</v>
      </c>
      <c r="AC422" s="265">
        <f t="shared" ca="1" si="77"/>
        <v>3</v>
      </c>
      <c r="AD422" s="276">
        <f ca="1">IF(     OR(               AND(MAX(AF$6:AF422)&lt;2,  AC422=12),                 AF422=2),                   SUMIF(AB:AB,AB422,AA:AA),                       0)</f>
        <v>0</v>
      </c>
      <c r="AE422" s="277">
        <f t="shared" ca="1" si="78"/>
        <v>0</v>
      </c>
      <c r="AF422" s="277">
        <f t="shared" ca="1" si="71"/>
        <v>0</v>
      </c>
      <c r="AG422" s="402">
        <f ca="1">IF(  AND(AC422=AdóHó,   MAX(AF$1:AF421)&lt;2),   SUMIF(AB:AB,AB422-1,AE:AE),0  )
+ IF(AND(AC422&lt;AdóHó,                            AF422=2),   SUMIF(AB:AB,AB422-1,AE:AE),0  )
+ IF(                                                                  AF422=2,    SUMIF(AB:AB,AB422,AE:AE   ),0  )</f>
        <v>0</v>
      </c>
      <c r="AH422" s="272">
        <f ca="1">SUM(AG$2:AG422)</f>
        <v>1139324.2410681627</v>
      </c>
    </row>
    <row r="423" spans="1:34">
      <c r="A423" s="265">
        <f t="shared" si="79"/>
        <v>36</v>
      </c>
      <c r="B423" s="265">
        <f t="shared" si="80"/>
        <v>1</v>
      </c>
      <c r="C423" s="265">
        <f t="shared" ca="1" si="74"/>
        <v>36</v>
      </c>
      <c r="D423" s="265">
        <f t="shared" ca="1" si="75"/>
        <v>4</v>
      </c>
      <c r="E423" s="266">
        <v>5.0000000000000001E-3</v>
      </c>
      <c r="F423" s="267">
        <f>ÉV!$B$12</f>
        <v>0</v>
      </c>
      <c r="G423" s="271">
        <f ca="1">VLOOKUP(A423,ÉV!$A$18:$B$65,2,0)</f>
        <v>0</v>
      </c>
      <c r="H423" s="271">
        <f ca="1">IF(OR(A423=1,AND(C423=ÉV!$I$2,D423&gt;ÉV!$J$2),C423&gt;ÉV!$I$2),0,INDEX(Pz!$B$2:$AM$48,A423-1,ÉV!$G$2-9)/100000*ÉV!$B$10)</f>
        <v>0</v>
      </c>
      <c r="I423" s="271">
        <f ca="1">INDEX(Pz!$B$2:$AM$48,HÓ!A423,ÉV!$G$2-9)/100000*ÉV!$B$10</f>
        <v>0</v>
      </c>
      <c r="J423" s="273">
        <f ca="1">IF(OR(A423=1,A423=2,AND(C423=ÉV!$I$2,D423&gt;ÉV!$J$2),C423&gt;ÉV!$I$2),0,VLOOKUP(A423-2,ÉV!$A$18:$C$65,3,0))</f>
        <v>0</v>
      </c>
      <c r="K423" s="273">
        <f ca="1">IF(OR(A423=1,AND(C423=ÉV!$I$2,D423&gt;ÉV!$J$2),C423&gt;ÉV!$I$2),0,VLOOKUP(A423-1,ÉV!$A$18:$C$65,3,0))</f>
        <v>0</v>
      </c>
      <c r="L423" s="273">
        <f ca="1">VLOOKUP(A423,ÉV!$A$18:$C$65,3,0)*IF(OR(AND(C423=ÉV!$I$2,D423&gt;ÉV!$J$2),C423&gt;ÉV!$I$2),0,1)</f>
        <v>0</v>
      </c>
      <c r="M423" s="273">
        <f ca="1">(K423*(12-B423)/12+L423*B423/12)*IF(A423&gt;ÉV!$G$2,0,1)+IF(A423&gt;ÉV!$G$2,M422,0)*IF(OR(AND(C423=ÉV!$I$2,D423&gt;ÉV!$J$2),C423&gt;ÉV!$I$2),0,1)</f>
        <v>0</v>
      </c>
      <c r="N423" s="274">
        <f ca="1">IF(AND(C423=1,D423&lt;12),0,1)*IF(D423=12,MAX(0,F423-E423-0.003)*0.9*((K423+I423)*(B423/12)+(J423+H423)*(1-B423/12))+MAX(0,F423-0.003)*0.9*N422+N422,IF(AND(C423=ÉV!$I$2,D423=ÉV!$J$2),(M423+N422)*MAX(0,F423-0.003)*0.9*(D423/12)+N422,N422))*IF(OR(C423&gt;ÉV!$I$2,AND(C423=ÉV!$I$2,D423&gt;ÉV!$J$2)),0,1)</f>
        <v>0</v>
      </c>
      <c r="O423" s="313">
        <f ca="1">IF(MAX(AF$2:AF422)=2,      0,IF(OR(AC423=7, AF423=2),    SUM(AE$2:AE423),    O422)   )</f>
        <v>0</v>
      </c>
      <c r="P423" s="271">
        <f ca="1">IF(D423=12,V423+P422+P422*(F423-0.003)*0.9,IF(AND(C423=ÉV!$I$2,D423=ÉV!$J$2),V423+P422+P422*(F423-0.003)*0.9*D423/12,P422))*IF(OR(C423&gt;ÉV!$I$2,AND(C423=ÉV!$I$2,D423&gt;ÉV!$J$2)),0,1)</f>
        <v>0</v>
      </c>
      <c r="Q423" s="275">
        <f ca="1">(N423+P423)*IF(OR(AND(C423=ÉV!$I$2,D423&gt;ÉV!$J$2),C423&gt;ÉV!$I$2),0,1)</f>
        <v>0</v>
      </c>
      <c r="R423" s="271">
        <f ca="1">(MAX(0,F423-E423-0.003)*0.9*((K423+I423)*(1/12)))*IF(OR(C423&gt;ÉV!$I$2,AND(C423=ÉV!$I$2,D423&gt;ÉV!$J$2)),0,1)</f>
        <v>0</v>
      </c>
      <c r="S423" s="271">
        <f ca="1">(MAX(0,F423-0.003)*0.9*((O423)*(1/12)))*IF(OR(C423&gt;ÉV!$I$2,AND(C423=ÉV!$I$2,D423&gt;ÉV!$J$2)),0,1)</f>
        <v>0</v>
      </c>
      <c r="T423" s="271">
        <f ca="1">(MAX(0,F423-0.003)*0.9*((Q422)*(1/12)))*IF(OR(C423&gt;ÉV!$I$2,AND(C423=ÉV!$I$2,D423&gt;ÉV!$J$2)),0,1)</f>
        <v>0</v>
      </c>
      <c r="U423" s="271">
        <f ca="1">IF($D423=1,R423,R423+U422)*IF(OR(C423&gt;ÉV!$I$2,AND(C423=ÉV!$I$2,D423&gt;ÉV!$J$2)),0,1)</f>
        <v>0</v>
      </c>
      <c r="V423" s="271">
        <f ca="1">IF($D423=1,S423,S423+V422)*IF(OR(C423&gt;ÉV!$I$2,AND(C423=ÉV!$I$2,D423&gt;ÉV!$J$2)),0,1)</f>
        <v>0</v>
      </c>
      <c r="W423" s="271">
        <f ca="1">IF($D423=1,T423,T423+W422)*IF(OR(C423&gt;ÉV!$I$2,AND(C423=ÉV!$I$2,D423&gt;ÉV!$J$2)),0,1)</f>
        <v>0</v>
      </c>
      <c r="X423" s="271">
        <f ca="1">IF(OR(D423=12,AND(C423=ÉV!$I$2,D423=ÉV!$J$2)),SUM(U423:W423)+X422,X422)*IF(OR(C423&gt;ÉV!$I$2,AND(C423=ÉV!$I$2,D423&gt;ÉV!$J$2)),0,1)</f>
        <v>0</v>
      </c>
      <c r="Y423" s="271">
        <f t="shared" ca="1" si="68"/>
        <v>0</v>
      </c>
      <c r="Z423" s="265">
        <f t="shared" si="69"/>
        <v>1</v>
      </c>
      <c r="AA423" s="272">
        <f t="shared" ca="1" si="70"/>
        <v>0</v>
      </c>
      <c r="AB423" s="265">
        <f t="shared" ca="1" si="76"/>
        <v>2052</v>
      </c>
      <c r="AC423" s="265">
        <f t="shared" ca="1" si="77"/>
        <v>4</v>
      </c>
      <c r="AD423" s="276">
        <f ca="1">IF(     OR(               AND(MAX(AF$6:AF423)&lt;2,  AC423=12),                 AF423=2),                   SUMIF(AB:AB,AB423,AA:AA),                       0)</f>
        <v>0</v>
      </c>
      <c r="AE423" s="277">
        <f t="shared" ca="1" si="78"/>
        <v>0</v>
      </c>
      <c r="AF423" s="277">
        <f t="shared" ca="1" si="71"/>
        <v>0</v>
      </c>
      <c r="AG423" s="402">
        <f ca="1">IF(  AND(AC423=AdóHó,   MAX(AF$1:AF422)&lt;2),   SUMIF(AB:AB,AB423-1,AE:AE),0  )
+ IF(AND(AC423&lt;AdóHó,                            AF423=2),   SUMIF(AB:AB,AB423-1,AE:AE),0  )
+ IF(                                                                  AF423=2,    SUMIF(AB:AB,AB423,AE:AE   ),0  )</f>
        <v>0</v>
      </c>
      <c r="AH423" s="272">
        <f ca="1">SUM(AG$2:AG423)</f>
        <v>1139324.2410681627</v>
      </c>
    </row>
    <row r="424" spans="1:34">
      <c r="A424" s="265">
        <f t="shared" si="79"/>
        <v>36</v>
      </c>
      <c r="B424" s="265">
        <f t="shared" si="80"/>
        <v>2</v>
      </c>
      <c r="C424" s="265">
        <f t="shared" ca="1" si="74"/>
        <v>36</v>
      </c>
      <c r="D424" s="265">
        <f t="shared" ca="1" si="75"/>
        <v>5</v>
      </c>
      <c r="E424" s="266">
        <v>5.0000000000000001E-3</v>
      </c>
      <c r="F424" s="267">
        <f>ÉV!$B$12</f>
        <v>0</v>
      </c>
      <c r="G424" s="271">
        <f ca="1">VLOOKUP(A424,ÉV!$A$18:$B$65,2,0)</f>
        <v>0</v>
      </c>
      <c r="H424" s="271">
        <f ca="1">IF(OR(A424=1,AND(C424=ÉV!$I$2,D424&gt;ÉV!$J$2),C424&gt;ÉV!$I$2),0,INDEX(Pz!$B$2:$AM$48,A424-1,ÉV!$G$2-9)/100000*ÉV!$B$10)</f>
        <v>0</v>
      </c>
      <c r="I424" s="271">
        <f ca="1">INDEX(Pz!$B$2:$AM$48,HÓ!A424,ÉV!$G$2-9)/100000*ÉV!$B$10</f>
        <v>0</v>
      </c>
      <c r="J424" s="273">
        <f ca="1">IF(OR(A424=1,A424=2,AND(C424=ÉV!$I$2,D424&gt;ÉV!$J$2),C424&gt;ÉV!$I$2),0,VLOOKUP(A424-2,ÉV!$A$18:$C$65,3,0))</f>
        <v>0</v>
      </c>
      <c r="K424" s="273">
        <f ca="1">IF(OR(A424=1,AND(C424=ÉV!$I$2,D424&gt;ÉV!$J$2),C424&gt;ÉV!$I$2),0,VLOOKUP(A424-1,ÉV!$A$18:$C$65,3,0))</f>
        <v>0</v>
      </c>
      <c r="L424" s="273">
        <f ca="1">VLOOKUP(A424,ÉV!$A$18:$C$65,3,0)*IF(OR(AND(C424=ÉV!$I$2,D424&gt;ÉV!$J$2),C424&gt;ÉV!$I$2),0,1)</f>
        <v>0</v>
      </c>
      <c r="M424" s="273">
        <f ca="1">(K424*(12-B424)/12+L424*B424/12)*IF(A424&gt;ÉV!$G$2,0,1)+IF(A424&gt;ÉV!$G$2,M423,0)*IF(OR(AND(C424=ÉV!$I$2,D424&gt;ÉV!$J$2),C424&gt;ÉV!$I$2),0,1)</f>
        <v>0</v>
      </c>
      <c r="N424" s="274">
        <f ca="1">IF(AND(C424=1,D424&lt;12),0,1)*IF(D424=12,MAX(0,F424-E424-0.003)*0.9*((K424+I424)*(B424/12)+(J424+H424)*(1-B424/12))+MAX(0,F424-0.003)*0.9*N423+N423,IF(AND(C424=ÉV!$I$2,D424=ÉV!$J$2),(M424+N423)*MAX(0,F424-0.003)*0.9*(D424/12)+N423,N423))*IF(OR(C424&gt;ÉV!$I$2,AND(C424=ÉV!$I$2,D424&gt;ÉV!$J$2)),0,1)</f>
        <v>0</v>
      </c>
      <c r="O424" s="313">
        <f ca="1">IF(MAX(AF$2:AF423)=2,      0,IF(OR(AC424=7, AF424=2),    SUM(AE$2:AE424),    O423)   )</f>
        <v>0</v>
      </c>
      <c r="P424" s="271">
        <f ca="1">IF(D424=12,V424+P423+P423*(F424-0.003)*0.9,IF(AND(C424=ÉV!$I$2,D424=ÉV!$J$2),V424+P423+P423*(F424-0.003)*0.9*D424/12,P423))*IF(OR(C424&gt;ÉV!$I$2,AND(C424=ÉV!$I$2,D424&gt;ÉV!$J$2)),0,1)</f>
        <v>0</v>
      </c>
      <c r="Q424" s="275">
        <f ca="1">(N424+P424)*IF(OR(AND(C424=ÉV!$I$2,D424&gt;ÉV!$J$2),C424&gt;ÉV!$I$2),0,1)</f>
        <v>0</v>
      </c>
      <c r="R424" s="271">
        <f ca="1">(MAX(0,F424-E424-0.003)*0.9*((K424+I424)*(1/12)))*IF(OR(C424&gt;ÉV!$I$2,AND(C424=ÉV!$I$2,D424&gt;ÉV!$J$2)),0,1)</f>
        <v>0</v>
      </c>
      <c r="S424" s="271">
        <f ca="1">(MAX(0,F424-0.003)*0.9*((O424)*(1/12)))*IF(OR(C424&gt;ÉV!$I$2,AND(C424=ÉV!$I$2,D424&gt;ÉV!$J$2)),0,1)</f>
        <v>0</v>
      </c>
      <c r="T424" s="271">
        <f ca="1">(MAX(0,F424-0.003)*0.9*((Q423)*(1/12)))*IF(OR(C424&gt;ÉV!$I$2,AND(C424=ÉV!$I$2,D424&gt;ÉV!$J$2)),0,1)</f>
        <v>0</v>
      </c>
      <c r="U424" s="271">
        <f ca="1">IF($D424=1,R424,R424+U423)*IF(OR(C424&gt;ÉV!$I$2,AND(C424=ÉV!$I$2,D424&gt;ÉV!$J$2)),0,1)</f>
        <v>0</v>
      </c>
      <c r="V424" s="271">
        <f ca="1">IF($D424=1,S424,S424+V423)*IF(OR(C424&gt;ÉV!$I$2,AND(C424=ÉV!$I$2,D424&gt;ÉV!$J$2)),0,1)</f>
        <v>0</v>
      </c>
      <c r="W424" s="271">
        <f ca="1">IF($D424=1,T424,T424+W423)*IF(OR(C424&gt;ÉV!$I$2,AND(C424=ÉV!$I$2,D424&gt;ÉV!$J$2)),0,1)</f>
        <v>0</v>
      </c>
      <c r="X424" s="271">
        <f ca="1">IF(OR(D424=12,AND(C424=ÉV!$I$2,D424=ÉV!$J$2)),SUM(U424:W424)+X423,X423)*IF(OR(C424&gt;ÉV!$I$2,AND(C424=ÉV!$I$2,D424&gt;ÉV!$J$2)),0,1)</f>
        <v>0</v>
      </c>
      <c r="Y424" s="271">
        <f t="shared" ca="1" si="68"/>
        <v>0</v>
      </c>
      <c r="Z424" s="265">
        <f t="shared" si="69"/>
        <v>2</v>
      </c>
      <c r="AA424" s="272">
        <f t="shared" ca="1" si="70"/>
        <v>0</v>
      </c>
      <c r="AB424" s="265">
        <f t="shared" ca="1" si="76"/>
        <v>2052</v>
      </c>
      <c r="AC424" s="265">
        <f t="shared" ca="1" si="77"/>
        <v>5</v>
      </c>
      <c r="AD424" s="276">
        <f ca="1">IF(     OR(               AND(MAX(AF$6:AF424)&lt;2,  AC424=12),                 AF424=2),                   SUMIF(AB:AB,AB424,AA:AA),                       0)</f>
        <v>0</v>
      </c>
      <c r="AE424" s="277">
        <f t="shared" ca="1" si="78"/>
        <v>0</v>
      </c>
      <c r="AF424" s="277">
        <f t="shared" ca="1" si="71"/>
        <v>0</v>
      </c>
      <c r="AG424" s="402">
        <f ca="1">IF(  AND(AC424=AdóHó,   MAX(AF$1:AF423)&lt;2),   SUMIF(AB:AB,AB424-1,AE:AE),0  )
+ IF(AND(AC424&lt;AdóHó,                            AF424=2),   SUMIF(AB:AB,AB424-1,AE:AE),0  )
+ IF(                                                                  AF424=2,    SUMIF(AB:AB,AB424,AE:AE   ),0  )</f>
        <v>0</v>
      </c>
      <c r="AH424" s="272">
        <f ca="1">SUM(AG$2:AG424)</f>
        <v>1139324.2410681627</v>
      </c>
    </row>
    <row r="425" spans="1:34">
      <c r="A425" s="265">
        <f t="shared" si="79"/>
        <v>36</v>
      </c>
      <c r="B425" s="265">
        <f t="shared" si="80"/>
        <v>3</v>
      </c>
      <c r="C425" s="265">
        <f t="shared" ca="1" si="74"/>
        <v>36</v>
      </c>
      <c r="D425" s="265">
        <f t="shared" ca="1" si="75"/>
        <v>6</v>
      </c>
      <c r="E425" s="266">
        <v>5.0000000000000001E-3</v>
      </c>
      <c r="F425" s="267">
        <f>ÉV!$B$12</f>
        <v>0</v>
      </c>
      <c r="G425" s="271">
        <f ca="1">VLOOKUP(A425,ÉV!$A$18:$B$65,2,0)</f>
        <v>0</v>
      </c>
      <c r="H425" s="271">
        <f ca="1">IF(OR(A425=1,AND(C425=ÉV!$I$2,D425&gt;ÉV!$J$2),C425&gt;ÉV!$I$2),0,INDEX(Pz!$B$2:$AM$48,A425-1,ÉV!$G$2-9)/100000*ÉV!$B$10)</f>
        <v>0</v>
      </c>
      <c r="I425" s="271">
        <f ca="1">INDEX(Pz!$B$2:$AM$48,HÓ!A425,ÉV!$G$2-9)/100000*ÉV!$B$10</f>
        <v>0</v>
      </c>
      <c r="J425" s="273">
        <f ca="1">IF(OR(A425=1,A425=2,AND(C425=ÉV!$I$2,D425&gt;ÉV!$J$2),C425&gt;ÉV!$I$2),0,VLOOKUP(A425-2,ÉV!$A$18:$C$65,3,0))</f>
        <v>0</v>
      </c>
      <c r="K425" s="273">
        <f ca="1">IF(OR(A425=1,AND(C425=ÉV!$I$2,D425&gt;ÉV!$J$2),C425&gt;ÉV!$I$2),0,VLOOKUP(A425-1,ÉV!$A$18:$C$65,3,0))</f>
        <v>0</v>
      </c>
      <c r="L425" s="273">
        <f ca="1">VLOOKUP(A425,ÉV!$A$18:$C$65,3,0)*IF(OR(AND(C425=ÉV!$I$2,D425&gt;ÉV!$J$2),C425&gt;ÉV!$I$2),0,1)</f>
        <v>0</v>
      </c>
      <c r="M425" s="273">
        <f ca="1">(K425*(12-B425)/12+L425*B425/12)*IF(A425&gt;ÉV!$G$2,0,1)+IF(A425&gt;ÉV!$G$2,M424,0)*IF(OR(AND(C425=ÉV!$I$2,D425&gt;ÉV!$J$2),C425&gt;ÉV!$I$2),0,1)</f>
        <v>0</v>
      </c>
      <c r="N425" s="274">
        <f ca="1">IF(AND(C425=1,D425&lt;12),0,1)*IF(D425=12,MAX(0,F425-E425-0.003)*0.9*((K425+I425)*(B425/12)+(J425+H425)*(1-B425/12))+MAX(0,F425-0.003)*0.9*N424+N424,IF(AND(C425=ÉV!$I$2,D425=ÉV!$J$2),(M425+N424)*MAX(0,F425-0.003)*0.9*(D425/12)+N424,N424))*IF(OR(C425&gt;ÉV!$I$2,AND(C425=ÉV!$I$2,D425&gt;ÉV!$J$2)),0,1)</f>
        <v>0</v>
      </c>
      <c r="O425" s="313">
        <f ca="1">IF(MAX(AF$2:AF424)=2,      0,IF(OR(AC425=7, AF425=2),    SUM(AE$2:AE425),    O424)   )</f>
        <v>0</v>
      </c>
      <c r="P425" s="271">
        <f ca="1">IF(D425=12,V425+P424+P424*(F425-0.003)*0.9,IF(AND(C425=ÉV!$I$2,D425=ÉV!$J$2),V425+P424+P424*(F425-0.003)*0.9*D425/12,P424))*IF(OR(C425&gt;ÉV!$I$2,AND(C425=ÉV!$I$2,D425&gt;ÉV!$J$2)),0,1)</f>
        <v>0</v>
      </c>
      <c r="Q425" s="275">
        <f ca="1">(N425+P425)*IF(OR(AND(C425=ÉV!$I$2,D425&gt;ÉV!$J$2),C425&gt;ÉV!$I$2),0,1)</f>
        <v>0</v>
      </c>
      <c r="R425" s="271">
        <f ca="1">(MAX(0,F425-E425-0.003)*0.9*((K425+I425)*(1/12)))*IF(OR(C425&gt;ÉV!$I$2,AND(C425=ÉV!$I$2,D425&gt;ÉV!$J$2)),0,1)</f>
        <v>0</v>
      </c>
      <c r="S425" s="271">
        <f ca="1">(MAX(0,F425-0.003)*0.9*((O425)*(1/12)))*IF(OR(C425&gt;ÉV!$I$2,AND(C425=ÉV!$I$2,D425&gt;ÉV!$J$2)),0,1)</f>
        <v>0</v>
      </c>
      <c r="T425" s="271">
        <f ca="1">(MAX(0,F425-0.003)*0.9*((Q424)*(1/12)))*IF(OR(C425&gt;ÉV!$I$2,AND(C425=ÉV!$I$2,D425&gt;ÉV!$J$2)),0,1)</f>
        <v>0</v>
      </c>
      <c r="U425" s="271">
        <f ca="1">IF($D425=1,R425,R425+U424)*IF(OR(C425&gt;ÉV!$I$2,AND(C425=ÉV!$I$2,D425&gt;ÉV!$J$2)),0,1)</f>
        <v>0</v>
      </c>
      <c r="V425" s="271">
        <f ca="1">IF($D425=1,S425,S425+V424)*IF(OR(C425&gt;ÉV!$I$2,AND(C425=ÉV!$I$2,D425&gt;ÉV!$J$2)),0,1)</f>
        <v>0</v>
      </c>
      <c r="W425" s="271">
        <f ca="1">IF($D425=1,T425,T425+W424)*IF(OR(C425&gt;ÉV!$I$2,AND(C425=ÉV!$I$2,D425&gt;ÉV!$J$2)),0,1)</f>
        <v>0</v>
      </c>
      <c r="X425" s="271">
        <f ca="1">IF(OR(D425=12,AND(C425=ÉV!$I$2,D425=ÉV!$J$2)),SUM(U425:W425)+X424,X424)*IF(OR(C425&gt;ÉV!$I$2,AND(C425=ÉV!$I$2,D425&gt;ÉV!$J$2)),0,1)</f>
        <v>0</v>
      </c>
      <c r="Y425" s="271">
        <f t="shared" ca="1" si="68"/>
        <v>0</v>
      </c>
      <c r="Z425" s="265">
        <f t="shared" si="69"/>
        <v>3</v>
      </c>
      <c r="AA425" s="272">
        <f t="shared" ca="1" si="70"/>
        <v>0</v>
      </c>
      <c r="AB425" s="265">
        <f t="shared" ca="1" si="76"/>
        <v>2052</v>
      </c>
      <c r="AC425" s="265">
        <f t="shared" ca="1" si="77"/>
        <v>6</v>
      </c>
      <c r="AD425" s="276">
        <f ca="1">IF(     OR(               AND(MAX(AF$6:AF425)&lt;2,  AC425=12),                 AF425=2),                   SUMIF(AB:AB,AB425,AA:AA),                       0)</f>
        <v>0</v>
      </c>
      <c r="AE425" s="277">
        <f t="shared" ca="1" si="78"/>
        <v>0</v>
      </c>
      <c r="AF425" s="277">
        <f t="shared" ca="1" si="71"/>
        <v>0</v>
      </c>
      <c r="AG425" s="402">
        <f ca="1">IF(  AND(AC425=AdóHó,   MAX(AF$1:AF424)&lt;2),   SUMIF(AB:AB,AB425-1,AE:AE),0  )
+ IF(AND(AC425&lt;AdóHó,                            AF425=2),   SUMIF(AB:AB,AB425-1,AE:AE),0  )
+ IF(                                                                  AF425=2,    SUMIF(AB:AB,AB425,AE:AE   ),0  )</f>
        <v>0</v>
      </c>
      <c r="AH425" s="272">
        <f ca="1">SUM(AG$2:AG425)</f>
        <v>1139324.2410681627</v>
      </c>
    </row>
    <row r="426" spans="1:34">
      <c r="A426" s="265">
        <f t="shared" si="79"/>
        <v>36</v>
      </c>
      <c r="B426" s="265">
        <f t="shared" si="80"/>
        <v>4</v>
      </c>
      <c r="C426" s="265">
        <f t="shared" ca="1" si="74"/>
        <v>36</v>
      </c>
      <c r="D426" s="265">
        <f t="shared" ca="1" si="75"/>
        <v>7</v>
      </c>
      <c r="E426" s="266">
        <v>5.0000000000000001E-3</v>
      </c>
      <c r="F426" s="267">
        <f>ÉV!$B$12</f>
        <v>0</v>
      </c>
      <c r="G426" s="271">
        <f ca="1">VLOOKUP(A426,ÉV!$A$18:$B$65,2,0)</f>
        <v>0</v>
      </c>
      <c r="H426" s="271">
        <f ca="1">IF(OR(A426=1,AND(C426=ÉV!$I$2,D426&gt;ÉV!$J$2),C426&gt;ÉV!$I$2),0,INDEX(Pz!$B$2:$AM$48,A426-1,ÉV!$G$2-9)/100000*ÉV!$B$10)</f>
        <v>0</v>
      </c>
      <c r="I426" s="271">
        <f ca="1">INDEX(Pz!$B$2:$AM$48,HÓ!A426,ÉV!$G$2-9)/100000*ÉV!$B$10</f>
        <v>0</v>
      </c>
      <c r="J426" s="273">
        <f ca="1">IF(OR(A426=1,A426=2,AND(C426=ÉV!$I$2,D426&gt;ÉV!$J$2),C426&gt;ÉV!$I$2),0,VLOOKUP(A426-2,ÉV!$A$18:$C$65,3,0))</f>
        <v>0</v>
      </c>
      <c r="K426" s="273">
        <f ca="1">IF(OR(A426=1,AND(C426=ÉV!$I$2,D426&gt;ÉV!$J$2),C426&gt;ÉV!$I$2),0,VLOOKUP(A426-1,ÉV!$A$18:$C$65,3,0))</f>
        <v>0</v>
      </c>
      <c r="L426" s="273">
        <f ca="1">VLOOKUP(A426,ÉV!$A$18:$C$65,3,0)*IF(OR(AND(C426=ÉV!$I$2,D426&gt;ÉV!$J$2),C426&gt;ÉV!$I$2),0,1)</f>
        <v>0</v>
      </c>
      <c r="M426" s="273">
        <f ca="1">(K426*(12-B426)/12+L426*B426/12)*IF(A426&gt;ÉV!$G$2,0,1)+IF(A426&gt;ÉV!$G$2,M425,0)*IF(OR(AND(C426=ÉV!$I$2,D426&gt;ÉV!$J$2),C426&gt;ÉV!$I$2),0,1)</f>
        <v>0</v>
      </c>
      <c r="N426" s="274">
        <f ca="1">IF(AND(C426=1,D426&lt;12),0,1)*IF(D426=12,MAX(0,F426-E426-0.003)*0.9*((K426+I426)*(B426/12)+(J426+H426)*(1-B426/12))+MAX(0,F426-0.003)*0.9*N425+N425,IF(AND(C426=ÉV!$I$2,D426=ÉV!$J$2),(M426+N425)*MAX(0,F426-0.003)*0.9*(D426/12)+N425,N425))*IF(OR(C426&gt;ÉV!$I$2,AND(C426=ÉV!$I$2,D426&gt;ÉV!$J$2)),0,1)</f>
        <v>0</v>
      </c>
      <c r="O426" s="313">
        <f ca="1">IF(MAX(AF$2:AF425)=2,      0,IF(OR(AC426=7, AF426=2),    SUM(AE$2:AE426),    O425)   )</f>
        <v>0</v>
      </c>
      <c r="P426" s="271">
        <f ca="1">IF(D426=12,V426+P425+P425*(F426-0.003)*0.9,IF(AND(C426=ÉV!$I$2,D426=ÉV!$J$2),V426+P425+P425*(F426-0.003)*0.9*D426/12,P425))*IF(OR(C426&gt;ÉV!$I$2,AND(C426=ÉV!$I$2,D426&gt;ÉV!$J$2)),0,1)</f>
        <v>0</v>
      </c>
      <c r="Q426" s="275">
        <f ca="1">(N426+P426)*IF(OR(AND(C426=ÉV!$I$2,D426&gt;ÉV!$J$2),C426&gt;ÉV!$I$2),0,1)</f>
        <v>0</v>
      </c>
      <c r="R426" s="271">
        <f ca="1">(MAX(0,F426-E426-0.003)*0.9*((K426+I426)*(1/12)))*IF(OR(C426&gt;ÉV!$I$2,AND(C426=ÉV!$I$2,D426&gt;ÉV!$J$2)),0,1)</f>
        <v>0</v>
      </c>
      <c r="S426" s="271">
        <f ca="1">(MAX(0,F426-0.003)*0.9*((O426)*(1/12)))*IF(OR(C426&gt;ÉV!$I$2,AND(C426=ÉV!$I$2,D426&gt;ÉV!$J$2)),0,1)</f>
        <v>0</v>
      </c>
      <c r="T426" s="271">
        <f ca="1">(MAX(0,F426-0.003)*0.9*((Q425)*(1/12)))*IF(OR(C426&gt;ÉV!$I$2,AND(C426=ÉV!$I$2,D426&gt;ÉV!$J$2)),0,1)</f>
        <v>0</v>
      </c>
      <c r="U426" s="271">
        <f ca="1">IF($D426=1,R426,R426+U425)*IF(OR(C426&gt;ÉV!$I$2,AND(C426=ÉV!$I$2,D426&gt;ÉV!$J$2)),0,1)</f>
        <v>0</v>
      </c>
      <c r="V426" s="271">
        <f ca="1">IF($D426=1,S426,S426+V425)*IF(OR(C426&gt;ÉV!$I$2,AND(C426=ÉV!$I$2,D426&gt;ÉV!$J$2)),0,1)</f>
        <v>0</v>
      </c>
      <c r="W426" s="271">
        <f ca="1">IF($D426=1,T426,T426+W425)*IF(OR(C426&gt;ÉV!$I$2,AND(C426=ÉV!$I$2,D426&gt;ÉV!$J$2)),0,1)</f>
        <v>0</v>
      </c>
      <c r="X426" s="271">
        <f ca="1">IF(OR(D426=12,AND(C426=ÉV!$I$2,D426=ÉV!$J$2)),SUM(U426:W426)+X425,X425)*IF(OR(C426&gt;ÉV!$I$2,AND(C426=ÉV!$I$2,D426&gt;ÉV!$J$2)),0,1)</f>
        <v>0</v>
      </c>
      <c r="Y426" s="271">
        <f t="shared" ca="1" si="68"/>
        <v>0</v>
      </c>
      <c r="Z426" s="265">
        <f t="shared" si="69"/>
        <v>4</v>
      </c>
      <c r="AA426" s="272">
        <f t="shared" ca="1" si="70"/>
        <v>0</v>
      </c>
      <c r="AB426" s="265">
        <f t="shared" ca="1" si="76"/>
        <v>2052</v>
      </c>
      <c r="AC426" s="265">
        <f t="shared" ca="1" si="77"/>
        <v>7</v>
      </c>
      <c r="AD426" s="276">
        <f ca="1">IF(     OR(               AND(MAX(AF$6:AF426)&lt;2,  AC426=12),                 AF426=2),                   SUMIF(AB:AB,AB426,AA:AA),                       0)</f>
        <v>0</v>
      </c>
      <c r="AE426" s="277">
        <f t="shared" ca="1" si="78"/>
        <v>0</v>
      </c>
      <c r="AF426" s="277">
        <f t="shared" ca="1" si="71"/>
        <v>0</v>
      </c>
      <c r="AG426" s="402">
        <f ca="1">IF(  AND(AC426=AdóHó,   MAX(AF$1:AF425)&lt;2),   SUMIF(AB:AB,AB426-1,AE:AE),0  )
+ IF(AND(AC426&lt;AdóHó,                            AF426=2),   SUMIF(AB:AB,AB426-1,AE:AE),0  )
+ IF(                                                                  AF426=2,    SUMIF(AB:AB,AB426,AE:AE   ),0  )</f>
        <v>0</v>
      </c>
      <c r="AH426" s="272">
        <f ca="1">SUM(AG$2:AG426)</f>
        <v>1139324.2410681627</v>
      </c>
    </row>
    <row r="427" spans="1:34">
      <c r="A427" s="265">
        <f t="shared" si="79"/>
        <v>36</v>
      </c>
      <c r="B427" s="265">
        <f t="shared" si="80"/>
        <v>5</v>
      </c>
      <c r="C427" s="265">
        <f t="shared" ca="1" si="74"/>
        <v>36</v>
      </c>
      <c r="D427" s="265">
        <f t="shared" ca="1" si="75"/>
        <v>8</v>
      </c>
      <c r="E427" s="266">
        <v>5.0000000000000001E-3</v>
      </c>
      <c r="F427" s="267">
        <f>ÉV!$B$12</f>
        <v>0</v>
      </c>
      <c r="G427" s="271">
        <f ca="1">VLOOKUP(A427,ÉV!$A$18:$B$65,2,0)</f>
        <v>0</v>
      </c>
      <c r="H427" s="271">
        <f ca="1">IF(OR(A427=1,AND(C427=ÉV!$I$2,D427&gt;ÉV!$J$2),C427&gt;ÉV!$I$2),0,INDEX(Pz!$B$2:$AM$48,A427-1,ÉV!$G$2-9)/100000*ÉV!$B$10)</f>
        <v>0</v>
      </c>
      <c r="I427" s="271">
        <f ca="1">INDEX(Pz!$B$2:$AM$48,HÓ!A427,ÉV!$G$2-9)/100000*ÉV!$B$10</f>
        <v>0</v>
      </c>
      <c r="J427" s="273">
        <f ca="1">IF(OR(A427=1,A427=2,AND(C427=ÉV!$I$2,D427&gt;ÉV!$J$2),C427&gt;ÉV!$I$2),0,VLOOKUP(A427-2,ÉV!$A$18:$C$65,3,0))</f>
        <v>0</v>
      </c>
      <c r="K427" s="273">
        <f ca="1">IF(OR(A427=1,AND(C427=ÉV!$I$2,D427&gt;ÉV!$J$2),C427&gt;ÉV!$I$2),0,VLOOKUP(A427-1,ÉV!$A$18:$C$65,3,0))</f>
        <v>0</v>
      </c>
      <c r="L427" s="273">
        <f ca="1">VLOOKUP(A427,ÉV!$A$18:$C$65,3,0)*IF(OR(AND(C427=ÉV!$I$2,D427&gt;ÉV!$J$2),C427&gt;ÉV!$I$2),0,1)</f>
        <v>0</v>
      </c>
      <c r="M427" s="273">
        <f ca="1">(K427*(12-B427)/12+L427*B427/12)*IF(A427&gt;ÉV!$G$2,0,1)+IF(A427&gt;ÉV!$G$2,M426,0)*IF(OR(AND(C427=ÉV!$I$2,D427&gt;ÉV!$J$2),C427&gt;ÉV!$I$2),0,1)</f>
        <v>0</v>
      </c>
      <c r="N427" s="274">
        <f ca="1">IF(AND(C427=1,D427&lt;12),0,1)*IF(D427=12,MAX(0,F427-E427-0.003)*0.9*((K427+I427)*(B427/12)+(J427+H427)*(1-B427/12))+MAX(0,F427-0.003)*0.9*N426+N426,IF(AND(C427=ÉV!$I$2,D427=ÉV!$J$2),(M427+N426)*MAX(0,F427-0.003)*0.9*(D427/12)+N426,N426))*IF(OR(C427&gt;ÉV!$I$2,AND(C427=ÉV!$I$2,D427&gt;ÉV!$J$2)),0,1)</f>
        <v>0</v>
      </c>
      <c r="O427" s="313">
        <f ca="1">IF(MAX(AF$2:AF426)=2,      0,IF(OR(AC427=7, AF427=2),    SUM(AE$2:AE427),    O426)   )</f>
        <v>0</v>
      </c>
      <c r="P427" s="271">
        <f ca="1">IF(D427=12,V427+P426+P426*(F427-0.003)*0.9,IF(AND(C427=ÉV!$I$2,D427=ÉV!$J$2),V427+P426+P426*(F427-0.003)*0.9*D427/12,P426))*IF(OR(C427&gt;ÉV!$I$2,AND(C427=ÉV!$I$2,D427&gt;ÉV!$J$2)),0,1)</f>
        <v>0</v>
      </c>
      <c r="Q427" s="275">
        <f ca="1">(N427+P427)*IF(OR(AND(C427=ÉV!$I$2,D427&gt;ÉV!$J$2),C427&gt;ÉV!$I$2),0,1)</f>
        <v>0</v>
      </c>
      <c r="R427" s="271">
        <f ca="1">(MAX(0,F427-E427-0.003)*0.9*((K427+I427)*(1/12)))*IF(OR(C427&gt;ÉV!$I$2,AND(C427=ÉV!$I$2,D427&gt;ÉV!$J$2)),0,1)</f>
        <v>0</v>
      </c>
      <c r="S427" s="271">
        <f ca="1">(MAX(0,F427-0.003)*0.9*((O427)*(1/12)))*IF(OR(C427&gt;ÉV!$I$2,AND(C427=ÉV!$I$2,D427&gt;ÉV!$J$2)),0,1)</f>
        <v>0</v>
      </c>
      <c r="T427" s="271">
        <f ca="1">(MAX(0,F427-0.003)*0.9*((Q426)*(1/12)))*IF(OR(C427&gt;ÉV!$I$2,AND(C427=ÉV!$I$2,D427&gt;ÉV!$J$2)),0,1)</f>
        <v>0</v>
      </c>
      <c r="U427" s="271">
        <f ca="1">IF($D427=1,R427,R427+U426)*IF(OR(C427&gt;ÉV!$I$2,AND(C427=ÉV!$I$2,D427&gt;ÉV!$J$2)),0,1)</f>
        <v>0</v>
      </c>
      <c r="V427" s="271">
        <f ca="1">IF($D427=1,S427,S427+V426)*IF(OR(C427&gt;ÉV!$I$2,AND(C427=ÉV!$I$2,D427&gt;ÉV!$J$2)),0,1)</f>
        <v>0</v>
      </c>
      <c r="W427" s="271">
        <f ca="1">IF($D427=1,T427,T427+W426)*IF(OR(C427&gt;ÉV!$I$2,AND(C427=ÉV!$I$2,D427&gt;ÉV!$J$2)),0,1)</f>
        <v>0</v>
      </c>
      <c r="X427" s="271">
        <f ca="1">IF(OR(D427=12,AND(C427=ÉV!$I$2,D427=ÉV!$J$2)),SUM(U427:W427)+X426,X426)*IF(OR(C427&gt;ÉV!$I$2,AND(C427=ÉV!$I$2,D427&gt;ÉV!$J$2)),0,1)</f>
        <v>0</v>
      </c>
      <c r="Y427" s="271">
        <f t="shared" ca="1" si="68"/>
        <v>0</v>
      </c>
      <c r="Z427" s="265">
        <f t="shared" si="69"/>
        <v>5</v>
      </c>
      <c r="AA427" s="272">
        <f t="shared" ca="1" si="70"/>
        <v>0</v>
      </c>
      <c r="AB427" s="265">
        <f t="shared" ca="1" si="76"/>
        <v>2052</v>
      </c>
      <c r="AC427" s="265">
        <f t="shared" ca="1" si="77"/>
        <v>8</v>
      </c>
      <c r="AD427" s="276">
        <f ca="1">IF(     OR(               AND(MAX(AF$6:AF427)&lt;2,  AC427=12),                 AF427=2),                   SUMIF(AB:AB,AB427,AA:AA),                       0)</f>
        <v>0</v>
      </c>
      <c r="AE427" s="277">
        <f t="shared" ca="1" si="78"/>
        <v>0</v>
      </c>
      <c r="AF427" s="277">
        <f t="shared" ca="1" si="71"/>
        <v>0</v>
      </c>
      <c r="AG427" s="402">
        <f ca="1">IF(  AND(AC427=AdóHó,   MAX(AF$1:AF426)&lt;2),   SUMIF(AB:AB,AB427-1,AE:AE),0  )
+ IF(AND(AC427&lt;AdóHó,                            AF427=2),   SUMIF(AB:AB,AB427-1,AE:AE),0  )
+ IF(                                                                  AF427=2,    SUMIF(AB:AB,AB427,AE:AE   ),0  )</f>
        <v>0</v>
      </c>
      <c r="AH427" s="272">
        <f ca="1">SUM(AG$2:AG427)</f>
        <v>1139324.2410681627</v>
      </c>
    </row>
    <row r="428" spans="1:34">
      <c r="A428" s="265">
        <f t="shared" si="79"/>
        <v>36</v>
      </c>
      <c r="B428" s="265">
        <f t="shared" si="80"/>
        <v>6</v>
      </c>
      <c r="C428" s="265">
        <f t="shared" ca="1" si="74"/>
        <v>36</v>
      </c>
      <c r="D428" s="265">
        <f t="shared" ca="1" si="75"/>
        <v>9</v>
      </c>
      <c r="E428" s="266">
        <v>5.0000000000000001E-3</v>
      </c>
      <c r="F428" s="267">
        <f>ÉV!$B$12</f>
        <v>0</v>
      </c>
      <c r="G428" s="271">
        <f ca="1">VLOOKUP(A428,ÉV!$A$18:$B$65,2,0)</f>
        <v>0</v>
      </c>
      <c r="H428" s="271">
        <f ca="1">IF(OR(A428=1,AND(C428=ÉV!$I$2,D428&gt;ÉV!$J$2),C428&gt;ÉV!$I$2),0,INDEX(Pz!$B$2:$AM$48,A428-1,ÉV!$G$2-9)/100000*ÉV!$B$10)</f>
        <v>0</v>
      </c>
      <c r="I428" s="271">
        <f ca="1">INDEX(Pz!$B$2:$AM$48,HÓ!A428,ÉV!$G$2-9)/100000*ÉV!$B$10</f>
        <v>0</v>
      </c>
      <c r="J428" s="273">
        <f ca="1">IF(OR(A428=1,A428=2,AND(C428=ÉV!$I$2,D428&gt;ÉV!$J$2),C428&gt;ÉV!$I$2),0,VLOOKUP(A428-2,ÉV!$A$18:$C$65,3,0))</f>
        <v>0</v>
      </c>
      <c r="K428" s="273">
        <f ca="1">IF(OR(A428=1,AND(C428=ÉV!$I$2,D428&gt;ÉV!$J$2),C428&gt;ÉV!$I$2),0,VLOOKUP(A428-1,ÉV!$A$18:$C$65,3,0))</f>
        <v>0</v>
      </c>
      <c r="L428" s="273">
        <f ca="1">VLOOKUP(A428,ÉV!$A$18:$C$65,3,0)*IF(OR(AND(C428=ÉV!$I$2,D428&gt;ÉV!$J$2),C428&gt;ÉV!$I$2),0,1)</f>
        <v>0</v>
      </c>
      <c r="M428" s="273">
        <f ca="1">(K428*(12-B428)/12+L428*B428/12)*IF(A428&gt;ÉV!$G$2,0,1)+IF(A428&gt;ÉV!$G$2,M427,0)*IF(OR(AND(C428=ÉV!$I$2,D428&gt;ÉV!$J$2),C428&gt;ÉV!$I$2),0,1)</f>
        <v>0</v>
      </c>
      <c r="N428" s="274">
        <f ca="1">IF(AND(C428=1,D428&lt;12),0,1)*IF(D428=12,MAX(0,F428-E428-0.003)*0.9*((K428+I428)*(B428/12)+(J428+H428)*(1-B428/12))+MAX(0,F428-0.003)*0.9*N427+N427,IF(AND(C428=ÉV!$I$2,D428=ÉV!$J$2),(M428+N427)*MAX(0,F428-0.003)*0.9*(D428/12)+N427,N427))*IF(OR(C428&gt;ÉV!$I$2,AND(C428=ÉV!$I$2,D428&gt;ÉV!$J$2)),0,1)</f>
        <v>0</v>
      </c>
      <c r="O428" s="313">
        <f ca="1">IF(MAX(AF$2:AF427)=2,      0,IF(OR(AC428=7, AF428=2),    SUM(AE$2:AE428),    O427)   )</f>
        <v>0</v>
      </c>
      <c r="P428" s="271">
        <f ca="1">IF(D428=12,V428+P427+P427*(F428-0.003)*0.9,IF(AND(C428=ÉV!$I$2,D428=ÉV!$J$2),V428+P427+P427*(F428-0.003)*0.9*D428/12,P427))*IF(OR(C428&gt;ÉV!$I$2,AND(C428=ÉV!$I$2,D428&gt;ÉV!$J$2)),0,1)</f>
        <v>0</v>
      </c>
      <c r="Q428" s="275">
        <f ca="1">(N428+P428)*IF(OR(AND(C428=ÉV!$I$2,D428&gt;ÉV!$J$2),C428&gt;ÉV!$I$2),0,1)</f>
        <v>0</v>
      </c>
      <c r="R428" s="271">
        <f ca="1">(MAX(0,F428-E428-0.003)*0.9*((K428+I428)*(1/12)))*IF(OR(C428&gt;ÉV!$I$2,AND(C428=ÉV!$I$2,D428&gt;ÉV!$J$2)),0,1)</f>
        <v>0</v>
      </c>
      <c r="S428" s="271">
        <f ca="1">(MAX(0,F428-0.003)*0.9*((O428)*(1/12)))*IF(OR(C428&gt;ÉV!$I$2,AND(C428=ÉV!$I$2,D428&gt;ÉV!$J$2)),0,1)</f>
        <v>0</v>
      </c>
      <c r="T428" s="271">
        <f ca="1">(MAX(0,F428-0.003)*0.9*((Q427)*(1/12)))*IF(OR(C428&gt;ÉV!$I$2,AND(C428=ÉV!$I$2,D428&gt;ÉV!$J$2)),0,1)</f>
        <v>0</v>
      </c>
      <c r="U428" s="271">
        <f ca="1">IF($D428=1,R428,R428+U427)*IF(OR(C428&gt;ÉV!$I$2,AND(C428=ÉV!$I$2,D428&gt;ÉV!$J$2)),0,1)</f>
        <v>0</v>
      </c>
      <c r="V428" s="271">
        <f ca="1">IF($D428=1,S428,S428+V427)*IF(OR(C428&gt;ÉV!$I$2,AND(C428=ÉV!$I$2,D428&gt;ÉV!$J$2)),0,1)</f>
        <v>0</v>
      </c>
      <c r="W428" s="271">
        <f ca="1">IF($D428=1,T428,T428+W427)*IF(OR(C428&gt;ÉV!$I$2,AND(C428=ÉV!$I$2,D428&gt;ÉV!$J$2)),0,1)</f>
        <v>0</v>
      </c>
      <c r="X428" s="271">
        <f ca="1">IF(OR(D428=12,AND(C428=ÉV!$I$2,D428=ÉV!$J$2)),SUM(U428:W428)+X427,X427)*IF(OR(C428&gt;ÉV!$I$2,AND(C428=ÉV!$I$2,D428&gt;ÉV!$J$2)),0,1)</f>
        <v>0</v>
      </c>
      <c r="Y428" s="271">
        <f t="shared" ca="1" si="68"/>
        <v>0</v>
      </c>
      <c r="Z428" s="265">
        <f t="shared" si="69"/>
        <v>6</v>
      </c>
      <c r="AA428" s="272">
        <f t="shared" ca="1" si="70"/>
        <v>0</v>
      </c>
      <c r="AB428" s="265">
        <f t="shared" ca="1" si="76"/>
        <v>2052</v>
      </c>
      <c r="AC428" s="265">
        <f t="shared" ca="1" si="77"/>
        <v>9</v>
      </c>
      <c r="AD428" s="276">
        <f ca="1">IF(     OR(               AND(MAX(AF$6:AF428)&lt;2,  AC428=12),                 AF428=2),                   SUMIF(AB:AB,AB428,AA:AA),                       0)</f>
        <v>0</v>
      </c>
      <c r="AE428" s="277">
        <f t="shared" ca="1" si="78"/>
        <v>0</v>
      </c>
      <c r="AF428" s="277">
        <f t="shared" ca="1" si="71"/>
        <v>0</v>
      </c>
      <c r="AG428" s="402">
        <f ca="1">IF(  AND(AC428=AdóHó,   MAX(AF$1:AF427)&lt;2),   SUMIF(AB:AB,AB428-1,AE:AE),0  )
+ IF(AND(AC428&lt;AdóHó,                            AF428=2),   SUMIF(AB:AB,AB428-1,AE:AE),0  )
+ IF(                                                                  AF428=2,    SUMIF(AB:AB,AB428,AE:AE   ),0  )</f>
        <v>0</v>
      </c>
      <c r="AH428" s="272">
        <f ca="1">SUM(AG$2:AG428)</f>
        <v>1139324.2410681627</v>
      </c>
    </row>
    <row r="429" spans="1:34">
      <c r="A429" s="265">
        <f t="shared" si="79"/>
        <v>36</v>
      </c>
      <c r="B429" s="265">
        <f t="shared" si="80"/>
        <v>7</v>
      </c>
      <c r="C429" s="265">
        <f t="shared" ca="1" si="74"/>
        <v>36</v>
      </c>
      <c r="D429" s="265">
        <f t="shared" ca="1" si="75"/>
        <v>10</v>
      </c>
      <c r="E429" s="266">
        <v>5.0000000000000001E-3</v>
      </c>
      <c r="F429" s="267">
        <f>ÉV!$B$12</f>
        <v>0</v>
      </c>
      <c r="G429" s="271">
        <f ca="1">VLOOKUP(A429,ÉV!$A$18:$B$65,2,0)</f>
        <v>0</v>
      </c>
      <c r="H429" s="271">
        <f ca="1">IF(OR(A429=1,AND(C429=ÉV!$I$2,D429&gt;ÉV!$J$2),C429&gt;ÉV!$I$2),0,INDEX(Pz!$B$2:$AM$48,A429-1,ÉV!$G$2-9)/100000*ÉV!$B$10)</f>
        <v>0</v>
      </c>
      <c r="I429" s="271">
        <f ca="1">INDEX(Pz!$B$2:$AM$48,HÓ!A429,ÉV!$G$2-9)/100000*ÉV!$B$10</f>
        <v>0</v>
      </c>
      <c r="J429" s="273">
        <f ca="1">IF(OR(A429=1,A429=2,AND(C429=ÉV!$I$2,D429&gt;ÉV!$J$2),C429&gt;ÉV!$I$2),0,VLOOKUP(A429-2,ÉV!$A$18:$C$65,3,0))</f>
        <v>0</v>
      </c>
      <c r="K429" s="273">
        <f ca="1">IF(OR(A429=1,AND(C429=ÉV!$I$2,D429&gt;ÉV!$J$2),C429&gt;ÉV!$I$2),0,VLOOKUP(A429-1,ÉV!$A$18:$C$65,3,0))</f>
        <v>0</v>
      </c>
      <c r="L429" s="273">
        <f ca="1">VLOOKUP(A429,ÉV!$A$18:$C$65,3,0)*IF(OR(AND(C429=ÉV!$I$2,D429&gt;ÉV!$J$2),C429&gt;ÉV!$I$2),0,1)</f>
        <v>0</v>
      </c>
      <c r="M429" s="273">
        <f ca="1">(K429*(12-B429)/12+L429*B429/12)*IF(A429&gt;ÉV!$G$2,0,1)+IF(A429&gt;ÉV!$G$2,M428,0)*IF(OR(AND(C429=ÉV!$I$2,D429&gt;ÉV!$J$2),C429&gt;ÉV!$I$2),0,1)</f>
        <v>0</v>
      </c>
      <c r="N429" s="274">
        <f ca="1">IF(AND(C429=1,D429&lt;12),0,1)*IF(D429=12,MAX(0,F429-E429-0.003)*0.9*((K429+I429)*(B429/12)+(J429+H429)*(1-B429/12))+MAX(0,F429-0.003)*0.9*N428+N428,IF(AND(C429=ÉV!$I$2,D429=ÉV!$J$2),(M429+N428)*MAX(0,F429-0.003)*0.9*(D429/12)+N428,N428))*IF(OR(C429&gt;ÉV!$I$2,AND(C429=ÉV!$I$2,D429&gt;ÉV!$J$2)),0,1)</f>
        <v>0</v>
      </c>
      <c r="O429" s="313">
        <f ca="1">IF(MAX(AF$2:AF428)=2,      0,IF(OR(AC429=7, AF429=2),    SUM(AE$2:AE429),    O428)   )</f>
        <v>0</v>
      </c>
      <c r="P429" s="271">
        <f ca="1">IF(D429=12,V429+P428+P428*(F429-0.003)*0.9,IF(AND(C429=ÉV!$I$2,D429=ÉV!$J$2),V429+P428+P428*(F429-0.003)*0.9*D429/12,P428))*IF(OR(C429&gt;ÉV!$I$2,AND(C429=ÉV!$I$2,D429&gt;ÉV!$J$2)),0,1)</f>
        <v>0</v>
      </c>
      <c r="Q429" s="275">
        <f ca="1">(N429+P429)*IF(OR(AND(C429=ÉV!$I$2,D429&gt;ÉV!$J$2),C429&gt;ÉV!$I$2),0,1)</f>
        <v>0</v>
      </c>
      <c r="R429" s="271">
        <f ca="1">(MAX(0,F429-E429-0.003)*0.9*((K429+I429)*(1/12)))*IF(OR(C429&gt;ÉV!$I$2,AND(C429=ÉV!$I$2,D429&gt;ÉV!$J$2)),0,1)</f>
        <v>0</v>
      </c>
      <c r="S429" s="271">
        <f ca="1">(MAX(0,F429-0.003)*0.9*((O429)*(1/12)))*IF(OR(C429&gt;ÉV!$I$2,AND(C429=ÉV!$I$2,D429&gt;ÉV!$J$2)),0,1)</f>
        <v>0</v>
      </c>
      <c r="T429" s="271">
        <f ca="1">(MAX(0,F429-0.003)*0.9*((Q428)*(1/12)))*IF(OR(C429&gt;ÉV!$I$2,AND(C429=ÉV!$I$2,D429&gt;ÉV!$J$2)),0,1)</f>
        <v>0</v>
      </c>
      <c r="U429" s="271">
        <f ca="1">IF($D429=1,R429,R429+U428)*IF(OR(C429&gt;ÉV!$I$2,AND(C429=ÉV!$I$2,D429&gt;ÉV!$J$2)),0,1)</f>
        <v>0</v>
      </c>
      <c r="V429" s="271">
        <f ca="1">IF($D429=1,S429,S429+V428)*IF(OR(C429&gt;ÉV!$I$2,AND(C429=ÉV!$I$2,D429&gt;ÉV!$J$2)),0,1)</f>
        <v>0</v>
      </c>
      <c r="W429" s="271">
        <f ca="1">IF($D429=1,T429,T429+W428)*IF(OR(C429&gt;ÉV!$I$2,AND(C429=ÉV!$I$2,D429&gt;ÉV!$J$2)),0,1)</f>
        <v>0</v>
      </c>
      <c r="X429" s="271">
        <f ca="1">IF(OR(D429=12,AND(C429=ÉV!$I$2,D429=ÉV!$J$2)),SUM(U429:W429)+X428,X428)*IF(OR(C429&gt;ÉV!$I$2,AND(C429=ÉV!$I$2,D429&gt;ÉV!$J$2)),0,1)</f>
        <v>0</v>
      </c>
      <c r="Y429" s="271">
        <f t="shared" ca="1" si="68"/>
        <v>0</v>
      </c>
      <c r="Z429" s="265">
        <f t="shared" si="69"/>
        <v>7</v>
      </c>
      <c r="AA429" s="272">
        <f t="shared" ca="1" si="70"/>
        <v>0</v>
      </c>
      <c r="AB429" s="265">
        <f t="shared" ca="1" si="76"/>
        <v>2052</v>
      </c>
      <c r="AC429" s="265">
        <f t="shared" ca="1" si="77"/>
        <v>10</v>
      </c>
      <c r="AD429" s="276">
        <f ca="1">IF(     OR(               AND(MAX(AF$6:AF429)&lt;2,  AC429=12),                 AF429=2),                   SUMIF(AB:AB,AB429,AA:AA),                       0)</f>
        <v>0</v>
      </c>
      <c r="AE429" s="277">
        <f t="shared" ca="1" si="78"/>
        <v>0</v>
      </c>
      <c r="AF429" s="277">
        <f t="shared" ca="1" si="71"/>
        <v>0</v>
      </c>
      <c r="AG429" s="402">
        <f ca="1">IF(  AND(AC429=AdóHó,   MAX(AF$1:AF428)&lt;2),   SUMIF(AB:AB,AB429-1,AE:AE),0  )
+ IF(AND(AC429&lt;AdóHó,                            AF429=2),   SUMIF(AB:AB,AB429-1,AE:AE),0  )
+ IF(                                                                  AF429=2,    SUMIF(AB:AB,AB429,AE:AE   ),0  )</f>
        <v>0</v>
      </c>
      <c r="AH429" s="272">
        <f ca="1">SUM(AG$2:AG429)</f>
        <v>1139324.2410681627</v>
      </c>
    </row>
    <row r="430" spans="1:34">
      <c r="A430" s="265">
        <f t="shared" si="79"/>
        <v>36</v>
      </c>
      <c r="B430" s="265">
        <f t="shared" si="80"/>
        <v>8</v>
      </c>
      <c r="C430" s="265">
        <f t="shared" ca="1" si="74"/>
        <v>36</v>
      </c>
      <c r="D430" s="265">
        <f t="shared" ca="1" si="75"/>
        <v>11</v>
      </c>
      <c r="E430" s="266">
        <v>5.0000000000000001E-3</v>
      </c>
      <c r="F430" s="267">
        <f>ÉV!$B$12</f>
        <v>0</v>
      </c>
      <c r="G430" s="271">
        <f ca="1">VLOOKUP(A430,ÉV!$A$18:$B$65,2,0)</f>
        <v>0</v>
      </c>
      <c r="H430" s="271">
        <f ca="1">IF(OR(A430=1,AND(C430=ÉV!$I$2,D430&gt;ÉV!$J$2),C430&gt;ÉV!$I$2),0,INDEX(Pz!$B$2:$AM$48,A430-1,ÉV!$G$2-9)/100000*ÉV!$B$10)</f>
        <v>0</v>
      </c>
      <c r="I430" s="271">
        <f ca="1">INDEX(Pz!$B$2:$AM$48,HÓ!A430,ÉV!$G$2-9)/100000*ÉV!$B$10</f>
        <v>0</v>
      </c>
      <c r="J430" s="273">
        <f ca="1">IF(OR(A430=1,A430=2,AND(C430=ÉV!$I$2,D430&gt;ÉV!$J$2),C430&gt;ÉV!$I$2),0,VLOOKUP(A430-2,ÉV!$A$18:$C$65,3,0))</f>
        <v>0</v>
      </c>
      <c r="K430" s="273">
        <f ca="1">IF(OR(A430=1,AND(C430=ÉV!$I$2,D430&gt;ÉV!$J$2),C430&gt;ÉV!$I$2),0,VLOOKUP(A430-1,ÉV!$A$18:$C$65,3,0))</f>
        <v>0</v>
      </c>
      <c r="L430" s="273">
        <f ca="1">VLOOKUP(A430,ÉV!$A$18:$C$65,3,0)*IF(OR(AND(C430=ÉV!$I$2,D430&gt;ÉV!$J$2),C430&gt;ÉV!$I$2),0,1)</f>
        <v>0</v>
      </c>
      <c r="M430" s="273">
        <f ca="1">(K430*(12-B430)/12+L430*B430/12)*IF(A430&gt;ÉV!$G$2,0,1)+IF(A430&gt;ÉV!$G$2,M429,0)*IF(OR(AND(C430=ÉV!$I$2,D430&gt;ÉV!$J$2),C430&gt;ÉV!$I$2),0,1)</f>
        <v>0</v>
      </c>
      <c r="N430" s="274">
        <f ca="1">IF(AND(C430=1,D430&lt;12),0,1)*IF(D430=12,MAX(0,F430-E430-0.003)*0.9*((K430+I430)*(B430/12)+(J430+H430)*(1-B430/12))+MAX(0,F430-0.003)*0.9*N429+N429,IF(AND(C430=ÉV!$I$2,D430=ÉV!$J$2),(M430+N429)*MAX(0,F430-0.003)*0.9*(D430/12)+N429,N429))*IF(OR(C430&gt;ÉV!$I$2,AND(C430=ÉV!$I$2,D430&gt;ÉV!$J$2)),0,1)</f>
        <v>0</v>
      </c>
      <c r="O430" s="313">
        <f ca="1">IF(MAX(AF$2:AF429)=2,      0,IF(OR(AC430=7, AF430=2),    SUM(AE$2:AE430),    O429)   )</f>
        <v>0</v>
      </c>
      <c r="P430" s="271">
        <f ca="1">IF(D430=12,V430+P429+P429*(F430-0.003)*0.9,IF(AND(C430=ÉV!$I$2,D430=ÉV!$J$2),V430+P429+P429*(F430-0.003)*0.9*D430/12,P429))*IF(OR(C430&gt;ÉV!$I$2,AND(C430=ÉV!$I$2,D430&gt;ÉV!$J$2)),0,1)</f>
        <v>0</v>
      </c>
      <c r="Q430" s="275">
        <f ca="1">(N430+P430)*IF(OR(AND(C430=ÉV!$I$2,D430&gt;ÉV!$J$2),C430&gt;ÉV!$I$2),0,1)</f>
        <v>0</v>
      </c>
      <c r="R430" s="271">
        <f ca="1">(MAX(0,F430-E430-0.003)*0.9*((K430+I430)*(1/12)))*IF(OR(C430&gt;ÉV!$I$2,AND(C430=ÉV!$I$2,D430&gt;ÉV!$J$2)),0,1)</f>
        <v>0</v>
      </c>
      <c r="S430" s="271">
        <f ca="1">(MAX(0,F430-0.003)*0.9*((O430)*(1/12)))*IF(OR(C430&gt;ÉV!$I$2,AND(C430=ÉV!$I$2,D430&gt;ÉV!$J$2)),0,1)</f>
        <v>0</v>
      </c>
      <c r="T430" s="271">
        <f ca="1">(MAX(0,F430-0.003)*0.9*((Q429)*(1/12)))*IF(OR(C430&gt;ÉV!$I$2,AND(C430=ÉV!$I$2,D430&gt;ÉV!$J$2)),0,1)</f>
        <v>0</v>
      </c>
      <c r="U430" s="271">
        <f ca="1">IF($D430=1,R430,R430+U429)*IF(OR(C430&gt;ÉV!$I$2,AND(C430=ÉV!$I$2,D430&gt;ÉV!$J$2)),0,1)</f>
        <v>0</v>
      </c>
      <c r="V430" s="271">
        <f ca="1">IF($D430=1,S430,S430+V429)*IF(OR(C430&gt;ÉV!$I$2,AND(C430=ÉV!$I$2,D430&gt;ÉV!$J$2)),0,1)</f>
        <v>0</v>
      </c>
      <c r="W430" s="271">
        <f ca="1">IF($D430=1,T430,T430+W429)*IF(OR(C430&gt;ÉV!$I$2,AND(C430=ÉV!$I$2,D430&gt;ÉV!$J$2)),0,1)</f>
        <v>0</v>
      </c>
      <c r="X430" s="271">
        <f ca="1">IF(OR(D430=12,AND(C430=ÉV!$I$2,D430=ÉV!$J$2)),SUM(U430:W430)+X429,X429)*IF(OR(C430&gt;ÉV!$I$2,AND(C430=ÉV!$I$2,D430&gt;ÉV!$J$2)),0,1)</f>
        <v>0</v>
      </c>
      <c r="Y430" s="271">
        <f t="shared" ca="1" si="68"/>
        <v>0</v>
      </c>
      <c r="Z430" s="265">
        <f t="shared" si="69"/>
        <v>8</v>
      </c>
      <c r="AA430" s="272">
        <f t="shared" ca="1" si="70"/>
        <v>0</v>
      </c>
      <c r="AB430" s="265">
        <f t="shared" ca="1" si="76"/>
        <v>2052</v>
      </c>
      <c r="AC430" s="265">
        <f t="shared" ca="1" si="77"/>
        <v>11</v>
      </c>
      <c r="AD430" s="276">
        <f ca="1">IF(     OR(               AND(MAX(AF$6:AF430)&lt;2,  AC430=12),                 AF430=2),                   SUMIF(AB:AB,AB430,AA:AA),                       0)</f>
        <v>0</v>
      </c>
      <c r="AE430" s="277">
        <f t="shared" ca="1" si="78"/>
        <v>0</v>
      </c>
      <c r="AF430" s="277">
        <f t="shared" ca="1" si="71"/>
        <v>0</v>
      </c>
      <c r="AG430" s="402">
        <f ca="1">IF(  AND(AC430=AdóHó,   MAX(AF$1:AF429)&lt;2),   SUMIF(AB:AB,AB430-1,AE:AE),0  )
+ IF(AND(AC430&lt;AdóHó,                            AF430=2),   SUMIF(AB:AB,AB430-1,AE:AE),0  )
+ IF(                                                                  AF430=2,    SUMIF(AB:AB,AB430,AE:AE   ),0  )</f>
        <v>0</v>
      </c>
      <c r="AH430" s="272">
        <f ca="1">SUM(AG$2:AG430)</f>
        <v>1139324.2410681627</v>
      </c>
    </row>
    <row r="431" spans="1:34">
      <c r="A431" s="265">
        <f t="shared" si="79"/>
        <v>36</v>
      </c>
      <c r="B431" s="265">
        <f t="shared" si="80"/>
        <v>9</v>
      </c>
      <c r="C431" s="265">
        <f t="shared" ca="1" si="74"/>
        <v>36</v>
      </c>
      <c r="D431" s="265">
        <f t="shared" ca="1" si="75"/>
        <v>12</v>
      </c>
      <c r="E431" s="266">
        <v>5.0000000000000001E-3</v>
      </c>
      <c r="F431" s="267">
        <f>ÉV!$B$12</f>
        <v>0</v>
      </c>
      <c r="G431" s="271">
        <f ca="1">VLOOKUP(A431,ÉV!$A$18:$B$65,2,0)</f>
        <v>0</v>
      </c>
      <c r="H431" s="271">
        <f ca="1">IF(OR(A431=1,AND(C431=ÉV!$I$2,D431&gt;ÉV!$J$2),C431&gt;ÉV!$I$2),0,INDEX(Pz!$B$2:$AM$48,A431-1,ÉV!$G$2-9)/100000*ÉV!$B$10)</f>
        <v>0</v>
      </c>
      <c r="I431" s="271">
        <f ca="1">INDEX(Pz!$B$2:$AM$48,HÓ!A431,ÉV!$G$2-9)/100000*ÉV!$B$10</f>
        <v>0</v>
      </c>
      <c r="J431" s="273">
        <f ca="1">IF(OR(A431=1,A431=2,AND(C431=ÉV!$I$2,D431&gt;ÉV!$J$2),C431&gt;ÉV!$I$2),0,VLOOKUP(A431-2,ÉV!$A$18:$C$65,3,0))</f>
        <v>0</v>
      </c>
      <c r="K431" s="273">
        <f ca="1">IF(OR(A431=1,AND(C431=ÉV!$I$2,D431&gt;ÉV!$J$2),C431&gt;ÉV!$I$2),0,VLOOKUP(A431-1,ÉV!$A$18:$C$65,3,0))</f>
        <v>0</v>
      </c>
      <c r="L431" s="273">
        <f ca="1">VLOOKUP(A431,ÉV!$A$18:$C$65,3,0)*IF(OR(AND(C431=ÉV!$I$2,D431&gt;ÉV!$J$2),C431&gt;ÉV!$I$2),0,1)</f>
        <v>0</v>
      </c>
      <c r="M431" s="273">
        <f ca="1">(K431*(12-B431)/12+L431*B431/12)*IF(A431&gt;ÉV!$G$2,0,1)+IF(A431&gt;ÉV!$G$2,M430,0)*IF(OR(AND(C431=ÉV!$I$2,D431&gt;ÉV!$J$2),C431&gt;ÉV!$I$2),0,1)</f>
        <v>0</v>
      </c>
      <c r="N431" s="274">
        <f ca="1">IF(AND(C431=1,D431&lt;12),0,1)*IF(D431=12,MAX(0,F431-E431-0.003)*0.9*((K431+I431)*(B431/12)+(J431+H431)*(1-B431/12))+MAX(0,F431-0.003)*0.9*N430+N430,IF(AND(C431=ÉV!$I$2,D431=ÉV!$J$2),(M431+N430)*MAX(0,F431-0.003)*0.9*(D431/12)+N430,N430))*IF(OR(C431&gt;ÉV!$I$2,AND(C431=ÉV!$I$2,D431&gt;ÉV!$J$2)),0,1)</f>
        <v>0</v>
      </c>
      <c r="O431" s="313">
        <f ca="1">IF(MAX(AF$2:AF430)=2,      0,IF(OR(AC431=7, AF431=2),    SUM(AE$2:AE431),    O430)   )</f>
        <v>0</v>
      </c>
      <c r="P431" s="271">
        <f ca="1">IF(D431=12,V431+P430+P430*(F431-0.003)*0.9,IF(AND(C431=ÉV!$I$2,D431=ÉV!$J$2),V431+P430+P430*(F431-0.003)*0.9*D431/12,P430))*IF(OR(C431&gt;ÉV!$I$2,AND(C431=ÉV!$I$2,D431&gt;ÉV!$J$2)),0,1)</f>
        <v>0</v>
      </c>
      <c r="Q431" s="275">
        <f ca="1">(N431+P431)*IF(OR(AND(C431=ÉV!$I$2,D431&gt;ÉV!$J$2),C431&gt;ÉV!$I$2),0,1)</f>
        <v>0</v>
      </c>
      <c r="R431" s="271">
        <f ca="1">(MAX(0,F431-E431-0.003)*0.9*((K431+I431)*(1/12)))*IF(OR(C431&gt;ÉV!$I$2,AND(C431=ÉV!$I$2,D431&gt;ÉV!$J$2)),0,1)</f>
        <v>0</v>
      </c>
      <c r="S431" s="271">
        <f ca="1">(MAX(0,F431-0.003)*0.9*((O431)*(1/12)))*IF(OR(C431&gt;ÉV!$I$2,AND(C431=ÉV!$I$2,D431&gt;ÉV!$J$2)),0,1)</f>
        <v>0</v>
      </c>
      <c r="T431" s="271">
        <f ca="1">(MAX(0,F431-0.003)*0.9*((Q430)*(1/12)))*IF(OR(C431&gt;ÉV!$I$2,AND(C431=ÉV!$I$2,D431&gt;ÉV!$J$2)),0,1)</f>
        <v>0</v>
      </c>
      <c r="U431" s="271">
        <f ca="1">IF($D431=1,R431,R431+U430)*IF(OR(C431&gt;ÉV!$I$2,AND(C431=ÉV!$I$2,D431&gt;ÉV!$J$2)),0,1)</f>
        <v>0</v>
      </c>
      <c r="V431" s="271">
        <f ca="1">IF($D431=1,S431,S431+V430)*IF(OR(C431&gt;ÉV!$I$2,AND(C431=ÉV!$I$2,D431&gt;ÉV!$J$2)),0,1)</f>
        <v>0</v>
      </c>
      <c r="W431" s="271">
        <f ca="1">IF($D431=1,T431,T431+W430)*IF(OR(C431&gt;ÉV!$I$2,AND(C431=ÉV!$I$2,D431&gt;ÉV!$J$2)),0,1)</f>
        <v>0</v>
      </c>
      <c r="X431" s="271">
        <f ca="1">IF(OR(D431=12,AND(C431=ÉV!$I$2,D431=ÉV!$J$2)),SUM(U431:W431)+X430,X430)*IF(OR(C431&gt;ÉV!$I$2,AND(C431=ÉV!$I$2,D431&gt;ÉV!$J$2)),0,1)</f>
        <v>0</v>
      </c>
      <c r="Y431" s="271">
        <f t="shared" ca="1" si="68"/>
        <v>0</v>
      </c>
      <c r="Z431" s="265">
        <f t="shared" si="69"/>
        <v>9</v>
      </c>
      <c r="AA431" s="272">
        <f t="shared" ca="1" si="70"/>
        <v>0</v>
      </c>
      <c r="AB431" s="265">
        <f t="shared" ca="1" si="76"/>
        <v>2052</v>
      </c>
      <c r="AC431" s="265">
        <f t="shared" ca="1" si="77"/>
        <v>12</v>
      </c>
      <c r="AD431" s="276">
        <f ca="1">IF(     OR(               AND(MAX(AF$6:AF431)&lt;2,  AC431=12),                 AF431=2),                   SUMIF(AB:AB,AB431,AA:AA),                       0)</f>
        <v>0</v>
      </c>
      <c r="AE431" s="277">
        <f t="shared" ca="1" si="78"/>
        <v>0</v>
      </c>
      <c r="AF431" s="277">
        <f t="shared" ca="1" si="71"/>
        <v>0</v>
      </c>
      <c r="AG431" s="402">
        <f ca="1">IF(  AND(AC431=AdóHó,   MAX(AF$1:AF430)&lt;2),   SUMIF(AB:AB,AB431-1,AE:AE),0  )
+ IF(AND(AC431&lt;AdóHó,                            AF431=2),   SUMIF(AB:AB,AB431-1,AE:AE),0  )
+ IF(                                                                  AF431=2,    SUMIF(AB:AB,AB431,AE:AE   ),0  )</f>
        <v>0</v>
      </c>
      <c r="AH431" s="272">
        <f ca="1">SUM(AG$2:AG431)</f>
        <v>1139324.2410681627</v>
      </c>
    </row>
    <row r="432" spans="1:34">
      <c r="A432" s="265">
        <f t="shared" si="79"/>
        <v>36</v>
      </c>
      <c r="B432" s="265">
        <f t="shared" si="80"/>
        <v>10</v>
      </c>
      <c r="C432" s="265">
        <f t="shared" ca="1" si="74"/>
        <v>37</v>
      </c>
      <c r="D432" s="265">
        <f t="shared" ca="1" si="75"/>
        <v>1</v>
      </c>
      <c r="E432" s="266">
        <v>5.0000000000000001E-3</v>
      </c>
      <c r="F432" s="267">
        <f>ÉV!$B$12</f>
        <v>0</v>
      </c>
      <c r="G432" s="271">
        <f ca="1">VLOOKUP(A432,ÉV!$A$18:$B$65,2,0)</f>
        <v>0</v>
      </c>
      <c r="H432" s="271">
        <f ca="1">IF(OR(A432=1,AND(C432=ÉV!$I$2,D432&gt;ÉV!$J$2),C432&gt;ÉV!$I$2),0,INDEX(Pz!$B$2:$AM$48,A432-1,ÉV!$G$2-9)/100000*ÉV!$B$10)</f>
        <v>0</v>
      </c>
      <c r="I432" s="271">
        <f ca="1">INDEX(Pz!$B$2:$AM$48,HÓ!A432,ÉV!$G$2-9)/100000*ÉV!$B$10</f>
        <v>0</v>
      </c>
      <c r="J432" s="273">
        <f ca="1">IF(OR(A432=1,A432=2,AND(C432=ÉV!$I$2,D432&gt;ÉV!$J$2),C432&gt;ÉV!$I$2),0,VLOOKUP(A432-2,ÉV!$A$18:$C$65,3,0))</f>
        <v>0</v>
      </c>
      <c r="K432" s="273">
        <f ca="1">IF(OR(A432=1,AND(C432=ÉV!$I$2,D432&gt;ÉV!$J$2),C432&gt;ÉV!$I$2),0,VLOOKUP(A432-1,ÉV!$A$18:$C$65,3,0))</f>
        <v>0</v>
      </c>
      <c r="L432" s="273">
        <f ca="1">VLOOKUP(A432,ÉV!$A$18:$C$65,3,0)*IF(OR(AND(C432=ÉV!$I$2,D432&gt;ÉV!$J$2),C432&gt;ÉV!$I$2),0,1)</f>
        <v>0</v>
      </c>
      <c r="M432" s="273">
        <f ca="1">(K432*(12-B432)/12+L432*B432/12)*IF(A432&gt;ÉV!$G$2,0,1)+IF(A432&gt;ÉV!$G$2,M431,0)*IF(OR(AND(C432=ÉV!$I$2,D432&gt;ÉV!$J$2),C432&gt;ÉV!$I$2),0,1)</f>
        <v>0</v>
      </c>
      <c r="N432" s="274">
        <f ca="1">IF(AND(C432=1,D432&lt;12),0,1)*IF(D432=12,MAX(0,F432-E432-0.003)*0.9*((K432+I432)*(B432/12)+(J432+H432)*(1-B432/12))+MAX(0,F432-0.003)*0.9*N431+N431,IF(AND(C432=ÉV!$I$2,D432=ÉV!$J$2),(M432+N431)*MAX(0,F432-0.003)*0.9*(D432/12)+N431,N431))*IF(OR(C432&gt;ÉV!$I$2,AND(C432=ÉV!$I$2,D432&gt;ÉV!$J$2)),0,1)</f>
        <v>0</v>
      </c>
      <c r="O432" s="313">
        <f ca="1">IF(MAX(AF$2:AF431)=2,      0,IF(OR(AC432=7, AF432=2),    SUM(AE$2:AE432),    O431)   )</f>
        <v>0</v>
      </c>
      <c r="P432" s="271">
        <f ca="1">IF(D432=12,V432+P431+P431*(F432-0.003)*0.9,IF(AND(C432=ÉV!$I$2,D432=ÉV!$J$2),V432+P431+P431*(F432-0.003)*0.9*D432/12,P431))*IF(OR(C432&gt;ÉV!$I$2,AND(C432=ÉV!$I$2,D432&gt;ÉV!$J$2)),0,1)</f>
        <v>0</v>
      </c>
      <c r="Q432" s="275">
        <f ca="1">(N432+P432)*IF(OR(AND(C432=ÉV!$I$2,D432&gt;ÉV!$J$2),C432&gt;ÉV!$I$2),0,1)</f>
        <v>0</v>
      </c>
      <c r="R432" s="271">
        <f ca="1">(MAX(0,F432-E432-0.003)*0.9*((K432+I432)*(1/12)))*IF(OR(C432&gt;ÉV!$I$2,AND(C432=ÉV!$I$2,D432&gt;ÉV!$J$2)),0,1)</f>
        <v>0</v>
      </c>
      <c r="S432" s="271">
        <f ca="1">(MAX(0,F432-0.003)*0.9*((O432)*(1/12)))*IF(OR(C432&gt;ÉV!$I$2,AND(C432=ÉV!$I$2,D432&gt;ÉV!$J$2)),0,1)</f>
        <v>0</v>
      </c>
      <c r="T432" s="271">
        <f ca="1">(MAX(0,F432-0.003)*0.9*((Q431)*(1/12)))*IF(OR(C432&gt;ÉV!$I$2,AND(C432=ÉV!$I$2,D432&gt;ÉV!$J$2)),0,1)</f>
        <v>0</v>
      </c>
      <c r="U432" s="271">
        <f ca="1">IF($D432=1,R432,R432+U431)*IF(OR(C432&gt;ÉV!$I$2,AND(C432=ÉV!$I$2,D432&gt;ÉV!$J$2)),0,1)</f>
        <v>0</v>
      </c>
      <c r="V432" s="271">
        <f ca="1">IF($D432=1,S432,S432+V431)*IF(OR(C432&gt;ÉV!$I$2,AND(C432=ÉV!$I$2,D432&gt;ÉV!$J$2)),0,1)</f>
        <v>0</v>
      </c>
      <c r="W432" s="271">
        <f ca="1">IF($D432=1,T432,T432+W431)*IF(OR(C432&gt;ÉV!$I$2,AND(C432=ÉV!$I$2,D432&gt;ÉV!$J$2)),0,1)</f>
        <v>0</v>
      </c>
      <c r="X432" s="271">
        <f ca="1">IF(OR(D432=12,AND(C432=ÉV!$I$2,D432=ÉV!$J$2)),SUM(U432:W432)+X431,X431)*IF(OR(C432&gt;ÉV!$I$2,AND(C432=ÉV!$I$2,D432&gt;ÉV!$J$2)),0,1)</f>
        <v>0</v>
      </c>
      <c r="Y432" s="271">
        <f t="shared" ca="1" si="68"/>
        <v>0</v>
      </c>
      <c r="Z432" s="265">
        <f t="shared" si="69"/>
        <v>10</v>
      </c>
      <c r="AA432" s="272">
        <f t="shared" ca="1" si="70"/>
        <v>0</v>
      </c>
      <c r="AB432" s="265">
        <f t="shared" ca="1" si="76"/>
        <v>2053</v>
      </c>
      <c r="AC432" s="265">
        <f t="shared" ca="1" si="77"/>
        <v>1</v>
      </c>
      <c r="AD432" s="276">
        <f ca="1">IF(     OR(               AND(MAX(AF$6:AF432)&lt;2,  AC432=12),                 AF432=2),                   SUMIF(AB:AB,AB432,AA:AA),                       0)</f>
        <v>0</v>
      </c>
      <c r="AE432" s="277">
        <f t="shared" ca="1" si="78"/>
        <v>0</v>
      </c>
      <c r="AF432" s="277">
        <f t="shared" ca="1" si="71"/>
        <v>0</v>
      </c>
      <c r="AG432" s="402">
        <f ca="1">IF(  AND(AC432=AdóHó,   MAX(AF$1:AF431)&lt;2),   SUMIF(AB:AB,AB432-1,AE:AE),0  )
+ IF(AND(AC432&lt;AdóHó,                            AF432=2),   SUMIF(AB:AB,AB432-1,AE:AE),0  )
+ IF(                                                                  AF432=2,    SUMIF(AB:AB,AB432,AE:AE   ),0  )</f>
        <v>0</v>
      </c>
      <c r="AH432" s="272">
        <f ca="1">SUM(AG$2:AG432)</f>
        <v>1139324.2410681627</v>
      </c>
    </row>
    <row r="433" spans="1:34">
      <c r="A433" s="265">
        <f t="shared" si="79"/>
        <v>36</v>
      </c>
      <c r="B433" s="265">
        <f t="shared" si="80"/>
        <v>11</v>
      </c>
      <c r="C433" s="265">
        <f t="shared" ca="1" si="74"/>
        <v>37</v>
      </c>
      <c r="D433" s="265">
        <f t="shared" ca="1" si="75"/>
        <v>2</v>
      </c>
      <c r="E433" s="266">
        <v>5.0000000000000001E-3</v>
      </c>
      <c r="F433" s="267">
        <f>ÉV!$B$12</f>
        <v>0</v>
      </c>
      <c r="G433" s="271">
        <f ca="1">VLOOKUP(A433,ÉV!$A$18:$B$65,2,0)</f>
        <v>0</v>
      </c>
      <c r="H433" s="271">
        <f ca="1">IF(OR(A433=1,AND(C433=ÉV!$I$2,D433&gt;ÉV!$J$2),C433&gt;ÉV!$I$2),0,INDEX(Pz!$B$2:$AM$48,A433-1,ÉV!$G$2-9)/100000*ÉV!$B$10)</f>
        <v>0</v>
      </c>
      <c r="I433" s="271">
        <f ca="1">INDEX(Pz!$B$2:$AM$48,HÓ!A433,ÉV!$G$2-9)/100000*ÉV!$B$10</f>
        <v>0</v>
      </c>
      <c r="J433" s="273">
        <f ca="1">IF(OR(A433=1,A433=2,AND(C433=ÉV!$I$2,D433&gt;ÉV!$J$2),C433&gt;ÉV!$I$2),0,VLOOKUP(A433-2,ÉV!$A$18:$C$65,3,0))</f>
        <v>0</v>
      </c>
      <c r="K433" s="273">
        <f ca="1">IF(OR(A433=1,AND(C433=ÉV!$I$2,D433&gt;ÉV!$J$2),C433&gt;ÉV!$I$2),0,VLOOKUP(A433-1,ÉV!$A$18:$C$65,3,0))</f>
        <v>0</v>
      </c>
      <c r="L433" s="273">
        <f ca="1">VLOOKUP(A433,ÉV!$A$18:$C$65,3,0)*IF(OR(AND(C433=ÉV!$I$2,D433&gt;ÉV!$J$2),C433&gt;ÉV!$I$2),0,1)</f>
        <v>0</v>
      </c>
      <c r="M433" s="273">
        <f ca="1">(K433*(12-B433)/12+L433*B433/12)*IF(A433&gt;ÉV!$G$2,0,1)+IF(A433&gt;ÉV!$G$2,M432,0)*IF(OR(AND(C433=ÉV!$I$2,D433&gt;ÉV!$J$2),C433&gt;ÉV!$I$2),0,1)</f>
        <v>0</v>
      </c>
      <c r="N433" s="274">
        <f ca="1">IF(AND(C433=1,D433&lt;12),0,1)*IF(D433=12,MAX(0,F433-E433-0.003)*0.9*((K433+I433)*(B433/12)+(J433+H433)*(1-B433/12))+MAX(0,F433-0.003)*0.9*N432+N432,IF(AND(C433=ÉV!$I$2,D433=ÉV!$J$2),(M433+N432)*MAX(0,F433-0.003)*0.9*(D433/12)+N432,N432))*IF(OR(C433&gt;ÉV!$I$2,AND(C433=ÉV!$I$2,D433&gt;ÉV!$J$2)),0,1)</f>
        <v>0</v>
      </c>
      <c r="O433" s="313">
        <f ca="1">IF(MAX(AF$2:AF432)=2,      0,IF(OR(AC433=7, AF433=2),    SUM(AE$2:AE433),    O432)   )</f>
        <v>0</v>
      </c>
      <c r="P433" s="271">
        <f ca="1">IF(D433=12,V433+P432+P432*(F433-0.003)*0.9,IF(AND(C433=ÉV!$I$2,D433=ÉV!$J$2),V433+P432+P432*(F433-0.003)*0.9*D433/12,P432))*IF(OR(C433&gt;ÉV!$I$2,AND(C433=ÉV!$I$2,D433&gt;ÉV!$J$2)),0,1)</f>
        <v>0</v>
      </c>
      <c r="Q433" s="275">
        <f ca="1">(N433+P433)*IF(OR(AND(C433=ÉV!$I$2,D433&gt;ÉV!$J$2),C433&gt;ÉV!$I$2),0,1)</f>
        <v>0</v>
      </c>
      <c r="R433" s="271">
        <f ca="1">(MAX(0,F433-E433-0.003)*0.9*((K433+I433)*(1/12)))*IF(OR(C433&gt;ÉV!$I$2,AND(C433=ÉV!$I$2,D433&gt;ÉV!$J$2)),0,1)</f>
        <v>0</v>
      </c>
      <c r="S433" s="271">
        <f ca="1">(MAX(0,F433-0.003)*0.9*((O433)*(1/12)))*IF(OR(C433&gt;ÉV!$I$2,AND(C433=ÉV!$I$2,D433&gt;ÉV!$J$2)),0,1)</f>
        <v>0</v>
      </c>
      <c r="T433" s="271">
        <f ca="1">(MAX(0,F433-0.003)*0.9*((Q432)*(1/12)))*IF(OR(C433&gt;ÉV!$I$2,AND(C433=ÉV!$I$2,D433&gt;ÉV!$J$2)),0,1)</f>
        <v>0</v>
      </c>
      <c r="U433" s="271">
        <f ca="1">IF($D433=1,R433,R433+U432)*IF(OR(C433&gt;ÉV!$I$2,AND(C433=ÉV!$I$2,D433&gt;ÉV!$J$2)),0,1)</f>
        <v>0</v>
      </c>
      <c r="V433" s="271">
        <f ca="1">IF($D433=1,S433,S433+V432)*IF(OR(C433&gt;ÉV!$I$2,AND(C433=ÉV!$I$2,D433&gt;ÉV!$J$2)),0,1)</f>
        <v>0</v>
      </c>
      <c r="W433" s="271">
        <f ca="1">IF($D433=1,T433,T433+W432)*IF(OR(C433&gt;ÉV!$I$2,AND(C433=ÉV!$I$2,D433&gt;ÉV!$J$2)),0,1)</f>
        <v>0</v>
      </c>
      <c r="X433" s="271">
        <f ca="1">IF(OR(D433=12,AND(C433=ÉV!$I$2,D433=ÉV!$J$2)),SUM(U433:W433)+X432,X432)*IF(OR(C433&gt;ÉV!$I$2,AND(C433=ÉV!$I$2,D433&gt;ÉV!$J$2)),0,1)</f>
        <v>0</v>
      </c>
      <c r="Y433" s="271">
        <f t="shared" ca="1" si="68"/>
        <v>0</v>
      </c>
      <c r="Z433" s="265">
        <f t="shared" si="69"/>
        <v>11</v>
      </c>
      <c r="AA433" s="272">
        <f t="shared" ca="1" si="70"/>
        <v>0</v>
      </c>
      <c r="AB433" s="265">
        <f t="shared" ca="1" si="76"/>
        <v>2053</v>
      </c>
      <c r="AC433" s="265">
        <f t="shared" ca="1" si="77"/>
        <v>2</v>
      </c>
      <c r="AD433" s="276">
        <f ca="1">IF(     OR(               AND(MAX(AF$6:AF433)&lt;2,  AC433=12),                 AF433=2),                   SUMIF(AB:AB,AB433,AA:AA),                       0)</f>
        <v>0</v>
      </c>
      <c r="AE433" s="277">
        <f t="shared" ca="1" si="78"/>
        <v>0</v>
      </c>
      <c r="AF433" s="277">
        <f t="shared" ca="1" si="71"/>
        <v>0</v>
      </c>
      <c r="AG433" s="402">
        <f ca="1">IF(  AND(AC433=AdóHó,   MAX(AF$1:AF432)&lt;2),   SUMIF(AB:AB,AB433-1,AE:AE),0  )
+ IF(AND(AC433&lt;AdóHó,                            AF433=2),   SUMIF(AB:AB,AB433-1,AE:AE),0  )
+ IF(                                                                  AF433=2,    SUMIF(AB:AB,AB433,AE:AE   ),0  )</f>
        <v>0</v>
      </c>
      <c r="AH433" s="272">
        <f ca="1">SUM(AG$2:AG433)</f>
        <v>1139324.2410681627</v>
      </c>
    </row>
    <row r="434" spans="1:34">
      <c r="A434" s="265">
        <f t="shared" si="79"/>
        <v>36</v>
      </c>
      <c r="B434" s="265">
        <f t="shared" si="80"/>
        <v>12</v>
      </c>
      <c r="C434" s="265">
        <f t="shared" ca="1" si="74"/>
        <v>37</v>
      </c>
      <c r="D434" s="265">
        <f t="shared" ca="1" si="75"/>
        <v>3</v>
      </c>
      <c r="E434" s="266">
        <v>5.0000000000000001E-3</v>
      </c>
      <c r="F434" s="267">
        <f>ÉV!$B$12</f>
        <v>0</v>
      </c>
      <c r="G434" s="271">
        <f ca="1">VLOOKUP(A434,ÉV!$A$18:$B$65,2,0)</f>
        <v>0</v>
      </c>
      <c r="H434" s="271">
        <f ca="1">IF(OR(A434=1,AND(C434=ÉV!$I$2,D434&gt;ÉV!$J$2),C434&gt;ÉV!$I$2),0,INDEX(Pz!$B$2:$AM$48,A434-1,ÉV!$G$2-9)/100000*ÉV!$B$10)</f>
        <v>0</v>
      </c>
      <c r="I434" s="271">
        <f ca="1">INDEX(Pz!$B$2:$AM$48,HÓ!A434,ÉV!$G$2-9)/100000*ÉV!$B$10</f>
        <v>0</v>
      </c>
      <c r="J434" s="273">
        <f ca="1">IF(OR(A434=1,A434=2,AND(C434=ÉV!$I$2,D434&gt;ÉV!$J$2),C434&gt;ÉV!$I$2),0,VLOOKUP(A434-2,ÉV!$A$18:$C$65,3,0))</f>
        <v>0</v>
      </c>
      <c r="K434" s="273">
        <f ca="1">IF(OR(A434=1,AND(C434=ÉV!$I$2,D434&gt;ÉV!$J$2),C434&gt;ÉV!$I$2),0,VLOOKUP(A434-1,ÉV!$A$18:$C$65,3,0))</f>
        <v>0</v>
      </c>
      <c r="L434" s="273">
        <f ca="1">VLOOKUP(A434,ÉV!$A$18:$C$65,3,0)*IF(OR(AND(C434=ÉV!$I$2,D434&gt;ÉV!$J$2),C434&gt;ÉV!$I$2),0,1)</f>
        <v>0</v>
      </c>
      <c r="M434" s="273">
        <f ca="1">(K434*(12-B434)/12+L434*B434/12)*IF(A434&gt;ÉV!$G$2,0,1)+IF(A434&gt;ÉV!$G$2,M433,0)*IF(OR(AND(C434=ÉV!$I$2,D434&gt;ÉV!$J$2),C434&gt;ÉV!$I$2),0,1)</f>
        <v>0</v>
      </c>
      <c r="N434" s="274">
        <f ca="1">IF(AND(C434=1,D434&lt;12),0,1)*IF(D434=12,MAX(0,F434-E434-0.003)*0.9*((K434+I434)*(B434/12)+(J434+H434)*(1-B434/12))+MAX(0,F434-0.003)*0.9*N433+N433,IF(AND(C434=ÉV!$I$2,D434=ÉV!$J$2),(M434+N433)*MAX(0,F434-0.003)*0.9*(D434/12)+N433,N433))*IF(OR(C434&gt;ÉV!$I$2,AND(C434=ÉV!$I$2,D434&gt;ÉV!$J$2)),0,1)</f>
        <v>0</v>
      </c>
      <c r="O434" s="313">
        <f ca="1">IF(MAX(AF$2:AF433)=2,      0,IF(OR(AC434=7, AF434=2),    SUM(AE$2:AE434),    O433)   )</f>
        <v>0</v>
      </c>
      <c r="P434" s="271">
        <f ca="1">IF(D434=12,V434+P433+P433*(F434-0.003)*0.9,IF(AND(C434=ÉV!$I$2,D434=ÉV!$J$2),V434+P433+P433*(F434-0.003)*0.9*D434/12,P433))*IF(OR(C434&gt;ÉV!$I$2,AND(C434=ÉV!$I$2,D434&gt;ÉV!$J$2)),0,1)</f>
        <v>0</v>
      </c>
      <c r="Q434" s="275">
        <f ca="1">(N434+P434)*IF(OR(AND(C434=ÉV!$I$2,D434&gt;ÉV!$J$2),C434&gt;ÉV!$I$2),0,1)</f>
        <v>0</v>
      </c>
      <c r="R434" s="271">
        <f ca="1">(MAX(0,F434-E434-0.003)*0.9*((K434+I434)*(1/12)))*IF(OR(C434&gt;ÉV!$I$2,AND(C434=ÉV!$I$2,D434&gt;ÉV!$J$2)),0,1)</f>
        <v>0</v>
      </c>
      <c r="S434" s="271">
        <f ca="1">(MAX(0,F434-0.003)*0.9*((O434)*(1/12)))*IF(OR(C434&gt;ÉV!$I$2,AND(C434=ÉV!$I$2,D434&gt;ÉV!$J$2)),0,1)</f>
        <v>0</v>
      </c>
      <c r="T434" s="271">
        <f ca="1">(MAX(0,F434-0.003)*0.9*((Q433)*(1/12)))*IF(OR(C434&gt;ÉV!$I$2,AND(C434=ÉV!$I$2,D434&gt;ÉV!$J$2)),0,1)</f>
        <v>0</v>
      </c>
      <c r="U434" s="271">
        <f ca="1">IF($D434=1,R434,R434+U433)*IF(OR(C434&gt;ÉV!$I$2,AND(C434=ÉV!$I$2,D434&gt;ÉV!$J$2)),0,1)</f>
        <v>0</v>
      </c>
      <c r="V434" s="271">
        <f ca="1">IF($D434=1,S434,S434+V433)*IF(OR(C434&gt;ÉV!$I$2,AND(C434=ÉV!$I$2,D434&gt;ÉV!$J$2)),0,1)</f>
        <v>0</v>
      </c>
      <c r="W434" s="271">
        <f ca="1">IF($D434=1,T434,T434+W433)*IF(OR(C434&gt;ÉV!$I$2,AND(C434=ÉV!$I$2,D434&gt;ÉV!$J$2)),0,1)</f>
        <v>0</v>
      </c>
      <c r="X434" s="271">
        <f ca="1">IF(OR(D434=12,AND(C434=ÉV!$I$2,D434=ÉV!$J$2)),SUM(U434:W434)+X433,X433)*IF(OR(C434&gt;ÉV!$I$2,AND(C434=ÉV!$I$2,D434&gt;ÉV!$J$2)),0,1)</f>
        <v>0</v>
      </c>
      <c r="Y434" s="271">
        <f t="shared" ca="1" si="68"/>
        <v>0</v>
      </c>
      <c r="Z434" s="265">
        <f t="shared" si="69"/>
        <v>12</v>
      </c>
      <c r="AA434" s="272">
        <f t="shared" ca="1" si="70"/>
        <v>0</v>
      </c>
      <c r="AB434" s="265">
        <f t="shared" ca="1" si="76"/>
        <v>2053</v>
      </c>
      <c r="AC434" s="265">
        <f t="shared" ca="1" si="77"/>
        <v>3</v>
      </c>
      <c r="AD434" s="276">
        <f ca="1">IF(     OR(               AND(MAX(AF$6:AF434)&lt;2,  AC434=12),                 AF434=2),                   SUMIF(AB:AB,AB434,AA:AA),                       0)</f>
        <v>0</v>
      </c>
      <c r="AE434" s="277">
        <f t="shared" ca="1" si="78"/>
        <v>0</v>
      </c>
      <c r="AF434" s="277">
        <f t="shared" ca="1" si="71"/>
        <v>0</v>
      </c>
      <c r="AG434" s="402">
        <f ca="1">IF(  AND(AC434=AdóHó,   MAX(AF$1:AF433)&lt;2),   SUMIF(AB:AB,AB434-1,AE:AE),0  )
+ IF(AND(AC434&lt;AdóHó,                            AF434=2),   SUMIF(AB:AB,AB434-1,AE:AE),0  )
+ IF(                                                                  AF434=2,    SUMIF(AB:AB,AB434,AE:AE   ),0  )</f>
        <v>0</v>
      </c>
      <c r="AH434" s="272">
        <f ca="1">SUM(AG$2:AG434)</f>
        <v>1139324.2410681627</v>
      </c>
    </row>
    <row r="435" spans="1:34">
      <c r="A435" s="265">
        <f t="shared" si="79"/>
        <v>37</v>
      </c>
      <c r="B435" s="265">
        <f t="shared" si="80"/>
        <v>1</v>
      </c>
      <c r="C435" s="265">
        <f t="shared" ca="1" si="74"/>
        <v>37</v>
      </c>
      <c r="D435" s="265">
        <f t="shared" ca="1" si="75"/>
        <v>4</v>
      </c>
      <c r="E435" s="266">
        <v>5.0000000000000001E-3</v>
      </c>
      <c r="F435" s="267">
        <f>ÉV!$B$12</f>
        <v>0</v>
      </c>
      <c r="G435" s="271">
        <f ca="1">VLOOKUP(A435,ÉV!$A$18:$B$65,2,0)</f>
        <v>0</v>
      </c>
      <c r="H435" s="271">
        <f ca="1">IF(OR(A435=1,AND(C435=ÉV!$I$2,D435&gt;ÉV!$J$2),C435&gt;ÉV!$I$2),0,INDEX(Pz!$B$2:$AM$48,A435-1,ÉV!$G$2-9)/100000*ÉV!$B$10)</f>
        <v>0</v>
      </c>
      <c r="I435" s="271">
        <f ca="1">INDEX(Pz!$B$2:$AM$48,HÓ!A435,ÉV!$G$2-9)/100000*ÉV!$B$10</f>
        <v>0</v>
      </c>
      <c r="J435" s="273">
        <f ca="1">IF(OR(A435=1,A435=2,AND(C435=ÉV!$I$2,D435&gt;ÉV!$J$2),C435&gt;ÉV!$I$2),0,VLOOKUP(A435-2,ÉV!$A$18:$C$65,3,0))</f>
        <v>0</v>
      </c>
      <c r="K435" s="273">
        <f ca="1">IF(OR(A435=1,AND(C435=ÉV!$I$2,D435&gt;ÉV!$J$2),C435&gt;ÉV!$I$2),0,VLOOKUP(A435-1,ÉV!$A$18:$C$65,3,0))</f>
        <v>0</v>
      </c>
      <c r="L435" s="273">
        <f ca="1">VLOOKUP(A435,ÉV!$A$18:$C$65,3,0)*IF(OR(AND(C435=ÉV!$I$2,D435&gt;ÉV!$J$2),C435&gt;ÉV!$I$2),0,1)</f>
        <v>0</v>
      </c>
      <c r="M435" s="273">
        <f ca="1">(K435*(12-B435)/12+L435*B435/12)*IF(A435&gt;ÉV!$G$2,0,1)+IF(A435&gt;ÉV!$G$2,M434,0)*IF(OR(AND(C435=ÉV!$I$2,D435&gt;ÉV!$J$2),C435&gt;ÉV!$I$2),0,1)</f>
        <v>0</v>
      </c>
      <c r="N435" s="274">
        <f ca="1">IF(AND(C435=1,D435&lt;12),0,1)*IF(D435=12,MAX(0,F435-E435-0.003)*0.9*((K435+I435)*(B435/12)+(J435+H435)*(1-B435/12))+MAX(0,F435-0.003)*0.9*N434+N434,IF(AND(C435=ÉV!$I$2,D435=ÉV!$J$2),(M435+N434)*MAX(0,F435-0.003)*0.9*(D435/12)+N434,N434))*IF(OR(C435&gt;ÉV!$I$2,AND(C435=ÉV!$I$2,D435&gt;ÉV!$J$2)),0,1)</f>
        <v>0</v>
      </c>
      <c r="O435" s="313">
        <f ca="1">IF(MAX(AF$2:AF434)=2,      0,IF(OR(AC435=7, AF435=2),    SUM(AE$2:AE435),    O434)   )</f>
        <v>0</v>
      </c>
      <c r="P435" s="271">
        <f ca="1">IF(D435=12,V435+P434+P434*(F435-0.003)*0.9,IF(AND(C435=ÉV!$I$2,D435=ÉV!$J$2),V435+P434+P434*(F435-0.003)*0.9*D435/12,P434))*IF(OR(C435&gt;ÉV!$I$2,AND(C435=ÉV!$I$2,D435&gt;ÉV!$J$2)),0,1)</f>
        <v>0</v>
      </c>
      <c r="Q435" s="275">
        <f ca="1">(N435+P435)*IF(OR(AND(C435=ÉV!$I$2,D435&gt;ÉV!$J$2),C435&gt;ÉV!$I$2),0,1)</f>
        <v>0</v>
      </c>
      <c r="R435" s="271">
        <f ca="1">(MAX(0,F435-E435-0.003)*0.9*((K435+I435)*(1/12)))*IF(OR(C435&gt;ÉV!$I$2,AND(C435=ÉV!$I$2,D435&gt;ÉV!$J$2)),0,1)</f>
        <v>0</v>
      </c>
      <c r="S435" s="271">
        <f ca="1">(MAX(0,F435-0.003)*0.9*((O435)*(1/12)))*IF(OR(C435&gt;ÉV!$I$2,AND(C435=ÉV!$I$2,D435&gt;ÉV!$J$2)),0,1)</f>
        <v>0</v>
      </c>
      <c r="T435" s="271">
        <f ca="1">(MAX(0,F435-0.003)*0.9*((Q434)*(1/12)))*IF(OR(C435&gt;ÉV!$I$2,AND(C435=ÉV!$I$2,D435&gt;ÉV!$J$2)),0,1)</f>
        <v>0</v>
      </c>
      <c r="U435" s="271">
        <f ca="1">IF($D435=1,R435,R435+U434)*IF(OR(C435&gt;ÉV!$I$2,AND(C435=ÉV!$I$2,D435&gt;ÉV!$J$2)),0,1)</f>
        <v>0</v>
      </c>
      <c r="V435" s="271">
        <f ca="1">IF($D435=1,S435,S435+V434)*IF(OR(C435&gt;ÉV!$I$2,AND(C435=ÉV!$I$2,D435&gt;ÉV!$J$2)),0,1)</f>
        <v>0</v>
      </c>
      <c r="W435" s="271">
        <f ca="1">IF($D435=1,T435,T435+W434)*IF(OR(C435&gt;ÉV!$I$2,AND(C435=ÉV!$I$2,D435&gt;ÉV!$J$2)),0,1)</f>
        <v>0</v>
      </c>
      <c r="X435" s="271">
        <f ca="1">IF(OR(D435=12,AND(C435=ÉV!$I$2,D435=ÉV!$J$2)),SUM(U435:W435)+X434,X434)*IF(OR(C435&gt;ÉV!$I$2,AND(C435=ÉV!$I$2,D435&gt;ÉV!$J$2)),0,1)</f>
        <v>0</v>
      </c>
      <c r="Y435" s="271">
        <f t="shared" ca="1" si="68"/>
        <v>0</v>
      </c>
      <c r="Z435" s="265">
        <f t="shared" si="69"/>
        <v>1</v>
      </c>
      <c r="AA435" s="272">
        <f t="shared" ca="1" si="70"/>
        <v>0</v>
      </c>
      <c r="AB435" s="265">
        <f t="shared" ca="1" si="76"/>
        <v>2053</v>
      </c>
      <c r="AC435" s="265">
        <f t="shared" ca="1" si="77"/>
        <v>4</v>
      </c>
      <c r="AD435" s="276">
        <f ca="1">IF(     OR(               AND(MAX(AF$6:AF435)&lt;2,  AC435=12),                 AF435=2),                   SUMIF(AB:AB,AB435,AA:AA),                       0)</f>
        <v>0</v>
      </c>
      <c r="AE435" s="277">
        <f t="shared" ca="1" si="78"/>
        <v>0</v>
      </c>
      <c r="AF435" s="277">
        <f t="shared" ca="1" si="71"/>
        <v>0</v>
      </c>
      <c r="AG435" s="402">
        <f ca="1">IF(  AND(AC435=AdóHó,   MAX(AF$1:AF434)&lt;2),   SUMIF(AB:AB,AB435-1,AE:AE),0  )
+ IF(AND(AC435&lt;AdóHó,                            AF435=2),   SUMIF(AB:AB,AB435-1,AE:AE),0  )
+ IF(                                                                  AF435=2,    SUMIF(AB:AB,AB435,AE:AE   ),0  )</f>
        <v>0</v>
      </c>
      <c r="AH435" s="272">
        <f ca="1">SUM(AG$2:AG435)</f>
        <v>1139324.2410681627</v>
      </c>
    </row>
    <row r="436" spans="1:34">
      <c r="A436" s="265">
        <f t="shared" si="79"/>
        <v>37</v>
      </c>
      <c r="B436" s="265">
        <f t="shared" si="80"/>
        <v>2</v>
      </c>
      <c r="C436" s="265">
        <f t="shared" ca="1" si="74"/>
        <v>37</v>
      </c>
      <c r="D436" s="265">
        <f t="shared" ca="1" si="75"/>
        <v>5</v>
      </c>
      <c r="E436" s="266">
        <v>5.0000000000000001E-3</v>
      </c>
      <c r="F436" s="267">
        <f>ÉV!$B$12</f>
        <v>0</v>
      </c>
      <c r="G436" s="271">
        <f ca="1">VLOOKUP(A436,ÉV!$A$18:$B$65,2,0)</f>
        <v>0</v>
      </c>
      <c r="H436" s="271">
        <f ca="1">IF(OR(A436=1,AND(C436=ÉV!$I$2,D436&gt;ÉV!$J$2),C436&gt;ÉV!$I$2),0,INDEX(Pz!$B$2:$AM$48,A436-1,ÉV!$G$2-9)/100000*ÉV!$B$10)</f>
        <v>0</v>
      </c>
      <c r="I436" s="271">
        <f ca="1">INDEX(Pz!$B$2:$AM$48,HÓ!A436,ÉV!$G$2-9)/100000*ÉV!$B$10</f>
        <v>0</v>
      </c>
      <c r="J436" s="273">
        <f ca="1">IF(OR(A436=1,A436=2,AND(C436=ÉV!$I$2,D436&gt;ÉV!$J$2),C436&gt;ÉV!$I$2),0,VLOOKUP(A436-2,ÉV!$A$18:$C$65,3,0))</f>
        <v>0</v>
      </c>
      <c r="K436" s="273">
        <f ca="1">IF(OR(A436=1,AND(C436=ÉV!$I$2,D436&gt;ÉV!$J$2),C436&gt;ÉV!$I$2),0,VLOOKUP(A436-1,ÉV!$A$18:$C$65,3,0))</f>
        <v>0</v>
      </c>
      <c r="L436" s="273">
        <f ca="1">VLOOKUP(A436,ÉV!$A$18:$C$65,3,0)*IF(OR(AND(C436=ÉV!$I$2,D436&gt;ÉV!$J$2),C436&gt;ÉV!$I$2),0,1)</f>
        <v>0</v>
      </c>
      <c r="M436" s="273">
        <f ca="1">(K436*(12-B436)/12+L436*B436/12)*IF(A436&gt;ÉV!$G$2,0,1)+IF(A436&gt;ÉV!$G$2,M435,0)*IF(OR(AND(C436=ÉV!$I$2,D436&gt;ÉV!$J$2),C436&gt;ÉV!$I$2),0,1)</f>
        <v>0</v>
      </c>
      <c r="N436" s="274">
        <f ca="1">IF(AND(C436=1,D436&lt;12),0,1)*IF(D436=12,MAX(0,F436-E436-0.003)*0.9*((K436+I436)*(B436/12)+(J436+H436)*(1-B436/12))+MAX(0,F436-0.003)*0.9*N435+N435,IF(AND(C436=ÉV!$I$2,D436=ÉV!$J$2),(M436+N435)*MAX(0,F436-0.003)*0.9*(D436/12)+N435,N435))*IF(OR(C436&gt;ÉV!$I$2,AND(C436=ÉV!$I$2,D436&gt;ÉV!$J$2)),0,1)</f>
        <v>0</v>
      </c>
      <c r="O436" s="313">
        <f ca="1">IF(MAX(AF$2:AF435)=2,      0,IF(OR(AC436=7, AF436=2),    SUM(AE$2:AE436),    O435)   )</f>
        <v>0</v>
      </c>
      <c r="P436" s="271">
        <f ca="1">IF(D436=12,V436+P435+P435*(F436-0.003)*0.9,IF(AND(C436=ÉV!$I$2,D436=ÉV!$J$2),V436+P435+P435*(F436-0.003)*0.9*D436/12,P435))*IF(OR(C436&gt;ÉV!$I$2,AND(C436=ÉV!$I$2,D436&gt;ÉV!$J$2)),0,1)</f>
        <v>0</v>
      </c>
      <c r="Q436" s="275">
        <f ca="1">(N436+P436)*IF(OR(AND(C436=ÉV!$I$2,D436&gt;ÉV!$J$2),C436&gt;ÉV!$I$2),0,1)</f>
        <v>0</v>
      </c>
      <c r="R436" s="271">
        <f ca="1">(MAX(0,F436-E436-0.003)*0.9*((K436+I436)*(1/12)))*IF(OR(C436&gt;ÉV!$I$2,AND(C436=ÉV!$I$2,D436&gt;ÉV!$J$2)),0,1)</f>
        <v>0</v>
      </c>
      <c r="S436" s="271">
        <f ca="1">(MAX(0,F436-0.003)*0.9*((O436)*(1/12)))*IF(OR(C436&gt;ÉV!$I$2,AND(C436=ÉV!$I$2,D436&gt;ÉV!$J$2)),0,1)</f>
        <v>0</v>
      </c>
      <c r="T436" s="271">
        <f ca="1">(MAX(0,F436-0.003)*0.9*((Q435)*(1/12)))*IF(OR(C436&gt;ÉV!$I$2,AND(C436=ÉV!$I$2,D436&gt;ÉV!$J$2)),0,1)</f>
        <v>0</v>
      </c>
      <c r="U436" s="271">
        <f ca="1">IF($D436=1,R436,R436+U435)*IF(OR(C436&gt;ÉV!$I$2,AND(C436=ÉV!$I$2,D436&gt;ÉV!$J$2)),0,1)</f>
        <v>0</v>
      </c>
      <c r="V436" s="271">
        <f ca="1">IF($D436=1,S436,S436+V435)*IF(OR(C436&gt;ÉV!$I$2,AND(C436=ÉV!$I$2,D436&gt;ÉV!$J$2)),0,1)</f>
        <v>0</v>
      </c>
      <c r="W436" s="271">
        <f ca="1">IF($D436=1,T436,T436+W435)*IF(OR(C436&gt;ÉV!$I$2,AND(C436=ÉV!$I$2,D436&gt;ÉV!$J$2)),0,1)</f>
        <v>0</v>
      </c>
      <c r="X436" s="271">
        <f ca="1">IF(OR(D436=12,AND(C436=ÉV!$I$2,D436=ÉV!$J$2)),SUM(U436:W436)+X435,X435)*IF(OR(C436&gt;ÉV!$I$2,AND(C436=ÉV!$I$2,D436&gt;ÉV!$J$2)),0,1)</f>
        <v>0</v>
      </c>
      <c r="Y436" s="271">
        <f t="shared" ca="1" si="68"/>
        <v>0</v>
      </c>
      <c r="Z436" s="265">
        <f t="shared" si="69"/>
        <v>2</v>
      </c>
      <c r="AA436" s="272">
        <f t="shared" ca="1" si="70"/>
        <v>0</v>
      </c>
      <c r="AB436" s="265">
        <f t="shared" ca="1" si="76"/>
        <v>2053</v>
      </c>
      <c r="AC436" s="265">
        <f t="shared" ca="1" si="77"/>
        <v>5</v>
      </c>
      <c r="AD436" s="276">
        <f ca="1">IF(     OR(               AND(MAX(AF$6:AF436)&lt;2,  AC436=12),                 AF436=2),                   SUMIF(AB:AB,AB436,AA:AA),                       0)</f>
        <v>0</v>
      </c>
      <c r="AE436" s="277">
        <f t="shared" ca="1" si="78"/>
        <v>0</v>
      </c>
      <c r="AF436" s="277">
        <f t="shared" ca="1" si="71"/>
        <v>0</v>
      </c>
      <c r="AG436" s="402">
        <f ca="1">IF(  AND(AC436=AdóHó,   MAX(AF$1:AF435)&lt;2),   SUMIF(AB:AB,AB436-1,AE:AE),0  )
+ IF(AND(AC436&lt;AdóHó,                            AF436=2),   SUMIF(AB:AB,AB436-1,AE:AE),0  )
+ IF(                                                                  AF436=2,    SUMIF(AB:AB,AB436,AE:AE   ),0  )</f>
        <v>0</v>
      </c>
      <c r="AH436" s="272">
        <f ca="1">SUM(AG$2:AG436)</f>
        <v>1139324.2410681627</v>
      </c>
    </row>
    <row r="437" spans="1:34">
      <c r="A437" s="265">
        <f t="shared" si="79"/>
        <v>37</v>
      </c>
      <c r="B437" s="265">
        <f t="shared" si="80"/>
        <v>3</v>
      </c>
      <c r="C437" s="265">
        <f t="shared" ca="1" si="74"/>
        <v>37</v>
      </c>
      <c r="D437" s="265">
        <f t="shared" ca="1" si="75"/>
        <v>6</v>
      </c>
      <c r="E437" s="266">
        <v>5.0000000000000001E-3</v>
      </c>
      <c r="F437" s="267">
        <f>ÉV!$B$12</f>
        <v>0</v>
      </c>
      <c r="G437" s="271">
        <f ca="1">VLOOKUP(A437,ÉV!$A$18:$B$65,2,0)</f>
        <v>0</v>
      </c>
      <c r="H437" s="271">
        <f ca="1">IF(OR(A437=1,AND(C437=ÉV!$I$2,D437&gt;ÉV!$J$2),C437&gt;ÉV!$I$2),0,INDEX(Pz!$B$2:$AM$48,A437-1,ÉV!$G$2-9)/100000*ÉV!$B$10)</f>
        <v>0</v>
      </c>
      <c r="I437" s="271">
        <f ca="1">INDEX(Pz!$B$2:$AM$48,HÓ!A437,ÉV!$G$2-9)/100000*ÉV!$B$10</f>
        <v>0</v>
      </c>
      <c r="J437" s="273">
        <f ca="1">IF(OR(A437=1,A437=2,AND(C437=ÉV!$I$2,D437&gt;ÉV!$J$2),C437&gt;ÉV!$I$2),0,VLOOKUP(A437-2,ÉV!$A$18:$C$65,3,0))</f>
        <v>0</v>
      </c>
      <c r="K437" s="273">
        <f ca="1">IF(OR(A437=1,AND(C437=ÉV!$I$2,D437&gt;ÉV!$J$2),C437&gt;ÉV!$I$2),0,VLOOKUP(A437-1,ÉV!$A$18:$C$65,3,0))</f>
        <v>0</v>
      </c>
      <c r="L437" s="273">
        <f ca="1">VLOOKUP(A437,ÉV!$A$18:$C$65,3,0)*IF(OR(AND(C437=ÉV!$I$2,D437&gt;ÉV!$J$2),C437&gt;ÉV!$I$2),0,1)</f>
        <v>0</v>
      </c>
      <c r="M437" s="273">
        <f ca="1">(K437*(12-B437)/12+L437*B437/12)*IF(A437&gt;ÉV!$G$2,0,1)+IF(A437&gt;ÉV!$G$2,M436,0)*IF(OR(AND(C437=ÉV!$I$2,D437&gt;ÉV!$J$2),C437&gt;ÉV!$I$2),0,1)</f>
        <v>0</v>
      </c>
      <c r="N437" s="274">
        <f ca="1">IF(AND(C437=1,D437&lt;12),0,1)*IF(D437=12,MAX(0,F437-E437-0.003)*0.9*((K437+I437)*(B437/12)+(J437+H437)*(1-B437/12))+MAX(0,F437-0.003)*0.9*N436+N436,IF(AND(C437=ÉV!$I$2,D437=ÉV!$J$2),(M437+N436)*MAX(0,F437-0.003)*0.9*(D437/12)+N436,N436))*IF(OR(C437&gt;ÉV!$I$2,AND(C437=ÉV!$I$2,D437&gt;ÉV!$J$2)),0,1)</f>
        <v>0</v>
      </c>
      <c r="O437" s="313">
        <f ca="1">IF(MAX(AF$2:AF436)=2,      0,IF(OR(AC437=7, AF437=2),    SUM(AE$2:AE437),    O436)   )</f>
        <v>0</v>
      </c>
      <c r="P437" s="271">
        <f ca="1">IF(D437=12,V437+P436+P436*(F437-0.003)*0.9,IF(AND(C437=ÉV!$I$2,D437=ÉV!$J$2),V437+P436+P436*(F437-0.003)*0.9*D437/12,P436))*IF(OR(C437&gt;ÉV!$I$2,AND(C437=ÉV!$I$2,D437&gt;ÉV!$J$2)),0,1)</f>
        <v>0</v>
      </c>
      <c r="Q437" s="275">
        <f ca="1">(N437+P437)*IF(OR(AND(C437=ÉV!$I$2,D437&gt;ÉV!$J$2),C437&gt;ÉV!$I$2),0,1)</f>
        <v>0</v>
      </c>
      <c r="R437" s="271">
        <f ca="1">(MAX(0,F437-E437-0.003)*0.9*((K437+I437)*(1/12)))*IF(OR(C437&gt;ÉV!$I$2,AND(C437=ÉV!$I$2,D437&gt;ÉV!$J$2)),0,1)</f>
        <v>0</v>
      </c>
      <c r="S437" s="271">
        <f ca="1">(MAX(0,F437-0.003)*0.9*((O437)*(1/12)))*IF(OR(C437&gt;ÉV!$I$2,AND(C437=ÉV!$I$2,D437&gt;ÉV!$J$2)),0,1)</f>
        <v>0</v>
      </c>
      <c r="T437" s="271">
        <f ca="1">(MAX(0,F437-0.003)*0.9*((Q436)*(1/12)))*IF(OR(C437&gt;ÉV!$I$2,AND(C437=ÉV!$I$2,D437&gt;ÉV!$J$2)),0,1)</f>
        <v>0</v>
      </c>
      <c r="U437" s="271">
        <f ca="1">IF($D437=1,R437,R437+U436)*IF(OR(C437&gt;ÉV!$I$2,AND(C437=ÉV!$I$2,D437&gt;ÉV!$J$2)),0,1)</f>
        <v>0</v>
      </c>
      <c r="V437" s="271">
        <f ca="1">IF($D437=1,S437,S437+V436)*IF(OR(C437&gt;ÉV!$I$2,AND(C437=ÉV!$I$2,D437&gt;ÉV!$J$2)),0,1)</f>
        <v>0</v>
      </c>
      <c r="W437" s="271">
        <f ca="1">IF($D437=1,T437,T437+W436)*IF(OR(C437&gt;ÉV!$I$2,AND(C437=ÉV!$I$2,D437&gt;ÉV!$J$2)),0,1)</f>
        <v>0</v>
      </c>
      <c r="X437" s="271">
        <f ca="1">IF(OR(D437=12,AND(C437=ÉV!$I$2,D437=ÉV!$J$2)),SUM(U437:W437)+X436,X436)*IF(OR(C437&gt;ÉV!$I$2,AND(C437=ÉV!$I$2,D437&gt;ÉV!$J$2)),0,1)</f>
        <v>0</v>
      </c>
      <c r="Y437" s="271">
        <f t="shared" ca="1" si="68"/>
        <v>0</v>
      </c>
      <c r="Z437" s="265">
        <f t="shared" si="69"/>
        <v>3</v>
      </c>
      <c r="AA437" s="272">
        <f t="shared" ca="1" si="70"/>
        <v>0</v>
      </c>
      <c r="AB437" s="265">
        <f t="shared" ca="1" si="76"/>
        <v>2053</v>
      </c>
      <c r="AC437" s="265">
        <f t="shared" ca="1" si="77"/>
        <v>6</v>
      </c>
      <c r="AD437" s="276">
        <f ca="1">IF(     OR(               AND(MAX(AF$6:AF437)&lt;2,  AC437=12),                 AF437=2),                   SUMIF(AB:AB,AB437,AA:AA),                       0)</f>
        <v>0</v>
      </c>
      <c r="AE437" s="277">
        <f t="shared" ca="1" si="78"/>
        <v>0</v>
      </c>
      <c r="AF437" s="277">
        <f t="shared" ca="1" si="71"/>
        <v>0</v>
      </c>
      <c r="AG437" s="402">
        <f ca="1">IF(  AND(AC437=AdóHó,   MAX(AF$1:AF436)&lt;2),   SUMIF(AB:AB,AB437-1,AE:AE),0  )
+ IF(AND(AC437&lt;AdóHó,                            AF437=2),   SUMIF(AB:AB,AB437-1,AE:AE),0  )
+ IF(                                                                  AF437=2,    SUMIF(AB:AB,AB437,AE:AE   ),0  )</f>
        <v>0</v>
      </c>
      <c r="AH437" s="272">
        <f ca="1">SUM(AG$2:AG437)</f>
        <v>1139324.2410681627</v>
      </c>
    </row>
    <row r="438" spans="1:34">
      <c r="A438" s="265">
        <f t="shared" si="79"/>
        <v>37</v>
      </c>
      <c r="B438" s="265">
        <f t="shared" si="80"/>
        <v>4</v>
      </c>
      <c r="C438" s="265">
        <f t="shared" ca="1" si="74"/>
        <v>37</v>
      </c>
      <c r="D438" s="265">
        <f t="shared" ca="1" si="75"/>
        <v>7</v>
      </c>
      <c r="E438" s="266">
        <v>5.0000000000000001E-3</v>
      </c>
      <c r="F438" s="267">
        <f>ÉV!$B$12</f>
        <v>0</v>
      </c>
      <c r="G438" s="271">
        <f ca="1">VLOOKUP(A438,ÉV!$A$18:$B$65,2,0)</f>
        <v>0</v>
      </c>
      <c r="H438" s="271">
        <f ca="1">IF(OR(A438=1,AND(C438=ÉV!$I$2,D438&gt;ÉV!$J$2),C438&gt;ÉV!$I$2),0,INDEX(Pz!$B$2:$AM$48,A438-1,ÉV!$G$2-9)/100000*ÉV!$B$10)</f>
        <v>0</v>
      </c>
      <c r="I438" s="271">
        <f ca="1">INDEX(Pz!$B$2:$AM$48,HÓ!A438,ÉV!$G$2-9)/100000*ÉV!$B$10</f>
        <v>0</v>
      </c>
      <c r="J438" s="273">
        <f ca="1">IF(OR(A438=1,A438=2,AND(C438=ÉV!$I$2,D438&gt;ÉV!$J$2),C438&gt;ÉV!$I$2),0,VLOOKUP(A438-2,ÉV!$A$18:$C$65,3,0))</f>
        <v>0</v>
      </c>
      <c r="K438" s="273">
        <f ca="1">IF(OR(A438=1,AND(C438=ÉV!$I$2,D438&gt;ÉV!$J$2),C438&gt;ÉV!$I$2),0,VLOOKUP(A438-1,ÉV!$A$18:$C$65,3,0))</f>
        <v>0</v>
      </c>
      <c r="L438" s="273">
        <f ca="1">VLOOKUP(A438,ÉV!$A$18:$C$65,3,0)*IF(OR(AND(C438=ÉV!$I$2,D438&gt;ÉV!$J$2),C438&gt;ÉV!$I$2),0,1)</f>
        <v>0</v>
      </c>
      <c r="M438" s="273">
        <f ca="1">(K438*(12-B438)/12+L438*B438/12)*IF(A438&gt;ÉV!$G$2,0,1)+IF(A438&gt;ÉV!$G$2,M437,0)*IF(OR(AND(C438=ÉV!$I$2,D438&gt;ÉV!$J$2),C438&gt;ÉV!$I$2),0,1)</f>
        <v>0</v>
      </c>
      <c r="N438" s="274">
        <f ca="1">IF(AND(C438=1,D438&lt;12),0,1)*IF(D438=12,MAX(0,F438-E438-0.003)*0.9*((K438+I438)*(B438/12)+(J438+H438)*(1-B438/12))+MAX(0,F438-0.003)*0.9*N437+N437,IF(AND(C438=ÉV!$I$2,D438=ÉV!$J$2),(M438+N437)*MAX(0,F438-0.003)*0.9*(D438/12)+N437,N437))*IF(OR(C438&gt;ÉV!$I$2,AND(C438=ÉV!$I$2,D438&gt;ÉV!$J$2)),0,1)</f>
        <v>0</v>
      </c>
      <c r="O438" s="313">
        <f ca="1">IF(MAX(AF$2:AF437)=2,      0,IF(OR(AC438=7, AF438=2),    SUM(AE$2:AE438),    O437)   )</f>
        <v>0</v>
      </c>
      <c r="P438" s="271">
        <f ca="1">IF(D438=12,V438+P437+P437*(F438-0.003)*0.9,IF(AND(C438=ÉV!$I$2,D438=ÉV!$J$2),V438+P437+P437*(F438-0.003)*0.9*D438/12,P437))*IF(OR(C438&gt;ÉV!$I$2,AND(C438=ÉV!$I$2,D438&gt;ÉV!$J$2)),0,1)</f>
        <v>0</v>
      </c>
      <c r="Q438" s="275">
        <f ca="1">(N438+P438)*IF(OR(AND(C438=ÉV!$I$2,D438&gt;ÉV!$J$2),C438&gt;ÉV!$I$2),0,1)</f>
        <v>0</v>
      </c>
      <c r="R438" s="271">
        <f ca="1">(MAX(0,F438-E438-0.003)*0.9*((K438+I438)*(1/12)))*IF(OR(C438&gt;ÉV!$I$2,AND(C438=ÉV!$I$2,D438&gt;ÉV!$J$2)),0,1)</f>
        <v>0</v>
      </c>
      <c r="S438" s="271">
        <f ca="1">(MAX(0,F438-0.003)*0.9*((O438)*(1/12)))*IF(OR(C438&gt;ÉV!$I$2,AND(C438=ÉV!$I$2,D438&gt;ÉV!$J$2)),0,1)</f>
        <v>0</v>
      </c>
      <c r="T438" s="271">
        <f ca="1">(MAX(0,F438-0.003)*0.9*((Q437)*(1/12)))*IF(OR(C438&gt;ÉV!$I$2,AND(C438=ÉV!$I$2,D438&gt;ÉV!$J$2)),0,1)</f>
        <v>0</v>
      </c>
      <c r="U438" s="271">
        <f ca="1">IF($D438=1,R438,R438+U437)*IF(OR(C438&gt;ÉV!$I$2,AND(C438=ÉV!$I$2,D438&gt;ÉV!$J$2)),0,1)</f>
        <v>0</v>
      </c>
      <c r="V438" s="271">
        <f ca="1">IF($D438=1,S438,S438+V437)*IF(OR(C438&gt;ÉV!$I$2,AND(C438=ÉV!$I$2,D438&gt;ÉV!$J$2)),0,1)</f>
        <v>0</v>
      </c>
      <c r="W438" s="271">
        <f ca="1">IF($D438=1,T438,T438+W437)*IF(OR(C438&gt;ÉV!$I$2,AND(C438=ÉV!$I$2,D438&gt;ÉV!$J$2)),0,1)</f>
        <v>0</v>
      </c>
      <c r="X438" s="271">
        <f ca="1">IF(OR(D438=12,AND(C438=ÉV!$I$2,D438=ÉV!$J$2)),SUM(U438:W438)+X437,X437)*IF(OR(C438&gt;ÉV!$I$2,AND(C438=ÉV!$I$2,D438&gt;ÉV!$J$2)),0,1)</f>
        <v>0</v>
      </c>
      <c r="Y438" s="271">
        <f t="shared" ca="1" si="68"/>
        <v>0</v>
      </c>
      <c r="Z438" s="265">
        <f t="shared" si="69"/>
        <v>4</v>
      </c>
      <c r="AA438" s="272">
        <f t="shared" ca="1" si="70"/>
        <v>0</v>
      </c>
      <c r="AB438" s="265">
        <f t="shared" ca="1" si="76"/>
        <v>2053</v>
      </c>
      <c r="AC438" s="265">
        <f t="shared" ca="1" si="77"/>
        <v>7</v>
      </c>
      <c r="AD438" s="276">
        <f ca="1">IF(     OR(               AND(MAX(AF$6:AF438)&lt;2,  AC438=12),                 AF438=2),                   SUMIF(AB:AB,AB438,AA:AA),                       0)</f>
        <v>0</v>
      </c>
      <c r="AE438" s="277">
        <f t="shared" ca="1" si="78"/>
        <v>0</v>
      </c>
      <c r="AF438" s="277">
        <f t="shared" ca="1" si="71"/>
        <v>0</v>
      </c>
      <c r="AG438" s="402">
        <f ca="1">IF(  AND(AC438=AdóHó,   MAX(AF$1:AF437)&lt;2),   SUMIF(AB:AB,AB438-1,AE:AE),0  )
+ IF(AND(AC438&lt;AdóHó,                            AF438=2),   SUMIF(AB:AB,AB438-1,AE:AE),0  )
+ IF(                                                                  AF438=2,    SUMIF(AB:AB,AB438,AE:AE   ),0  )</f>
        <v>0</v>
      </c>
      <c r="AH438" s="272">
        <f ca="1">SUM(AG$2:AG438)</f>
        <v>1139324.2410681627</v>
      </c>
    </row>
    <row r="439" spans="1:34">
      <c r="A439" s="265">
        <f t="shared" si="79"/>
        <v>37</v>
      </c>
      <c r="B439" s="265">
        <f t="shared" si="80"/>
        <v>5</v>
      </c>
      <c r="C439" s="265">
        <f t="shared" ca="1" si="74"/>
        <v>37</v>
      </c>
      <c r="D439" s="265">
        <f t="shared" ca="1" si="75"/>
        <v>8</v>
      </c>
      <c r="E439" s="266">
        <v>5.0000000000000001E-3</v>
      </c>
      <c r="F439" s="267">
        <f>ÉV!$B$12</f>
        <v>0</v>
      </c>
      <c r="G439" s="271">
        <f ca="1">VLOOKUP(A439,ÉV!$A$18:$B$65,2,0)</f>
        <v>0</v>
      </c>
      <c r="H439" s="271">
        <f ca="1">IF(OR(A439=1,AND(C439=ÉV!$I$2,D439&gt;ÉV!$J$2),C439&gt;ÉV!$I$2),0,INDEX(Pz!$B$2:$AM$48,A439-1,ÉV!$G$2-9)/100000*ÉV!$B$10)</f>
        <v>0</v>
      </c>
      <c r="I439" s="271">
        <f ca="1">INDEX(Pz!$B$2:$AM$48,HÓ!A439,ÉV!$G$2-9)/100000*ÉV!$B$10</f>
        <v>0</v>
      </c>
      <c r="J439" s="273">
        <f ca="1">IF(OR(A439=1,A439=2,AND(C439=ÉV!$I$2,D439&gt;ÉV!$J$2),C439&gt;ÉV!$I$2),0,VLOOKUP(A439-2,ÉV!$A$18:$C$65,3,0))</f>
        <v>0</v>
      </c>
      <c r="K439" s="273">
        <f ca="1">IF(OR(A439=1,AND(C439=ÉV!$I$2,D439&gt;ÉV!$J$2),C439&gt;ÉV!$I$2),0,VLOOKUP(A439-1,ÉV!$A$18:$C$65,3,0))</f>
        <v>0</v>
      </c>
      <c r="L439" s="273">
        <f ca="1">VLOOKUP(A439,ÉV!$A$18:$C$65,3,0)*IF(OR(AND(C439=ÉV!$I$2,D439&gt;ÉV!$J$2),C439&gt;ÉV!$I$2),0,1)</f>
        <v>0</v>
      </c>
      <c r="M439" s="273">
        <f ca="1">(K439*(12-B439)/12+L439*B439/12)*IF(A439&gt;ÉV!$G$2,0,1)+IF(A439&gt;ÉV!$G$2,M438,0)*IF(OR(AND(C439=ÉV!$I$2,D439&gt;ÉV!$J$2),C439&gt;ÉV!$I$2),0,1)</f>
        <v>0</v>
      </c>
      <c r="N439" s="274">
        <f ca="1">IF(AND(C439=1,D439&lt;12),0,1)*IF(D439=12,MAX(0,F439-E439-0.003)*0.9*((K439+I439)*(B439/12)+(J439+H439)*(1-B439/12))+MAX(0,F439-0.003)*0.9*N438+N438,IF(AND(C439=ÉV!$I$2,D439=ÉV!$J$2),(M439+N438)*MAX(0,F439-0.003)*0.9*(D439/12)+N438,N438))*IF(OR(C439&gt;ÉV!$I$2,AND(C439=ÉV!$I$2,D439&gt;ÉV!$J$2)),0,1)</f>
        <v>0</v>
      </c>
      <c r="O439" s="313">
        <f ca="1">IF(MAX(AF$2:AF438)=2,      0,IF(OR(AC439=7, AF439=2),    SUM(AE$2:AE439),    O438)   )</f>
        <v>0</v>
      </c>
      <c r="P439" s="271">
        <f ca="1">IF(D439=12,V439+P438+P438*(F439-0.003)*0.9,IF(AND(C439=ÉV!$I$2,D439=ÉV!$J$2),V439+P438+P438*(F439-0.003)*0.9*D439/12,P438))*IF(OR(C439&gt;ÉV!$I$2,AND(C439=ÉV!$I$2,D439&gt;ÉV!$J$2)),0,1)</f>
        <v>0</v>
      </c>
      <c r="Q439" s="275">
        <f ca="1">(N439+P439)*IF(OR(AND(C439=ÉV!$I$2,D439&gt;ÉV!$J$2),C439&gt;ÉV!$I$2),0,1)</f>
        <v>0</v>
      </c>
      <c r="R439" s="271">
        <f ca="1">(MAX(0,F439-E439-0.003)*0.9*((K439+I439)*(1/12)))*IF(OR(C439&gt;ÉV!$I$2,AND(C439=ÉV!$I$2,D439&gt;ÉV!$J$2)),0,1)</f>
        <v>0</v>
      </c>
      <c r="S439" s="271">
        <f ca="1">(MAX(0,F439-0.003)*0.9*((O439)*(1/12)))*IF(OR(C439&gt;ÉV!$I$2,AND(C439=ÉV!$I$2,D439&gt;ÉV!$J$2)),0,1)</f>
        <v>0</v>
      </c>
      <c r="T439" s="271">
        <f ca="1">(MAX(0,F439-0.003)*0.9*((Q438)*(1/12)))*IF(OR(C439&gt;ÉV!$I$2,AND(C439=ÉV!$I$2,D439&gt;ÉV!$J$2)),0,1)</f>
        <v>0</v>
      </c>
      <c r="U439" s="271">
        <f ca="1">IF($D439=1,R439,R439+U438)*IF(OR(C439&gt;ÉV!$I$2,AND(C439=ÉV!$I$2,D439&gt;ÉV!$J$2)),0,1)</f>
        <v>0</v>
      </c>
      <c r="V439" s="271">
        <f ca="1">IF($D439=1,S439,S439+V438)*IF(OR(C439&gt;ÉV!$I$2,AND(C439=ÉV!$I$2,D439&gt;ÉV!$J$2)),0,1)</f>
        <v>0</v>
      </c>
      <c r="W439" s="271">
        <f ca="1">IF($D439=1,T439,T439+W438)*IF(OR(C439&gt;ÉV!$I$2,AND(C439=ÉV!$I$2,D439&gt;ÉV!$J$2)),0,1)</f>
        <v>0</v>
      </c>
      <c r="X439" s="271">
        <f ca="1">IF(OR(D439=12,AND(C439=ÉV!$I$2,D439=ÉV!$J$2)),SUM(U439:W439)+X438,X438)*IF(OR(C439&gt;ÉV!$I$2,AND(C439=ÉV!$I$2,D439&gt;ÉV!$J$2)),0,1)</f>
        <v>0</v>
      </c>
      <c r="Y439" s="271">
        <f t="shared" ca="1" si="68"/>
        <v>0</v>
      </c>
      <c r="Z439" s="265">
        <f t="shared" si="69"/>
        <v>5</v>
      </c>
      <c r="AA439" s="272">
        <f t="shared" ca="1" si="70"/>
        <v>0</v>
      </c>
      <c r="AB439" s="265">
        <f t="shared" ca="1" si="76"/>
        <v>2053</v>
      </c>
      <c r="AC439" s="265">
        <f t="shared" ca="1" si="77"/>
        <v>8</v>
      </c>
      <c r="AD439" s="276">
        <f ca="1">IF(     OR(               AND(MAX(AF$6:AF439)&lt;2,  AC439=12),                 AF439=2),                   SUMIF(AB:AB,AB439,AA:AA),                       0)</f>
        <v>0</v>
      </c>
      <c r="AE439" s="277">
        <f t="shared" ca="1" si="78"/>
        <v>0</v>
      </c>
      <c r="AF439" s="277">
        <f t="shared" ca="1" si="71"/>
        <v>0</v>
      </c>
      <c r="AG439" s="402">
        <f ca="1">IF(  AND(AC439=AdóHó,   MAX(AF$1:AF438)&lt;2),   SUMIF(AB:AB,AB439-1,AE:AE),0  )
+ IF(AND(AC439&lt;AdóHó,                            AF439=2),   SUMIF(AB:AB,AB439-1,AE:AE),0  )
+ IF(                                                                  AF439=2,    SUMIF(AB:AB,AB439,AE:AE   ),0  )</f>
        <v>0</v>
      </c>
      <c r="AH439" s="272">
        <f ca="1">SUM(AG$2:AG439)</f>
        <v>1139324.2410681627</v>
      </c>
    </row>
    <row r="440" spans="1:34">
      <c r="A440" s="265">
        <f t="shared" si="79"/>
        <v>37</v>
      </c>
      <c r="B440" s="265">
        <f t="shared" si="80"/>
        <v>6</v>
      </c>
      <c r="C440" s="265">
        <f t="shared" ca="1" si="74"/>
        <v>37</v>
      </c>
      <c r="D440" s="265">
        <f t="shared" ca="1" si="75"/>
        <v>9</v>
      </c>
      <c r="E440" s="266">
        <v>5.0000000000000001E-3</v>
      </c>
      <c r="F440" s="267">
        <f>ÉV!$B$12</f>
        <v>0</v>
      </c>
      <c r="G440" s="271">
        <f ca="1">VLOOKUP(A440,ÉV!$A$18:$B$65,2,0)</f>
        <v>0</v>
      </c>
      <c r="H440" s="271">
        <f ca="1">IF(OR(A440=1,AND(C440=ÉV!$I$2,D440&gt;ÉV!$J$2),C440&gt;ÉV!$I$2),0,INDEX(Pz!$B$2:$AM$48,A440-1,ÉV!$G$2-9)/100000*ÉV!$B$10)</f>
        <v>0</v>
      </c>
      <c r="I440" s="271">
        <f ca="1">INDEX(Pz!$B$2:$AM$48,HÓ!A440,ÉV!$G$2-9)/100000*ÉV!$B$10</f>
        <v>0</v>
      </c>
      <c r="J440" s="273">
        <f ca="1">IF(OR(A440=1,A440=2,AND(C440=ÉV!$I$2,D440&gt;ÉV!$J$2),C440&gt;ÉV!$I$2),0,VLOOKUP(A440-2,ÉV!$A$18:$C$65,3,0))</f>
        <v>0</v>
      </c>
      <c r="K440" s="273">
        <f ca="1">IF(OR(A440=1,AND(C440=ÉV!$I$2,D440&gt;ÉV!$J$2),C440&gt;ÉV!$I$2),0,VLOOKUP(A440-1,ÉV!$A$18:$C$65,3,0))</f>
        <v>0</v>
      </c>
      <c r="L440" s="273">
        <f ca="1">VLOOKUP(A440,ÉV!$A$18:$C$65,3,0)*IF(OR(AND(C440=ÉV!$I$2,D440&gt;ÉV!$J$2),C440&gt;ÉV!$I$2),0,1)</f>
        <v>0</v>
      </c>
      <c r="M440" s="273">
        <f ca="1">(K440*(12-B440)/12+L440*B440/12)*IF(A440&gt;ÉV!$G$2,0,1)+IF(A440&gt;ÉV!$G$2,M439,0)*IF(OR(AND(C440=ÉV!$I$2,D440&gt;ÉV!$J$2),C440&gt;ÉV!$I$2),0,1)</f>
        <v>0</v>
      </c>
      <c r="N440" s="274">
        <f ca="1">IF(AND(C440=1,D440&lt;12),0,1)*IF(D440=12,MAX(0,F440-E440-0.003)*0.9*((K440+I440)*(B440/12)+(J440+H440)*(1-B440/12))+MAX(0,F440-0.003)*0.9*N439+N439,IF(AND(C440=ÉV!$I$2,D440=ÉV!$J$2),(M440+N439)*MAX(0,F440-0.003)*0.9*(D440/12)+N439,N439))*IF(OR(C440&gt;ÉV!$I$2,AND(C440=ÉV!$I$2,D440&gt;ÉV!$J$2)),0,1)</f>
        <v>0</v>
      </c>
      <c r="O440" s="313">
        <f ca="1">IF(MAX(AF$2:AF439)=2,      0,IF(OR(AC440=7, AF440=2),    SUM(AE$2:AE440),    O439)   )</f>
        <v>0</v>
      </c>
      <c r="P440" s="271">
        <f ca="1">IF(D440=12,V440+P439+P439*(F440-0.003)*0.9,IF(AND(C440=ÉV!$I$2,D440=ÉV!$J$2),V440+P439+P439*(F440-0.003)*0.9*D440/12,P439))*IF(OR(C440&gt;ÉV!$I$2,AND(C440=ÉV!$I$2,D440&gt;ÉV!$J$2)),0,1)</f>
        <v>0</v>
      </c>
      <c r="Q440" s="275">
        <f ca="1">(N440+P440)*IF(OR(AND(C440=ÉV!$I$2,D440&gt;ÉV!$J$2),C440&gt;ÉV!$I$2),0,1)</f>
        <v>0</v>
      </c>
      <c r="R440" s="271">
        <f ca="1">(MAX(0,F440-E440-0.003)*0.9*((K440+I440)*(1/12)))*IF(OR(C440&gt;ÉV!$I$2,AND(C440=ÉV!$I$2,D440&gt;ÉV!$J$2)),0,1)</f>
        <v>0</v>
      </c>
      <c r="S440" s="271">
        <f ca="1">(MAX(0,F440-0.003)*0.9*((O440)*(1/12)))*IF(OR(C440&gt;ÉV!$I$2,AND(C440=ÉV!$I$2,D440&gt;ÉV!$J$2)),0,1)</f>
        <v>0</v>
      </c>
      <c r="T440" s="271">
        <f ca="1">(MAX(0,F440-0.003)*0.9*((Q439)*(1/12)))*IF(OR(C440&gt;ÉV!$I$2,AND(C440=ÉV!$I$2,D440&gt;ÉV!$J$2)),0,1)</f>
        <v>0</v>
      </c>
      <c r="U440" s="271">
        <f ca="1">IF($D440=1,R440,R440+U439)*IF(OR(C440&gt;ÉV!$I$2,AND(C440=ÉV!$I$2,D440&gt;ÉV!$J$2)),0,1)</f>
        <v>0</v>
      </c>
      <c r="V440" s="271">
        <f ca="1">IF($D440=1,S440,S440+V439)*IF(OR(C440&gt;ÉV!$I$2,AND(C440=ÉV!$I$2,D440&gt;ÉV!$J$2)),0,1)</f>
        <v>0</v>
      </c>
      <c r="W440" s="271">
        <f ca="1">IF($D440=1,T440,T440+W439)*IF(OR(C440&gt;ÉV!$I$2,AND(C440=ÉV!$I$2,D440&gt;ÉV!$J$2)),0,1)</f>
        <v>0</v>
      </c>
      <c r="X440" s="271">
        <f ca="1">IF(OR(D440=12,AND(C440=ÉV!$I$2,D440=ÉV!$J$2)),SUM(U440:W440)+X439,X439)*IF(OR(C440&gt;ÉV!$I$2,AND(C440=ÉV!$I$2,D440&gt;ÉV!$J$2)),0,1)</f>
        <v>0</v>
      </c>
      <c r="Y440" s="271">
        <f t="shared" ca="1" si="68"/>
        <v>0</v>
      </c>
      <c r="Z440" s="265">
        <f t="shared" si="69"/>
        <v>6</v>
      </c>
      <c r="AA440" s="272">
        <f t="shared" ca="1" si="70"/>
        <v>0</v>
      </c>
      <c r="AB440" s="265">
        <f t="shared" ca="1" si="76"/>
        <v>2053</v>
      </c>
      <c r="AC440" s="265">
        <f t="shared" ca="1" si="77"/>
        <v>9</v>
      </c>
      <c r="AD440" s="276">
        <f ca="1">IF(     OR(               AND(MAX(AF$6:AF440)&lt;2,  AC440=12),                 AF440=2),                   SUMIF(AB:AB,AB440,AA:AA),                       0)</f>
        <v>0</v>
      </c>
      <c r="AE440" s="277">
        <f t="shared" ca="1" si="78"/>
        <v>0</v>
      </c>
      <c r="AF440" s="277">
        <f t="shared" ca="1" si="71"/>
        <v>0</v>
      </c>
      <c r="AG440" s="402">
        <f ca="1">IF(  AND(AC440=AdóHó,   MAX(AF$1:AF439)&lt;2),   SUMIF(AB:AB,AB440-1,AE:AE),0  )
+ IF(AND(AC440&lt;AdóHó,                            AF440=2),   SUMIF(AB:AB,AB440-1,AE:AE),0  )
+ IF(                                                                  AF440=2,    SUMIF(AB:AB,AB440,AE:AE   ),0  )</f>
        <v>0</v>
      </c>
      <c r="AH440" s="272">
        <f ca="1">SUM(AG$2:AG440)</f>
        <v>1139324.2410681627</v>
      </c>
    </row>
    <row r="441" spans="1:34">
      <c r="A441" s="265">
        <f t="shared" si="79"/>
        <v>37</v>
      </c>
      <c r="B441" s="265">
        <f t="shared" si="80"/>
        <v>7</v>
      </c>
      <c r="C441" s="265">
        <f t="shared" ca="1" si="74"/>
        <v>37</v>
      </c>
      <c r="D441" s="265">
        <f t="shared" ca="1" si="75"/>
        <v>10</v>
      </c>
      <c r="E441" s="266">
        <v>5.0000000000000001E-3</v>
      </c>
      <c r="F441" s="267">
        <f>ÉV!$B$12</f>
        <v>0</v>
      </c>
      <c r="G441" s="271">
        <f ca="1">VLOOKUP(A441,ÉV!$A$18:$B$65,2,0)</f>
        <v>0</v>
      </c>
      <c r="H441" s="271">
        <f ca="1">IF(OR(A441=1,AND(C441=ÉV!$I$2,D441&gt;ÉV!$J$2),C441&gt;ÉV!$I$2),0,INDEX(Pz!$B$2:$AM$48,A441-1,ÉV!$G$2-9)/100000*ÉV!$B$10)</f>
        <v>0</v>
      </c>
      <c r="I441" s="271">
        <f ca="1">INDEX(Pz!$B$2:$AM$48,HÓ!A441,ÉV!$G$2-9)/100000*ÉV!$B$10</f>
        <v>0</v>
      </c>
      <c r="J441" s="273">
        <f ca="1">IF(OR(A441=1,A441=2,AND(C441=ÉV!$I$2,D441&gt;ÉV!$J$2),C441&gt;ÉV!$I$2),0,VLOOKUP(A441-2,ÉV!$A$18:$C$65,3,0))</f>
        <v>0</v>
      </c>
      <c r="K441" s="273">
        <f ca="1">IF(OR(A441=1,AND(C441=ÉV!$I$2,D441&gt;ÉV!$J$2),C441&gt;ÉV!$I$2),0,VLOOKUP(A441-1,ÉV!$A$18:$C$65,3,0))</f>
        <v>0</v>
      </c>
      <c r="L441" s="273">
        <f ca="1">VLOOKUP(A441,ÉV!$A$18:$C$65,3,0)*IF(OR(AND(C441=ÉV!$I$2,D441&gt;ÉV!$J$2),C441&gt;ÉV!$I$2),0,1)</f>
        <v>0</v>
      </c>
      <c r="M441" s="273">
        <f ca="1">(K441*(12-B441)/12+L441*B441/12)*IF(A441&gt;ÉV!$G$2,0,1)+IF(A441&gt;ÉV!$G$2,M440,0)*IF(OR(AND(C441=ÉV!$I$2,D441&gt;ÉV!$J$2),C441&gt;ÉV!$I$2),0,1)</f>
        <v>0</v>
      </c>
      <c r="N441" s="274">
        <f ca="1">IF(AND(C441=1,D441&lt;12),0,1)*IF(D441=12,MAX(0,F441-E441-0.003)*0.9*((K441+I441)*(B441/12)+(J441+H441)*(1-B441/12))+MAX(0,F441-0.003)*0.9*N440+N440,IF(AND(C441=ÉV!$I$2,D441=ÉV!$J$2),(M441+N440)*MAX(0,F441-0.003)*0.9*(D441/12)+N440,N440))*IF(OR(C441&gt;ÉV!$I$2,AND(C441=ÉV!$I$2,D441&gt;ÉV!$J$2)),0,1)</f>
        <v>0</v>
      </c>
      <c r="O441" s="313">
        <f ca="1">IF(MAX(AF$2:AF440)=2,      0,IF(OR(AC441=7, AF441=2),    SUM(AE$2:AE441),    O440)   )</f>
        <v>0</v>
      </c>
      <c r="P441" s="271">
        <f ca="1">IF(D441=12,V441+P440+P440*(F441-0.003)*0.9,IF(AND(C441=ÉV!$I$2,D441=ÉV!$J$2),V441+P440+P440*(F441-0.003)*0.9*D441/12,P440))*IF(OR(C441&gt;ÉV!$I$2,AND(C441=ÉV!$I$2,D441&gt;ÉV!$J$2)),0,1)</f>
        <v>0</v>
      </c>
      <c r="Q441" s="275">
        <f ca="1">(N441+P441)*IF(OR(AND(C441=ÉV!$I$2,D441&gt;ÉV!$J$2),C441&gt;ÉV!$I$2),0,1)</f>
        <v>0</v>
      </c>
      <c r="R441" s="271">
        <f ca="1">(MAX(0,F441-E441-0.003)*0.9*((K441+I441)*(1/12)))*IF(OR(C441&gt;ÉV!$I$2,AND(C441=ÉV!$I$2,D441&gt;ÉV!$J$2)),0,1)</f>
        <v>0</v>
      </c>
      <c r="S441" s="271">
        <f ca="1">(MAX(0,F441-0.003)*0.9*((O441)*(1/12)))*IF(OR(C441&gt;ÉV!$I$2,AND(C441=ÉV!$I$2,D441&gt;ÉV!$J$2)),0,1)</f>
        <v>0</v>
      </c>
      <c r="T441" s="271">
        <f ca="1">(MAX(0,F441-0.003)*0.9*((Q440)*(1/12)))*IF(OR(C441&gt;ÉV!$I$2,AND(C441=ÉV!$I$2,D441&gt;ÉV!$J$2)),0,1)</f>
        <v>0</v>
      </c>
      <c r="U441" s="271">
        <f ca="1">IF($D441=1,R441,R441+U440)*IF(OR(C441&gt;ÉV!$I$2,AND(C441=ÉV!$I$2,D441&gt;ÉV!$J$2)),0,1)</f>
        <v>0</v>
      </c>
      <c r="V441" s="271">
        <f ca="1">IF($D441=1,S441,S441+V440)*IF(OR(C441&gt;ÉV!$I$2,AND(C441=ÉV!$I$2,D441&gt;ÉV!$J$2)),0,1)</f>
        <v>0</v>
      </c>
      <c r="W441" s="271">
        <f ca="1">IF($D441=1,T441,T441+W440)*IF(OR(C441&gt;ÉV!$I$2,AND(C441=ÉV!$I$2,D441&gt;ÉV!$J$2)),0,1)</f>
        <v>0</v>
      </c>
      <c r="X441" s="271">
        <f ca="1">IF(OR(D441=12,AND(C441=ÉV!$I$2,D441=ÉV!$J$2)),SUM(U441:W441)+X440,X440)*IF(OR(C441&gt;ÉV!$I$2,AND(C441=ÉV!$I$2,D441&gt;ÉV!$J$2)),0,1)</f>
        <v>0</v>
      </c>
      <c r="Y441" s="271">
        <f t="shared" ca="1" si="68"/>
        <v>0</v>
      </c>
      <c r="Z441" s="265">
        <f t="shared" si="69"/>
        <v>7</v>
      </c>
      <c r="AA441" s="272">
        <f t="shared" ca="1" si="70"/>
        <v>0</v>
      </c>
      <c r="AB441" s="265">
        <f t="shared" ca="1" si="76"/>
        <v>2053</v>
      </c>
      <c r="AC441" s="265">
        <f t="shared" ca="1" si="77"/>
        <v>10</v>
      </c>
      <c r="AD441" s="276">
        <f ca="1">IF(     OR(               AND(MAX(AF$6:AF441)&lt;2,  AC441=12),                 AF441=2),                   SUMIF(AB:AB,AB441,AA:AA),                       0)</f>
        <v>0</v>
      </c>
      <c r="AE441" s="277">
        <f t="shared" ca="1" si="78"/>
        <v>0</v>
      </c>
      <c r="AF441" s="277">
        <f t="shared" ca="1" si="71"/>
        <v>0</v>
      </c>
      <c r="AG441" s="402">
        <f ca="1">IF(  AND(AC441=AdóHó,   MAX(AF$1:AF440)&lt;2),   SUMIF(AB:AB,AB441-1,AE:AE),0  )
+ IF(AND(AC441&lt;AdóHó,                            AF441=2),   SUMIF(AB:AB,AB441-1,AE:AE),0  )
+ IF(                                                                  AF441=2,    SUMIF(AB:AB,AB441,AE:AE   ),0  )</f>
        <v>0</v>
      </c>
      <c r="AH441" s="272">
        <f ca="1">SUM(AG$2:AG441)</f>
        <v>1139324.2410681627</v>
      </c>
    </row>
    <row r="442" spans="1:34">
      <c r="A442" s="265">
        <f t="shared" si="79"/>
        <v>37</v>
      </c>
      <c r="B442" s="265">
        <f t="shared" si="80"/>
        <v>8</v>
      </c>
      <c r="C442" s="265">
        <f t="shared" ca="1" si="74"/>
        <v>37</v>
      </c>
      <c r="D442" s="265">
        <f t="shared" ca="1" si="75"/>
        <v>11</v>
      </c>
      <c r="E442" s="266">
        <v>5.0000000000000001E-3</v>
      </c>
      <c r="F442" s="267">
        <f>ÉV!$B$12</f>
        <v>0</v>
      </c>
      <c r="G442" s="271">
        <f ca="1">VLOOKUP(A442,ÉV!$A$18:$B$65,2,0)</f>
        <v>0</v>
      </c>
      <c r="H442" s="271">
        <f ca="1">IF(OR(A442=1,AND(C442=ÉV!$I$2,D442&gt;ÉV!$J$2),C442&gt;ÉV!$I$2),0,INDEX(Pz!$B$2:$AM$48,A442-1,ÉV!$G$2-9)/100000*ÉV!$B$10)</f>
        <v>0</v>
      </c>
      <c r="I442" s="271">
        <f ca="1">INDEX(Pz!$B$2:$AM$48,HÓ!A442,ÉV!$G$2-9)/100000*ÉV!$B$10</f>
        <v>0</v>
      </c>
      <c r="J442" s="273">
        <f ca="1">IF(OR(A442=1,A442=2,AND(C442=ÉV!$I$2,D442&gt;ÉV!$J$2),C442&gt;ÉV!$I$2),0,VLOOKUP(A442-2,ÉV!$A$18:$C$65,3,0))</f>
        <v>0</v>
      </c>
      <c r="K442" s="273">
        <f ca="1">IF(OR(A442=1,AND(C442=ÉV!$I$2,D442&gt;ÉV!$J$2),C442&gt;ÉV!$I$2),0,VLOOKUP(A442-1,ÉV!$A$18:$C$65,3,0))</f>
        <v>0</v>
      </c>
      <c r="L442" s="273">
        <f ca="1">VLOOKUP(A442,ÉV!$A$18:$C$65,3,0)*IF(OR(AND(C442=ÉV!$I$2,D442&gt;ÉV!$J$2),C442&gt;ÉV!$I$2),0,1)</f>
        <v>0</v>
      </c>
      <c r="M442" s="273">
        <f ca="1">(K442*(12-B442)/12+L442*B442/12)*IF(A442&gt;ÉV!$G$2,0,1)+IF(A442&gt;ÉV!$G$2,M441,0)*IF(OR(AND(C442=ÉV!$I$2,D442&gt;ÉV!$J$2),C442&gt;ÉV!$I$2),0,1)</f>
        <v>0</v>
      </c>
      <c r="N442" s="274">
        <f ca="1">IF(AND(C442=1,D442&lt;12),0,1)*IF(D442=12,MAX(0,F442-E442-0.003)*0.9*((K442+I442)*(B442/12)+(J442+H442)*(1-B442/12))+MAX(0,F442-0.003)*0.9*N441+N441,IF(AND(C442=ÉV!$I$2,D442=ÉV!$J$2),(M442+N441)*MAX(0,F442-0.003)*0.9*(D442/12)+N441,N441))*IF(OR(C442&gt;ÉV!$I$2,AND(C442=ÉV!$I$2,D442&gt;ÉV!$J$2)),0,1)</f>
        <v>0</v>
      </c>
      <c r="O442" s="313">
        <f ca="1">IF(MAX(AF$2:AF441)=2,      0,IF(OR(AC442=7, AF442=2),    SUM(AE$2:AE442),    O441)   )</f>
        <v>0</v>
      </c>
      <c r="P442" s="271">
        <f ca="1">IF(D442=12,V442+P441+P441*(F442-0.003)*0.9,IF(AND(C442=ÉV!$I$2,D442=ÉV!$J$2),V442+P441+P441*(F442-0.003)*0.9*D442/12,P441))*IF(OR(C442&gt;ÉV!$I$2,AND(C442=ÉV!$I$2,D442&gt;ÉV!$J$2)),0,1)</f>
        <v>0</v>
      </c>
      <c r="Q442" s="275">
        <f ca="1">(N442+P442)*IF(OR(AND(C442=ÉV!$I$2,D442&gt;ÉV!$J$2),C442&gt;ÉV!$I$2),0,1)</f>
        <v>0</v>
      </c>
      <c r="R442" s="271">
        <f ca="1">(MAX(0,F442-E442-0.003)*0.9*((K442+I442)*(1/12)))*IF(OR(C442&gt;ÉV!$I$2,AND(C442=ÉV!$I$2,D442&gt;ÉV!$J$2)),0,1)</f>
        <v>0</v>
      </c>
      <c r="S442" s="271">
        <f ca="1">(MAX(0,F442-0.003)*0.9*((O442)*(1/12)))*IF(OR(C442&gt;ÉV!$I$2,AND(C442=ÉV!$I$2,D442&gt;ÉV!$J$2)),0,1)</f>
        <v>0</v>
      </c>
      <c r="T442" s="271">
        <f ca="1">(MAX(0,F442-0.003)*0.9*((Q441)*(1/12)))*IF(OR(C442&gt;ÉV!$I$2,AND(C442=ÉV!$I$2,D442&gt;ÉV!$J$2)),0,1)</f>
        <v>0</v>
      </c>
      <c r="U442" s="271">
        <f ca="1">IF($D442=1,R442,R442+U441)*IF(OR(C442&gt;ÉV!$I$2,AND(C442=ÉV!$I$2,D442&gt;ÉV!$J$2)),0,1)</f>
        <v>0</v>
      </c>
      <c r="V442" s="271">
        <f ca="1">IF($D442=1,S442,S442+V441)*IF(OR(C442&gt;ÉV!$I$2,AND(C442=ÉV!$I$2,D442&gt;ÉV!$J$2)),0,1)</f>
        <v>0</v>
      </c>
      <c r="W442" s="271">
        <f ca="1">IF($D442=1,T442,T442+W441)*IF(OR(C442&gt;ÉV!$I$2,AND(C442=ÉV!$I$2,D442&gt;ÉV!$J$2)),0,1)</f>
        <v>0</v>
      </c>
      <c r="X442" s="271">
        <f ca="1">IF(OR(D442=12,AND(C442=ÉV!$I$2,D442=ÉV!$J$2)),SUM(U442:W442)+X441,X441)*IF(OR(C442&gt;ÉV!$I$2,AND(C442=ÉV!$I$2,D442&gt;ÉV!$J$2)),0,1)</f>
        <v>0</v>
      </c>
      <c r="Y442" s="271">
        <f t="shared" ca="1" si="68"/>
        <v>0</v>
      </c>
      <c r="Z442" s="265">
        <f t="shared" si="69"/>
        <v>8</v>
      </c>
      <c r="AA442" s="272">
        <f t="shared" ca="1" si="70"/>
        <v>0</v>
      </c>
      <c r="AB442" s="265">
        <f t="shared" ca="1" si="76"/>
        <v>2053</v>
      </c>
      <c r="AC442" s="265">
        <f t="shared" ca="1" si="77"/>
        <v>11</v>
      </c>
      <c r="AD442" s="276">
        <f ca="1">IF(     OR(               AND(MAX(AF$6:AF442)&lt;2,  AC442=12),                 AF442=2),                   SUMIF(AB:AB,AB442,AA:AA),                       0)</f>
        <v>0</v>
      </c>
      <c r="AE442" s="277">
        <f t="shared" ca="1" si="78"/>
        <v>0</v>
      </c>
      <c r="AF442" s="277">
        <f t="shared" ca="1" si="71"/>
        <v>0</v>
      </c>
      <c r="AG442" s="402">
        <f ca="1">IF(  AND(AC442=AdóHó,   MAX(AF$1:AF441)&lt;2),   SUMIF(AB:AB,AB442-1,AE:AE),0  )
+ IF(AND(AC442&lt;AdóHó,                            AF442=2),   SUMIF(AB:AB,AB442-1,AE:AE),0  )
+ IF(                                                                  AF442=2,    SUMIF(AB:AB,AB442,AE:AE   ),0  )</f>
        <v>0</v>
      </c>
      <c r="AH442" s="272">
        <f ca="1">SUM(AG$2:AG442)</f>
        <v>1139324.2410681627</v>
      </c>
    </row>
    <row r="443" spans="1:34">
      <c r="A443" s="265">
        <f t="shared" si="79"/>
        <v>37</v>
      </c>
      <c r="B443" s="265">
        <f t="shared" si="80"/>
        <v>9</v>
      </c>
      <c r="C443" s="265">
        <f t="shared" ca="1" si="74"/>
        <v>37</v>
      </c>
      <c r="D443" s="265">
        <f t="shared" ca="1" si="75"/>
        <v>12</v>
      </c>
      <c r="E443" s="266">
        <v>5.0000000000000001E-3</v>
      </c>
      <c r="F443" s="267">
        <f>ÉV!$B$12</f>
        <v>0</v>
      </c>
      <c r="G443" s="271">
        <f ca="1">VLOOKUP(A443,ÉV!$A$18:$B$65,2,0)</f>
        <v>0</v>
      </c>
      <c r="H443" s="271">
        <f ca="1">IF(OR(A443=1,AND(C443=ÉV!$I$2,D443&gt;ÉV!$J$2),C443&gt;ÉV!$I$2),0,INDEX(Pz!$B$2:$AM$48,A443-1,ÉV!$G$2-9)/100000*ÉV!$B$10)</f>
        <v>0</v>
      </c>
      <c r="I443" s="271">
        <f ca="1">INDEX(Pz!$B$2:$AM$48,HÓ!A443,ÉV!$G$2-9)/100000*ÉV!$B$10</f>
        <v>0</v>
      </c>
      <c r="J443" s="273">
        <f ca="1">IF(OR(A443=1,A443=2,AND(C443=ÉV!$I$2,D443&gt;ÉV!$J$2),C443&gt;ÉV!$I$2),0,VLOOKUP(A443-2,ÉV!$A$18:$C$65,3,0))</f>
        <v>0</v>
      </c>
      <c r="K443" s="273">
        <f ca="1">IF(OR(A443=1,AND(C443=ÉV!$I$2,D443&gt;ÉV!$J$2),C443&gt;ÉV!$I$2),0,VLOOKUP(A443-1,ÉV!$A$18:$C$65,3,0))</f>
        <v>0</v>
      </c>
      <c r="L443" s="273">
        <f ca="1">VLOOKUP(A443,ÉV!$A$18:$C$65,3,0)*IF(OR(AND(C443=ÉV!$I$2,D443&gt;ÉV!$J$2),C443&gt;ÉV!$I$2),0,1)</f>
        <v>0</v>
      </c>
      <c r="M443" s="273">
        <f ca="1">(K443*(12-B443)/12+L443*B443/12)*IF(A443&gt;ÉV!$G$2,0,1)+IF(A443&gt;ÉV!$G$2,M442,0)*IF(OR(AND(C443=ÉV!$I$2,D443&gt;ÉV!$J$2),C443&gt;ÉV!$I$2),0,1)</f>
        <v>0</v>
      </c>
      <c r="N443" s="274">
        <f ca="1">IF(AND(C443=1,D443&lt;12),0,1)*IF(D443=12,MAX(0,F443-E443-0.003)*0.9*((K443+I443)*(B443/12)+(J443+H443)*(1-B443/12))+MAX(0,F443-0.003)*0.9*N442+N442,IF(AND(C443=ÉV!$I$2,D443=ÉV!$J$2),(M443+N442)*MAX(0,F443-0.003)*0.9*(D443/12)+N442,N442))*IF(OR(C443&gt;ÉV!$I$2,AND(C443=ÉV!$I$2,D443&gt;ÉV!$J$2)),0,1)</f>
        <v>0</v>
      </c>
      <c r="O443" s="313">
        <f ca="1">IF(MAX(AF$2:AF442)=2,      0,IF(OR(AC443=7, AF443=2),    SUM(AE$2:AE443),    O442)   )</f>
        <v>0</v>
      </c>
      <c r="P443" s="271">
        <f ca="1">IF(D443=12,V443+P442+P442*(F443-0.003)*0.9,IF(AND(C443=ÉV!$I$2,D443=ÉV!$J$2),V443+P442+P442*(F443-0.003)*0.9*D443/12,P442))*IF(OR(C443&gt;ÉV!$I$2,AND(C443=ÉV!$I$2,D443&gt;ÉV!$J$2)),0,1)</f>
        <v>0</v>
      </c>
      <c r="Q443" s="275">
        <f ca="1">(N443+P443)*IF(OR(AND(C443=ÉV!$I$2,D443&gt;ÉV!$J$2),C443&gt;ÉV!$I$2),0,1)</f>
        <v>0</v>
      </c>
      <c r="R443" s="271">
        <f ca="1">(MAX(0,F443-E443-0.003)*0.9*((K443+I443)*(1/12)))*IF(OR(C443&gt;ÉV!$I$2,AND(C443=ÉV!$I$2,D443&gt;ÉV!$J$2)),0,1)</f>
        <v>0</v>
      </c>
      <c r="S443" s="271">
        <f ca="1">(MAX(0,F443-0.003)*0.9*((O443)*(1/12)))*IF(OR(C443&gt;ÉV!$I$2,AND(C443=ÉV!$I$2,D443&gt;ÉV!$J$2)),0,1)</f>
        <v>0</v>
      </c>
      <c r="T443" s="271">
        <f ca="1">(MAX(0,F443-0.003)*0.9*((Q442)*(1/12)))*IF(OR(C443&gt;ÉV!$I$2,AND(C443=ÉV!$I$2,D443&gt;ÉV!$J$2)),0,1)</f>
        <v>0</v>
      </c>
      <c r="U443" s="271">
        <f ca="1">IF($D443=1,R443,R443+U442)*IF(OR(C443&gt;ÉV!$I$2,AND(C443=ÉV!$I$2,D443&gt;ÉV!$J$2)),0,1)</f>
        <v>0</v>
      </c>
      <c r="V443" s="271">
        <f ca="1">IF($D443=1,S443,S443+V442)*IF(OR(C443&gt;ÉV!$I$2,AND(C443=ÉV!$I$2,D443&gt;ÉV!$J$2)),0,1)</f>
        <v>0</v>
      </c>
      <c r="W443" s="271">
        <f ca="1">IF($D443=1,T443,T443+W442)*IF(OR(C443&gt;ÉV!$I$2,AND(C443=ÉV!$I$2,D443&gt;ÉV!$J$2)),0,1)</f>
        <v>0</v>
      </c>
      <c r="X443" s="271">
        <f ca="1">IF(OR(D443=12,AND(C443=ÉV!$I$2,D443=ÉV!$J$2)),SUM(U443:W443)+X442,X442)*IF(OR(C443&gt;ÉV!$I$2,AND(C443=ÉV!$I$2,D443&gt;ÉV!$J$2)),0,1)</f>
        <v>0</v>
      </c>
      <c r="Y443" s="271">
        <f t="shared" ca="1" si="68"/>
        <v>0</v>
      </c>
      <c r="Z443" s="265">
        <f t="shared" si="69"/>
        <v>9</v>
      </c>
      <c r="AA443" s="272">
        <f t="shared" ca="1" si="70"/>
        <v>0</v>
      </c>
      <c r="AB443" s="265">
        <f t="shared" ca="1" si="76"/>
        <v>2053</v>
      </c>
      <c r="AC443" s="265">
        <f t="shared" ca="1" si="77"/>
        <v>12</v>
      </c>
      <c r="AD443" s="276">
        <f ca="1">IF(     OR(               AND(MAX(AF$6:AF443)&lt;2,  AC443=12),                 AF443=2),                   SUMIF(AB:AB,AB443,AA:AA),                       0)</f>
        <v>0</v>
      </c>
      <c r="AE443" s="277">
        <f t="shared" ca="1" si="78"/>
        <v>0</v>
      </c>
      <c r="AF443" s="277">
        <f t="shared" ca="1" si="71"/>
        <v>0</v>
      </c>
      <c r="AG443" s="402">
        <f ca="1">IF(  AND(AC443=AdóHó,   MAX(AF$1:AF442)&lt;2),   SUMIF(AB:AB,AB443-1,AE:AE),0  )
+ IF(AND(AC443&lt;AdóHó,                            AF443=2),   SUMIF(AB:AB,AB443-1,AE:AE),0  )
+ IF(                                                                  AF443=2,    SUMIF(AB:AB,AB443,AE:AE   ),0  )</f>
        <v>0</v>
      </c>
      <c r="AH443" s="272">
        <f ca="1">SUM(AG$2:AG443)</f>
        <v>1139324.2410681627</v>
      </c>
    </row>
    <row r="444" spans="1:34">
      <c r="A444" s="265">
        <f t="shared" si="79"/>
        <v>37</v>
      </c>
      <c r="B444" s="265">
        <f t="shared" si="80"/>
        <v>10</v>
      </c>
      <c r="C444" s="265">
        <f t="shared" ca="1" si="74"/>
        <v>38</v>
      </c>
      <c r="D444" s="265">
        <f t="shared" ca="1" si="75"/>
        <v>1</v>
      </c>
      <c r="E444" s="266">
        <v>5.0000000000000001E-3</v>
      </c>
      <c r="F444" s="267">
        <f>ÉV!$B$12</f>
        <v>0</v>
      </c>
      <c r="G444" s="271">
        <f ca="1">VLOOKUP(A444,ÉV!$A$18:$B$65,2,0)</f>
        <v>0</v>
      </c>
      <c r="H444" s="271">
        <f ca="1">IF(OR(A444=1,AND(C444=ÉV!$I$2,D444&gt;ÉV!$J$2),C444&gt;ÉV!$I$2),0,INDEX(Pz!$B$2:$AM$48,A444-1,ÉV!$G$2-9)/100000*ÉV!$B$10)</f>
        <v>0</v>
      </c>
      <c r="I444" s="271">
        <f ca="1">INDEX(Pz!$B$2:$AM$48,HÓ!A444,ÉV!$G$2-9)/100000*ÉV!$B$10</f>
        <v>0</v>
      </c>
      <c r="J444" s="273">
        <f ca="1">IF(OR(A444=1,A444=2,AND(C444=ÉV!$I$2,D444&gt;ÉV!$J$2),C444&gt;ÉV!$I$2),0,VLOOKUP(A444-2,ÉV!$A$18:$C$65,3,0))</f>
        <v>0</v>
      </c>
      <c r="K444" s="273">
        <f ca="1">IF(OR(A444=1,AND(C444=ÉV!$I$2,D444&gt;ÉV!$J$2),C444&gt;ÉV!$I$2),0,VLOOKUP(A444-1,ÉV!$A$18:$C$65,3,0))</f>
        <v>0</v>
      </c>
      <c r="L444" s="273">
        <f ca="1">VLOOKUP(A444,ÉV!$A$18:$C$65,3,0)*IF(OR(AND(C444=ÉV!$I$2,D444&gt;ÉV!$J$2),C444&gt;ÉV!$I$2),0,1)</f>
        <v>0</v>
      </c>
      <c r="M444" s="273">
        <f ca="1">(K444*(12-B444)/12+L444*B444/12)*IF(A444&gt;ÉV!$G$2,0,1)+IF(A444&gt;ÉV!$G$2,M443,0)*IF(OR(AND(C444=ÉV!$I$2,D444&gt;ÉV!$J$2),C444&gt;ÉV!$I$2),0,1)</f>
        <v>0</v>
      </c>
      <c r="N444" s="274">
        <f ca="1">IF(AND(C444=1,D444&lt;12),0,1)*IF(D444=12,MAX(0,F444-E444-0.003)*0.9*((K444+I444)*(B444/12)+(J444+H444)*(1-B444/12))+MAX(0,F444-0.003)*0.9*N443+N443,IF(AND(C444=ÉV!$I$2,D444=ÉV!$J$2),(M444+N443)*MAX(0,F444-0.003)*0.9*(D444/12)+N443,N443))*IF(OR(C444&gt;ÉV!$I$2,AND(C444=ÉV!$I$2,D444&gt;ÉV!$J$2)),0,1)</f>
        <v>0</v>
      </c>
      <c r="O444" s="313">
        <f ca="1">IF(MAX(AF$2:AF443)=2,      0,IF(OR(AC444=7, AF444=2),    SUM(AE$2:AE444),    O443)   )</f>
        <v>0</v>
      </c>
      <c r="P444" s="271">
        <f ca="1">IF(D444=12,V444+P443+P443*(F444-0.003)*0.9,IF(AND(C444=ÉV!$I$2,D444=ÉV!$J$2),V444+P443+P443*(F444-0.003)*0.9*D444/12,P443))*IF(OR(C444&gt;ÉV!$I$2,AND(C444=ÉV!$I$2,D444&gt;ÉV!$J$2)),0,1)</f>
        <v>0</v>
      </c>
      <c r="Q444" s="275">
        <f ca="1">(N444+P444)*IF(OR(AND(C444=ÉV!$I$2,D444&gt;ÉV!$J$2),C444&gt;ÉV!$I$2),0,1)</f>
        <v>0</v>
      </c>
      <c r="R444" s="271">
        <f ca="1">(MAX(0,F444-E444-0.003)*0.9*((K444+I444)*(1/12)))*IF(OR(C444&gt;ÉV!$I$2,AND(C444=ÉV!$I$2,D444&gt;ÉV!$J$2)),0,1)</f>
        <v>0</v>
      </c>
      <c r="S444" s="271">
        <f ca="1">(MAX(0,F444-0.003)*0.9*((O444)*(1/12)))*IF(OR(C444&gt;ÉV!$I$2,AND(C444=ÉV!$I$2,D444&gt;ÉV!$J$2)),0,1)</f>
        <v>0</v>
      </c>
      <c r="T444" s="271">
        <f ca="1">(MAX(0,F444-0.003)*0.9*((Q443)*(1/12)))*IF(OR(C444&gt;ÉV!$I$2,AND(C444=ÉV!$I$2,D444&gt;ÉV!$J$2)),0,1)</f>
        <v>0</v>
      </c>
      <c r="U444" s="271">
        <f ca="1">IF($D444=1,R444,R444+U443)*IF(OR(C444&gt;ÉV!$I$2,AND(C444=ÉV!$I$2,D444&gt;ÉV!$J$2)),0,1)</f>
        <v>0</v>
      </c>
      <c r="V444" s="271">
        <f ca="1">IF($D444=1,S444,S444+V443)*IF(OR(C444&gt;ÉV!$I$2,AND(C444=ÉV!$I$2,D444&gt;ÉV!$J$2)),0,1)</f>
        <v>0</v>
      </c>
      <c r="W444" s="271">
        <f ca="1">IF($D444=1,T444,T444+W443)*IF(OR(C444&gt;ÉV!$I$2,AND(C444=ÉV!$I$2,D444&gt;ÉV!$J$2)),0,1)</f>
        <v>0</v>
      </c>
      <c r="X444" s="271">
        <f ca="1">IF(OR(D444=12,AND(C444=ÉV!$I$2,D444=ÉV!$J$2)),SUM(U444:W444)+X443,X443)*IF(OR(C444&gt;ÉV!$I$2,AND(C444=ÉV!$I$2,D444&gt;ÉV!$J$2)),0,1)</f>
        <v>0</v>
      </c>
      <c r="Y444" s="271">
        <f t="shared" ca="1" si="68"/>
        <v>0</v>
      </c>
      <c r="Z444" s="265">
        <f t="shared" si="69"/>
        <v>10</v>
      </c>
      <c r="AA444" s="272">
        <f t="shared" ca="1" si="70"/>
        <v>0</v>
      </c>
      <c r="AB444" s="265">
        <f t="shared" ca="1" si="76"/>
        <v>2054</v>
      </c>
      <c r="AC444" s="265">
        <f t="shared" ca="1" si="77"/>
        <v>1</v>
      </c>
      <c r="AD444" s="276">
        <f ca="1">IF(     OR(               AND(MAX(AF$6:AF444)&lt;2,  AC444=12),                 AF444=2),                   SUMIF(AB:AB,AB444,AA:AA),                       0)</f>
        <v>0</v>
      </c>
      <c r="AE444" s="277">
        <f t="shared" ca="1" si="78"/>
        <v>0</v>
      </c>
      <c r="AF444" s="277">
        <f t="shared" ca="1" si="71"/>
        <v>0</v>
      </c>
      <c r="AG444" s="402">
        <f ca="1">IF(  AND(AC444=AdóHó,   MAX(AF$1:AF443)&lt;2),   SUMIF(AB:AB,AB444-1,AE:AE),0  )
+ IF(AND(AC444&lt;AdóHó,                            AF444=2),   SUMIF(AB:AB,AB444-1,AE:AE),0  )
+ IF(                                                                  AF444=2,    SUMIF(AB:AB,AB444,AE:AE   ),0  )</f>
        <v>0</v>
      </c>
      <c r="AH444" s="272">
        <f ca="1">SUM(AG$2:AG444)</f>
        <v>1139324.2410681627</v>
      </c>
    </row>
    <row r="445" spans="1:34">
      <c r="A445" s="265">
        <f t="shared" si="79"/>
        <v>37</v>
      </c>
      <c r="B445" s="265">
        <f t="shared" si="80"/>
        <v>11</v>
      </c>
      <c r="C445" s="265">
        <f t="shared" ca="1" si="74"/>
        <v>38</v>
      </c>
      <c r="D445" s="265">
        <f t="shared" ca="1" si="75"/>
        <v>2</v>
      </c>
      <c r="E445" s="266">
        <v>5.0000000000000001E-3</v>
      </c>
      <c r="F445" s="267">
        <f>ÉV!$B$12</f>
        <v>0</v>
      </c>
      <c r="G445" s="271">
        <f ca="1">VLOOKUP(A445,ÉV!$A$18:$B$65,2,0)</f>
        <v>0</v>
      </c>
      <c r="H445" s="271">
        <f ca="1">IF(OR(A445=1,AND(C445=ÉV!$I$2,D445&gt;ÉV!$J$2),C445&gt;ÉV!$I$2),0,INDEX(Pz!$B$2:$AM$48,A445-1,ÉV!$G$2-9)/100000*ÉV!$B$10)</f>
        <v>0</v>
      </c>
      <c r="I445" s="271">
        <f ca="1">INDEX(Pz!$B$2:$AM$48,HÓ!A445,ÉV!$G$2-9)/100000*ÉV!$B$10</f>
        <v>0</v>
      </c>
      <c r="J445" s="273">
        <f ca="1">IF(OR(A445=1,A445=2,AND(C445=ÉV!$I$2,D445&gt;ÉV!$J$2),C445&gt;ÉV!$I$2),0,VLOOKUP(A445-2,ÉV!$A$18:$C$65,3,0))</f>
        <v>0</v>
      </c>
      <c r="K445" s="273">
        <f ca="1">IF(OR(A445=1,AND(C445=ÉV!$I$2,D445&gt;ÉV!$J$2),C445&gt;ÉV!$I$2),0,VLOOKUP(A445-1,ÉV!$A$18:$C$65,3,0))</f>
        <v>0</v>
      </c>
      <c r="L445" s="273">
        <f ca="1">VLOOKUP(A445,ÉV!$A$18:$C$65,3,0)*IF(OR(AND(C445=ÉV!$I$2,D445&gt;ÉV!$J$2),C445&gt;ÉV!$I$2),0,1)</f>
        <v>0</v>
      </c>
      <c r="M445" s="273">
        <f ca="1">(K445*(12-B445)/12+L445*B445/12)*IF(A445&gt;ÉV!$G$2,0,1)+IF(A445&gt;ÉV!$G$2,M444,0)*IF(OR(AND(C445=ÉV!$I$2,D445&gt;ÉV!$J$2),C445&gt;ÉV!$I$2),0,1)</f>
        <v>0</v>
      </c>
      <c r="N445" s="274">
        <f ca="1">IF(AND(C445=1,D445&lt;12),0,1)*IF(D445=12,MAX(0,F445-E445-0.003)*0.9*((K445+I445)*(B445/12)+(J445+H445)*(1-B445/12))+MAX(0,F445-0.003)*0.9*N444+N444,IF(AND(C445=ÉV!$I$2,D445=ÉV!$J$2),(M445+N444)*MAX(0,F445-0.003)*0.9*(D445/12)+N444,N444))*IF(OR(C445&gt;ÉV!$I$2,AND(C445=ÉV!$I$2,D445&gt;ÉV!$J$2)),0,1)</f>
        <v>0</v>
      </c>
      <c r="O445" s="313">
        <f ca="1">IF(MAX(AF$2:AF444)=2,      0,IF(OR(AC445=7, AF445=2),    SUM(AE$2:AE445),    O444)   )</f>
        <v>0</v>
      </c>
      <c r="P445" s="271">
        <f ca="1">IF(D445=12,V445+P444+P444*(F445-0.003)*0.9,IF(AND(C445=ÉV!$I$2,D445=ÉV!$J$2),V445+P444+P444*(F445-0.003)*0.9*D445/12,P444))*IF(OR(C445&gt;ÉV!$I$2,AND(C445=ÉV!$I$2,D445&gt;ÉV!$J$2)),0,1)</f>
        <v>0</v>
      </c>
      <c r="Q445" s="275">
        <f ca="1">(N445+P445)*IF(OR(AND(C445=ÉV!$I$2,D445&gt;ÉV!$J$2),C445&gt;ÉV!$I$2),0,1)</f>
        <v>0</v>
      </c>
      <c r="R445" s="271">
        <f ca="1">(MAX(0,F445-E445-0.003)*0.9*((K445+I445)*(1/12)))*IF(OR(C445&gt;ÉV!$I$2,AND(C445=ÉV!$I$2,D445&gt;ÉV!$J$2)),0,1)</f>
        <v>0</v>
      </c>
      <c r="S445" s="271">
        <f ca="1">(MAX(0,F445-0.003)*0.9*((O445)*(1/12)))*IF(OR(C445&gt;ÉV!$I$2,AND(C445=ÉV!$I$2,D445&gt;ÉV!$J$2)),0,1)</f>
        <v>0</v>
      </c>
      <c r="T445" s="271">
        <f ca="1">(MAX(0,F445-0.003)*0.9*((Q444)*(1/12)))*IF(OR(C445&gt;ÉV!$I$2,AND(C445=ÉV!$I$2,D445&gt;ÉV!$J$2)),0,1)</f>
        <v>0</v>
      </c>
      <c r="U445" s="271">
        <f ca="1">IF($D445=1,R445,R445+U444)*IF(OR(C445&gt;ÉV!$I$2,AND(C445=ÉV!$I$2,D445&gt;ÉV!$J$2)),0,1)</f>
        <v>0</v>
      </c>
      <c r="V445" s="271">
        <f ca="1">IF($D445=1,S445,S445+V444)*IF(OR(C445&gt;ÉV!$I$2,AND(C445=ÉV!$I$2,D445&gt;ÉV!$J$2)),0,1)</f>
        <v>0</v>
      </c>
      <c r="W445" s="271">
        <f ca="1">IF($D445=1,T445,T445+W444)*IF(OR(C445&gt;ÉV!$I$2,AND(C445=ÉV!$I$2,D445&gt;ÉV!$J$2)),0,1)</f>
        <v>0</v>
      </c>
      <c r="X445" s="271">
        <f ca="1">IF(OR(D445=12,AND(C445=ÉV!$I$2,D445=ÉV!$J$2)),SUM(U445:W445)+X444,X444)*IF(OR(C445&gt;ÉV!$I$2,AND(C445=ÉV!$I$2,D445&gt;ÉV!$J$2)),0,1)</f>
        <v>0</v>
      </c>
      <c r="Y445" s="271">
        <f t="shared" ca="1" si="68"/>
        <v>0</v>
      </c>
      <c r="Z445" s="265">
        <f t="shared" si="69"/>
        <v>11</v>
      </c>
      <c r="AA445" s="272">
        <f t="shared" ca="1" si="70"/>
        <v>0</v>
      </c>
      <c r="AB445" s="265">
        <f t="shared" ca="1" si="76"/>
        <v>2054</v>
      </c>
      <c r="AC445" s="265">
        <f t="shared" ca="1" si="77"/>
        <v>2</v>
      </c>
      <c r="AD445" s="276">
        <f ca="1">IF(     OR(               AND(MAX(AF$6:AF445)&lt;2,  AC445=12),                 AF445=2),                   SUMIF(AB:AB,AB445,AA:AA),                       0)</f>
        <v>0</v>
      </c>
      <c r="AE445" s="277">
        <f t="shared" ca="1" si="78"/>
        <v>0</v>
      </c>
      <c r="AF445" s="277">
        <f t="shared" ca="1" si="71"/>
        <v>0</v>
      </c>
      <c r="AG445" s="402">
        <f ca="1">IF(  AND(AC445=AdóHó,   MAX(AF$1:AF444)&lt;2),   SUMIF(AB:AB,AB445-1,AE:AE),0  )
+ IF(AND(AC445&lt;AdóHó,                            AF445=2),   SUMIF(AB:AB,AB445-1,AE:AE),0  )
+ IF(                                                                  AF445=2,    SUMIF(AB:AB,AB445,AE:AE   ),0  )</f>
        <v>0</v>
      </c>
      <c r="AH445" s="272">
        <f ca="1">SUM(AG$2:AG445)</f>
        <v>1139324.2410681627</v>
      </c>
    </row>
    <row r="446" spans="1:34">
      <c r="A446" s="265">
        <f t="shared" si="79"/>
        <v>37</v>
      </c>
      <c r="B446" s="265">
        <f t="shared" si="80"/>
        <v>12</v>
      </c>
      <c r="C446" s="265">
        <f t="shared" ca="1" si="74"/>
        <v>38</v>
      </c>
      <c r="D446" s="265">
        <f t="shared" ca="1" si="75"/>
        <v>3</v>
      </c>
      <c r="E446" s="266">
        <v>5.0000000000000001E-3</v>
      </c>
      <c r="F446" s="267">
        <f>ÉV!$B$12</f>
        <v>0</v>
      </c>
      <c r="G446" s="271">
        <f ca="1">VLOOKUP(A446,ÉV!$A$18:$B$65,2,0)</f>
        <v>0</v>
      </c>
      <c r="H446" s="271">
        <f ca="1">IF(OR(A446=1,AND(C446=ÉV!$I$2,D446&gt;ÉV!$J$2),C446&gt;ÉV!$I$2),0,INDEX(Pz!$B$2:$AM$48,A446-1,ÉV!$G$2-9)/100000*ÉV!$B$10)</f>
        <v>0</v>
      </c>
      <c r="I446" s="271">
        <f ca="1">INDEX(Pz!$B$2:$AM$48,HÓ!A446,ÉV!$G$2-9)/100000*ÉV!$B$10</f>
        <v>0</v>
      </c>
      <c r="J446" s="273">
        <f ca="1">IF(OR(A446=1,A446=2,AND(C446=ÉV!$I$2,D446&gt;ÉV!$J$2),C446&gt;ÉV!$I$2),0,VLOOKUP(A446-2,ÉV!$A$18:$C$65,3,0))</f>
        <v>0</v>
      </c>
      <c r="K446" s="273">
        <f ca="1">IF(OR(A446=1,AND(C446=ÉV!$I$2,D446&gt;ÉV!$J$2),C446&gt;ÉV!$I$2),0,VLOOKUP(A446-1,ÉV!$A$18:$C$65,3,0))</f>
        <v>0</v>
      </c>
      <c r="L446" s="273">
        <f ca="1">VLOOKUP(A446,ÉV!$A$18:$C$65,3,0)*IF(OR(AND(C446=ÉV!$I$2,D446&gt;ÉV!$J$2),C446&gt;ÉV!$I$2),0,1)</f>
        <v>0</v>
      </c>
      <c r="M446" s="273">
        <f ca="1">(K446*(12-B446)/12+L446*B446/12)*IF(A446&gt;ÉV!$G$2,0,1)+IF(A446&gt;ÉV!$G$2,M445,0)*IF(OR(AND(C446=ÉV!$I$2,D446&gt;ÉV!$J$2),C446&gt;ÉV!$I$2),0,1)</f>
        <v>0</v>
      </c>
      <c r="N446" s="274">
        <f ca="1">IF(AND(C446=1,D446&lt;12),0,1)*IF(D446=12,MAX(0,F446-E446-0.003)*0.9*((K446+I446)*(B446/12)+(J446+H446)*(1-B446/12))+MAX(0,F446-0.003)*0.9*N445+N445,IF(AND(C446=ÉV!$I$2,D446=ÉV!$J$2),(M446+N445)*MAX(0,F446-0.003)*0.9*(D446/12)+N445,N445))*IF(OR(C446&gt;ÉV!$I$2,AND(C446=ÉV!$I$2,D446&gt;ÉV!$J$2)),0,1)</f>
        <v>0</v>
      </c>
      <c r="O446" s="313">
        <f ca="1">IF(MAX(AF$2:AF445)=2,      0,IF(OR(AC446=7, AF446=2),    SUM(AE$2:AE446),    O445)   )</f>
        <v>0</v>
      </c>
      <c r="P446" s="271">
        <f ca="1">IF(D446=12,V446+P445+P445*(F446-0.003)*0.9,IF(AND(C446=ÉV!$I$2,D446=ÉV!$J$2),V446+P445+P445*(F446-0.003)*0.9*D446/12,P445))*IF(OR(C446&gt;ÉV!$I$2,AND(C446=ÉV!$I$2,D446&gt;ÉV!$J$2)),0,1)</f>
        <v>0</v>
      </c>
      <c r="Q446" s="275">
        <f ca="1">(N446+P446)*IF(OR(AND(C446=ÉV!$I$2,D446&gt;ÉV!$J$2),C446&gt;ÉV!$I$2),0,1)</f>
        <v>0</v>
      </c>
      <c r="R446" s="271">
        <f ca="1">(MAX(0,F446-E446-0.003)*0.9*((K446+I446)*(1/12)))*IF(OR(C446&gt;ÉV!$I$2,AND(C446=ÉV!$I$2,D446&gt;ÉV!$J$2)),0,1)</f>
        <v>0</v>
      </c>
      <c r="S446" s="271">
        <f ca="1">(MAX(0,F446-0.003)*0.9*((O446)*(1/12)))*IF(OR(C446&gt;ÉV!$I$2,AND(C446=ÉV!$I$2,D446&gt;ÉV!$J$2)),0,1)</f>
        <v>0</v>
      </c>
      <c r="T446" s="271">
        <f ca="1">(MAX(0,F446-0.003)*0.9*((Q445)*(1/12)))*IF(OR(C446&gt;ÉV!$I$2,AND(C446=ÉV!$I$2,D446&gt;ÉV!$J$2)),0,1)</f>
        <v>0</v>
      </c>
      <c r="U446" s="271">
        <f ca="1">IF($D446=1,R446,R446+U445)*IF(OR(C446&gt;ÉV!$I$2,AND(C446=ÉV!$I$2,D446&gt;ÉV!$J$2)),0,1)</f>
        <v>0</v>
      </c>
      <c r="V446" s="271">
        <f ca="1">IF($D446=1,S446,S446+V445)*IF(OR(C446&gt;ÉV!$I$2,AND(C446=ÉV!$I$2,D446&gt;ÉV!$J$2)),0,1)</f>
        <v>0</v>
      </c>
      <c r="W446" s="271">
        <f ca="1">IF($D446=1,T446,T446+W445)*IF(OR(C446&gt;ÉV!$I$2,AND(C446=ÉV!$I$2,D446&gt;ÉV!$J$2)),0,1)</f>
        <v>0</v>
      </c>
      <c r="X446" s="271">
        <f ca="1">IF(OR(D446=12,AND(C446=ÉV!$I$2,D446=ÉV!$J$2)),SUM(U446:W446)+X445,X445)*IF(OR(C446&gt;ÉV!$I$2,AND(C446=ÉV!$I$2,D446&gt;ÉV!$J$2)),0,1)</f>
        <v>0</v>
      </c>
      <c r="Y446" s="271">
        <f t="shared" ca="1" si="68"/>
        <v>0</v>
      </c>
      <c r="Z446" s="265">
        <f t="shared" si="69"/>
        <v>12</v>
      </c>
      <c r="AA446" s="272">
        <f t="shared" ca="1" si="70"/>
        <v>0</v>
      </c>
      <c r="AB446" s="265">
        <f t="shared" ca="1" si="76"/>
        <v>2054</v>
      </c>
      <c r="AC446" s="265">
        <f t="shared" ca="1" si="77"/>
        <v>3</v>
      </c>
      <c r="AD446" s="276">
        <f ca="1">IF(     OR(               AND(MAX(AF$6:AF446)&lt;2,  AC446=12),                 AF446=2),                   SUMIF(AB:AB,AB446,AA:AA),                       0)</f>
        <v>0</v>
      </c>
      <c r="AE446" s="277">
        <f t="shared" ca="1" si="78"/>
        <v>0</v>
      </c>
      <c r="AF446" s="277">
        <f t="shared" ca="1" si="71"/>
        <v>0</v>
      </c>
      <c r="AG446" s="402">
        <f ca="1">IF(  AND(AC446=AdóHó,   MAX(AF$1:AF445)&lt;2),   SUMIF(AB:AB,AB446-1,AE:AE),0  )
+ IF(AND(AC446&lt;AdóHó,                            AF446=2),   SUMIF(AB:AB,AB446-1,AE:AE),0  )
+ IF(                                                                  AF446=2,    SUMIF(AB:AB,AB446,AE:AE   ),0  )</f>
        <v>0</v>
      </c>
      <c r="AH446" s="272">
        <f ca="1">SUM(AG$2:AG446)</f>
        <v>1139324.2410681627</v>
      </c>
    </row>
    <row r="447" spans="1:34">
      <c r="A447" s="265">
        <f t="shared" si="79"/>
        <v>38</v>
      </c>
      <c r="B447" s="265">
        <f t="shared" si="80"/>
        <v>1</v>
      </c>
      <c r="C447" s="265">
        <f t="shared" ca="1" si="74"/>
        <v>38</v>
      </c>
      <c r="D447" s="265">
        <f t="shared" ca="1" si="75"/>
        <v>4</v>
      </c>
      <c r="E447" s="266">
        <v>5.0000000000000001E-3</v>
      </c>
      <c r="F447" s="267">
        <f>ÉV!$B$12</f>
        <v>0</v>
      </c>
      <c r="G447" s="271">
        <f ca="1">VLOOKUP(A447,ÉV!$A$18:$B$65,2,0)</f>
        <v>0</v>
      </c>
      <c r="H447" s="271">
        <f ca="1">IF(OR(A447=1,AND(C447=ÉV!$I$2,D447&gt;ÉV!$J$2),C447&gt;ÉV!$I$2),0,INDEX(Pz!$B$2:$AM$48,A447-1,ÉV!$G$2-9)/100000*ÉV!$B$10)</f>
        <v>0</v>
      </c>
      <c r="I447" s="271">
        <f ca="1">INDEX(Pz!$B$2:$AM$48,HÓ!A447,ÉV!$G$2-9)/100000*ÉV!$B$10</f>
        <v>0</v>
      </c>
      <c r="J447" s="273">
        <f ca="1">IF(OR(A447=1,A447=2,AND(C447=ÉV!$I$2,D447&gt;ÉV!$J$2),C447&gt;ÉV!$I$2),0,VLOOKUP(A447-2,ÉV!$A$18:$C$65,3,0))</f>
        <v>0</v>
      </c>
      <c r="K447" s="273">
        <f ca="1">IF(OR(A447=1,AND(C447=ÉV!$I$2,D447&gt;ÉV!$J$2),C447&gt;ÉV!$I$2),0,VLOOKUP(A447-1,ÉV!$A$18:$C$65,3,0))</f>
        <v>0</v>
      </c>
      <c r="L447" s="273">
        <f ca="1">VLOOKUP(A447,ÉV!$A$18:$C$65,3,0)*IF(OR(AND(C447=ÉV!$I$2,D447&gt;ÉV!$J$2),C447&gt;ÉV!$I$2),0,1)</f>
        <v>0</v>
      </c>
      <c r="M447" s="273">
        <f ca="1">(K447*(12-B447)/12+L447*B447/12)*IF(A447&gt;ÉV!$G$2,0,1)+IF(A447&gt;ÉV!$G$2,M446,0)*IF(OR(AND(C447=ÉV!$I$2,D447&gt;ÉV!$J$2),C447&gt;ÉV!$I$2),0,1)</f>
        <v>0</v>
      </c>
      <c r="N447" s="274">
        <f ca="1">IF(AND(C447=1,D447&lt;12),0,1)*IF(D447=12,MAX(0,F447-E447-0.003)*0.9*((K447+I447)*(B447/12)+(J447+H447)*(1-B447/12))+MAX(0,F447-0.003)*0.9*N446+N446,IF(AND(C447=ÉV!$I$2,D447=ÉV!$J$2),(M447+N446)*MAX(0,F447-0.003)*0.9*(D447/12)+N446,N446))*IF(OR(C447&gt;ÉV!$I$2,AND(C447=ÉV!$I$2,D447&gt;ÉV!$J$2)),0,1)</f>
        <v>0</v>
      </c>
      <c r="O447" s="313">
        <f ca="1">IF(MAX(AF$2:AF446)=2,      0,IF(OR(AC447=7, AF447=2),    SUM(AE$2:AE447),    O446)   )</f>
        <v>0</v>
      </c>
      <c r="P447" s="271">
        <f ca="1">IF(D447=12,V447+P446+P446*(F447-0.003)*0.9,IF(AND(C447=ÉV!$I$2,D447=ÉV!$J$2),V447+P446+P446*(F447-0.003)*0.9*D447/12,P446))*IF(OR(C447&gt;ÉV!$I$2,AND(C447=ÉV!$I$2,D447&gt;ÉV!$J$2)),0,1)</f>
        <v>0</v>
      </c>
      <c r="Q447" s="275">
        <f ca="1">(N447+P447)*IF(OR(AND(C447=ÉV!$I$2,D447&gt;ÉV!$J$2),C447&gt;ÉV!$I$2),0,1)</f>
        <v>0</v>
      </c>
      <c r="R447" s="271">
        <f ca="1">(MAX(0,F447-E447-0.003)*0.9*((K447+I447)*(1/12)))*IF(OR(C447&gt;ÉV!$I$2,AND(C447=ÉV!$I$2,D447&gt;ÉV!$J$2)),0,1)</f>
        <v>0</v>
      </c>
      <c r="S447" s="271">
        <f ca="1">(MAX(0,F447-0.003)*0.9*((O447)*(1/12)))*IF(OR(C447&gt;ÉV!$I$2,AND(C447=ÉV!$I$2,D447&gt;ÉV!$J$2)),0,1)</f>
        <v>0</v>
      </c>
      <c r="T447" s="271">
        <f ca="1">(MAX(0,F447-0.003)*0.9*((Q446)*(1/12)))*IF(OR(C447&gt;ÉV!$I$2,AND(C447=ÉV!$I$2,D447&gt;ÉV!$J$2)),0,1)</f>
        <v>0</v>
      </c>
      <c r="U447" s="271">
        <f ca="1">IF($D447=1,R447,R447+U446)*IF(OR(C447&gt;ÉV!$I$2,AND(C447=ÉV!$I$2,D447&gt;ÉV!$J$2)),0,1)</f>
        <v>0</v>
      </c>
      <c r="V447" s="271">
        <f ca="1">IF($D447=1,S447,S447+V446)*IF(OR(C447&gt;ÉV!$I$2,AND(C447=ÉV!$I$2,D447&gt;ÉV!$J$2)),0,1)</f>
        <v>0</v>
      </c>
      <c r="W447" s="271">
        <f ca="1">IF($D447=1,T447,T447+W446)*IF(OR(C447&gt;ÉV!$I$2,AND(C447=ÉV!$I$2,D447&gt;ÉV!$J$2)),0,1)</f>
        <v>0</v>
      </c>
      <c r="X447" s="271">
        <f ca="1">IF(OR(D447=12,AND(C447=ÉV!$I$2,D447=ÉV!$J$2)),SUM(U447:W447)+X446,X446)*IF(OR(C447&gt;ÉV!$I$2,AND(C447=ÉV!$I$2,D447&gt;ÉV!$J$2)),0,1)</f>
        <v>0</v>
      </c>
      <c r="Y447" s="271">
        <f t="shared" ca="1" si="68"/>
        <v>0</v>
      </c>
      <c r="Z447" s="265">
        <f t="shared" si="69"/>
        <v>1</v>
      </c>
      <c r="AA447" s="272">
        <f t="shared" ca="1" si="70"/>
        <v>0</v>
      </c>
      <c r="AB447" s="265">
        <f t="shared" ca="1" si="76"/>
        <v>2054</v>
      </c>
      <c r="AC447" s="265">
        <f t="shared" ca="1" si="77"/>
        <v>4</v>
      </c>
      <c r="AD447" s="276">
        <f ca="1">IF(     OR(               AND(MAX(AF$6:AF447)&lt;2,  AC447=12),                 AF447=2),                   SUMIF(AB:AB,AB447,AA:AA),                       0)</f>
        <v>0</v>
      </c>
      <c r="AE447" s="277">
        <f t="shared" ca="1" si="78"/>
        <v>0</v>
      </c>
      <c r="AF447" s="277">
        <f t="shared" ca="1" si="71"/>
        <v>0</v>
      </c>
      <c r="AG447" s="402">
        <f ca="1">IF(  AND(AC447=AdóHó,   MAX(AF$1:AF446)&lt;2),   SUMIF(AB:AB,AB447-1,AE:AE),0  )
+ IF(AND(AC447&lt;AdóHó,                            AF447=2),   SUMIF(AB:AB,AB447-1,AE:AE),0  )
+ IF(                                                                  AF447=2,    SUMIF(AB:AB,AB447,AE:AE   ),0  )</f>
        <v>0</v>
      </c>
      <c r="AH447" s="272">
        <f ca="1">SUM(AG$2:AG447)</f>
        <v>1139324.2410681627</v>
      </c>
    </row>
    <row r="448" spans="1:34">
      <c r="A448" s="265">
        <f t="shared" si="79"/>
        <v>38</v>
      </c>
      <c r="B448" s="265">
        <f t="shared" si="80"/>
        <v>2</v>
      </c>
      <c r="C448" s="265">
        <f t="shared" ca="1" si="74"/>
        <v>38</v>
      </c>
      <c r="D448" s="265">
        <f t="shared" ca="1" si="75"/>
        <v>5</v>
      </c>
      <c r="E448" s="266">
        <v>5.0000000000000001E-3</v>
      </c>
      <c r="F448" s="267">
        <f>ÉV!$B$12</f>
        <v>0</v>
      </c>
      <c r="G448" s="271">
        <f ca="1">VLOOKUP(A448,ÉV!$A$18:$B$65,2,0)</f>
        <v>0</v>
      </c>
      <c r="H448" s="271">
        <f ca="1">IF(OR(A448=1,AND(C448=ÉV!$I$2,D448&gt;ÉV!$J$2),C448&gt;ÉV!$I$2),0,INDEX(Pz!$B$2:$AM$48,A448-1,ÉV!$G$2-9)/100000*ÉV!$B$10)</f>
        <v>0</v>
      </c>
      <c r="I448" s="271">
        <f ca="1">INDEX(Pz!$B$2:$AM$48,HÓ!A448,ÉV!$G$2-9)/100000*ÉV!$B$10</f>
        <v>0</v>
      </c>
      <c r="J448" s="273">
        <f ca="1">IF(OR(A448=1,A448=2,AND(C448=ÉV!$I$2,D448&gt;ÉV!$J$2),C448&gt;ÉV!$I$2),0,VLOOKUP(A448-2,ÉV!$A$18:$C$65,3,0))</f>
        <v>0</v>
      </c>
      <c r="K448" s="273">
        <f ca="1">IF(OR(A448=1,AND(C448=ÉV!$I$2,D448&gt;ÉV!$J$2),C448&gt;ÉV!$I$2),0,VLOOKUP(A448-1,ÉV!$A$18:$C$65,3,0))</f>
        <v>0</v>
      </c>
      <c r="L448" s="273">
        <f ca="1">VLOOKUP(A448,ÉV!$A$18:$C$65,3,0)*IF(OR(AND(C448=ÉV!$I$2,D448&gt;ÉV!$J$2),C448&gt;ÉV!$I$2),0,1)</f>
        <v>0</v>
      </c>
      <c r="M448" s="273">
        <f ca="1">(K448*(12-B448)/12+L448*B448/12)*IF(A448&gt;ÉV!$G$2,0,1)+IF(A448&gt;ÉV!$G$2,M447,0)*IF(OR(AND(C448=ÉV!$I$2,D448&gt;ÉV!$J$2),C448&gt;ÉV!$I$2),0,1)</f>
        <v>0</v>
      </c>
      <c r="N448" s="274">
        <f ca="1">IF(AND(C448=1,D448&lt;12),0,1)*IF(D448=12,MAX(0,F448-E448-0.003)*0.9*((K448+I448)*(B448/12)+(J448+H448)*(1-B448/12))+MAX(0,F448-0.003)*0.9*N447+N447,IF(AND(C448=ÉV!$I$2,D448=ÉV!$J$2),(M448+N447)*MAX(0,F448-0.003)*0.9*(D448/12)+N447,N447))*IF(OR(C448&gt;ÉV!$I$2,AND(C448=ÉV!$I$2,D448&gt;ÉV!$J$2)),0,1)</f>
        <v>0</v>
      </c>
      <c r="O448" s="313">
        <f ca="1">IF(MAX(AF$2:AF447)=2,      0,IF(OR(AC448=7, AF448=2),    SUM(AE$2:AE448),    O447)   )</f>
        <v>0</v>
      </c>
      <c r="P448" s="271">
        <f ca="1">IF(D448=12,V448+P447+P447*(F448-0.003)*0.9,IF(AND(C448=ÉV!$I$2,D448=ÉV!$J$2),V448+P447+P447*(F448-0.003)*0.9*D448/12,P447))*IF(OR(C448&gt;ÉV!$I$2,AND(C448=ÉV!$I$2,D448&gt;ÉV!$J$2)),0,1)</f>
        <v>0</v>
      </c>
      <c r="Q448" s="275">
        <f ca="1">(N448+P448)*IF(OR(AND(C448=ÉV!$I$2,D448&gt;ÉV!$J$2),C448&gt;ÉV!$I$2),0,1)</f>
        <v>0</v>
      </c>
      <c r="R448" s="271">
        <f ca="1">(MAX(0,F448-E448-0.003)*0.9*((K448+I448)*(1/12)))*IF(OR(C448&gt;ÉV!$I$2,AND(C448=ÉV!$I$2,D448&gt;ÉV!$J$2)),0,1)</f>
        <v>0</v>
      </c>
      <c r="S448" s="271">
        <f ca="1">(MAX(0,F448-0.003)*0.9*((O448)*(1/12)))*IF(OR(C448&gt;ÉV!$I$2,AND(C448=ÉV!$I$2,D448&gt;ÉV!$J$2)),0,1)</f>
        <v>0</v>
      </c>
      <c r="T448" s="271">
        <f ca="1">(MAX(0,F448-0.003)*0.9*((Q447)*(1/12)))*IF(OR(C448&gt;ÉV!$I$2,AND(C448=ÉV!$I$2,D448&gt;ÉV!$J$2)),0,1)</f>
        <v>0</v>
      </c>
      <c r="U448" s="271">
        <f ca="1">IF($D448=1,R448,R448+U447)*IF(OR(C448&gt;ÉV!$I$2,AND(C448=ÉV!$I$2,D448&gt;ÉV!$J$2)),0,1)</f>
        <v>0</v>
      </c>
      <c r="V448" s="271">
        <f ca="1">IF($D448=1,S448,S448+V447)*IF(OR(C448&gt;ÉV!$I$2,AND(C448=ÉV!$I$2,D448&gt;ÉV!$J$2)),0,1)</f>
        <v>0</v>
      </c>
      <c r="W448" s="271">
        <f ca="1">IF($D448=1,T448,T448+W447)*IF(OR(C448&gt;ÉV!$I$2,AND(C448=ÉV!$I$2,D448&gt;ÉV!$J$2)),0,1)</f>
        <v>0</v>
      </c>
      <c r="X448" s="271">
        <f ca="1">IF(OR(D448=12,AND(C448=ÉV!$I$2,D448=ÉV!$J$2)),SUM(U448:W448)+X447,X447)*IF(OR(C448&gt;ÉV!$I$2,AND(C448=ÉV!$I$2,D448&gt;ÉV!$J$2)),0,1)</f>
        <v>0</v>
      </c>
      <c r="Y448" s="271">
        <f t="shared" ca="1" si="68"/>
        <v>0</v>
      </c>
      <c r="Z448" s="265">
        <f t="shared" si="69"/>
        <v>2</v>
      </c>
      <c r="AA448" s="272">
        <f t="shared" ca="1" si="70"/>
        <v>0</v>
      </c>
      <c r="AB448" s="265">
        <f t="shared" ca="1" si="76"/>
        <v>2054</v>
      </c>
      <c r="AC448" s="265">
        <f t="shared" ca="1" si="77"/>
        <v>5</v>
      </c>
      <c r="AD448" s="276">
        <f ca="1">IF(     OR(               AND(MAX(AF$6:AF448)&lt;2,  AC448=12),                 AF448=2),                   SUMIF(AB:AB,AB448,AA:AA),                       0)</f>
        <v>0</v>
      </c>
      <c r="AE448" s="277">
        <f t="shared" ca="1" si="78"/>
        <v>0</v>
      </c>
      <c r="AF448" s="277">
        <f t="shared" ca="1" si="71"/>
        <v>0</v>
      </c>
      <c r="AG448" s="402">
        <f ca="1">IF(  AND(AC448=AdóHó,   MAX(AF$1:AF447)&lt;2),   SUMIF(AB:AB,AB448-1,AE:AE),0  )
+ IF(AND(AC448&lt;AdóHó,                            AF448=2),   SUMIF(AB:AB,AB448-1,AE:AE),0  )
+ IF(                                                                  AF448=2,    SUMIF(AB:AB,AB448,AE:AE   ),0  )</f>
        <v>0</v>
      </c>
      <c r="AH448" s="272">
        <f ca="1">SUM(AG$2:AG448)</f>
        <v>1139324.2410681627</v>
      </c>
    </row>
    <row r="449" spans="1:34">
      <c r="A449" s="265">
        <f t="shared" si="79"/>
        <v>38</v>
      </c>
      <c r="B449" s="265">
        <f t="shared" si="80"/>
        <v>3</v>
      </c>
      <c r="C449" s="265">
        <f t="shared" ca="1" si="74"/>
        <v>38</v>
      </c>
      <c r="D449" s="265">
        <f t="shared" ca="1" si="75"/>
        <v>6</v>
      </c>
      <c r="E449" s="266">
        <v>5.0000000000000001E-3</v>
      </c>
      <c r="F449" s="267">
        <f>ÉV!$B$12</f>
        <v>0</v>
      </c>
      <c r="G449" s="271">
        <f ca="1">VLOOKUP(A449,ÉV!$A$18:$B$65,2,0)</f>
        <v>0</v>
      </c>
      <c r="H449" s="271">
        <f ca="1">IF(OR(A449=1,AND(C449=ÉV!$I$2,D449&gt;ÉV!$J$2),C449&gt;ÉV!$I$2),0,INDEX(Pz!$B$2:$AM$48,A449-1,ÉV!$G$2-9)/100000*ÉV!$B$10)</f>
        <v>0</v>
      </c>
      <c r="I449" s="271">
        <f ca="1">INDEX(Pz!$B$2:$AM$48,HÓ!A449,ÉV!$G$2-9)/100000*ÉV!$B$10</f>
        <v>0</v>
      </c>
      <c r="J449" s="273">
        <f ca="1">IF(OR(A449=1,A449=2,AND(C449=ÉV!$I$2,D449&gt;ÉV!$J$2),C449&gt;ÉV!$I$2),0,VLOOKUP(A449-2,ÉV!$A$18:$C$65,3,0))</f>
        <v>0</v>
      </c>
      <c r="K449" s="273">
        <f ca="1">IF(OR(A449=1,AND(C449=ÉV!$I$2,D449&gt;ÉV!$J$2),C449&gt;ÉV!$I$2),0,VLOOKUP(A449-1,ÉV!$A$18:$C$65,3,0))</f>
        <v>0</v>
      </c>
      <c r="L449" s="273">
        <f ca="1">VLOOKUP(A449,ÉV!$A$18:$C$65,3,0)*IF(OR(AND(C449=ÉV!$I$2,D449&gt;ÉV!$J$2),C449&gt;ÉV!$I$2),0,1)</f>
        <v>0</v>
      </c>
      <c r="M449" s="273">
        <f ca="1">(K449*(12-B449)/12+L449*B449/12)*IF(A449&gt;ÉV!$G$2,0,1)+IF(A449&gt;ÉV!$G$2,M448,0)*IF(OR(AND(C449=ÉV!$I$2,D449&gt;ÉV!$J$2),C449&gt;ÉV!$I$2),0,1)</f>
        <v>0</v>
      </c>
      <c r="N449" s="274">
        <f ca="1">IF(AND(C449=1,D449&lt;12),0,1)*IF(D449=12,MAX(0,F449-E449-0.003)*0.9*((K449+I449)*(B449/12)+(J449+H449)*(1-B449/12))+MAX(0,F449-0.003)*0.9*N448+N448,IF(AND(C449=ÉV!$I$2,D449=ÉV!$J$2),(M449+N448)*MAX(0,F449-0.003)*0.9*(D449/12)+N448,N448))*IF(OR(C449&gt;ÉV!$I$2,AND(C449=ÉV!$I$2,D449&gt;ÉV!$J$2)),0,1)</f>
        <v>0</v>
      </c>
      <c r="O449" s="313">
        <f ca="1">IF(MAX(AF$2:AF448)=2,      0,IF(OR(AC449=7, AF449=2),    SUM(AE$2:AE449),    O448)   )</f>
        <v>0</v>
      </c>
      <c r="P449" s="271">
        <f ca="1">IF(D449=12,V449+P448+P448*(F449-0.003)*0.9,IF(AND(C449=ÉV!$I$2,D449=ÉV!$J$2),V449+P448+P448*(F449-0.003)*0.9*D449/12,P448))*IF(OR(C449&gt;ÉV!$I$2,AND(C449=ÉV!$I$2,D449&gt;ÉV!$J$2)),0,1)</f>
        <v>0</v>
      </c>
      <c r="Q449" s="275">
        <f ca="1">(N449+P449)*IF(OR(AND(C449=ÉV!$I$2,D449&gt;ÉV!$J$2),C449&gt;ÉV!$I$2),0,1)</f>
        <v>0</v>
      </c>
      <c r="R449" s="271">
        <f ca="1">(MAX(0,F449-E449-0.003)*0.9*((K449+I449)*(1/12)))*IF(OR(C449&gt;ÉV!$I$2,AND(C449=ÉV!$I$2,D449&gt;ÉV!$J$2)),0,1)</f>
        <v>0</v>
      </c>
      <c r="S449" s="271">
        <f ca="1">(MAX(0,F449-0.003)*0.9*((O449)*(1/12)))*IF(OR(C449&gt;ÉV!$I$2,AND(C449=ÉV!$I$2,D449&gt;ÉV!$J$2)),0,1)</f>
        <v>0</v>
      </c>
      <c r="T449" s="271">
        <f ca="1">(MAX(0,F449-0.003)*0.9*((Q448)*(1/12)))*IF(OR(C449&gt;ÉV!$I$2,AND(C449=ÉV!$I$2,D449&gt;ÉV!$J$2)),0,1)</f>
        <v>0</v>
      </c>
      <c r="U449" s="271">
        <f ca="1">IF($D449=1,R449,R449+U448)*IF(OR(C449&gt;ÉV!$I$2,AND(C449=ÉV!$I$2,D449&gt;ÉV!$J$2)),0,1)</f>
        <v>0</v>
      </c>
      <c r="V449" s="271">
        <f ca="1">IF($D449=1,S449,S449+V448)*IF(OR(C449&gt;ÉV!$I$2,AND(C449=ÉV!$I$2,D449&gt;ÉV!$J$2)),0,1)</f>
        <v>0</v>
      </c>
      <c r="W449" s="271">
        <f ca="1">IF($D449=1,T449,T449+W448)*IF(OR(C449&gt;ÉV!$I$2,AND(C449=ÉV!$I$2,D449&gt;ÉV!$J$2)),0,1)</f>
        <v>0</v>
      </c>
      <c r="X449" s="271">
        <f ca="1">IF(OR(D449=12,AND(C449=ÉV!$I$2,D449=ÉV!$J$2)),SUM(U449:W449)+X448,X448)*IF(OR(C449&gt;ÉV!$I$2,AND(C449=ÉV!$I$2,D449&gt;ÉV!$J$2)),0,1)</f>
        <v>0</v>
      </c>
      <c r="Y449" s="271">
        <f t="shared" ca="1" si="68"/>
        <v>0</v>
      </c>
      <c r="Z449" s="265">
        <f t="shared" si="69"/>
        <v>3</v>
      </c>
      <c r="AA449" s="272">
        <f t="shared" ca="1" si="70"/>
        <v>0</v>
      </c>
      <c r="AB449" s="265">
        <f t="shared" ca="1" si="76"/>
        <v>2054</v>
      </c>
      <c r="AC449" s="265">
        <f t="shared" ca="1" si="77"/>
        <v>6</v>
      </c>
      <c r="AD449" s="276">
        <f ca="1">IF(     OR(               AND(MAX(AF$6:AF449)&lt;2,  AC449=12),                 AF449=2),                   SUMIF(AB:AB,AB449,AA:AA),                       0)</f>
        <v>0</v>
      </c>
      <c r="AE449" s="277">
        <f t="shared" ca="1" si="78"/>
        <v>0</v>
      </c>
      <c r="AF449" s="277">
        <f t="shared" ca="1" si="71"/>
        <v>0</v>
      </c>
      <c r="AG449" s="402">
        <f ca="1">IF(  AND(AC449=AdóHó,   MAX(AF$1:AF448)&lt;2),   SUMIF(AB:AB,AB449-1,AE:AE),0  )
+ IF(AND(AC449&lt;AdóHó,                            AF449=2),   SUMIF(AB:AB,AB449-1,AE:AE),0  )
+ IF(                                                                  AF449=2,    SUMIF(AB:AB,AB449,AE:AE   ),0  )</f>
        <v>0</v>
      </c>
      <c r="AH449" s="272">
        <f ca="1">SUM(AG$2:AG449)</f>
        <v>1139324.2410681627</v>
      </c>
    </row>
    <row r="450" spans="1:34">
      <c r="A450" s="265">
        <f t="shared" si="79"/>
        <v>38</v>
      </c>
      <c r="B450" s="265">
        <f t="shared" si="80"/>
        <v>4</v>
      </c>
      <c r="C450" s="265">
        <f t="shared" ca="1" si="74"/>
        <v>38</v>
      </c>
      <c r="D450" s="265">
        <f t="shared" ca="1" si="75"/>
        <v>7</v>
      </c>
      <c r="E450" s="266">
        <v>5.0000000000000001E-3</v>
      </c>
      <c r="F450" s="267">
        <f>ÉV!$B$12</f>
        <v>0</v>
      </c>
      <c r="G450" s="271">
        <f ca="1">VLOOKUP(A450,ÉV!$A$18:$B$65,2,0)</f>
        <v>0</v>
      </c>
      <c r="H450" s="271">
        <f ca="1">IF(OR(A450=1,AND(C450=ÉV!$I$2,D450&gt;ÉV!$J$2),C450&gt;ÉV!$I$2),0,INDEX(Pz!$B$2:$AM$48,A450-1,ÉV!$G$2-9)/100000*ÉV!$B$10)</f>
        <v>0</v>
      </c>
      <c r="I450" s="271">
        <f ca="1">INDEX(Pz!$B$2:$AM$48,HÓ!A450,ÉV!$G$2-9)/100000*ÉV!$B$10</f>
        <v>0</v>
      </c>
      <c r="J450" s="273">
        <f ca="1">IF(OR(A450=1,A450=2,AND(C450=ÉV!$I$2,D450&gt;ÉV!$J$2),C450&gt;ÉV!$I$2),0,VLOOKUP(A450-2,ÉV!$A$18:$C$65,3,0))</f>
        <v>0</v>
      </c>
      <c r="K450" s="273">
        <f ca="1">IF(OR(A450=1,AND(C450=ÉV!$I$2,D450&gt;ÉV!$J$2),C450&gt;ÉV!$I$2),0,VLOOKUP(A450-1,ÉV!$A$18:$C$65,3,0))</f>
        <v>0</v>
      </c>
      <c r="L450" s="273">
        <f ca="1">VLOOKUP(A450,ÉV!$A$18:$C$65,3,0)*IF(OR(AND(C450=ÉV!$I$2,D450&gt;ÉV!$J$2),C450&gt;ÉV!$I$2),0,1)</f>
        <v>0</v>
      </c>
      <c r="M450" s="273">
        <f ca="1">(K450*(12-B450)/12+L450*B450/12)*IF(A450&gt;ÉV!$G$2,0,1)+IF(A450&gt;ÉV!$G$2,M449,0)*IF(OR(AND(C450=ÉV!$I$2,D450&gt;ÉV!$J$2),C450&gt;ÉV!$I$2),0,1)</f>
        <v>0</v>
      </c>
      <c r="N450" s="274">
        <f ca="1">IF(AND(C450=1,D450&lt;12),0,1)*IF(D450=12,MAX(0,F450-E450-0.003)*0.9*((K450+I450)*(B450/12)+(J450+H450)*(1-B450/12))+MAX(0,F450-0.003)*0.9*N449+N449,IF(AND(C450=ÉV!$I$2,D450=ÉV!$J$2),(M450+N449)*MAX(0,F450-0.003)*0.9*(D450/12)+N449,N449))*IF(OR(C450&gt;ÉV!$I$2,AND(C450=ÉV!$I$2,D450&gt;ÉV!$J$2)),0,1)</f>
        <v>0</v>
      </c>
      <c r="O450" s="313">
        <f ca="1">IF(MAX(AF$2:AF449)=2,      0,IF(OR(AC450=7, AF450=2),    SUM(AE$2:AE450),    O449)   )</f>
        <v>0</v>
      </c>
      <c r="P450" s="271">
        <f ca="1">IF(D450=12,V450+P449+P449*(F450-0.003)*0.9,IF(AND(C450=ÉV!$I$2,D450=ÉV!$J$2),V450+P449+P449*(F450-0.003)*0.9*D450/12,P449))*IF(OR(C450&gt;ÉV!$I$2,AND(C450=ÉV!$I$2,D450&gt;ÉV!$J$2)),0,1)</f>
        <v>0</v>
      </c>
      <c r="Q450" s="275">
        <f ca="1">(N450+P450)*IF(OR(AND(C450=ÉV!$I$2,D450&gt;ÉV!$J$2),C450&gt;ÉV!$I$2),0,1)</f>
        <v>0</v>
      </c>
      <c r="R450" s="271">
        <f ca="1">(MAX(0,F450-E450-0.003)*0.9*((K450+I450)*(1/12)))*IF(OR(C450&gt;ÉV!$I$2,AND(C450=ÉV!$I$2,D450&gt;ÉV!$J$2)),0,1)</f>
        <v>0</v>
      </c>
      <c r="S450" s="271">
        <f ca="1">(MAX(0,F450-0.003)*0.9*((O450)*(1/12)))*IF(OR(C450&gt;ÉV!$I$2,AND(C450=ÉV!$I$2,D450&gt;ÉV!$J$2)),0,1)</f>
        <v>0</v>
      </c>
      <c r="T450" s="271">
        <f ca="1">(MAX(0,F450-0.003)*0.9*((Q449)*(1/12)))*IF(OR(C450&gt;ÉV!$I$2,AND(C450=ÉV!$I$2,D450&gt;ÉV!$J$2)),0,1)</f>
        <v>0</v>
      </c>
      <c r="U450" s="271">
        <f ca="1">IF($D450=1,R450,R450+U449)*IF(OR(C450&gt;ÉV!$I$2,AND(C450=ÉV!$I$2,D450&gt;ÉV!$J$2)),0,1)</f>
        <v>0</v>
      </c>
      <c r="V450" s="271">
        <f ca="1">IF($D450=1,S450,S450+V449)*IF(OR(C450&gt;ÉV!$I$2,AND(C450=ÉV!$I$2,D450&gt;ÉV!$J$2)),0,1)</f>
        <v>0</v>
      </c>
      <c r="W450" s="271">
        <f ca="1">IF($D450=1,T450,T450+W449)*IF(OR(C450&gt;ÉV!$I$2,AND(C450=ÉV!$I$2,D450&gt;ÉV!$J$2)),0,1)</f>
        <v>0</v>
      </c>
      <c r="X450" s="271">
        <f ca="1">IF(OR(D450=12,AND(C450=ÉV!$I$2,D450=ÉV!$J$2)),SUM(U450:W450)+X449,X449)*IF(OR(C450&gt;ÉV!$I$2,AND(C450=ÉV!$I$2,D450&gt;ÉV!$J$2)),0,1)</f>
        <v>0</v>
      </c>
      <c r="Y450" s="271">
        <f t="shared" ca="1" si="68"/>
        <v>0</v>
      </c>
      <c r="Z450" s="265">
        <f t="shared" si="69"/>
        <v>4</v>
      </c>
      <c r="AA450" s="272">
        <f t="shared" ca="1" si="70"/>
        <v>0</v>
      </c>
      <c r="AB450" s="265">
        <f t="shared" ca="1" si="76"/>
        <v>2054</v>
      </c>
      <c r="AC450" s="265">
        <f t="shared" ca="1" si="77"/>
        <v>7</v>
      </c>
      <c r="AD450" s="276">
        <f ca="1">IF(     OR(               AND(MAX(AF$6:AF450)&lt;2,  AC450=12),                 AF450=2),                   SUMIF(AB:AB,AB450,AA:AA),                       0)</f>
        <v>0</v>
      </c>
      <c r="AE450" s="277">
        <f t="shared" ca="1" si="78"/>
        <v>0</v>
      </c>
      <c r="AF450" s="277">
        <f t="shared" ca="1" si="71"/>
        <v>0</v>
      </c>
      <c r="AG450" s="402">
        <f ca="1">IF(  AND(AC450=AdóHó,   MAX(AF$1:AF449)&lt;2),   SUMIF(AB:AB,AB450-1,AE:AE),0  )
+ IF(AND(AC450&lt;AdóHó,                            AF450=2),   SUMIF(AB:AB,AB450-1,AE:AE),0  )
+ IF(                                                                  AF450=2,    SUMIF(AB:AB,AB450,AE:AE   ),0  )</f>
        <v>0</v>
      </c>
      <c r="AH450" s="272">
        <f ca="1">SUM(AG$2:AG450)</f>
        <v>1139324.2410681627</v>
      </c>
    </row>
    <row r="451" spans="1:34">
      <c r="A451" s="265">
        <f t="shared" si="79"/>
        <v>38</v>
      </c>
      <c r="B451" s="265">
        <f t="shared" si="80"/>
        <v>5</v>
      </c>
      <c r="C451" s="265">
        <f t="shared" ca="1" si="74"/>
        <v>38</v>
      </c>
      <c r="D451" s="265">
        <f t="shared" ca="1" si="75"/>
        <v>8</v>
      </c>
      <c r="E451" s="266">
        <v>5.0000000000000001E-3</v>
      </c>
      <c r="F451" s="267">
        <f>ÉV!$B$12</f>
        <v>0</v>
      </c>
      <c r="G451" s="271">
        <f ca="1">VLOOKUP(A451,ÉV!$A$18:$B$65,2,0)</f>
        <v>0</v>
      </c>
      <c r="H451" s="271">
        <f ca="1">IF(OR(A451=1,AND(C451=ÉV!$I$2,D451&gt;ÉV!$J$2),C451&gt;ÉV!$I$2),0,INDEX(Pz!$B$2:$AM$48,A451-1,ÉV!$G$2-9)/100000*ÉV!$B$10)</f>
        <v>0</v>
      </c>
      <c r="I451" s="271">
        <f ca="1">INDEX(Pz!$B$2:$AM$48,HÓ!A451,ÉV!$G$2-9)/100000*ÉV!$B$10</f>
        <v>0</v>
      </c>
      <c r="J451" s="273">
        <f ca="1">IF(OR(A451=1,A451=2,AND(C451=ÉV!$I$2,D451&gt;ÉV!$J$2),C451&gt;ÉV!$I$2),0,VLOOKUP(A451-2,ÉV!$A$18:$C$65,3,0))</f>
        <v>0</v>
      </c>
      <c r="K451" s="273">
        <f ca="1">IF(OR(A451=1,AND(C451=ÉV!$I$2,D451&gt;ÉV!$J$2),C451&gt;ÉV!$I$2),0,VLOOKUP(A451-1,ÉV!$A$18:$C$65,3,0))</f>
        <v>0</v>
      </c>
      <c r="L451" s="273">
        <f ca="1">VLOOKUP(A451,ÉV!$A$18:$C$65,3,0)*IF(OR(AND(C451=ÉV!$I$2,D451&gt;ÉV!$J$2),C451&gt;ÉV!$I$2),0,1)</f>
        <v>0</v>
      </c>
      <c r="M451" s="273">
        <f ca="1">(K451*(12-B451)/12+L451*B451/12)*IF(A451&gt;ÉV!$G$2,0,1)+IF(A451&gt;ÉV!$G$2,M450,0)*IF(OR(AND(C451=ÉV!$I$2,D451&gt;ÉV!$J$2),C451&gt;ÉV!$I$2),0,1)</f>
        <v>0</v>
      </c>
      <c r="N451" s="274">
        <f ca="1">IF(AND(C451=1,D451&lt;12),0,1)*IF(D451=12,MAX(0,F451-E451-0.003)*0.9*((K451+I451)*(B451/12)+(J451+H451)*(1-B451/12))+MAX(0,F451-0.003)*0.9*N450+N450,IF(AND(C451=ÉV!$I$2,D451=ÉV!$J$2),(M451+N450)*MAX(0,F451-0.003)*0.9*(D451/12)+N450,N450))*IF(OR(C451&gt;ÉV!$I$2,AND(C451=ÉV!$I$2,D451&gt;ÉV!$J$2)),0,1)</f>
        <v>0</v>
      </c>
      <c r="O451" s="313">
        <f ca="1">IF(MAX(AF$2:AF450)=2,      0,IF(OR(AC451=7, AF451=2),    SUM(AE$2:AE451),    O450)   )</f>
        <v>0</v>
      </c>
      <c r="P451" s="271">
        <f ca="1">IF(D451=12,V451+P450+P450*(F451-0.003)*0.9,IF(AND(C451=ÉV!$I$2,D451=ÉV!$J$2),V451+P450+P450*(F451-0.003)*0.9*D451/12,P450))*IF(OR(C451&gt;ÉV!$I$2,AND(C451=ÉV!$I$2,D451&gt;ÉV!$J$2)),0,1)</f>
        <v>0</v>
      </c>
      <c r="Q451" s="275">
        <f ca="1">(N451+P451)*IF(OR(AND(C451=ÉV!$I$2,D451&gt;ÉV!$J$2),C451&gt;ÉV!$I$2),0,1)</f>
        <v>0</v>
      </c>
      <c r="R451" s="271">
        <f ca="1">(MAX(0,F451-E451-0.003)*0.9*((K451+I451)*(1/12)))*IF(OR(C451&gt;ÉV!$I$2,AND(C451=ÉV!$I$2,D451&gt;ÉV!$J$2)),0,1)</f>
        <v>0</v>
      </c>
      <c r="S451" s="271">
        <f ca="1">(MAX(0,F451-0.003)*0.9*((O451)*(1/12)))*IF(OR(C451&gt;ÉV!$I$2,AND(C451=ÉV!$I$2,D451&gt;ÉV!$J$2)),0,1)</f>
        <v>0</v>
      </c>
      <c r="T451" s="271">
        <f ca="1">(MAX(0,F451-0.003)*0.9*((Q450)*(1/12)))*IF(OR(C451&gt;ÉV!$I$2,AND(C451=ÉV!$I$2,D451&gt;ÉV!$J$2)),0,1)</f>
        <v>0</v>
      </c>
      <c r="U451" s="271">
        <f ca="1">IF($D451=1,R451,R451+U450)*IF(OR(C451&gt;ÉV!$I$2,AND(C451=ÉV!$I$2,D451&gt;ÉV!$J$2)),0,1)</f>
        <v>0</v>
      </c>
      <c r="V451" s="271">
        <f ca="1">IF($D451=1,S451,S451+V450)*IF(OR(C451&gt;ÉV!$I$2,AND(C451=ÉV!$I$2,D451&gt;ÉV!$J$2)),0,1)</f>
        <v>0</v>
      </c>
      <c r="W451" s="271">
        <f ca="1">IF($D451=1,T451,T451+W450)*IF(OR(C451&gt;ÉV!$I$2,AND(C451=ÉV!$I$2,D451&gt;ÉV!$J$2)),0,1)</f>
        <v>0</v>
      </c>
      <c r="X451" s="271">
        <f ca="1">IF(OR(D451=12,AND(C451=ÉV!$I$2,D451=ÉV!$J$2)),SUM(U451:W451)+X450,X450)*IF(OR(C451&gt;ÉV!$I$2,AND(C451=ÉV!$I$2,D451&gt;ÉV!$J$2)),0,1)</f>
        <v>0</v>
      </c>
      <c r="Y451" s="271">
        <f t="shared" ref="Y451:Y514" ca="1" si="81">X451-Q451</f>
        <v>0</v>
      </c>
      <c r="Z451" s="265">
        <f t="shared" ref="Z451:Z514" si="82">B451</f>
        <v>5</v>
      </c>
      <c r="AA451" s="272">
        <f t="shared" ref="AA451:AA514" ca="1" si="83">IF(OR(FizGyakNr=12, MOD(B451,12/FizGyakNr)=1),  1,0)    *      G451/FizGyakNr</f>
        <v>0</v>
      </c>
      <c r="AB451" s="265">
        <f t="shared" ca="1" si="76"/>
        <v>2054</v>
      </c>
      <c r="AC451" s="265">
        <f t="shared" ca="1" si="77"/>
        <v>8</v>
      </c>
      <c r="AD451" s="276">
        <f ca="1">IF(     OR(               AND(MAX(AF$6:AF451)&lt;2,  AC451=12),                 AF451=2),                   SUMIF(AB:AB,AB451,AA:AA),                       0)</f>
        <v>0</v>
      </c>
      <c r="AE451" s="277">
        <f t="shared" ca="1" si="78"/>
        <v>0</v>
      </c>
      <c r="AF451" s="277">
        <f t="shared" ref="AF451:AF514" ca="1" si="84" xml:space="preserve"> IF(DATE(AB451,AC451,1)=DATE(YEAR(LejáratNyug),MONTH(LejáratNyug),1),     2,   IF(AND(A451=TartamDíjfiz,B451=12),     1,   0)  )</f>
        <v>0</v>
      </c>
      <c r="AG451" s="402">
        <f ca="1">IF(  AND(AC451=AdóHó,   MAX(AF$1:AF450)&lt;2),   SUMIF(AB:AB,AB451-1,AE:AE),0  )
+ IF(AND(AC451&lt;AdóHó,                            AF451=2),   SUMIF(AB:AB,AB451-1,AE:AE),0  )
+ IF(                                                                  AF451=2,    SUMIF(AB:AB,AB451,AE:AE   ),0  )</f>
        <v>0</v>
      </c>
      <c r="AH451" s="272">
        <f ca="1">SUM(AG$2:AG451)</f>
        <v>1139324.2410681627</v>
      </c>
    </row>
    <row r="452" spans="1:34">
      <c r="A452" s="265">
        <f t="shared" si="79"/>
        <v>38</v>
      </c>
      <c r="B452" s="265">
        <f t="shared" si="80"/>
        <v>6</v>
      </c>
      <c r="C452" s="265">
        <f t="shared" ca="1" si="74"/>
        <v>38</v>
      </c>
      <c r="D452" s="265">
        <f t="shared" ca="1" si="75"/>
        <v>9</v>
      </c>
      <c r="E452" s="266">
        <v>5.0000000000000001E-3</v>
      </c>
      <c r="F452" s="267">
        <f>ÉV!$B$12</f>
        <v>0</v>
      </c>
      <c r="G452" s="271">
        <f ca="1">VLOOKUP(A452,ÉV!$A$18:$B$65,2,0)</f>
        <v>0</v>
      </c>
      <c r="H452" s="271">
        <f ca="1">IF(OR(A452=1,AND(C452=ÉV!$I$2,D452&gt;ÉV!$J$2),C452&gt;ÉV!$I$2),0,INDEX(Pz!$B$2:$AM$48,A452-1,ÉV!$G$2-9)/100000*ÉV!$B$10)</f>
        <v>0</v>
      </c>
      <c r="I452" s="271">
        <f ca="1">INDEX(Pz!$B$2:$AM$48,HÓ!A452,ÉV!$G$2-9)/100000*ÉV!$B$10</f>
        <v>0</v>
      </c>
      <c r="J452" s="273">
        <f ca="1">IF(OR(A452=1,A452=2,AND(C452=ÉV!$I$2,D452&gt;ÉV!$J$2),C452&gt;ÉV!$I$2),0,VLOOKUP(A452-2,ÉV!$A$18:$C$65,3,0))</f>
        <v>0</v>
      </c>
      <c r="K452" s="273">
        <f ca="1">IF(OR(A452=1,AND(C452=ÉV!$I$2,D452&gt;ÉV!$J$2),C452&gt;ÉV!$I$2),0,VLOOKUP(A452-1,ÉV!$A$18:$C$65,3,0))</f>
        <v>0</v>
      </c>
      <c r="L452" s="273">
        <f ca="1">VLOOKUP(A452,ÉV!$A$18:$C$65,3,0)*IF(OR(AND(C452=ÉV!$I$2,D452&gt;ÉV!$J$2),C452&gt;ÉV!$I$2),0,1)</f>
        <v>0</v>
      </c>
      <c r="M452" s="273">
        <f ca="1">(K452*(12-B452)/12+L452*B452/12)*IF(A452&gt;ÉV!$G$2,0,1)+IF(A452&gt;ÉV!$G$2,M451,0)*IF(OR(AND(C452=ÉV!$I$2,D452&gt;ÉV!$J$2),C452&gt;ÉV!$I$2),0,1)</f>
        <v>0</v>
      </c>
      <c r="N452" s="274">
        <f ca="1">IF(AND(C452=1,D452&lt;12),0,1)*IF(D452=12,MAX(0,F452-E452-0.003)*0.9*((K452+I452)*(B452/12)+(J452+H452)*(1-B452/12))+MAX(0,F452-0.003)*0.9*N451+N451,IF(AND(C452=ÉV!$I$2,D452=ÉV!$J$2),(M452+N451)*MAX(0,F452-0.003)*0.9*(D452/12)+N451,N451))*IF(OR(C452&gt;ÉV!$I$2,AND(C452=ÉV!$I$2,D452&gt;ÉV!$J$2)),0,1)</f>
        <v>0</v>
      </c>
      <c r="O452" s="313">
        <f ca="1">IF(MAX(AF$2:AF451)=2,      0,IF(OR(AC452=7, AF452=2),    SUM(AE$2:AE452),    O451)   )</f>
        <v>0</v>
      </c>
      <c r="P452" s="271">
        <f ca="1">IF(D452=12,V452+P451+P451*(F452-0.003)*0.9,IF(AND(C452=ÉV!$I$2,D452=ÉV!$J$2),V452+P451+P451*(F452-0.003)*0.9*D452/12,P451))*IF(OR(C452&gt;ÉV!$I$2,AND(C452=ÉV!$I$2,D452&gt;ÉV!$J$2)),0,1)</f>
        <v>0</v>
      </c>
      <c r="Q452" s="275">
        <f ca="1">(N452+P452)*IF(OR(AND(C452=ÉV!$I$2,D452&gt;ÉV!$J$2),C452&gt;ÉV!$I$2),0,1)</f>
        <v>0</v>
      </c>
      <c r="R452" s="271">
        <f ca="1">(MAX(0,F452-E452-0.003)*0.9*((K452+I452)*(1/12)))*IF(OR(C452&gt;ÉV!$I$2,AND(C452=ÉV!$I$2,D452&gt;ÉV!$J$2)),0,1)</f>
        <v>0</v>
      </c>
      <c r="S452" s="271">
        <f ca="1">(MAX(0,F452-0.003)*0.9*((O452)*(1/12)))*IF(OR(C452&gt;ÉV!$I$2,AND(C452=ÉV!$I$2,D452&gt;ÉV!$J$2)),0,1)</f>
        <v>0</v>
      </c>
      <c r="T452" s="271">
        <f ca="1">(MAX(0,F452-0.003)*0.9*((Q451)*(1/12)))*IF(OR(C452&gt;ÉV!$I$2,AND(C452=ÉV!$I$2,D452&gt;ÉV!$J$2)),0,1)</f>
        <v>0</v>
      </c>
      <c r="U452" s="271">
        <f ca="1">IF($D452=1,R452,R452+U451)*IF(OR(C452&gt;ÉV!$I$2,AND(C452=ÉV!$I$2,D452&gt;ÉV!$J$2)),0,1)</f>
        <v>0</v>
      </c>
      <c r="V452" s="271">
        <f ca="1">IF($D452=1,S452,S452+V451)*IF(OR(C452&gt;ÉV!$I$2,AND(C452=ÉV!$I$2,D452&gt;ÉV!$J$2)),0,1)</f>
        <v>0</v>
      </c>
      <c r="W452" s="271">
        <f ca="1">IF($D452=1,T452,T452+W451)*IF(OR(C452&gt;ÉV!$I$2,AND(C452=ÉV!$I$2,D452&gt;ÉV!$J$2)),0,1)</f>
        <v>0</v>
      </c>
      <c r="X452" s="271">
        <f ca="1">IF(OR(D452=12,AND(C452=ÉV!$I$2,D452=ÉV!$J$2)),SUM(U452:W452)+X451,X451)*IF(OR(C452&gt;ÉV!$I$2,AND(C452=ÉV!$I$2,D452&gt;ÉV!$J$2)),0,1)</f>
        <v>0</v>
      </c>
      <c r="Y452" s="271">
        <f t="shared" ca="1" si="81"/>
        <v>0</v>
      </c>
      <c r="Z452" s="265">
        <f t="shared" si="82"/>
        <v>6</v>
      </c>
      <c r="AA452" s="272">
        <f t="shared" ca="1" si="83"/>
        <v>0</v>
      </c>
      <c r="AB452" s="265">
        <f t="shared" ca="1" si="76"/>
        <v>2054</v>
      </c>
      <c r="AC452" s="265">
        <f t="shared" ca="1" si="77"/>
        <v>9</v>
      </c>
      <c r="AD452" s="276">
        <f ca="1">IF(     OR(               AND(MAX(AF$6:AF452)&lt;2,  AC452=12),                 AF452=2),                   SUMIF(AB:AB,AB452,AA:AA),                       0)</f>
        <v>0</v>
      </c>
      <c r="AE452" s="277">
        <f t="shared" ca="1" si="78"/>
        <v>0</v>
      </c>
      <c r="AF452" s="277">
        <f t="shared" ca="1" si="84"/>
        <v>0</v>
      </c>
      <c r="AG452" s="402">
        <f ca="1">IF(  AND(AC452=AdóHó,   MAX(AF$1:AF451)&lt;2),   SUMIF(AB:AB,AB452-1,AE:AE),0  )
+ IF(AND(AC452&lt;AdóHó,                            AF452=2),   SUMIF(AB:AB,AB452-1,AE:AE),0  )
+ IF(                                                                  AF452=2,    SUMIF(AB:AB,AB452,AE:AE   ),0  )</f>
        <v>0</v>
      </c>
      <c r="AH452" s="272">
        <f ca="1">SUM(AG$2:AG452)</f>
        <v>1139324.2410681627</v>
      </c>
    </row>
    <row r="453" spans="1:34">
      <c r="A453" s="265">
        <f t="shared" si="79"/>
        <v>38</v>
      </c>
      <c r="B453" s="265">
        <f t="shared" si="80"/>
        <v>7</v>
      </c>
      <c r="C453" s="265">
        <f t="shared" ref="C453:C516" ca="1" si="85">IF(D452=12,C452+1,C452)</f>
        <v>38</v>
      </c>
      <c r="D453" s="265">
        <f t="shared" ref="D453:D516" ca="1" si="86">IF(D452=12,1,D452+1)</f>
        <v>10</v>
      </c>
      <c r="E453" s="266">
        <v>5.0000000000000001E-3</v>
      </c>
      <c r="F453" s="267">
        <f>ÉV!$B$12</f>
        <v>0</v>
      </c>
      <c r="G453" s="271">
        <f ca="1">VLOOKUP(A453,ÉV!$A$18:$B$65,2,0)</f>
        <v>0</v>
      </c>
      <c r="H453" s="271">
        <f ca="1">IF(OR(A453=1,AND(C453=ÉV!$I$2,D453&gt;ÉV!$J$2),C453&gt;ÉV!$I$2),0,INDEX(Pz!$B$2:$AM$48,A453-1,ÉV!$G$2-9)/100000*ÉV!$B$10)</f>
        <v>0</v>
      </c>
      <c r="I453" s="271">
        <f ca="1">INDEX(Pz!$B$2:$AM$48,HÓ!A453,ÉV!$G$2-9)/100000*ÉV!$B$10</f>
        <v>0</v>
      </c>
      <c r="J453" s="273">
        <f ca="1">IF(OR(A453=1,A453=2,AND(C453=ÉV!$I$2,D453&gt;ÉV!$J$2),C453&gt;ÉV!$I$2),0,VLOOKUP(A453-2,ÉV!$A$18:$C$65,3,0))</f>
        <v>0</v>
      </c>
      <c r="K453" s="273">
        <f ca="1">IF(OR(A453=1,AND(C453=ÉV!$I$2,D453&gt;ÉV!$J$2),C453&gt;ÉV!$I$2),0,VLOOKUP(A453-1,ÉV!$A$18:$C$65,3,0))</f>
        <v>0</v>
      </c>
      <c r="L453" s="273">
        <f ca="1">VLOOKUP(A453,ÉV!$A$18:$C$65,3,0)*IF(OR(AND(C453=ÉV!$I$2,D453&gt;ÉV!$J$2),C453&gt;ÉV!$I$2),0,1)</f>
        <v>0</v>
      </c>
      <c r="M453" s="273">
        <f ca="1">(K453*(12-B453)/12+L453*B453/12)*IF(A453&gt;ÉV!$G$2,0,1)+IF(A453&gt;ÉV!$G$2,M452,0)*IF(OR(AND(C453=ÉV!$I$2,D453&gt;ÉV!$J$2),C453&gt;ÉV!$I$2),0,1)</f>
        <v>0</v>
      </c>
      <c r="N453" s="274">
        <f ca="1">IF(AND(C453=1,D453&lt;12),0,1)*IF(D453=12,MAX(0,F453-E453-0.003)*0.9*((K453+I453)*(B453/12)+(J453+H453)*(1-B453/12))+MAX(0,F453-0.003)*0.9*N452+N452,IF(AND(C453=ÉV!$I$2,D453=ÉV!$J$2),(M453+N452)*MAX(0,F453-0.003)*0.9*(D453/12)+N452,N452))*IF(OR(C453&gt;ÉV!$I$2,AND(C453=ÉV!$I$2,D453&gt;ÉV!$J$2)),0,1)</f>
        <v>0</v>
      </c>
      <c r="O453" s="313">
        <f ca="1">IF(MAX(AF$2:AF452)=2,      0,IF(OR(AC453=7, AF453=2),    SUM(AE$2:AE453),    O452)   )</f>
        <v>0</v>
      </c>
      <c r="P453" s="271">
        <f ca="1">IF(D453=12,V453+P452+P452*(F453-0.003)*0.9,IF(AND(C453=ÉV!$I$2,D453=ÉV!$J$2),V453+P452+P452*(F453-0.003)*0.9*D453/12,P452))*IF(OR(C453&gt;ÉV!$I$2,AND(C453=ÉV!$I$2,D453&gt;ÉV!$J$2)),0,1)</f>
        <v>0</v>
      </c>
      <c r="Q453" s="275">
        <f ca="1">(N453+P453)*IF(OR(AND(C453=ÉV!$I$2,D453&gt;ÉV!$J$2),C453&gt;ÉV!$I$2),0,1)</f>
        <v>0</v>
      </c>
      <c r="R453" s="271">
        <f ca="1">(MAX(0,F453-E453-0.003)*0.9*((K453+I453)*(1/12)))*IF(OR(C453&gt;ÉV!$I$2,AND(C453=ÉV!$I$2,D453&gt;ÉV!$J$2)),0,1)</f>
        <v>0</v>
      </c>
      <c r="S453" s="271">
        <f ca="1">(MAX(0,F453-0.003)*0.9*((O453)*(1/12)))*IF(OR(C453&gt;ÉV!$I$2,AND(C453=ÉV!$I$2,D453&gt;ÉV!$J$2)),0,1)</f>
        <v>0</v>
      </c>
      <c r="T453" s="271">
        <f ca="1">(MAX(0,F453-0.003)*0.9*((Q452)*(1/12)))*IF(OR(C453&gt;ÉV!$I$2,AND(C453=ÉV!$I$2,D453&gt;ÉV!$J$2)),0,1)</f>
        <v>0</v>
      </c>
      <c r="U453" s="271">
        <f ca="1">IF($D453=1,R453,R453+U452)*IF(OR(C453&gt;ÉV!$I$2,AND(C453=ÉV!$I$2,D453&gt;ÉV!$J$2)),0,1)</f>
        <v>0</v>
      </c>
      <c r="V453" s="271">
        <f ca="1">IF($D453=1,S453,S453+V452)*IF(OR(C453&gt;ÉV!$I$2,AND(C453=ÉV!$I$2,D453&gt;ÉV!$J$2)),0,1)</f>
        <v>0</v>
      </c>
      <c r="W453" s="271">
        <f ca="1">IF($D453=1,T453,T453+W452)*IF(OR(C453&gt;ÉV!$I$2,AND(C453=ÉV!$I$2,D453&gt;ÉV!$J$2)),0,1)</f>
        <v>0</v>
      </c>
      <c r="X453" s="271">
        <f ca="1">IF(OR(D453=12,AND(C453=ÉV!$I$2,D453=ÉV!$J$2)),SUM(U453:W453)+X452,X452)*IF(OR(C453&gt;ÉV!$I$2,AND(C453=ÉV!$I$2,D453&gt;ÉV!$J$2)),0,1)</f>
        <v>0</v>
      </c>
      <c r="Y453" s="271">
        <f t="shared" ca="1" si="81"/>
        <v>0</v>
      </c>
      <c r="Z453" s="265">
        <f t="shared" si="82"/>
        <v>7</v>
      </c>
      <c r="AA453" s="272">
        <f t="shared" ca="1" si="83"/>
        <v>0</v>
      </c>
      <c r="AB453" s="265">
        <f t="shared" ref="AB453:AB516" ca="1" si="87">IF(AC452=12,AB452+1,AB452)</f>
        <v>2054</v>
      </c>
      <c r="AC453" s="265">
        <f t="shared" ref="AC453:AC516" ca="1" si="88">IF(AC452=12,1,AC452+1)</f>
        <v>10</v>
      </c>
      <c r="AD453" s="276">
        <f ca="1">IF(     OR(               AND(MAX(AF$6:AF453)&lt;2,  AC453=12),                 AF453=2),                   SUMIF(AB:AB,AB453,AA:AA),                       0)</f>
        <v>0</v>
      </c>
      <c r="AE453" s="277">
        <f t="shared" ca="1" si="78"/>
        <v>0</v>
      </c>
      <c r="AF453" s="277">
        <f t="shared" ca="1" si="84"/>
        <v>0</v>
      </c>
      <c r="AG453" s="402">
        <f ca="1">IF(  AND(AC453=AdóHó,   MAX(AF$1:AF452)&lt;2),   SUMIF(AB:AB,AB453-1,AE:AE),0  )
+ IF(AND(AC453&lt;AdóHó,                            AF453=2),   SUMIF(AB:AB,AB453-1,AE:AE),0  )
+ IF(                                                                  AF453=2,    SUMIF(AB:AB,AB453,AE:AE   ),0  )</f>
        <v>0</v>
      </c>
      <c r="AH453" s="272">
        <f ca="1">SUM(AG$2:AG453)</f>
        <v>1139324.2410681627</v>
      </c>
    </row>
    <row r="454" spans="1:34">
      <c r="A454" s="265">
        <f t="shared" si="79"/>
        <v>38</v>
      </c>
      <c r="B454" s="265">
        <f t="shared" si="80"/>
        <v>8</v>
      </c>
      <c r="C454" s="265">
        <f t="shared" ca="1" si="85"/>
        <v>38</v>
      </c>
      <c r="D454" s="265">
        <f t="shared" ca="1" si="86"/>
        <v>11</v>
      </c>
      <c r="E454" s="266">
        <v>5.0000000000000001E-3</v>
      </c>
      <c r="F454" s="267">
        <f>ÉV!$B$12</f>
        <v>0</v>
      </c>
      <c r="G454" s="271">
        <f ca="1">VLOOKUP(A454,ÉV!$A$18:$B$65,2,0)</f>
        <v>0</v>
      </c>
      <c r="H454" s="271">
        <f ca="1">IF(OR(A454=1,AND(C454=ÉV!$I$2,D454&gt;ÉV!$J$2),C454&gt;ÉV!$I$2),0,INDEX(Pz!$B$2:$AM$48,A454-1,ÉV!$G$2-9)/100000*ÉV!$B$10)</f>
        <v>0</v>
      </c>
      <c r="I454" s="271">
        <f ca="1">INDEX(Pz!$B$2:$AM$48,HÓ!A454,ÉV!$G$2-9)/100000*ÉV!$B$10</f>
        <v>0</v>
      </c>
      <c r="J454" s="273">
        <f ca="1">IF(OR(A454=1,A454=2,AND(C454=ÉV!$I$2,D454&gt;ÉV!$J$2),C454&gt;ÉV!$I$2),0,VLOOKUP(A454-2,ÉV!$A$18:$C$65,3,0))</f>
        <v>0</v>
      </c>
      <c r="K454" s="273">
        <f ca="1">IF(OR(A454=1,AND(C454=ÉV!$I$2,D454&gt;ÉV!$J$2),C454&gt;ÉV!$I$2),0,VLOOKUP(A454-1,ÉV!$A$18:$C$65,3,0))</f>
        <v>0</v>
      </c>
      <c r="L454" s="273">
        <f ca="1">VLOOKUP(A454,ÉV!$A$18:$C$65,3,0)*IF(OR(AND(C454=ÉV!$I$2,D454&gt;ÉV!$J$2),C454&gt;ÉV!$I$2),0,1)</f>
        <v>0</v>
      </c>
      <c r="M454" s="273">
        <f ca="1">(K454*(12-B454)/12+L454*B454/12)*IF(A454&gt;ÉV!$G$2,0,1)+IF(A454&gt;ÉV!$G$2,M453,0)*IF(OR(AND(C454=ÉV!$I$2,D454&gt;ÉV!$J$2),C454&gt;ÉV!$I$2),0,1)</f>
        <v>0</v>
      </c>
      <c r="N454" s="274">
        <f ca="1">IF(AND(C454=1,D454&lt;12),0,1)*IF(D454=12,MAX(0,F454-E454-0.003)*0.9*((K454+I454)*(B454/12)+(J454+H454)*(1-B454/12))+MAX(0,F454-0.003)*0.9*N453+N453,IF(AND(C454=ÉV!$I$2,D454=ÉV!$J$2),(M454+N453)*MAX(0,F454-0.003)*0.9*(D454/12)+N453,N453))*IF(OR(C454&gt;ÉV!$I$2,AND(C454=ÉV!$I$2,D454&gt;ÉV!$J$2)),0,1)</f>
        <v>0</v>
      </c>
      <c r="O454" s="313">
        <f ca="1">IF(MAX(AF$2:AF453)=2,      0,IF(OR(AC454=7, AF454=2),    SUM(AE$2:AE454),    O453)   )</f>
        <v>0</v>
      </c>
      <c r="P454" s="271">
        <f ca="1">IF(D454=12,V454+P453+P453*(F454-0.003)*0.9,IF(AND(C454=ÉV!$I$2,D454=ÉV!$J$2),V454+P453+P453*(F454-0.003)*0.9*D454/12,P453))*IF(OR(C454&gt;ÉV!$I$2,AND(C454=ÉV!$I$2,D454&gt;ÉV!$J$2)),0,1)</f>
        <v>0</v>
      </c>
      <c r="Q454" s="275">
        <f ca="1">(N454+P454)*IF(OR(AND(C454=ÉV!$I$2,D454&gt;ÉV!$J$2),C454&gt;ÉV!$I$2),0,1)</f>
        <v>0</v>
      </c>
      <c r="R454" s="271">
        <f ca="1">(MAX(0,F454-E454-0.003)*0.9*((K454+I454)*(1/12)))*IF(OR(C454&gt;ÉV!$I$2,AND(C454=ÉV!$I$2,D454&gt;ÉV!$J$2)),0,1)</f>
        <v>0</v>
      </c>
      <c r="S454" s="271">
        <f ca="1">(MAX(0,F454-0.003)*0.9*((O454)*(1/12)))*IF(OR(C454&gt;ÉV!$I$2,AND(C454=ÉV!$I$2,D454&gt;ÉV!$J$2)),0,1)</f>
        <v>0</v>
      </c>
      <c r="T454" s="271">
        <f ca="1">(MAX(0,F454-0.003)*0.9*((Q453)*(1/12)))*IF(OR(C454&gt;ÉV!$I$2,AND(C454=ÉV!$I$2,D454&gt;ÉV!$J$2)),0,1)</f>
        <v>0</v>
      </c>
      <c r="U454" s="271">
        <f ca="1">IF($D454=1,R454,R454+U453)*IF(OR(C454&gt;ÉV!$I$2,AND(C454=ÉV!$I$2,D454&gt;ÉV!$J$2)),0,1)</f>
        <v>0</v>
      </c>
      <c r="V454" s="271">
        <f ca="1">IF($D454=1,S454,S454+V453)*IF(OR(C454&gt;ÉV!$I$2,AND(C454=ÉV!$I$2,D454&gt;ÉV!$J$2)),0,1)</f>
        <v>0</v>
      </c>
      <c r="W454" s="271">
        <f ca="1">IF($D454=1,T454,T454+W453)*IF(OR(C454&gt;ÉV!$I$2,AND(C454=ÉV!$I$2,D454&gt;ÉV!$J$2)),0,1)</f>
        <v>0</v>
      </c>
      <c r="X454" s="271">
        <f ca="1">IF(OR(D454=12,AND(C454=ÉV!$I$2,D454=ÉV!$J$2)),SUM(U454:W454)+X453,X453)*IF(OR(C454&gt;ÉV!$I$2,AND(C454=ÉV!$I$2,D454&gt;ÉV!$J$2)),0,1)</f>
        <v>0</v>
      </c>
      <c r="Y454" s="271">
        <f t="shared" ca="1" si="81"/>
        <v>0</v>
      </c>
      <c r="Z454" s="265">
        <f t="shared" si="82"/>
        <v>8</v>
      </c>
      <c r="AA454" s="272">
        <f t="shared" ca="1" si="83"/>
        <v>0</v>
      </c>
      <c r="AB454" s="265">
        <f t="shared" ca="1" si="87"/>
        <v>2054</v>
      </c>
      <c r="AC454" s="265">
        <f t="shared" ca="1" si="88"/>
        <v>11</v>
      </c>
      <c r="AD454" s="276">
        <f ca="1">IF(     OR(               AND(MAX(AF$6:AF454)&lt;2,  AC454=12),                 AF454=2),                   SUMIF(AB:AB,AB454,AA:AA),                       0)</f>
        <v>0</v>
      </c>
      <c r="AE454" s="277">
        <f t="shared" ca="1" si="78"/>
        <v>0</v>
      </c>
      <c r="AF454" s="277">
        <f t="shared" ca="1" si="84"/>
        <v>0</v>
      </c>
      <c r="AG454" s="402">
        <f ca="1">IF(  AND(AC454=AdóHó,   MAX(AF$1:AF453)&lt;2),   SUMIF(AB:AB,AB454-1,AE:AE),0  )
+ IF(AND(AC454&lt;AdóHó,                            AF454=2),   SUMIF(AB:AB,AB454-1,AE:AE),0  )
+ IF(                                                                  AF454=2,    SUMIF(AB:AB,AB454,AE:AE   ),0  )</f>
        <v>0</v>
      </c>
      <c r="AH454" s="272">
        <f ca="1">SUM(AG$2:AG454)</f>
        <v>1139324.2410681627</v>
      </c>
    </row>
    <row r="455" spans="1:34">
      <c r="A455" s="265">
        <f t="shared" si="79"/>
        <v>38</v>
      </c>
      <c r="B455" s="265">
        <f t="shared" si="80"/>
        <v>9</v>
      </c>
      <c r="C455" s="265">
        <f t="shared" ca="1" si="85"/>
        <v>38</v>
      </c>
      <c r="D455" s="265">
        <f t="shared" ca="1" si="86"/>
        <v>12</v>
      </c>
      <c r="E455" s="266">
        <v>5.0000000000000001E-3</v>
      </c>
      <c r="F455" s="267">
        <f>ÉV!$B$12</f>
        <v>0</v>
      </c>
      <c r="G455" s="271">
        <f ca="1">VLOOKUP(A455,ÉV!$A$18:$B$65,2,0)</f>
        <v>0</v>
      </c>
      <c r="H455" s="271">
        <f ca="1">IF(OR(A455=1,AND(C455=ÉV!$I$2,D455&gt;ÉV!$J$2),C455&gt;ÉV!$I$2),0,INDEX(Pz!$B$2:$AM$48,A455-1,ÉV!$G$2-9)/100000*ÉV!$B$10)</f>
        <v>0</v>
      </c>
      <c r="I455" s="271">
        <f ca="1">INDEX(Pz!$B$2:$AM$48,HÓ!A455,ÉV!$G$2-9)/100000*ÉV!$B$10</f>
        <v>0</v>
      </c>
      <c r="J455" s="273">
        <f ca="1">IF(OR(A455=1,A455=2,AND(C455=ÉV!$I$2,D455&gt;ÉV!$J$2),C455&gt;ÉV!$I$2),0,VLOOKUP(A455-2,ÉV!$A$18:$C$65,3,0))</f>
        <v>0</v>
      </c>
      <c r="K455" s="273">
        <f ca="1">IF(OR(A455=1,AND(C455=ÉV!$I$2,D455&gt;ÉV!$J$2),C455&gt;ÉV!$I$2),0,VLOOKUP(A455-1,ÉV!$A$18:$C$65,3,0))</f>
        <v>0</v>
      </c>
      <c r="L455" s="273">
        <f ca="1">VLOOKUP(A455,ÉV!$A$18:$C$65,3,0)*IF(OR(AND(C455=ÉV!$I$2,D455&gt;ÉV!$J$2),C455&gt;ÉV!$I$2),0,1)</f>
        <v>0</v>
      </c>
      <c r="M455" s="273">
        <f ca="1">(K455*(12-B455)/12+L455*B455/12)*IF(A455&gt;ÉV!$G$2,0,1)+IF(A455&gt;ÉV!$G$2,M454,0)*IF(OR(AND(C455=ÉV!$I$2,D455&gt;ÉV!$J$2),C455&gt;ÉV!$I$2),0,1)</f>
        <v>0</v>
      </c>
      <c r="N455" s="274">
        <f ca="1">IF(AND(C455=1,D455&lt;12),0,1)*IF(D455=12,MAX(0,F455-E455-0.003)*0.9*((K455+I455)*(B455/12)+(J455+H455)*(1-B455/12))+MAX(0,F455-0.003)*0.9*N454+N454,IF(AND(C455=ÉV!$I$2,D455=ÉV!$J$2),(M455+N454)*MAX(0,F455-0.003)*0.9*(D455/12)+N454,N454))*IF(OR(C455&gt;ÉV!$I$2,AND(C455=ÉV!$I$2,D455&gt;ÉV!$J$2)),0,1)</f>
        <v>0</v>
      </c>
      <c r="O455" s="313">
        <f ca="1">IF(MAX(AF$2:AF454)=2,      0,IF(OR(AC455=7, AF455=2),    SUM(AE$2:AE455),    O454)   )</f>
        <v>0</v>
      </c>
      <c r="P455" s="271">
        <f ca="1">IF(D455=12,V455+P454+P454*(F455-0.003)*0.9,IF(AND(C455=ÉV!$I$2,D455=ÉV!$J$2),V455+P454+P454*(F455-0.003)*0.9*D455/12,P454))*IF(OR(C455&gt;ÉV!$I$2,AND(C455=ÉV!$I$2,D455&gt;ÉV!$J$2)),0,1)</f>
        <v>0</v>
      </c>
      <c r="Q455" s="275">
        <f ca="1">(N455+P455)*IF(OR(AND(C455=ÉV!$I$2,D455&gt;ÉV!$J$2),C455&gt;ÉV!$I$2),0,1)</f>
        <v>0</v>
      </c>
      <c r="R455" s="271">
        <f ca="1">(MAX(0,F455-E455-0.003)*0.9*((K455+I455)*(1/12)))*IF(OR(C455&gt;ÉV!$I$2,AND(C455=ÉV!$I$2,D455&gt;ÉV!$J$2)),0,1)</f>
        <v>0</v>
      </c>
      <c r="S455" s="271">
        <f ca="1">(MAX(0,F455-0.003)*0.9*((O455)*(1/12)))*IF(OR(C455&gt;ÉV!$I$2,AND(C455=ÉV!$I$2,D455&gt;ÉV!$J$2)),0,1)</f>
        <v>0</v>
      </c>
      <c r="T455" s="271">
        <f ca="1">(MAX(0,F455-0.003)*0.9*((Q454)*(1/12)))*IF(OR(C455&gt;ÉV!$I$2,AND(C455=ÉV!$I$2,D455&gt;ÉV!$J$2)),0,1)</f>
        <v>0</v>
      </c>
      <c r="U455" s="271">
        <f ca="1">IF($D455=1,R455,R455+U454)*IF(OR(C455&gt;ÉV!$I$2,AND(C455=ÉV!$I$2,D455&gt;ÉV!$J$2)),0,1)</f>
        <v>0</v>
      </c>
      <c r="V455" s="271">
        <f ca="1">IF($D455=1,S455,S455+V454)*IF(OR(C455&gt;ÉV!$I$2,AND(C455=ÉV!$I$2,D455&gt;ÉV!$J$2)),0,1)</f>
        <v>0</v>
      </c>
      <c r="W455" s="271">
        <f ca="1">IF($D455=1,T455,T455+W454)*IF(OR(C455&gt;ÉV!$I$2,AND(C455=ÉV!$I$2,D455&gt;ÉV!$J$2)),0,1)</f>
        <v>0</v>
      </c>
      <c r="X455" s="271">
        <f ca="1">IF(OR(D455=12,AND(C455=ÉV!$I$2,D455=ÉV!$J$2)),SUM(U455:W455)+X454,X454)*IF(OR(C455&gt;ÉV!$I$2,AND(C455=ÉV!$I$2,D455&gt;ÉV!$J$2)),0,1)</f>
        <v>0</v>
      </c>
      <c r="Y455" s="271">
        <f t="shared" ca="1" si="81"/>
        <v>0</v>
      </c>
      <c r="Z455" s="265">
        <f t="shared" si="82"/>
        <v>9</v>
      </c>
      <c r="AA455" s="272">
        <f t="shared" ca="1" si="83"/>
        <v>0</v>
      </c>
      <c r="AB455" s="265">
        <f t="shared" ca="1" si="87"/>
        <v>2054</v>
      </c>
      <c r="AC455" s="265">
        <f t="shared" ca="1" si="88"/>
        <v>12</v>
      </c>
      <c r="AD455" s="276">
        <f ca="1">IF(     OR(               AND(MAX(AF$6:AF455)&lt;2,  AC455=12),                 AF455=2),                   SUMIF(AB:AB,AB455,AA:AA),                       0)</f>
        <v>0</v>
      </c>
      <c r="AE455" s="277">
        <f t="shared" ca="1" si="78"/>
        <v>0</v>
      </c>
      <c r="AF455" s="277">
        <f t="shared" ca="1" si="84"/>
        <v>0</v>
      </c>
      <c r="AG455" s="402">
        <f ca="1">IF(  AND(AC455=AdóHó,   MAX(AF$1:AF454)&lt;2),   SUMIF(AB:AB,AB455-1,AE:AE),0  )
+ IF(AND(AC455&lt;AdóHó,                            AF455=2),   SUMIF(AB:AB,AB455-1,AE:AE),0  )
+ IF(                                                                  AF455=2,    SUMIF(AB:AB,AB455,AE:AE   ),0  )</f>
        <v>0</v>
      </c>
      <c r="AH455" s="272">
        <f ca="1">SUM(AG$2:AG455)</f>
        <v>1139324.2410681627</v>
      </c>
    </row>
    <row r="456" spans="1:34">
      <c r="A456" s="265">
        <f t="shared" si="79"/>
        <v>38</v>
      </c>
      <c r="B456" s="265">
        <f t="shared" si="80"/>
        <v>10</v>
      </c>
      <c r="C456" s="265">
        <f t="shared" ca="1" si="85"/>
        <v>39</v>
      </c>
      <c r="D456" s="265">
        <f t="shared" ca="1" si="86"/>
        <v>1</v>
      </c>
      <c r="E456" s="266">
        <v>5.0000000000000001E-3</v>
      </c>
      <c r="F456" s="267">
        <f>ÉV!$B$12</f>
        <v>0</v>
      </c>
      <c r="G456" s="271">
        <f ca="1">VLOOKUP(A456,ÉV!$A$18:$B$65,2,0)</f>
        <v>0</v>
      </c>
      <c r="H456" s="271">
        <f ca="1">IF(OR(A456=1,AND(C456=ÉV!$I$2,D456&gt;ÉV!$J$2),C456&gt;ÉV!$I$2),0,INDEX(Pz!$B$2:$AM$48,A456-1,ÉV!$G$2-9)/100000*ÉV!$B$10)</f>
        <v>0</v>
      </c>
      <c r="I456" s="271">
        <f ca="1">INDEX(Pz!$B$2:$AM$48,HÓ!A456,ÉV!$G$2-9)/100000*ÉV!$B$10</f>
        <v>0</v>
      </c>
      <c r="J456" s="273">
        <f ca="1">IF(OR(A456=1,A456=2,AND(C456=ÉV!$I$2,D456&gt;ÉV!$J$2),C456&gt;ÉV!$I$2),0,VLOOKUP(A456-2,ÉV!$A$18:$C$65,3,0))</f>
        <v>0</v>
      </c>
      <c r="K456" s="273">
        <f ca="1">IF(OR(A456=1,AND(C456=ÉV!$I$2,D456&gt;ÉV!$J$2),C456&gt;ÉV!$I$2),0,VLOOKUP(A456-1,ÉV!$A$18:$C$65,3,0))</f>
        <v>0</v>
      </c>
      <c r="L456" s="273">
        <f ca="1">VLOOKUP(A456,ÉV!$A$18:$C$65,3,0)*IF(OR(AND(C456=ÉV!$I$2,D456&gt;ÉV!$J$2),C456&gt;ÉV!$I$2),0,1)</f>
        <v>0</v>
      </c>
      <c r="M456" s="273">
        <f ca="1">(K456*(12-B456)/12+L456*B456/12)*IF(A456&gt;ÉV!$G$2,0,1)+IF(A456&gt;ÉV!$G$2,M455,0)*IF(OR(AND(C456=ÉV!$I$2,D456&gt;ÉV!$J$2),C456&gt;ÉV!$I$2),0,1)</f>
        <v>0</v>
      </c>
      <c r="N456" s="274">
        <f ca="1">IF(AND(C456=1,D456&lt;12),0,1)*IF(D456=12,MAX(0,F456-E456-0.003)*0.9*((K456+I456)*(B456/12)+(J456+H456)*(1-B456/12))+MAX(0,F456-0.003)*0.9*N455+N455,IF(AND(C456=ÉV!$I$2,D456=ÉV!$J$2),(M456+N455)*MAX(0,F456-0.003)*0.9*(D456/12)+N455,N455))*IF(OR(C456&gt;ÉV!$I$2,AND(C456=ÉV!$I$2,D456&gt;ÉV!$J$2)),0,1)</f>
        <v>0</v>
      </c>
      <c r="O456" s="313">
        <f ca="1">IF(MAX(AF$2:AF455)=2,      0,IF(OR(AC456=7, AF456=2),    SUM(AE$2:AE456),    O455)   )</f>
        <v>0</v>
      </c>
      <c r="P456" s="271">
        <f ca="1">IF(D456=12,V456+P455+P455*(F456-0.003)*0.9,IF(AND(C456=ÉV!$I$2,D456=ÉV!$J$2),V456+P455+P455*(F456-0.003)*0.9*D456/12,P455))*IF(OR(C456&gt;ÉV!$I$2,AND(C456=ÉV!$I$2,D456&gt;ÉV!$J$2)),0,1)</f>
        <v>0</v>
      </c>
      <c r="Q456" s="275">
        <f ca="1">(N456+P456)*IF(OR(AND(C456=ÉV!$I$2,D456&gt;ÉV!$J$2),C456&gt;ÉV!$I$2),0,1)</f>
        <v>0</v>
      </c>
      <c r="R456" s="271">
        <f ca="1">(MAX(0,F456-E456-0.003)*0.9*((K456+I456)*(1/12)))*IF(OR(C456&gt;ÉV!$I$2,AND(C456=ÉV!$I$2,D456&gt;ÉV!$J$2)),0,1)</f>
        <v>0</v>
      </c>
      <c r="S456" s="271">
        <f ca="1">(MAX(0,F456-0.003)*0.9*((O456)*(1/12)))*IF(OR(C456&gt;ÉV!$I$2,AND(C456=ÉV!$I$2,D456&gt;ÉV!$J$2)),0,1)</f>
        <v>0</v>
      </c>
      <c r="T456" s="271">
        <f ca="1">(MAX(0,F456-0.003)*0.9*((Q455)*(1/12)))*IF(OR(C456&gt;ÉV!$I$2,AND(C456=ÉV!$I$2,D456&gt;ÉV!$J$2)),0,1)</f>
        <v>0</v>
      </c>
      <c r="U456" s="271">
        <f ca="1">IF($D456=1,R456,R456+U455)*IF(OR(C456&gt;ÉV!$I$2,AND(C456=ÉV!$I$2,D456&gt;ÉV!$J$2)),0,1)</f>
        <v>0</v>
      </c>
      <c r="V456" s="271">
        <f ca="1">IF($D456=1,S456,S456+V455)*IF(OR(C456&gt;ÉV!$I$2,AND(C456=ÉV!$I$2,D456&gt;ÉV!$J$2)),0,1)</f>
        <v>0</v>
      </c>
      <c r="W456" s="271">
        <f ca="1">IF($D456=1,T456,T456+W455)*IF(OR(C456&gt;ÉV!$I$2,AND(C456=ÉV!$I$2,D456&gt;ÉV!$J$2)),0,1)</f>
        <v>0</v>
      </c>
      <c r="X456" s="271">
        <f ca="1">IF(OR(D456=12,AND(C456=ÉV!$I$2,D456=ÉV!$J$2)),SUM(U456:W456)+X455,X455)*IF(OR(C456&gt;ÉV!$I$2,AND(C456=ÉV!$I$2,D456&gt;ÉV!$J$2)),0,1)</f>
        <v>0</v>
      </c>
      <c r="Y456" s="271">
        <f t="shared" ca="1" si="81"/>
        <v>0</v>
      </c>
      <c r="Z456" s="265">
        <f t="shared" si="82"/>
        <v>10</v>
      </c>
      <c r="AA456" s="272">
        <f t="shared" ca="1" si="83"/>
        <v>0</v>
      </c>
      <c r="AB456" s="265">
        <f t="shared" ca="1" si="87"/>
        <v>2055</v>
      </c>
      <c r="AC456" s="265">
        <f t="shared" ca="1" si="88"/>
        <v>1</v>
      </c>
      <c r="AD456" s="276">
        <f ca="1">IF(     OR(               AND(MAX(AF$6:AF456)&lt;2,  AC456=12),                 AF456=2),                   SUMIF(AB:AB,AB456,AA:AA),                       0)</f>
        <v>0</v>
      </c>
      <c r="AE456" s="277">
        <f t="shared" ca="1" si="78"/>
        <v>0</v>
      </c>
      <c r="AF456" s="277">
        <f t="shared" ca="1" si="84"/>
        <v>0</v>
      </c>
      <c r="AG456" s="402">
        <f ca="1">IF(  AND(AC456=AdóHó,   MAX(AF$1:AF455)&lt;2),   SUMIF(AB:AB,AB456-1,AE:AE),0  )
+ IF(AND(AC456&lt;AdóHó,                            AF456=2),   SUMIF(AB:AB,AB456-1,AE:AE),0  )
+ IF(                                                                  AF456=2,    SUMIF(AB:AB,AB456,AE:AE   ),0  )</f>
        <v>0</v>
      </c>
      <c r="AH456" s="272">
        <f ca="1">SUM(AG$2:AG456)</f>
        <v>1139324.2410681627</v>
      </c>
    </row>
    <row r="457" spans="1:34">
      <c r="A457" s="265">
        <f t="shared" si="79"/>
        <v>38</v>
      </c>
      <c r="B457" s="265">
        <f t="shared" si="80"/>
        <v>11</v>
      </c>
      <c r="C457" s="265">
        <f t="shared" ca="1" si="85"/>
        <v>39</v>
      </c>
      <c r="D457" s="265">
        <f t="shared" ca="1" si="86"/>
        <v>2</v>
      </c>
      <c r="E457" s="266">
        <v>5.0000000000000001E-3</v>
      </c>
      <c r="F457" s="267">
        <f>ÉV!$B$12</f>
        <v>0</v>
      </c>
      <c r="G457" s="271">
        <f ca="1">VLOOKUP(A457,ÉV!$A$18:$B$65,2,0)</f>
        <v>0</v>
      </c>
      <c r="H457" s="271">
        <f ca="1">IF(OR(A457=1,AND(C457=ÉV!$I$2,D457&gt;ÉV!$J$2),C457&gt;ÉV!$I$2),0,INDEX(Pz!$B$2:$AM$48,A457-1,ÉV!$G$2-9)/100000*ÉV!$B$10)</f>
        <v>0</v>
      </c>
      <c r="I457" s="271">
        <f ca="1">INDEX(Pz!$B$2:$AM$48,HÓ!A457,ÉV!$G$2-9)/100000*ÉV!$B$10</f>
        <v>0</v>
      </c>
      <c r="J457" s="273">
        <f ca="1">IF(OR(A457=1,A457=2,AND(C457=ÉV!$I$2,D457&gt;ÉV!$J$2),C457&gt;ÉV!$I$2),0,VLOOKUP(A457-2,ÉV!$A$18:$C$65,3,0))</f>
        <v>0</v>
      </c>
      <c r="K457" s="273">
        <f ca="1">IF(OR(A457=1,AND(C457=ÉV!$I$2,D457&gt;ÉV!$J$2),C457&gt;ÉV!$I$2),0,VLOOKUP(A457-1,ÉV!$A$18:$C$65,3,0))</f>
        <v>0</v>
      </c>
      <c r="L457" s="273">
        <f ca="1">VLOOKUP(A457,ÉV!$A$18:$C$65,3,0)*IF(OR(AND(C457=ÉV!$I$2,D457&gt;ÉV!$J$2),C457&gt;ÉV!$I$2),0,1)</f>
        <v>0</v>
      </c>
      <c r="M457" s="273">
        <f ca="1">(K457*(12-B457)/12+L457*B457/12)*IF(A457&gt;ÉV!$G$2,0,1)+IF(A457&gt;ÉV!$G$2,M456,0)*IF(OR(AND(C457=ÉV!$I$2,D457&gt;ÉV!$J$2),C457&gt;ÉV!$I$2),0,1)</f>
        <v>0</v>
      </c>
      <c r="N457" s="274">
        <f ca="1">IF(AND(C457=1,D457&lt;12),0,1)*IF(D457=12,MAX(0,F457-E457-0.003)*0.9*((K457+I457)*(B457/12)+(J457+H457)*(1-B457/12))+MAX(0,F457-0.003)*0.9*N456+N456,IF(AND(C457=ÉV!$I$2,D457=ÉV!$J$2),(M457+N456)*MAX(0,F457-0.003)*0.9*(D457/12)+N456,N456))*IF(OR(C457&gt;ÉV!$I$2,AND(C457=ÉV!$I$2,D457&gt;ÉV!$J$2)),0,1)</f>
        <v>0</v>
      </c>
      <c r="O457" s="313">
        <f ca="1">IF(MAX(AF$2:AF456)=2,      0,IF(OR(AC457=7, AF457=2),    SUM(AE$2:AE457),    O456)   )</f>
        <v>0</v>
      </c>
      <c r="P457" s="271">
        <f ca="1">IF(D457=12,V457+P456+P456*(F457-0.003)*0.9,IF(AND(C457=ÉV!$I$2,D457=ÉV!$J$2),V457+P456+P456*(F457-0.003)*0.9*D457/12,P456))*IF(OR(C457&gt;ÉV!$I$2,AND(C457=ÉV!$I$2,D457&gt;ÉV!$J$2)),0,1)</f>
        <v>0</v>
      </c>
      <c r="Q457" s="275">
        <f ca="1">(N457+P457)*IF(OR(AND(C457=ÉV!$I$2,D457&gt;ÉV!$J$2),C457&gt;ÉV!$I$2),0,1)</f>
        <v>0</v>
      </c>
      <c r="R457" s="271">
        <f ca="1">(MAX(0,F457-E457-0.003)*0.9*((K457+I457)*(1/12)))*IF(OR(C457&gt;ÉV!$I$2,AND(C457=ÉV!$I$2,D457&gt;ÉV!$J$2)),0,1)</f>
        <v>0</v>
      </c>
      <c r="S457" s="271">
        <f ca="1">(MAX(0,F457-0.003)*0.9*((O457)*(1/12)))*IF(OR(C457&gt;ÉV!$I$2,AND(C457=ÉV!$I$2,D457&gt;ÉV!$J$2)),0,1)</f>
        <v>0</v>
      </c>
      <c r="T457" s="271">
        <f ca="1">(MAX(0,F457-0.003)*0.9*((Q456)*(1/12)))*IF(OR(C457&gt;ÉV!$I$2,AND(C457=ÉV!$I$2,D457&gt;ÉV!$J$2)),0,1)</f>
        <v>0</v>
      </c>
      <c r="U457" s="271">
        <f ca="1">IF($D457=1,R457,R457+U456)*IF(OR(C457&gt;ÉV!$I$2,AND(C457=ÉV!$I$2,D457&gt;ÉV!$J$2)),0,1)</f>
        <v>0</v>
      </c>
      <c r="V457" s="271">
        <f ca="1">IF($D457=1,S457,S457+V456)*IF(OR(C457&gt;ÉV!$I$2,AND(C457=ÉV!$I$2,D457&gt;ÉV!$J$2)),0,1)</f>
        <v>0</v>
      </c>
      <c r="W457" s="271">
        <f ca="1">IF($D457=1,T457,T457+W456)*IF(OR(C457&gt;ÉV!$I$2,AND(C457=ÉV!$I$2,D457&gt;ÉV!$J$2)),0,1)</f>
        <v>0</v>
      </c>
      <c r="X457" s="271">
        <f ca="1">IF(OR(D457=12,AND(C457=ÉV!$I$2,D457=ÉV!$J$2)),SUM(U457:W457)+X456,X456)*IF(OR(C457&gt;ÉV!$I$2,AND(C457=ÉV!$I$2,D457&gt;ÉV!$J$2)),0,1)</f>
        <v>0</v>
      </c>
      <c r="Y457" s="271">
        <f t="shared" ca="1" si="81"/>
        <v>0</v>
      </c>
      <c r="Z457" s="265">
        <f t="shared" si="82"/>
        <v>11</v>
      </c>
      <c r="AA457" s="272">
        <f t="shared" ca="1" si="83"/>
        <v>0</v>
      </c>
      <c r="AB457" s="265">
        <f t="shared" ca="1" si="87"/>
        <v>2055</v>
      </c>
      <c r="AC457" s="265">
        <f t="shared" ca="1" si="88"/>
        <v>2</v>
      </c>
      <c r="AD457" s="276">
        <f ca="1">IF(     OR(               AND(MAX(AF$6:AF457)&lt;2,  AC457=12),                 AF457=2),                   SUMIF(AB:AB,AB457,AA:AA),                       0)</f>
        <v>0</v>
      </c>
      <c r="AE457" s="277">
        <f t="shared" ca="1" si="78"/>
        <v>0</v>
      </c>
      <c r="AF457" s="277">
        <f t="shared" ca="1" si="84"/>
        <v>0</v>
      </c>
      <c r="AG457" s="402">
        <f ca="1">IF(  AND(AC457=AdóHó,   MAX(AF$1:AF456)&lt;2),   SUMIF(AB:AB,AB457-1,AE:AE),0  )
+ IF(AND(AC457&lt;AdóHó,                            AF457=2),   SUMIF(AB:AB,AB457-1,AE:AE),0  )
+ IF(                                                                  AF457=2,    SUMIF(AB:AB,AB457,AE:AE   ),0  )</f>
        <v>0</v>
      </c>
      <c r="AH457" s="272">
        <f ca="1">SUM(AG$2:AG457)</f>
        <v>1139324.2410681627</v>
      </c>
    </row>
    <row r="458" spans="1:34">
      <c r="A458" s="265">
        <f t="shared" si="79"/>
        <v>38</v>
      </c>
      <c r="B458" s="265">
        <f t="shared" si="80"/>
        <v>12</v>
      </c>
      <c r="C458" s="265">
        <f t="shared" ca="1" si="85"/>
        <v>39</v>
      </c>
      <c r="D458" s="265">
        <f t="shared" ca="1" si="86"/>
        <v>3</v>
      </c>
      <c r="E458" s="266">
        <v>5.0000000000000001E-3</v>
      </c>
      <c r="F458" s="267">
        <f>ÉV!$B$12</f>
        <v>0</v>
      </c>
      <c r="G458" s="271">
        <f ca="1">VLOOKUP(A458,ÉV!$A$18:$B$65,2,0)</f>
        <v>0</v>
      </c>
      <c r="H458" s="271">
        <f ca="1">IF(OR(A458=1,AND(C458=ÉV!$I$2,D458&gt;ÉV!$J$2),C458&gt;ÉV!$I$2),0,INDEX(Pz!$B$2:$AM$48,A458-1,ÉV!$G$2-9)/100000*ÉV!$B$10)</f>
        <v>0</v>
      </c>
      <c r="I458" s="271">
        <f ca="1">INDEX(Pz!$B$2:$AM$48,HÓ!A458,ÉV!$G$2-9)/100000*ÉV!$B$10</f>
        <v>0</v>
      </c>
      <c r="J458" s="273">
        <f ca="1">IF(OR(A458=1,A458=2,AND(C458=ÉV!$I$2,D458&gt;ÉV!$J$2),C458&gt;ÉV!$I$2),0,VLOOKUP(A458-2,ÉV!$A$18:$C$65,3,0))</f>
        <v>0</v>
      </c>
      <c r="K458" s="273">
        <f ca="1">IF(OR(A458=1,AND(C458=ÉV!$I$2,D458&gt;ÉV!$J$2),C458&gt;ÉV!$I$2),0,VLOOKUP(A458-1,ÉV!$A$18:$C$65,3,0))</f>
        <v>0</v>
      </c>
      <c r="L458" s="273">
        <f ca="1">VLOOKUP(A458,ÉV!$A$18:$C$65,3,0)*IF(OR(AND(C458=ÉV!$I$2,D458&gt;ÉV!$J$2),C458&gt;ÉV!$I$2),0,1)</f>
        <v>0</v>
      </c>
      <c r="M458" s="273">
        <f ca="1">(K458*(12-B458)/12+L458*B458/12)*IF(A458&gt;ÉV!$G$2,0,1)+IF(A458&gt;ÉV!$G$2,M457,0)*IF(OR(AND(C458=ÉV!$I$2,D458&gt;ÉV!$J$2),C458&gt;ÉV!$I$2),0,1)</f>
        <v>0</v>
      </c>
      <c r="N458" s="274">
        <f ca="1">IF(AND(C458=1,D458&lt;12),0,1)*IF(D458=12,MAX(0,F458-E458-0.003)*0.9*((K458+I458)*(B458/12)+(J458+H458)*(1-B458/12))+MAX(0,F458-0.003)*0.9*N457+N457,IF(AND(C458=ÉV!$I$2,D458=ÉV!$J$2),(M458+N457)*MAX(0,F458-0.003)*0.9*(D458/12)+N457,N457))*IF(OR(C458&gt;ÉV!$I$2,AND(C458=ÉV!$I$2,D458&gt;ÉV!$J$2)),0,1)</f>
        <v>0</v>
      </c>
      <c r="O458" s="313">
        <f ca="1">IF(MAX(AF$2:AF457)=2,      0,IF(OR(AC458=7, AF458=2),    SUM(AE$2:AE458),    O457)   )</f>
        <v>0</v>
      </c>
      <c r="P458" s="271">
        <f ca="1">IF(D458=12,V458+P457+P457*(F458-0.003)*0.9,IF(AND(C458=ÉV!$I$2,D458=ÉV!$J$2),V458+P457+P457*(F458-0.003)*0.9*D458/12,P457))*IF(OR(C458&gt;ÉV!$I$2,AND(C458=ÉV!$I$2,D458&gt;ÉV!$J$2)),0,1)</f>
        <v>0</v>
      </c>
      <c r="Q458" s="275">
        <f ca="1">(N458+P458)*IF(OR(AND(C458=ÉV!$I$2,D458&gt;ÉV!$J$2),C458&gt;ÉV!$I$2),0,1)</f>
        <v>0</v>
      </c>
      <c r="R458" s="271">
        <f ca="1">(MAX(0,F458-E458-0.003)*0.9*((K458+I458)*(1/12)))*IF(OR(C458&gt;ÉV!$I$2,AND(C458=ÉV!$I$2,D458&gt;ÉV!$J$2)),0,1)</f>
        <v>0</v>
      </c>
      <c r="S458" s="271">
        <f ca="1">(MAX(0,F458-0.003)*0.9*((O458)*(1/12)))*IF(OR(C458&gt;ÉV!$I$2,AND(C458=ÉV!$I$2,D458&gt;ÉV!$J$2)),0,1)</f>
        <v>0</v>
      </c>
      <c r="T458" s="271">
        <f ca="1">(MAX(0,F458-0.003)*0.9*((Q457)*(1/12)))*IF(OR(C458&gt;ÉV!$I$2,AND(C458=ÉV!$I$2,D458&gt;ÉV!$J$2)),0,1)</f>
        <v>0</v>
      </c>
      <c r="U458" s="271">
        <f ca="1">IF($D458=1,R458,R458+U457)*IF(OR(C458&gt;ÉV!$I$2,AND(C458=ÉV!$I$2,D458&gt;ÉV!$J$2)),0,1)</f>
        <v>0</v>
      </c>
      <c r="V458" s="271">
        <f ca="1">IF($D458=1,S458,S458+V457)*IF(OR(C458&gt;ÉV!$I$2,AND(C458=ÉV!$I$2,D458&gt;ÉV!$J$2)),0,1)</f>
        <v>0</v>
      </c>
      <c r="W458" s="271">
        <f ca="1">IF($D458=1,T458,T458+W457)*IF(OR(C458&gt;ÉV!$I$2,AND(C458=ÉV!$I$2,D458&gt;ÉV!$J$2)),0,1)</f>
        <v>0</v>
      </c>
      <c r="X458" s="271">
        <f ca="1">IF(OR(D458=12,AND(C458=ÉV!$I$2,D458=ÉV!$J$2)),SUM(U458:W458)+X457,X457)*IF(OR(C458&gt;ÉV!$I$2,AND(C458=ÉV!$I$2,D458&gt;ÉV!$J$2)),0,1)</f>
        <v>0</v>
      </c>
      <c r="Y458" s="271">
        <f t="shared" ca="1" si="81"/>
        <v>0</v>
      </c>
      <c r="Z458" s="265">
        <f t="shared" si="82"/>
        <v>12</v>
      </c>
      <c r="AA458" s="272">
        <f t="shared" ca="1" si="83"/>
        <v>0</v>
      </c>
      <c r="AB458" s="265">
        <f t="shared" ca="1" si="87"/>
        <v>2055</v>
      </c>
      <c r="AC458" s="265">
        <f t="shared" ca="1" si="88"/>
        <v>3</v>
      </c>
      <c r="AD458" s="276">
        <f ca="1">IF(     OR(               AND(MAX(AF$6:AF458)&lt;2,  AC458=12),                 AF458=2),                   SUMIF(AB:AB,AB458,AA:AA),                       0)</f>
        <v>0</v>
      </c>
      <c r="AE458" s="277">
        <f t="shared" ca="1" si="78"/>
        <v>0</v>
      </c>
      <c r="AF458" s="277">
        <f t="shared" ca="1" si="84"/>
        <v>0</v>
      </c>
      <c r="AG458" s="402">
        <f ca="1">IF(  AND(AC458=AdóHó,   MAX(AF$1:AF457)&lt;2),   SUMIF(AB:AB,AB458-1,AE:AE),0  )
+ IF(AND(AC458&lt;AdóHó,                            AF458=2),   SUMIF(AB:AB,AB458-1,AE:AE),0  )
+ IF(                                                                  AF458=2,    SUMIF(AB:AB,AB458,AE:AE   ),0  )</f>
        <v>0</v>
      </c>
      <c r="AH458" s="272">
        <f ca="1">SUM(AG$2:AG458)</f>
        <v>1139324.2410681627</v>
      </c>
    </row>
    <row r="459" spans="1:34">
      <c r="A459" s="265">
        <f t="shared" si="79"/>
        <v>39</v>
      </c>
      <c r="B459" s="265">
        <f t="shared" si="80"/>
        <v>1</v>
      </c>
      <c r="C459" s="265">
        <f t="shared" ca="1" si="85"/>
        <v>39</v>
      </c>
      <c r="D459" s="265">
        <f t="shared" ca="1" si="86"/>
        <v>4</v>
      </c>
      <c r="E459" s="266">
        <v>5.0000000000000001E-3</v>
      </c>
      <c r="F459" s="267">
        <f>ÉV!$B$12</f>
        <v>0</v>
      </c>
      <c r="G459" s="271">
        <f ca="1">VLOOKUP(A459,ÉV!$A$18:$B$65,2,0)</f>
        <v>0</v>
      </c>
      <c r="H459" s="271">
        <f ca="1">IF(OR(A459=1,AND(C459=ÉV!$I$2,D459&gt;ÉV!$J$2),C459&gt;ÉV!$I$2),0,INDEX(Pz!$B$2:$AM$48,A459-1,ÉV!$G$2-9)/100000*ÉV!$B$10)</f>
        <v>0</v>
      </c>
      <c r="I459" s="271">
        <f ca="1">INDEX(Pz!$B$2:$AM$48,HÓ!A459,ÉV!$G$2-9)/100000*ÉV!$B$10</f>
        <v>0</v>
      </c>
      <c r="J459" s="273">
        <f ca="1">IF(OR(A459=1,A459=2,AND(C459=ÉV!$I$2,D459&gt;ÉV!$J$2),C459&gt;ÉV!$I$2),0,VLOOKUP(A459-2,ÉV!$A$18:$C$65,3,0))</f>
        <v>0</v>
      </c>
      <c r="K459" s="273">
        <f ca="1">IF(OR(A459=1,AND(C459=ÉV!$I$2,D459&gt;ÉV!$J$2),C459&gt;ÉV!$I$2),0,VLOOKUP(A459-1,ÉV!$A$18:$C$65,3,0))</f>
        <v>0</v>
      </c>
      <c r="L459" s="273">
        <f ca="1">VLOOKUP(A459,ÉV!$A$18:$C$65,3,0)*IF(OR(AND(C459=ÉV!$I$2,D459&gt;ÉV!$J$2),C459&gt;ÉV!$I$2),0,1)</f>
        <v>0</v>
      </c>
      <c r="M459" s="273">
        <f ca="1">(K459*(12-B459)/12+L459*B459/12)*IF(A459&gt;ÉV!$G$2,0,1)+IF(A459&gt;ÉV!$G$2,M458,0)*IF(OR(AND(C459=ÉV!$I$2,D459&gt;ÉV!$J$2),C459&gt;ÉV!$I$2),0,1)</f>
        <v>0</v>
      </c>
      <c r="N459" s="274">
        <f ca="1">IF(AND(C459=1,D459&lt;12),0,1)*IF(D459=12,MAX(0,F459-E459-0.003)*0.9*((K459+I459)*(B459/12)+(J459+H459)*(1-B459/12))+MAX(0,F459-0.003)*0.9*N458+N458,IF(AND(C459=ÉV!$I$2,D459=ÉV!$J$2),(M459+N458)*MAX(0,F459-0.003)*0.9*(D459/12)+N458,N458))*IF(OR(C459&gt;ÉV!$I$2,AND(C459=ÉV!$I$2,D459&gt;ÉV!$J$2)),0,1)</f>
        <v>0</v>
      </c>
      <c r="O459" s="313">
        <f ca="1">IF(MAX(AF$2:AF458)=2,      0,IF(OR(AC459=7, AF459=2),    SUM(AE$2:AE459),    O458)   )</f>
        <v>0</v>
      </c>
      <c r="P459" s="271">
        <f ca="1">IF(D459=12,V459+P458+P458*(F459-0.003)*0.9,IF(AND(C459=ÉV!$I$2,D459=ÉV!$J$2),V459+P458+P458*(F459-0.003)*0.9*D459/12,P458))*IF(OR(C459&gt;ÉV!$I$2,AND(C459=ÉV!$I$2,D459&gt;ÉV!$J$2)),0,1)</f>
        <v>0</v>
      </c>
      <c r="Q459" s="275">
        <f ca="1">(N459+P459)*IF(OR(AND(C459=ÉV!$I$2,D459&gt;ÉV!$J$2),C459&gt;ÉV!$I$2),0,1)</f>
        <v>0</v>
      </c>
      <c r="R459" s="271">
        <f ca="1">(MAX(0,F459-E459-0.003)*0.9*((K459+I459)*(1/12)))*IF(OR(C459&gt;ÉV!$I$2,AND(C459=ÉV!$I$2,D459&gt;ÉV!$J$2)),0,1)</f>
        <v>0</v>
      </c>
      <c r="S459" s="271">
        <f ca="1">(MAX(0,F459-0.003)*0.9*((O459)*(1/12)))*IF(OR(C459&gt;ÉV!$I$2,AND(C459=ÉV!$I$2,D459&gt;ÉV!$J$2)),0,1)</f>
        <v>0</v>
      </c>
      <c r="T459" s="271">
        <f ca="1">(MAX(0,F459-0.003)*0.9*((Q458)*(1/12)))*IF(OR(C459&gt;ÉV!$I$2,AND(C459=ÉV!$I$2,D459&gt;ÉV!$J$2)),0,1)</f>
        <v>0</v>
      </c>
      <c r="U459" s="271">
        <f ca="1">IF($D459=1,R459,R459+U458)*IF(OR(C459&gt;ÉV!$I$2,AND(C459=ÉV!$I$2,D459&gt;ÉV!$J$2)),0,1)</f>
        <v>0</v>
      </c>
      <c r="V459" s="271">
        <f ca="1">IF($D459=1,S459,S459+V458)*IF(OR(C459&gt;ÉV!$I$2,AND(C459=ÉV!$I$2,D459&gt;ÉV!$J$2)),0,1)</f>
        <v>0</v>
      </c>
      <c r="W459" s="271">
        <f ca="1">IF($D459=1,T459,T459+W458)*IF(OR(C459&gt;ÉV!$I$2,AND(C459=ÉV!$I$2,D459&gt;ÉV!$J$2)),0,1)</f>
        <v>0</v>
      </c>
      <c r="X459" s="271">
        <f ca="1">IF(OR(D459=12,AND(C459=ÉV!$I$2,D459=ÉV!$J$2)),SUM(U459:W459)+X458,X458)*IF(OR(C459&gt;ÉV!$I$2,AND(C459=ÉV!$I$2,D459&gt;ÉV!$J$2)),0,1)</f>
        <v>0</v>
      </c>
      <c r="Y459" s="271">
        <f t="shared" ca="1" si="81"/>
        <v>0</v>
      </c>
      <c r="Z459" s="265">
        <f t="shared" si="82"/>
        <v>1</v>
      </c>
      <c r="AA459" s="272">
        <f t="shared" ca="1" si="83"/>
        <v>0</v>
      </c>
      <c r="AB459" s="265">
        <f t="shared" ca="1" si="87"/>
        <v>2055</v>
      </c>
      <c r="AC459" s="265">
        <f t="shared" ca="1" si="88"/>
        <v>4</v>
      </c>
      <c r="AD459" s="276">
        <f ca="1">IF(     OR(               AND(MAX(AF$6:AF459)&lt;2,  AC459=12),                 AF459=2),                   SUMIF(AB:AB,AB459,AA:AA),                       0)</f>
        <v>0</v>
      </c>
      <c r="AE459" s="277">
        <f t="shared" ca="1" si="78"/>
        <v>0</v>
      </c>
      <c r="AF459" s="277">
        <f t="shared" ca="1" si="84"/>
        <v>0</v>
      </c>
      <c r="AG459" s="402">
        <f ca="1">IF(  AND(AC459=AdóHó,   MAX(AF$1:AF458)&lt;2),   SUMIF(AB:AB,AB459-1,AE:AE),0  )
+ IF(AND(AC459&lt;AdóHó,                            AF459=2),   SUMIF(AB:AB,AB459-1,AE:AE),0  )
+ IF(                                                                  AF459=2,    SUMIF(AB:AB,AB459,AE:AE   ),0  )</f>
        <v>0</v>
      </c>
      <c r="AH459" s="272">
        <f ca="1">SUM(AG$2:AG459)</f>
        <v>1139324.2410681627</v>
      </c>
    </row>
    <row r="460" spans="1:34">
      <c r="A460" s="265">
        <f t="shared" si="79"/>
        <v>39</v>
      </c>
      <c r="B460" s="265">
        <f t="shared" si="80"/>
        <v>2</v>
      </c>
      <c r="C460" s="265">
        <f t="shared" ca="1" si="85"/>
        <v>39</v>
      </c>
      <c r="D460" s="265">
        <f t="shared" ca="1" si="86"/>
        <v>5</v>
      </c>
      <c r="E460" s="266">
        <v>5.0000000000000001E-3</v>
      </c>
      <c r="F460" s="267">
        <f>ÉV!$B$12</f>
        <v>0</v>
      </c>
      <c r="G460" s="271">
        <f ca="1">VLOOKUP(A460,ÉV!$A$18:$B$65,2,0)</f>
        <v>0</v>
      </c>
      <c r="H460" s="271">
        <f ca="1">IF(OR(A460=1,AND(C460=ÉV!$I$2,D460&gt;ÉV!$J$2),C460&gt;ÉV!$I$2),0,INDEX(Pz!$B$2:$AM$48,A460-1,ÉV!$G$2-9)/100000*ÉV!$B$10)</f>
        <v>0</v>
      </c>
      <c r="I460" s="271">
        <f ca="1">INDEX(Pz!$B$2:$AM$48,HÓ!A460,ÉV!$G$2-9)/100000*ÉV!$B$10</f>
        <v>0</v>
      </c>
      <c r="J460" s="273">
        <f ca="1">IF(OR(A460=1,A460=2,AND(C460=ÉV!$I$2,D460&gt;ÉV!$J$2),C460&gt;ÉV!$I$2),0,VLOOKUP(A460-2,ÉV!$A$18:$C$65,3,0))</f>
        <v>0</v>
      </c>
      <c r="K460" s="273">
        <f ca="1">IF(OR(A460=1,AND(C460=ÉV!$I$2,D460&gt;ÉV!$J$2),C460&gt;ÉV!$I$2),0,VLOOKUP(A460-1,ÉV!$A$18:$C$65,3,0))</f>
        <v>0</v>
      </c>
      <c r="L460" s="273">
        <f ca="1">VLOOKUP(A460,ÉV!$A$18:$C$65,3,0)*IF(OR(AND(C460=ÉV!$I$2,D460&gt;ÉV!$J$2),C460&gt;ÉV!$I$2),0,1)</f>
        <v>0</v>
      </c>
      <c r="M460" s="273">
        <f ca="1">(K460*(12-B460)/12+L460*B460/12)*IF(A460&gt;ÉV!$G$2,0,1)+IF(A460&gt;ÉV!$G$2,M459,0)*IF(OR(AND(C460=ÉV!$I$2,D460&gt;ÉV!$J$2),C460&gt;ÉV!$I$2),0,1)</f>
        <v>0</v>
      </c>
      <c r="N460" s="274">
        <f ca="1">IF(AND(C460=1,D460&lt;12),0,1)*IF(D460=12,MAX(0,F460-E460-0.003)*0.9*((K460+I460)*(B460/12)+(J460+H460)*(1-B460/12))+MAX(0,F460-0.003)*0.9*N459+N459,IF(AND(C460=ÉV!$I$2,D460=ÉV!$J$2),(M460+N459)*MAX(0,F460-0.003)*0.9*(D460/12)+N459,N459))*IF(OR(C460&gt;ÉV!$I$2,AND(C460=ÉV!$I$2,D460&gt;ÉV!$J$2)),0,1)</f>
        <v>0</v>
      </c>
      <c r="O460" s="313">
        <f ca="1">IF(MAX(AF$2:AF459)=2,      0,IF(OR(AC460=7, AF460=2),    SUM(AE$2:AE460),    O459)   )</f>
        <v>0</v>
      </c>
      <c r="P460" s="271">
        <f ca="1">IF(D460=12,V460+P459+P459*(F460-0.003)*0.9,IF(AND(C460=ÉV!$I$2,D460=ÉV!$J$2),V460+P459+P459*(F460-0.003)*0.9*D460/12,P459))*IF(OR(C460&gt;ÉV!$I$2,AND(C460=ÉV!$I$2,D460&gt;ÉV!$J$2)),0,1)</f>
        <v>0</v>
      </c>
      <c r="Q460" s="275">
        <f ca="1">(N460+P460)*IF(OR(AND(C460=ÉV!$I$2,D460&gt;ÉV!$J$2),C460&gt;ÉV!$I$2),0,1)</f>
        <v>0</v>
      </c>
      <c r="R460" s="271">
        <f ca="1">(MAX(0,F460-E460-0.003)*0.9*((K460+I460)*(1/12)))*IF(OR(C460&gt;ÉV!$I$2,AND(C460=ÉV!$I$2,D460&gt;ÉV!$J$2)),0,1)</f>
        <v>0</v>
      </c>
      <c r="S460" s="271">
        <f ca="1">(MAX(0,F460-0.003)*0.9*((O460)*(1/12)))*IF(OR(C460&gt;ÉV!$I$2,AND(C460=ÉV!$I$2,D460&gt;ÉV!$J$2)),0,1)</f>
        <v>0</v>
      </c>
      <c r="T460" s="271">
        <f ca="1">(MAX(0,F460-0.003)*0.9*((Q459)*(1/12)))*IF(OR(C460&gt;ÉV!$I$2,AND(C460=ÉV!$I$2,D460&gt;ÉV!$J$2)),0,1)</f>
        <v>0</v>
      </c>
      <c r="U460" s="271">
        <f ca="1">IF($D460=1,R460,R460+U459)*IF(OR(C460&gt;ÉV!$I$2,AND(C460=ÉV!$I$2,D460&gt;ÉV!$J$2)),0,1)</f>
        <v>0</v>
      </c>
      <c r="V460" s="271">
        <f ca="1">IF($D460=1,S460,S460+V459)*IF(OR(C460&gt;ÉV!$I$2,AND(C460=ÉV!$I$2,D460&gt;ÉV!$J$2)),0,1)</f>
        <v>0</v>
      </c>
      <c r="W460" s="271">
        <f ca="1">IF($D460=1,T460,T460+W459)*IF(OR(C460&gt;ÉV!$I$2,AND(C460=ÉV!$I$2,D460&gt;ÉV!$J$2)),0,1)</f>
        <v>0</v>
      </c>
      <c r="X460" s="271">
        <f ca="1">IF(OR(D460=12,AND(C460=ÉV!$I$2,D460=ÉV!$J$2)),SUM(U460:W460)+X459,X459)*IF(OR(C460&gt;ÉV!$I$2,AND(C460=ÉV!$I$2,D460&gt;ÉV!$J$2)),0,1)</f>
        <v>0</v>
      </c>
      <c r="Y460" s="271">
        <f t="shared" ca="1" si="81"/>
        <v>0</v>
      </c>
      <c r="Z460" s="265">
        <f t="shared" si="82"/>
        <v>2</v>
      </c>
      <c r="AA460" s="272">
        <f t="shared" ca="1" si="83"/>
        <v>0</v>
      </c>
      <c r="AB460" s="265">
        <f t="shared" ca="1" si="87"/>
        <v>2055</v>
      </c>
      <c r="AC460" s="265">
        <f t="shared" ca="1" si="88"/>
        <v>5</v>
      </c>
      <c r="AD460" s="276">
        <f ca="1">IF(     OR(               AND(MAX(AF$6:AF460)&lt;2,  AC460=12),                 AF460=2),                   SUMIF(AB:AB,AB460,AA:AA),                       0)</f>
        <v>0</v>
      </c>
      <c r="AE460" s="277">
        <f t="shared" ca="1" si="78"/>
        <v>0</v>
      </c>
      <c r="AF460" s="277">
        <f t="shared" ca="1" si="84"/>
        <v>0</v>
      </c>
      <c r="AG460" s="402">
        <f ca="1">IF(  AND(AC460=AdóHó,   MAX(AF$1:AF459)&lt;2),   SUMIF(AB:AB,AB460-1,AE:AE),0  )
+ IF(AND(AC460&lt;AdóHó,                            AF460=2),   SUMIF(AB:AB,AB460-1,AE:AE),0  )
+ IF(                                                                  AF460=2,    SUMIF(AB:AB,AB460,AE:AE   ),0  )</f>
        <v>0</v>
      </c>
      <c r="AH460" s="272">
        <f ca="1">SUM(AG$2:AG460)</f>
        <v>1139324.2410681627</v>
      </c>
    </row>
    <row r="461" spans="1:34">
      <c r="A461" s="265">
        <f t="shared" si="79"/>
        <v>39</v>
      </c>
      <c r="B461" s="265">
        <f t="shared" si="80"/>
        <v>3</v>
      </c>
      <c r="C461" s="265">
        <f t="shared" ca="1" si="85"/>
        <v>39</v>
      </c>
      <c r="D461" s="265">
        <f t="shared" ca="1" si="86"/>
        <v>6</v>
      </c>
      <c r="E461" s="266">
        <v>5.0000000000000001E-3</v>
      </c>
      <c r="F461" s="267">
        <f>ÉV!$B$12</f>
        <v>0</v>
      </c>
      <c r="G461" s="271">
        <f ca="1">VLOOKUP(A461,ÉV!$A$18:$B$65,2,0)</f>
        <v>0</v>
      </c>
      <c r="H461" s="271">
        <f ca="1">IF(OR(A461=1,AND(C461=ÉV!$I$2,D461&gt;ÉV!$J$2),C461&gt;ÉV!$I$2),0,INDEX(Pz!$B$2:$AM$48,A461-1,ÉV!$G$2-9)/100000*ÉV!$B$10)</f>
        <v>0</v>
      </c>
      <c r="I461" s="271">
        <f ca="1">INDEX(Pz!$B$2:$AM$48,HÓ!A461,ÉV!$G$2-9)/100000*ÉV!$B$10</f>
        <v>0</v>
      </c>
      <c r="J461" s="273">
        <f ca="1">IF(OR(A461=1,A461=2,AND(C461=ÉV!$I$2,D461&gt;ÉV!$J$2),C461&gt;ÉV!$I$2),0,VLOOKUP(A461-2,ÉV!$A$18:$C$65,3,0))</f>
        <v>0</v>
      </c>
      <c r="K461" s="273">
        <f ca="1">IF(OR(A461=1,AND(C461=ÉV!$I$2,D461&gt;ÉV!$J$2),C461&gt;ÉV!$I$2),0,VLOOKUP(A461-1,ÉV!$A$18:$C$65,3,0))</f>
        <v>0</v>
      </c>
      <c r="L461" s="273">
        <f ca="1">VLOOKUP(A461,ÉV!$A$18:$C$65,3,0)*IF(OR(AND(C461=ÉV!$I$2,D461&gt;ÉV!$J$2),C461&gt;ÉV!$I$2),0,1)</f>
        <v>0</v>
      </c>
      <c r="M461" s="273">
        <f ca="1">(K461*(12-B461)/12+L461*B461/12)*IF(A461&gt;ÉV!$G$2,0,1)+IF(A461&gt;ÉV!$G$2,M460,0)*IF(OR(AND(C461=ÉV!$I$2,D461&gt;ÉV!$J$2),C461&gt;ÉV!$I$2),0,1)</f>
        <v>0</v>
      </c>
      <c r="N461" s="274">
        <f ca="1">IF(AND(C461=1,D461&lt;12),0,1)*IF(D461=12,MAX(0,F461-E461-0.003)*0.9*((K461+I461)*(B461/12)+(J461+H461)*(1-B461/12))+MAX(0,F461-0.003)*0.9*N460+N460,IF(AND(C461=ÉV!$I$2,D461=ÉV!$J$2),(M461+N460)*MAX(0,F461-0.003)*0.9*(D461/12)+N460,N460))*IF(OR(C461&gt;ÉV!$I$2,AND(C461=ÉV!$I$2,D461&gt;ÉV!$J$2)),0,1)</f>
        <v>0</v>
      </c>
      <c r="O461" s="313">
        <f ca="1">IF(MAX(AF$2:AF460)=2,      0,IF(OR(AC461=7, AF461=2),    SUM(AE$2:AE461),    O460)   )</f>
        <v>0</v>
      </c>
      <c r="P461" s="271">
        <f ca="1">IF(D461=12,V461+P460+P460*(F461-0.003)*0.9,IF(AND(C461=ÉV!$I$2,D461=ÉV!$J$2),V461+P460+P460*(F461-0.003)*0.9*D461/12,P460))*IF(OR(C461&gt;ÉV!$I$2,AND(C461=ÉV!$I$2,D461&gt;ÉV!$J$2)),0,1)</f>
        <v>0</v>
      </c>
      <c r="Q461" s="275">
        <f ca="1">(N461+P461)*IF(OR(AND(C461=ÉV!$I$2,D461&gt;ÉV!$J$2),C461&gt;ÉV!$I$2),0,1)</f>
        <v>0</v>
      </c>
      <c r="R461" s="271">
        <f ca="1">(MAX(0,F461-E461-0.003)*0.9*((K461+I461)*(1/12)))*IF(OR(C461&gt;ÉV!$I$2,AND(C461=ÉV!$I$2,D461&gt;ÉV!$J$2)),0,1)</f>
        <v>0</v>
      </c>
      <c r="S461" s="271">
        <f ca="1">(MAX(0,F461-0.003)*0.9*((O461)*(1/12)))*IF(OR(C461&gt;ÉV!$I$2,AND(C461=ÉV!$I$2,D461&gt;ÉV!$J$2)),0,1)</f>
        <v>0</v>
      </c>
      <c r="T461" s="271">
        <f ca="1">(MAX(0,F461-0.003)*0.9*((Q460)*(1/12)))*IF(OR(C461&gt;ÉV!$I$2,AND(C461=ÉV!$I$2,D461&gt;ÉV!$J$2)),0,1)</f>
        <v>0</v>
      </c>
      <c r="U461" s="271">
        <f ca="1">IF($D461=1,R461,R461+U460)*IF(OR(C461&gt;ÉV!$I$2,AND(C461=ÉV!$I$2,D461&gt;ÉV!$J$2)),0,1)</f>
        <v>0</v>
      </c>
      <c r="V461" s="271">
        <f ca="1">IF($D461=1,S461,S461+V460)*IF(OR(C461&gt;ÉV!$I$2,AND(C461=ÉV!$I$2,D461&gt;ÉV!$J$2)),0,1)</f>
        <v>0</v>
      </c>
      <c r="W461" s="271">
        <f ca="1">IF($D461=1,T461,T461+W460)*IF(OR(C461&gt;ÉV!$I$2,AND(C461=ÉV!$I$2,D461&gt;ÉV!$J$2)),0,1)</f>
        <v>0</v>
      </c>
      <c r="X461" s="271">
        <f ca="1">IF(OR(D461=12,AND(C461=ÉV!$I$2,D461=ÉV!$J$2)),SUM(U461:W461)+X460,X460)*IF(OR(C461&gt;ÉV!$I$2,AND(C461=ÉV!$I$2,D461&gt;ÉV!$J$2)),0,1)</f>
        <v>0</v>
      </c>
      <c r="Y461" s="271">
        <f t="shared" ca="1" si="81"/>
        <v>0</v>
      </c>
      <c r="Z461" s="265">
        <f t="shared" si="82"/>
        <v>3</v>
      </c>
      <c r="AA461" s="272">
        <f t="shared" ca="1" si="83"/>
        <v>0</v>
      </c>
      <c r="AB461" s="265">
        <f t="shared" ca="1" si="87"/>
        <v>2055</v>
      </c>
      <c r="AC461" s="265">
        <f t="shared" ca="1" si="88"/>
        <v>6</v>
      </c>
      <c r="AD461" s="276">
        <f ca="1">IF(     OR(               AND(MAX(AF$6:AF461)&lt;2,  AC461=12),                 AF461=2),                   SUMIF(AB:AB,AB461,AA:AA),                       0)</f>
        <v>0</v>
      </c>
      <c r="AE461" s="277">
        <f t="shared" ca="1" si="78"/>
        <v>0</v>
      </c>
      <c r="AF461" s="277">
        <f t="shared" ca="1" si="84"/>
        <v>0</v>
      </c>
      <c r="AG461" s="402">
        <f ca="1">IF(  AND(AC461=AdóHó,   MAX(AF$1:AF460)&lt;2),   SUMIF(AB:AB,AB461-1,AE:AE),0  )
+ IF(AND(AC461&lt;AdóHó,                            AF461=2),   SUMIF(AB:AB,AB461-1,AE:AE),0  )
+ IF(                                                                  AF461=2,    SUMIF(AB:AB,AB461,AE:AE   ),0  )</f>
        <v>0</v>
      </c>
      <c r="AH461" s="272">
        <f ca="1">SUM(AG$2:AG461)</f>
        <v>1139324.2410681627</v>
      </c>
    </row>
    <row r="462" spans="1:34">
      <c r="A462" s="265">
        <f t="shared" si="79"/>
        <v>39</v>
      </c>
      <c r="B462" s="265">
        <f t="shared" si="80"/>
        <v>4</v>
      </c>
      <c r="C462" s="265">
        <f t="shared" ca="1" si="85"/>
        <v>39</v>
      </c>
      <c r="D462" s="265">
        <f t="shared" ca="1" si="86"/>
        <v>7</v>
      </c>
      <c r="E462" s="266">
        <v>5.0000000000000001E-3</v>
      </c>
      <c r="F462" s="267">
        <f>ÉV!$B$12</f>
        <v>0</v>
      </c>
      <c r="G462" s="271">
        <f ca="1">VLOOKUP(A462,ÉV!$A$18:$B$65,2,0)</f>
        <v>0</v>
      </c>
      <c r="H462" s="271">
        <f ca="1">IF(OR(A462=1,AND(C462=ÉV!$I$2,D462&gt;ÉV!$J$2),C462&gt;ÉV!$I$2),0,INDEX(Pz!$B$2:$AM$48,A462-1,ÉV!$G$2-9)/100000*ÉV!$B$10)</f>
        <v>0</v>
      </c>
      <c r="I462" s="271">
        <f ca="1">INDEX(Pz!$B$2:$AM$48,HÓ!A462,ÉV!$G$2-9)/100000*ÉV!$B$10</f>
        <v>0</v>
      </c>
      <c r="J462" s="273">
        <f ca="1">IF(OR(A462=1,A462=2,AND(C462=ÉV!$I$2,D462&gt;ÉV!$J$2),C462&gt;ÉV!$I$2),0,VLOOKUP(A462-2,ÉV!$A$18:$C$65,3,0))</f>
        <v>0</v>
      </c>
      <c r="K462" s="273">
        <f ca="1">IF(OR(A462=1,AND(C462=ÉV!$I$2,D462&gt;ÉV!$J$2),C462&gt;ÉV!$I$2),0,VLOOKUP(A462-1,ÉV!$A$18:$C$65,3,0))</f>
        <v>0</v>
      </c>
      <c r="L462" s="273">
        <f ca="1">VLOOKUP(A462,ÉV!$A$18:$C$65,3,0)*IF(OR(AND(C462=ÉV!$I$2,D462&gt;ÉV!$J$2),C462&gt;ÉV!$I$2),0,1)</f>
        <v>0</v>
      </c>
      <c r="M462" s="273">
        <f ca="1">(K462*(12-B462)/12+L462*B462/12)*IF(A462&gt;ÉV!$G$2,0,1)+IF(A462&gt;ÉV!$G$2,M461,0)*IF(OR(AND(C462=ÉV!$I$2,D462&gt;ÉV!$J$2),C462&gt;ÉV!$I$2),0,1)</f>
        <v>0</v>
      </c>
      <c r="N462" s="274">
        <f ca="1">IF(AND(C462=1,D462&lt;12),0,1)*IF(D462=12,MAX(0,F462-E462-0.003)*0.9*((K462+I462)*(B462/12)+(J462+H462)*(1-B462/12))+MAX(0,F462-0.003)*0.9*N461+N461,IF(AND(C462=ÉV!$I$2,D462=ÉV!$J$2),(M462+N461)*MAX(0,F462-0.003)*0.9*(D462/12)+N461,N461))*IF(OR(C462&gt;ÉV!$I$2,AND(C462=ÉV!$I$2,D462&gt;ÉV!$J$2)),0,1)</f>
        <v>0</v>
      </c>
      <c r="O462" s="313">
        <f ca="1">IF(MAX(AF$2:AF461)=2,      0,IF(OR(AC462=7, AF462=2),    SUM(AE$2:AE462),    O461)   )</f>
        <v>0</v>
      </c>
      <c r="P462" s="271">
        <f ca="1">IF(D462=12,V462+P461+P461*(F462-0.003)*0.9,IF(AND(C462=ÉV!$I$2,D462=ÉV!$J$2),V462+P461+P461*(F462-0.003)*0.9*D462/12,P461))*IF(OR(C462&gt;ÉV!$I$2,AND(C462=ÉV!$I$2,D462&gt;ÉV!$J$2)),0,1)</f>
        <v>0</v>
      </c>
      <c r="Q462" s="275">
        <f ca="1">(N462+P462)*IF(OR(AND(C462=ÉV!$I$2,D462&gt;ÉV!$J$2),C462&gt;ÉV!$I$2),0,1)</f>
        <v>0</v>
      </c>
      <c r="R462" s="271">
        <f ca="1">(MAX(0,F462-E462-0.003)*0.9*((K462+I462)*(1/12)))*IF(OR(C462&gt;ÉV!$I$2,AND(C462=ÉV!$I$2,D462&gt;ÉV!$J$2)),0,1)</f>
        <v>0</v>
      </c>
      <c r="S462" s="271">
        <f ca="1">(MAX(0,F462-0.003)*0.9*((O462)*(1/12)))*IF(OR(C462&gt;ÉV!$I$2,AND(C462=ÉV!$I$2,D462&gt;ÉV!$J$2)),0,1)</f>
        <v>0</v>
      </c>
      <c r="T462" s="271">
        <f ca="1">(MAX(0,F462-0.003)*0.9*((Q461)*(1/12)))*IF(OR(C462&gt;ÉV!$I$2,AND(C462=ÉV!$I$2,D462&gt;ÉV!$J$2)),0,1)</f>
        <v>0</v>
      </c>
      <c r="U462" s="271">
        <f ca="1">IF($D462=1,R462,R462+U461)*IF(OR(C462&gt;ÉV!$I$2,AND(C462=ÉV!$I$2,D462&gt;ÉV!$J$2)),0,1)</f>
        <v>0</v>
      </c>
      <c r="V462" s="271">
        <f ca="1">IF($D462=1,S462,S462+V461)*IF(OR(C462&gt;ÉV!$I$2,AND(C462=ÉV!$I$2,D462&gt;ÉV!$J$2)),0,1)</f>
        <v>0</v>
      </c>
      <c r="W462" s="271">
        <f ca="1">IF($D462=1,T462,T462+W461)*IF(OR(C462&gt;ÉV!$I$2,AND(C462=ÉV!$I$2,D462&gt;ÉV!$J$2)),0,1)</f>
        <v>0</v>
      </c>
      <c r="X462" s="271">
        <f ca="1">IF(OR(D462=12,AND(C462=ÉV!$I$2,D462=ÉV!$J$2)),SUM(U462:W462)+X461,X461)*IF(OR(C462&gt;ÉV!$I$2,AND(C462=ÉV!$I$2,D462&gt;ÉV!$J$2)),0,1)</f>
        <v>0</v>
      </c>
      <c r="Y462" s="271">
        <f t="shared" ca="1" si="81"/>
        <v>0</v>
      </c>
      <c r="Z462" s="265">
        <f t="shared" si="82"/>
        <v>4</v>
      </c>
      <c r="AA462" s="272">
        <f t="shared" ca="1" si="83"/>
        <v>0</v>
      </c>
      <c r="AB462" s="265">
        <f t="shared" ca="1" si="87"/>
        <v>2055</v>
      </c>
      <c r="AC462" s="265">
        <f t="shared" ca="1" si="88"/>
        <v>7</v>
      </c>
      <c r="AD462" s="276">
        <f ca="1">IF(     OR(               AND(MAX(AF$6:AF462)&lt;2,  AC462=12),                 AF462=2),                   SUMIF(AB:AB,AB462,AA:AA),                       0)</f>
        <v>0</v>
      </c>
      <c r="AE462" s="277">
        <f t="shared" ref="AE462:AE525" ca="1" si="89">MIN(AD462*0.2,130000)</f>
        <v>0</v>
      </c>
      <c r="AF462" s="277">
        <f t="shared" ca="1" si="84"/>
        <v>0</v>
      </c>
      <c r="AG462" s="402">
        <f ca="1">IF(  AND(AC462=AdóHó,   MAX(AF$1:AF461)&lt;2),   SUMIF(AB:AB,AB462-1,AE:AE),0  )
+ IF(AND(AC462&lt;AdóHó,                            AF462=2),   SUMIF(AB:AB,AB462-1,AE:AE),0  )
+ IF(                                                                  AF462=2,    SUMIF(AB:AB,AB462,AE:AE   ),0  )</f>
        <v>0</v>
      </c>
      <c r="AH462" s="272">
        <f ca="1">SUM(AG$2:AG462)</f>
        <v>1139324.2410681627</v>
      </c>
    </row>
    <row r="463" spans="1:34">
      <c r="A463" s="265">
        <f t="shared" si="79"/>
        <v>39</v>
      </c>
      <c r="B463" s="265">
        <f t="shared" si="80"/>
        <v>5</v>
      </c>
      <c r="C463" s="265">
        <f t="shared" ca="1" si="85"/>
        <v>39</v>
      </c>
      <c r="D463" s="265">
        <f t="shared" ca="1" si="86"/>
        <v>8</v>
      </c>
      <c r="E463" s="266">
        <v>5.0000000000000001E-3</v>
      </c>
      <c r="F463" s="267">
        <f>ÉV!$B$12</f>
        <v>0</v>
      </c>
      <c r="G463" s="271">
        <f ca="1">VLOOKUP(A463,ÉV!$A$18:$B$65,2,0)</f>
        <v>0</v>
      </c>
      <c r="H463" s="271">
        <f ca="1">IF(OR(A463=1,AND(C463=ÉV!$I$2,D463&gt;ÉV!$J$2),C463&gt;ÉV!$I$2),0,INDEX(Pz!$B$2:$AM$48,A463-1,ÉV!$G$2-9)/100000*ÉV!$B$10)</f>
        <v>0</v>
      </c>
      <c r="I463" s="271">
        <f ca="1">INDEX(Pz!$B$2:$AM$48,HÓ!A463,ÉV!$G$2-9)/100000*ÉV!$B$10</f>
        <v>0</v>
      </c>
      <c r="J463" s="273">
        <f ca="1">IF(OR(A463=1,A463=2,AND(C463=ÉV!$I$2,D463&gt;ÉV!$J$2),C463&gt;ÉV!$I$2),0,VLOOKUP(A463-2,ÉV!$A$18:$C$65,3,0))</f>
        <v>0</v>
      </c>
      <c r="K463" s="273">
        <f ca="1">IF(OR(A463=1,AND(C463=ÉV!$I$2,D463&gt;ÉV!$J$2),C463&gt;ÉV!$I$2),0,VLOOKUP(A463-1,ÉV!$A$18:$C$65,3,0))</f>
        <v>0</v>
      </c>
      <c r="L463" s="273">
        <f ca="1">VLOOKUP(A463,ÉV!$A$18:$C$65,3,0)*IF(OR(AND(C463=ÉV!$I$2,D463&gt;ÉV!$J$2),C463&gt;ÉV!$I$2),0,1)</f>
        <v>0</v>
      </c>
      <c r="M463" s="273">
        <f ca="1">(K463*(12-B463)/12+L463*B463/12)*IF(A463&gt;ÉV!$G$2,0,1)+IF(A463&gt;ÉV!$G$2,M462,0)*IF(OR(AND(C463=ÉV!$I$2,D463&gt;ÉV!$J$2),C463&gt;ÉV!$I$2),0,1)</f>
        <v>0</v>
      </c>
      <c r="N463" s="274">
        <f ca="1">IF(AND(C463=1,D463&lt;12),0,1)*IF(D463=12,MAX(0,F463-E463-0.003)*0.9*((K463+I463)*(B463/12)+(J463+H463)*(1-B463/12))+MAX(0,F463-0.003)*0.9*N462+N462,IF(AND(C463=ÉV!$I$2,D463=ÉV!$J$2),(M463+N462)*MAX(0,F463-0.003)*0.9*(D463/12)+N462,N462))*IF(OR(C463&gt;ÉV!$I$2,AND(C463=ÉV!$I$2,D463&gt;ÉV!$J$2)),0,1)</f>
        <v>0</v>
      </c>
      <c r="O463" s="313">
        <f ca="1">IF(MAX(AF$2:AF462)=2,      0,IF(OR(AC463=7, AF463=2),    SUM(AE$2:AE463),    O462)   )</f>
        <v>0</v>
      </c>
      <c r="P463" s="271">
        <f ca="1">IF(D463=12,V463+P462+P462*(F463-0.003)*0.9,IF(AND(C463=ÉV!$I$2,D463=ÉV!$J$2),V463+P462+P462*(F463-0.003)*0.9*D463/12,P462))*IF(OR(C463&gt;ÉV!$I$2,AND(C463=ÉV!$I$2,D463&gt;ÉV!$J$2)),0,1)</f>
        <v>0</v>
      </c>
      <c r="Q463" s="275">
        <f ca="1">(N463+P463)*IF(OR(AND(C463=ÉV!$I$2,D463&gt;ÉV!$J$2),C463&gt;ÉV!$I$2),0,1)</f>
        <v>0</v>
      </c>
      <c r="R463" s="271">
        <f ca="1">(MAX(0,F463-E463-0.003)*0.9*((K463+I463)*(1/12)))*IF(OR(C463&gt;ÉV!$I$2,AND(C463=ÉV!$I$2,D463&gt;ÉV!$J$2)),0,1)</f>
        <v>0</v>
      </c>
      <c r="S463" s="271">
        <f ca="1">(MAX(0,F463-0.003)*0.9*((O463)*(1/12)))*IF(OR(C463&gt;ÉV!$I$2,AND(C463=ÉV!$I$2,D463&gt;ÉV!$J$2)),0,1)</f>
        <v>0</v>
      </c>
      <c r="T463" s="271">
        <f ca="1">(MAX(0,F463-0.003)*0.9*((Q462)*(1/12)))*IF(OR(C463&gt;ÉV!$I$2,AND(C463=ÉV!$I$2,D463&gt;ÉV!$J$2)),0,1)</f>
        <v>0</v>
      </c>
      <c r="U463" s="271">
        <f ca="1">IF($D463=1,R463,R463+U462)*IF(OR(C463&gt;ÉV!$I$2,AND(C463=ÉV!$I$2,D463&gt;ÉV!$J$2)),0,1)</f>
        <v>0</v>
      </c>
      <c r="V463" s="271">
        <f ca="1">IF($D463=1,S463,S463+V462)*IF(OR(C463&gt;ÉV!$I$2,AND(C463=ÉV!$I$2,D463&gt;ÉV!$J$2)),0,1)</f>
        <v>0</v>
      </c>
      <c r="W463" s="271">
        <f ca="1">IF($D463=1,T463,T463+W462)*IF(OR(C463&gt;ÉV!$I$2,AND(C463=ÉV!$I$2,D463&gt;ÉV!$J$2)),0,1)</f>
        <v>0</v>
      </c>
      <c r="X463" s="271">
        <f ca="1">IF(OR(D463=12,AND(C463=ÉV!$I$2,D463=ÉV!$J$2)),SUM(U463:W463)+X462,X462)*IF(OR(C463&gt;ÉV!$I$2,AND(C463=ÉV!$I$2,D463&gt;ÉV!$J$2)),0,1)</f>
        <v>0</v>
      </c>
      <c r="Y463" s="271">
        <f t="shared" ca="1" si="81"/>
        <v>0</v>
      </c>
      <c r="Z463" s="265">
        <f t="shared" si="82"/>
        <v>5</v>
      </c>
      <c r="AA463" s="272">
        <f t="shared" ca="1" si="83"/>
        <v>0</v>
      </c>
      <c r="AB463" s="265">
        <f t="shared" ca="1" si="87"/>
        <v>2055</v>
      </c>
      <c r="AC463" s="265">
        <f t="shared" ca="1" si="88"/>
        <v>8</v>
      </c>
      <c r="AD463" s="276">
        <f ca="1">IF(     OR(               AND(MAX(AF$6:AF463)&lt;2,  AC463=12),                 AF463=2),                   SUMIF(AB:AB,AB463,AA:AA),                       0)</f>
        <v>0</v>
      </c>
      <c r="AE463" s="277">
        <f t="shared" ca="1" si="89"/>
        <v>0</v>
      </c>
      <c r="AF463" s="277">
        <f t="shared" ca="1" si="84"/>
        <v>0</v>
      </c>
      <c r="AG463" s="402">
        <f ca="1">IF(  AND(AC463=AdóHó,   MAX(AF$1:AF462)&lt;2),   SUMIF(AB:AB,AB463-1,AE:AE),0  )
+ IF(AND(AC463&lt;AdóHó,                            AF463=2),   SUMIF(AB:AB,AB463-1,AE:AE),0  )
+ IF(                                                                  AF463=2,    SUMIF(AB:AB,AB463,AE:AE   ),0  )</f>
        <v>0</v>
      </c>
      <c r="AH463" s="272">
        <f ca="1">SUM(AG$2:AG463)</f>
        <v>1139324.2410681627</v>
      </c>
    </row>
    <row r="464" spans="1:34">
      <c r="A464" s="265">
        <f t="shared" si="79"/>
        <v>39</v>
      </c>
      <c r="B464" s="265">
        <f t="shared" si="80"/>
        <v>6</v>
      </c>
      <c r="C464" s="265">
        <f t="shared" ca="1" si="85"/>
        <v>39</v>
      </c>
      <c r="D464" s="265">
        <f t="shared" ca="1" si="86"/>
        <v>9</v>
      </c>
      <c r="E464" s="266">
        <v>5.0000000000000001E-3</v>
      </c>
      <c r="F464" s="267">
        <f>ÉV!$B$12</f>
        <v>0</v>
      </c>
      <c r="G464" s="271">
        <f ca="1">VLOOKUP(A464,ÉV!$A$18:$B$65,2,0)</f>
        <v>0</v>
      </c>
      <c r="H464" s="271">
        <f ca="1">IF(OR(A464=1,AND(C464=ÉV!$I$2,D464&gt;ÉV!$J$2),C464&gt;ÉV!$I$2),0,INDEX(Pz!$B$2:$AM$48,A464-1,ÉV!$G$2-9)/100000*ÉV!$B$10)</f>
        <v>0</v>
      </c>
      <c r="I464" s="271">
        <f ca="1">INDEX(Pz!$B$2:$AM$48,HÓ!A464,ÉV!$G$2-9)/100000*ÉV!$B$10</f>
        <v>0</v>
      </c>
      <c r="J464" s="273">
        <f ca="1">IF(OR(A464=1,A464=2,AND(C464=ÉV!$I$2,D464&gt;ÉV!$J$2),C464&gt;ÉV!$I$2),0,VLOOKUP(A464-2,ÉV!$A$18:$C$65,3,0))</f>
        <v>0</v>
      </c>
      <c r="K464" s="273">
        <f ca="1">IF(OR(A464=1,AND(C464=ÉV!$I$2,D464&gt;ÉV!$J$2),C464&gt;ÉV!$I$2),0,VLOOKUP(A464-1,ÉV!$A$18:$C$65,3,0))</f>
        <v>0</v>
      </c>
      <c r="L464" s="273">
        <f ca="1">VLOOKUP(A464,ÉV!$A$18:$C$65,3,0)*IF(OR(AND(C464=ÉV!$I$2,D464&gt;ÉV!$J$2),C464&gt;ÉV!$I$2),0,1)</f>
        <v>0</v>
      </c>
      <c r="M464" s="273">
        <f ca="1">(K464*(12-B464)/12+L464*B464/12)*IF(A464&gt;ÉV!$G$2,0,1)+IF(A464&gt;ÉV!$G$2,M463,0)*IF(OR(AND(C464=ÉV!$I$2,D464&gt;ÉV!$J$2),C464&gt;ÉV!$I$2),0,1)</f>
        <v>0</v>
      </c>
      <c r="N464" s="274">
        <f ca="1">IF(AND(C464=1,D464&lt;12),0,1)*IF(D464=12,MAX(0,F464-E464-0.003)*0.9*((K464+I464)*(B464/12)+(J464+H464)*(1-B464/12))+MAX(0,F464-0.003)*0.9*N463+N463,IF(AND(C464=ÉV!$I$2,D464=ÉV!$J$2),(M464+N463)*MAX(0,F464-0.003)*0.9*(D464/12)+N463,N463))*IF(OR(C464&gt;ÉV!$I$2,AND(C464=ÉV!$I$2,D464&gt;ÉV!$J$2)),0,1)</f>
        <v>0</v>
      </c>
      <c r="O464" s="313">
        <f ca="1">IF(MAX(AF$2:AF463)=2,      0,IF(OR(AC464=7, AF464=2),    SUM(AE$2:AE464),    O463)   )</f>
        <v>0</v>
      </c>
      <c r="P464" s="271">
        <f ca="1">IF(D464=12,V464+P463+P463*(F464-0.003)*0.9,IF(AND(C464=ÉV!$I$2,D464=ÉV!$J$2),V464+P463+P463*(F464-0.003)*0.9*D464/12,P463))*IF(OR(C464&gt;ÉV!$I$2,AND(C464=ÉV!$I$2,D464&gt;ÉV!$J$2)),0,1)</f>
        <v>0</v>
      </c>
      <c r="Q464" s="275">
        <f ca="1">(N464+P464)*IF(OR(AND(C464=ÉV!$I$2,D464&gt;ÉV!$J$2),C464&gt;ÉV!$I$2),0,1)</f>
        <v>0</v>
      </c>
      <c r="R464" s="271">
        <f ca="1">(MAX(0,F464-E464-0.003)*0.9*((K464+I464)*(1/12)))*IF(OR(C464&gt;ÉV!$I$2,AND(C464=ÉV!$I$2,D464&gt;ÉV!$J$2)),0,1)</f>
        <v>0</v>
      </c>
      <c r="S464" s="271">
        <f ca="1">(MAX(0,F464-0.003)*0.9*((O464)*(1/12)))*IF(OR(C464&gt;ÉV!$I$2,AND(C464=ÉV!$I$2,D464&gt;ÉV!$J$2)),0,1)</f>
        <v>0</v>
      </c>
      <c r="T464" s="271">
        <f ca="1">(MAX(0,F464-0.003)*0.9*((Q463)*(1/12)))*IF(OR(C464&gt;ÉV!$I$2,AND(C464=ÉV!$I$2,D464&gt;ÉV!$J$2)),0,1)</f>
        <v>0</v>
      </c>
      <c r="U464" s="271">
        <f ca="1">IF($D464=1,R464,R464+U463)*IF(OR(C464&gt;ÉV!$I$2,AND(C464=ÉV!$I$2,D464&gt;ÉV!$J$2)),0,1)</f>
        <v>0</v>
      </c>
      <c r="V464" s="271">
        <f ca="1">IF($D464=1,S464,S464+V463)*IF(OR(C464&gt;ÉV!$I$2,AND(C464=ÉV!$I$2,D464&gt;ÉV!$J$2)),0,1)</f>
        <v>0</v>
      </c>
      <c r="W464" s="271">
        <f ca="1">IF($D464=1,T464,T464+W463)*IF(OR(C464&gt;ÉV!$I$2,AND(C464=ÉV!$I$2,D464&gt;ÉV!$J$2)),0,1)</f>
        <v>0</v>
      </c>
      <c r="X464" s="271">
        <f ca="1">IF(OR(D464=12,AND(C464=ÉV!$I$2,D464=ÉV!$J$2)),SUM(U464:W464)+X463,X463)*IF(OR(C464&gt;ÉV!$I$2,AND(C464=ÉV!$I$2,D464&gt;ÉV!$J$2)),0,1)</f>
        <v>0</v>
      </c>
      <c r="Y464" s="271">
        <f t="shared" ca="1" si="81"/>
        <v>0</v>
      </c>
      <c r="Z464" s="265">
        <f t="shared" si="82"/>
        <v>6</v>
      </c>
      <c r="AA464" s="272">
        <f t="shared" ca="1" si="83"/>
        <v>0</v>
      </c>
      <c r="AB464" s="265">
        <f t="shared" ca="1" si="87"/>
        <v>2055</v>
      </c>
      <c r="AC464" s="265">
        <f t="shared" ca="1" si="88"/>
        <v>9</v>
      </c>
      <c r="AD464" s="276">
        <f ca="1">IF(     OR(               AND(MAX(AF$6:AF464)&lt;2,  AC464=12),                 AF464=2),                   SUMIF(AB:AB,AB464,AA:AA),                       0)</f>
        <v>0</v>
      </c>
      <c r="AE464" s="277">
        <f t="shared" ca="1" si="89"/>
        <v>0</v>
      </c>
      <c r="AF464" s="277">
        <f t="shared" ca="1" si="84"/>
        <v>0</v>
      </c>
      <c r="AG464" s="402">
        <f ca="1">IF(  AND(AC464=AdóHó,   MAX(AF$1:AF463)&lt;2),   SUMIF(AB:AB,AB464-1,AE:AE),0  )
+ IF(AND(AC464&lt;AdóHó,                            AF464=2),   SUMIF(AB:AB,AB464-1,AE:AE),0  )
+ IF(                                                                  AF464=2,    SUMIF(AB:AB,AB464,AE:AE   ),0  )</f>
        <v>0</v>
      </c>
      <c r="AH464" s="272">
        <f ca="1">SUM(AG$2:AG464)</f>
        <v>1139324.2410681627</v>
      </c>
    </row>
    <row r="465" spans="1:34">
      <c r="A465" s="265">
        <f t="shared" si="79"/>
        <v>39</v>
      </c>
      <c r="B465" s="265">
        <f t="shared" si="80"/>
        <v>7</v>
      </c>
      <c r="C465" s="265">
        <f t="shared" ca="1" si="85"/>
        <v>39</v>
      </c>
      <c r="D465" s="265">
        <f t="shared" ca="1" si="86"/>
        <v>10</v>
      </c>
      <c r="E465" s="266">
        <v>5.0000000000000001E-3</v>
      </c>
      <c r="F465" s="267">
        <f>ÉV!$B$12</f>
        <v>0</v>
      </c>
      <c r="G465" s="271">
        <f ca="1">VLOOKUP(A465,ÉV!$A$18:$B$65,2,0)</f>
        <v>0</v>
      </c>
      <c r="H465" s="271">
        <f ca="1">IF(OR(A465=1,AND(C465=ÉV!$I$2,D465&gt;ÉV!$J$2),C465&gt;ÉV!$I$2),0,INDEX(Pz!$B$2:$AM$48,A465-1,ÉV!$G$2-9)/100000*ÉV!$B$10)</f>
        <v>0</v>
      </c>
      <c r="I465" s="271">
        <f ca="1">INDEX(Pz!$B$2:$AM$48,HÓ!A465,ÉV!$G$2-9)/100000*ÉV!$B$10</f>
        <v>0</v>
      </c>
      <c r="J465" s="273">
        <f ca="1">IF(OR(A465=1,A465=2,AND(C465=ÉV!$I$2,D465&gt;ÉV!$J$2),C465&gt;ÉV!$I$2),0,VLOOKUP(A465-2,ÉV!$A$18:$C$65,3,0))</f>
        <v>0</v>
      </c>
      <c r="K465" s="273">
        <f ca="1">IF(OR(A465=1,AND(C465=ÉV!$I$2,D465&gt;ÉV!$J$2),C465&gt;ÉV!$I$2),0,VLOOKUP(A465-1,ÉV!$A$18:$C$65,3,0))</f>
        <v>0</v>
      </c>
      <c r="L465" s="273">
        <f ca="1">VLOOKUP(A465,ÉV!$A$18:$C$65,3,0)*IF(OR(AND(C465=ÉV!$I$2,D465&gt;ÉV!$J$2),C465&gt;ÉV!$I$2),0,1)</f>
        <v>0</v>
      </c>
      <c r="M465" s="273">
        <f ca="1">(K465*(12-B465)/12+L465*B465/12)*IF(A465&gt;ÉV!$G$2,0,1)+IF(A465&gt;ÉV!$G$2,M464,0)*IF(OR(AND(C465=ÉV!$I$2,D465&gt;ÉV!$J$2),C465&gt;ÉV!$I$2),0,1)</f>
        <v>0</v>
      </c>
      <c r="N465" s="274">
        <f ca="1">IF(AND(C465=1,D465&lt;12),0,1)*IF(D465=12,MAX(0,F465-E465-0.003)*0.9*((K465+I465)*(B465/12)+(J465+H465)*(1-B465/12))+MAX(0,F465-0.003)*0.9*N464+N464,IF(AND(C465=ÉV!$I$2,D465=ÉV!$J$2),(M465+N464)*MAX(0,F465-0.003)*0.9*(D465/12)+N464,N464))*IF(OR(C465&gt;ÉV!$I$2,AND(C465=ÉV!$I$2,D465&gt;ÉV!$J$2)),0,1)</f>
        <v>0</v>
      </c>
      <c r="O465" s="313">
        <f ca="1">IF(MAX(AF$2:AF464)=2,      0,IF(OR(AC465=7, AF465=2),    SUM(AE$2:AE465),    O464)   )</f>
        <v>0</v>
      </c>
      <c r="P465" s="271">
        <f ca="1">IF(D465=12,V465+P464+P464*(F465-0.003)*0.9,IF(AND(C465=ÉV!$I$2,D465=ÉV!$J$2),V465+P464+P464*(F465-0.003)*0.9*D465/12,P464))*IF(OR(C465&gt;ÉV!$I$2,AND(C465=ÉV!$I$2,D465&gt;ÉV!$J$2)),0,1)</f>
        <v>0</v>
      </c>
      <c r="Q465" s="275">
        <f ca="1">(N465+P465)*IF(OR(AND(C465=ÉV!$I$2,D465&gt;ÉV!$J$2),C465&gt;ÉV!$I$2),0,1)</f>
        <v>0</v>
      </c>
      <c r="R465" s="271">
        <f ca="1">(MAX(0,F465-E465-0.003)*0.9*((K465+I465)*(1/12)))*IF(OR(C465&gt;ÉV!$I$2,AND(C465=ÉV!$I$2,D465&gt;ÉV!$J$2)),0,1)</f>
        <v>0</v>
      </c>
      <c r="S465" s="271">
        <f ca="1">(MAX(0,F465-0.003)*0.9*((O465)*(1/12)))*IF(OR(C465&gt;ÉV!$I$2,AND(C465=ÉV!$I$2,D465&gt;ÉV!$J$2)),0,1)</f>
        <v>0</v>
      </c>
      <c r="T465" s="271">
        <f ca="1">(MAX(0,F465-0.003)*0.9*((Q464)*(1/12)))*IF(OR(C465&gt;ÉV!$I$2,AND(C465=ÉV!$I$2,D465&gt;ÉV!$J$2)),0,1)</f>
        <v>0</v>
      </c>
      <c r="U465" s="271">
        <f ca="1">IF($D465=1,R465,R465+U464)*IF(OR(C465&gt;ÉV!$I$2,AND(C465=ÉV!$I$2,D465&gt;ÉV!$J$2)),0,1)</f>
        <v>0</v>
      </c>
      <c r="V465" s="271">
        <f ca="1">IF($D465=1,S465,S465+V464)*IF(OR(C465&gt;ÉV!$I$2,AND(C465=ÉV!$I$2,D465&gt;ÉV!$J$2)),0,1)</f>
        <v>0</v>
      </c>
      <c r="W465" s="271">
        <f ca="1">IF($D465=1,T465,T465+W464)*IF(OR(C465&gt;ÉV!$I$2,AND(C465=ÉV!$I$2,D465&gt;ÉV!$J$2)),0,1)</f>
        <v>0</v>
      </c>
      <c r="X465" s="271">
        <f ca="1">IF(OR(D465=12,AND(C465=ÉV!$I$2,D465=ÉV!$J$2)),SUM(U465:W465)+X464,X464)*IF(OR(C465&gt;ÉV!$I$2,AND(C465=ÉV!$I$2,D465&gt;ÉV!$J$2)),0,1)</f>
        <v>0</v>
      </c>
      <c r="Y465" s="271">
        <f t="shared" ca="1" si="81"/>
        <v>0</v>
      </c>
      <c r="Z465" s="265">
        <f t="shared" si="82"/>
        <v>7</v>
      </c>
      <c r="AA465" s="272">
        <f t="shared" ca="1" si="83"/>
        <v>0</v>
      </c>
      <c r="AB465" s="265">
        <f t="shared" ca="1" si="87"/>
        <v>2055</v>
      </c>
      <c r="AC465" s="265">
        <f t="shared" ca="1" si="88"/>
        <v>10</v>
      </c>
      <c r="AD465" s="276">
        <f ca="1">IF(     OR(               AND(MAX(AF$6:AF465)&lt;2,  AC465=12),                 AF465=2),                   SUMIF(AB:AB,AB465,AA:AA),                       0)</f>
        <v>0</v>
      </c>
      <c r="AE465" s="277">
        <f t="shared" ca="1" si="89"/>
        <v>0</v>
      </c>
      <c r="AF465" s="277">
        <f t="shared" ca="1" si="84"/>
        <v>0</v>
      </c>
      <c r="AG465" s="402">
        <f ca="1">IF(  AND(AC465=AdóHó,   MAX(AF$1:AF464)&lt;2),   SUMIF(AB:AB,AB465-1,AE:AE),0  )
+ IF(AND(AC465&lt;AdóHó,                            AF465=2),   SUMIF(AB:AB,AB465-1,AE:AE),0  )
+ IF(                                                                  AF465=2,    SUMIF(AB:AB,AB465,AE:AE   ),0  )</f>
        <v>0</v>
      </c>
      <c r="AH465" s="272">
        <f ca="1">SUM(AG$2:AG465)</f>
        <v>1139324.2410681627</v>
      </c>
    </row>
    <row r="466" spans="1:34">
      <c r="A466" s="265">
        <f t="shared" si="79"/>
        <v>39</v>
      </c>
      <c r="B466" s="265">
        <f t="shared" si="80"/>
        <v>8</v>
      </c>
      <c r="C466" s="265">
        <f t="shared" ca="1" si="85"/>
        <v>39</v>
      </c>
      <c r="D466" s="265">
        <f t="shared" ca="1" si="86"/>
        <v>11</v>
      </c>
      <c r="E466" s="266">
        <v>5.0000000000000001E-3</v>
      </c>
      <c r="F466" s="267">
        <f>ÉV!$B$12</f>
        <v>0</v>
      </c>
      <c r="G466" s="271">
        <f ca="1">VLOOKUP(A466,ÉV!$A$18:$B$65,2,0)</f>
        <v>0</v>
      </c>
      <c r="H466" s="271">
        <f ca="1">IF(OR(A466=1,AND(C466=ÉV!$I$2,D466&gt;ÉV!$J$2),C466&gt;ÉV!$I$2),0,INDEX(Pz!$B$2:$AM$48,A466-1,ÉV!$G$2-9)/100000*ÉV!$B$10)</f>
        <v>0</v>
      </c>
      <c r="I466" s="271">
        <f ca="1">INDEX(Pz!$B$2:$AM$48,HÓ!A466,ÉV!$G$2-9)/100000*ÉV!$B$10</f>
        <v>0</v>
      </c>
      <c r="J466" s="273">
        <f ca="1">IF(OR(A466=1,A466=2,AND(C466=ÉV!$I$2,D466&gt;ÉV!$J$2),C466&gt;ÉV!$I$2),0,VLOOKUP(A466-2,ÉV!$A$18:$C$65,3,0))</f>
        <v>0</v>
      </c>
      <c r="K466" s="273">
        <f ca="1">IF(OR(A466=1,AND(C466=ÉV!$I$2,D466&gt;ÉV!$J$2),C466&gt;ÉV!$I$2),0,VLOOKUP(A466-1,ÉV!$A$18:$C$65,3,0))</f>
        <v>0</v>
      </c>
      <c r="L466" s="273">
        <f ca="1">VLOOKUP(A466,ÉV!$A$18:$C$65,3,0)*IF(OR(AND(C466=ÉV!$I$2,D466&gt;ÉV!$J$2),C466&gt;ÉV!$I$2),0,1)</f>
        <v>0</v>
      </c>
      <c r="M466" s="273">
        <f ca="1">(K466*(12-B466)/12+L466*B466/12)*IF(A466&gt;ÉV!$G$2,0,1)+IF(A466&gt;ÉV!$G$2,M465,0)*IF(OR(AND(C466=ÉV!$I$2,D466&gt;ÉV!$J$2),C466&gt;ÉV!$I$2),0,1)</f>
        <v>0</v>
      </c>
      <c r="N466" s="274">
        <f ca="1">IF(AND(C466=1,D466&lt;12),0,1)*IF(D466=12,MAX(0,F466-E466-0.003)*0.9*((K466+I466)*(B466/12)+(J466+H466)*(1-B466/12))+MAX(0,F466-0.003)*0.9*N465+N465,IF(AND(C466=ÉV!$I$2,D466=ÉV!$J$2),(M466+N465)*MAX(0,F466-0.003)*0.9*(D466/12)+N465,N465))*IF(OR(C466&gt;ÉV!$I$2,AND(C466=ÉV!$I$2,D466&gt;ÉV!$J$2)),0,1)</f>
        <v>0</v>
      </c>
      <c r="O466" s="313">
        <f ca="1">IF(MAX(AF$2:AF465)=2,      0,IF(OR(AC466=7, AF466=2),    SUM(AE$2:AE466),    O465)   )</f>
        <v>0</v>
      </c>
      <c r="P466" s="271">
        <f ca="1">IF(D466=12,V466+P465+P465*(F466-0.003)*0.9,IF(AND(C466=ÉV!$I$2,D466=ÉV!$J$2),V466+P465+P465*(F466-0.003)*0.9*D466/12,P465))*IF(OR(C466&gt;ÉV!$I$2,AND(C466=ÉV!$I$2,D466&gt;ÉV!$J$2)),0,1)</f>
        <v>0</v>
      </c>
      <c r="Q466" s="275">
        <f ca="1">(N466+P466)*IF(OR(AND(C466=ÉV!$I$2,D466&gt;ÉV!$J$2),C466&gt;ÉV!$I$2),0,1)</f>
        <v>0</v>
      </c>
      <c r="R466" s="271">
        <f ca="1">(MAX(0,F466-E466-0.003)*0.9*((K466+I466)*(1/12)))*IF(OR(C466&gt;ÉV!$I$2,AND(C466=ÉV!$I$2,D466&gt;ÉV!$J$2)),0,1)</f>
        <v>0</v>
      </c>
      <c r="S466" s="271">
        <f ca="1">(MAX(0,F466-0.003)*0.9*((O466)*(1/12)))*IF(OR(C466&gt;ÉV!$I$2,AND(C466=ÉV!$I$2,D466&gt;ÉV!$J$2)),0,1)</f>
        <v>0</v>
      </c>
      <c r="T466" s="271">
        <f ca="1">(MAX(0,F466-0.003)*0.9*((Q465)*(1/12)))*IF(OR(C466&gt;ÉV!$I$2,AND(C466=ÉV!$I$2,D466&gt;ÉV!$J$2)),0,1)</f>
        <v>0</v>
      </c>
      <c r="U466" s="271">
        <f ca="1">IF($D466=1,R466,R466+U465)*IF(OR(C466&gt;ÉV!$I$2,AND(C466=ÉV!$I$2,D466&gt;ÉV!$J$2)),0,1)</f>
        <v>0</v>
      </c>
      <c r="V466" s="271">
        <f ca="1">IF($D466=1,S466,S466+V465)*IF(OR(C466&gt;ÉV!$I$2,AND(C466=ÉV!$I$2,D466&gt;ÉV!$J$2)),0,1)</f>
        <v>0</v>
      </c>
      <c r="W466" s="271">
        <f ca="1">IF($D466=1,T466,T466+W465)*IF(OR(C466&gt;ÉV!$I$2,AND(C466=ÉV!$I$2,D466&gt;ÉV!$J$2)),0,1)</f>
        <v>0</v>
      </c>
      <c r="X466" s="271">
        <f ca="1">IF(OR(D466=12,AND(C466=ÉV!$I$2,D466=ÉV!$J$2)),SUM(U466:W466)+X465,X465)*IF(OR(C466&gt;ÉV!$I$2,AND(C466=ÉV!$I$2,D466&gt;ÉV!$J$2)),0,1)</f>
        <v>0</v>
      </c>
      <c r="Y466" s="271">
        <f t="shared" ca="1" si="81"/>
        <v>0</v>
      </c>
      <c r="Z466" s="265">
        <f t="shared" si="82"/>
        <v>8</v>
      </c>
      <c r="AA466" s="272">
        <f t="shared" ca="1" si="83"/>
        <v>0</v>
      </c>
      <c r="AB466" s="265">
        <f t="shared" ca="1" si="87"/>
        <v>2055</v>
      </c>
      <c r="AC466" s="265">
        <f t="shared" ca="1" si="88"/>
        <v>11</v>
      </c>
      <c r="AD466" s="276">
        <f ca="1">IF(     OR(               AND(MAX(AF$6:AF466)&lt;2,  AC466=12),                 AF466=2),                   SUMIF(AB:AB,AB466,AA:AA),                       0)</f>
        <v>0</v>
      </c>
      <c r="AE466" s="277">
        <f t="shared" ca="1" si="89"/>
        <v>0</v>
      </c>
      <c r="AF466" s="277">
        <f t="shared" ca="1" si="84"/>
        <v>0</v>
      </c>
      <c r="AG466" s="402">
        <f ca="1">IF(  AND(AC466=AdóHó,   MAX(AF$1:AF465)&lt;2),   SUMIF(AB:AB,AB466-1,AE:AE),0  )
+ IF(AND(AC466&lt;AdóHó,                            AF466=2),   SUMIF(AB:AB,AB466-1,AE:AE),0  )
+ IF(                                                                  AF466=2,    SUMIF(AB:AB,AB466,AE:AE   ),0  )</f>
        <v>0</v>
      </c>
      <c r="AH466" s="272">
        <f ca="1">SUM(AG$2:AG466)</f>
        <v>1139324.2410681627</v>
      </c>
    </row>
    <row r="467" spans="1:34">
      <c r="A467" s="265">
        <f t="shared" si="79"/>
        <v>39</v>
      </c>
      <c r="B467" s="265">
        <f t="shared" si="80"/>
        <v>9</v>
      </c>
      <c r="C467" s="265">
        <f t="shared" ca="1" si="85"/>
        <v>39</v>
      </c>
      <c r="D467" s="265">
        <f t="shared" ca="1" si="86"/>
        <v>12</v>
      </c>
      <c r="E467" s="266">
        <v>5.0000000000000001E-3</v>
      </c>
      <c r="F467" s="267">
        <f>ÉV!$B$12</f>
        <v>0</v>
      </c>
      <c r="G467" s="271">
        <f ca="1">VLOOKUP(A467,ÉV!$A$18:$B$65,2,0)</f>
        <v>0</v>
      </c>
      <c r="H467" s="271">
        <f ca="1">IF(OR(A467=1,AND(C467=ÉV!$I$2,D467&gt;ÉV!$J$2),C467&gt;ÉV!$I$2),0,INDEX(Pz!$B$2:$AM$48,A467-1,ÉV!$G$2-9)/100000*ÉV!$B$10)</f>
        <v>0</v>
      </c>
      <c r="I467" s="271">
        <f ca="1">INDEX(Pz!$B$2:$AM$48,HÓ!A467,ÉV!$G$2-9)/100000*ÉV!$B$10</f>
        <v>0</v>
      </c>
      <c r="J467" s="273">
        <f ca="1">IF(OR(A467=1,A467=2,AND(C467=ÉV!$I$2,D467&gt;ÉV!$J$2),C467&gt;ÉV!$I$2),0,VLOOKUP(A467-2,ÉV!$A$18:$C$65,3,0))</f>
        <v>0</v>
      </c>
      <c r="K467" s="273">
        <f ca="1">IF(OR(A467=1,AND(C467=ÉV!$I$2,D467&gt;ÉV!$J$2),C467&gt;ÉV!$I$2),0,VLOOKUP(A467-1,ÉV!$A$18:$C$65,3,0))</f>
        <v>0</v>
      </c>
      <c r="L467" s="273">
        <f ca="1">VLOOKUP(A467,ÉV!$A$18:$C$65,3,0)*IF(OR(AND(C467=ÉV!$I$2,D467&gt;ÉV!$J$2),C467&gt;ÉV!$I$2),0,1)</f>
        <v>0</v>
      </c>
      <c r="M467" s="273">
        <f ca="1">(K467*(12-B467)/12+L467*B467/12)*IF(A467&gt;ÉV!$G$2,0,1)+IF(A467&gt;ÉV!$G$2,M466,0)*IF(OR(AND(C467=ÉV!$I$2,D467&gt;ÉV!$J$2),C467&gt;ÉV!$I$2),0,1)</f>
        <v>0</v>
      </c>
      <c r="N467" s="274">
        <f ca="1">IF(AND(C467=1,D467&lt;12),0,1)*IF(D467=12,MAX(0,F467-E467-0.003)*0.9*((K467+I467)*(B467/12)+(J467+H467)*(1-B467/12))+MAX(0,F467-0.003)*0.9*N466+N466,IF(AND(C467=ÉV!$I$2,D467=ÉV!$J$2),(M467+N466)*MAX(0,F467-0.003)*0.9*(D467/12)+N466,N466))*IF(OR(C467&gt;ÉV!$I$2,AND(C467=ÉV!$I$2,D467&gt;ÉV!$J$2)),0,1)</f>
        <v>0</v>
      </c>
      <c r="O467" s="313">
        <f ca="1">IF(MAX(AF$2:AF466)=2,      0,IF(OR(AC467=7, AF467=2),    SUM(AE$2:AE467),    O466)   )</f>
        <v>0</v>
      </c>
      <c r="P467" s="271">
        <f ca="1">IF(D467=12,V467+P466+P466*(F467-0.003)*0.9,IF(AND(C467=ÉV!$I$2,D467=ÉV!$J$2),V467+P466+P466*(F467-0.003)*0.9*D467/12,P466))*IF(OR(C467&gt;ÉV!$I$2,AND(C467=ÉV!$I$2,D467&gt;ÉV!$J$2)),0,1)</f>
        <v>0</v>
      </c>
      <c r="Q467" s="275">
        <f ca="1">(N467+P467)*IF(OR(AND(C467=ÉV!$I$2,D467&gt;ÉV!$J$2),C467&gt;ÉV!$I$2),0,1)</f>
        <v>0</v>
      </c>
      <c r="R467" s="271">
        <f ca="1">(MAX(0,F467-E467-0.003)*0.9*((K467+I467)*(1/12)))*IF(OR(C467&gt;ÉV!$I$2,AND(C467=ÉV!$I$2,D467&gt;ÉV!$J$2)),0,1)</f>
        <v>0</v>
      </c>
      <c r="S467" s="271">
        <f ca="1">(MAX(0,F467-0.003)*0.9*((O467)*(1/12)))*IF(OR(C467&gt;ÉV!$I$2,AND(C467=ÉV!$I$2,D467&gt;ÉV!$J$2)),0,1)</f>
        <v>0</v>
      </c>
      <c r="T467" s="271">
        <f ca="1">(MAX(0,F467-0.003)*0.9*((Q466)*(1/12)))*IF(OR(C467&gt;ÉV!$I$2,AND(C467=ÉV!$I$2,D467&gt;ÉV!$J$2)),0,1)</f>
        <v>0</v>
      </c>
      <c r="U467" s="271">
        <f ca="1">IF($D467=1,R467,R467+U466)*IF(OR(C467&gt;ÉV!$I$2,AND(C467=ÉV!$I$2,D467&gt;ÉV!$J$2)),0,1)</f>
        <v>0</v>
      </c>
      <c r="V467" s="271">
        <f ca="1">IF($D467=1,S467,S467+V466)*IF(OR(C467&gt;ÉV!$I$2,AND(C467=ÉV!$I$2,D467&gt;ÉV!$J$2)),0,1)</f>
        <v>0</v>
      </c>
      <c r="W467" s="271">
        <f ca="1">IF($D467=1,T467,T467+W466)*IF(OR(C467&gt;ÉV!$I$2,AND(C467=ÉV!$I$2,D467&gt;ÉV!$J$2)),0,1)</f>
        <v>0</v>
      </c>
      <c r="X467" s="271">
        <f ca="1">IF(OR(D467=12,AND(C467=ÉV!$I$2,D467=ÉV!$J$2)),SUM(U467:W467)+X466,X466)*IF(OR(C467&gt;ÉV!$I$2,AND(C467=ÉV!$I$2,D467&gt;ÉV!$J$2)),0,1)</f>
        <v>0</v>
      </c>
      <c r="Y467" s="271">
        <f t="shared" ca="1" si="81"/>
        <v>0</v>
      </c>
      <c r="Z467" s="265">
        <f t="shared" si="82"/>
        <v>9</v>
      </c>
      <c r="AA467" s="272">
        <f t="shared" ca="1" si="83"/>
        <v>0</v>
      </c>
      <c r="AB467" s="265">
        <f t="shared" ca="1" si="87"/>
        <v>2055</v>
      </c>
      <c r="AC467" s="265">
        <f t="shared" ca="1" si="88"/>
        <v>12</v>
      </c>
      <c r="AD467" s="276">
        <f ca="1">IF(     OR(               AND(MAX(AF$6:AF467)&lt;2,  AC467=12),                 AF467=2),                   SUMIF(AB:AB,AB467,AA:AA),                       0)</f>
        <v>0</v>
      </c>
      <c r="AE467" s="277">
        <f t="shared" ca="1" si="89"/>
        <v>0</v>
      </c>
      <c r="AF467" s="277">
        <f t="shared" ca="1" si="84"/>
        <v>0</v>
      </c>
      <c r="AG467" s="402">
        <f ca="1">IF(  AND(AC467=AdóHó,   MAX(AF$1:AF466)&lt;2),   SUMIF(AB:AB,AB467-1,AE:AE),0  )
+ IF(AND(AC467&lt;AdóHó,                            AF467=2),   SUMIF(AB:AB,AB467-1,AE:AE),0  )
+ IF(                                                                  AF467=2,    SUMIF(AB:AB,AB467,AE:AE   ),0  )</f>
        <v>0</v>
      </c>
      <c r="AH467" s="272">
        <f ca="1">SUM(AG$2:AG467)</f>
        <v>1139324.2410681627</v>
      </c>
    </row>
    <row r="468" spans="1:34">
      <c r="A468" s="265">
        <f t="shared" si="79"/>
        <v>39</v>
      </c>
      <c r="B468" s="265">
        <f t="shared" si="80"/>
        <v>10</v>
      </c>
      <c r="C468" s="265">
        <f t="shared" ca="1" si="85"/>
        <v>40</v>
      </c>
      <c r="D468" s="265">
        <f t="shared" ca="1" si="86"/>
        <v>1</v>
      </c>
      <c r="E468" s="266">
        <v>5.0000000000000001E-3</v>
      </c>
      <c r="F468" s="267">
        <f>ÉV!$B$12</f>
        <v>0</v>
      </c>
      <c r="G468" s="271">
        <f ca="1">VLOOKUP(A468,ÉV!$A$18:$B$65,2,0)</f>
        <v>0</v>
      </c>
      <c r="H468" s="271">
        <f ca="1">IF(OR(A468=1,AND(C468=ÉV!$I$2,D468&gt;ÉV!$J$2),C468&gt;ÉV!$I$2),0,INDEX(Pz!$B$2:$AM$48,A468-1,ÉV!$G$2-9)/100000*ÉV!$B$10)</f>
        <v>0</v>
      </c>
      <c r="I468" s="271">
        <f ca="1">INDEX(Pz!$B$2:$AM$48,HÓ!A468,ÉV!$G$2-9)/100000*ÉV!$B$10</f>
        <v>0</v>
      </c>
      <c r="J468" s="273">
        <f ca="1">IF(OR(A468=1,A468=2,AND(C468=ÉV!$I$2,D468&gt;ÉV!$J$2),C468&gt;ÉV!$I$2),0,VLOOKUP(A468-2,ÉV!$A$18:$C$65,3,0))</f>
        <v>0</v>
      </c>
      <c r="K468" s="273">
        <f ca="1">IF(OR(A468=1,AND(C468=ÉV!$I$2,D468&gt;ÉV!$J$2),C468&gt;ÉV!$I$2),0,VLOOKUP(A468-1,ÉV!$A$18:$C$65,3,0))</f>
        <v>0</v>
      </c>
      <c r="L468" s="273">
        <f ca="1">VLOOKUP(A468,ÉV!$A$18:$C$65,3,0)*IF(OR(AND(C468=ÉV!$I$2,D468&gt;ÉV!$J$2),C468&gt;ÉV!$I$2),0,1)</f>
        <v>0</v>
      </c>
      <c r="M468" s="273">
        <f ca="1">(K468*(12-B468)/12+L468*B468/12)*IF(A468&gt;ÉV!$G$2,0,1)+IF(A468&gt;ÉV!$G$2,M467,0)*IF(OR(AND(C468=ÉV!$I$2,D468&gt;ÉV!$J$2),C468&gt;ÉV!$I$2),0,1)</f>
        <v>0</v>
      </c>
      <c r="N468" s="274">
        <f ca="1">IF(AND(C468=1,D468&lt;12),0,1)*IF(D468=12,MAX(0,F468-E468-0.003)*0.9*((K468+I468)*(B468/12)+(J468+H468)*(1-B468/12))+MAX(0,F468-0.003)*0.9*N467+N467,IF(AND(C468=ÉV!$I$2,D468=ÉV!$J$2),(M468+N467)*MAX(0,F468-0.003)*0.9*(D468/12)+N467,N467))*IF(OR(C468&gt;ÉV!$I$2,AND(C468=ÉV!$I$2,D468&gt;ÉV!$J$2)),0,1)</f>
        <v>0</v>
      </c>
      <c r="O468" s="313">
        <f ca="1">IF(MAX(AF$2:AF467)=2,      0,IF(OR(AC468=7, AF468=2),    SUM(AE$2:AE468),    O467)   )</f>
        <v>0</v>
      </c>
      <c r="P468" s="271">
        <f ca="1">IF(D468=12,V468+P467+P467*(F468-0.003)*0.9,IF(AND(C468=ÉV!$I$2,D468=ÉV!$J$2),V468+P467+P467*(F468-0.003)*0.9*D468/12,P467))*IF(OR(C468&gt;ÉV!$I$2,AND(C468=ÉV!$I$2,D468&gt;ÉV!$J$2)),0,1)</f>
        <v>0</v>
      </c>
      <c r="Q468" s="275">
        <f ca="1">(N468+P468)*IF(OR(AND(C468=ÉV!$I$2,D468&gt;ÉV!$J$2),C468&gt;ÉV!$I$2),0,1)</f>
        <v>0</v>
      </c>
      <c r="R468" s="271">
        <f ca="1">(MAX(0,F468-E468-0.003)*0.9*((K468+I468)*(1/12)))*IF(OR(C468&gt;ÉV!$I$2,AND(C468=ÉV!$I$2,D468&gt;ÉV!$J$2)),0,1)</f>
        <v>0</v>
      </c>
      <c r="S468" s="271">
        <f ca="1">(MAX(0,F468-0.003)*0.9*((O468)*(1/12)))*IF(OR(C468&gt;ÉV!$I$2,AND(C468=ÉV!$I$2,D468&gt;ÉV!$J$2)),0,1)</f>
        <v>0</v>
      </c>
      <c r="T468" s="271">
        <f ca="1">(MAX(0,F468-0.003)*0.9*((Q467)*(1/12)))*IF(OR(C468&gt;ÉV!$I$2,AND(C468=ÉV!$I$2,D468&gt;ÉV!$J$2)),0,1)</f>
        <v>0</v>
      </c>
      <c r="U468" s="271">
        <f ca="1">IF($D468=1,R468,R468+U467)*IF(OR(C468&gt;ÉV!$I$2,AND(C468=ÉV!$I$2,D468&gt;ÉV!$J$2)),0,1)</f>
        <v>0</v>
      </c>
      <c r="V468" s="271">
        <f ca="1">IF($D468=1,S468,S468+V467)*IF(OR(C468&gt;ÉV!$I$2,AND(C468=ÉV!$I$2,D468&gt;ÉV!$J$2)),0,1)</f>
        <v>0</v>
      </c>
      <c r="W468" s="271">
        <f ca="1">IF($D468=1,T468,T468+W467)*IF(OR(C468&gt;ÉV!$I$2,AND(C468=ÉV!$I$2,D468&gt;ÉV!$J$2)),0,1)</f>
        <v>0</v>
      </c>
      <c r="X468" s="271">
        <f ca="1">IF(OR(D468=12,AND(C468=ÉV!$I$2,D468=ÉV!$J$2)),SUM(U468:W468)+X467,X467)*IF(OR(C468&gt;ÉV!$I$2,AND(C468=ÉV!$I$2,D468&gt;ÉV!$J$2)),0,1)</f>
        <v>0</v>
      </c>
      <c r="Y468" s="271">
        <f t="shared" ca="1" si="81"/>
        <v>0</v>
      </c>
      <c r="Z468" s="265">
        <f t="shared" si="82"/>
        <v>10</v>
      </c>
      <c r="AA468" s="272">
        <f t="shared" ca="1" si="83"/>
        <v>0</v>
      </c>
      <c r="AB468" s="265">
        <f t="shared" ca="1" si="87"/>
        <v>2056</v>
      </c>
      <c r="AC468" s="265">
        <f t="shared" ca="1" si="88"/>
        <v>1</v>
      </c>
      <c r="AD468" s="276">
        <f ca="1">IF(     OR(               AND(MAX(AF$6:AF468)&lt;2,  AC468=12),                 AF468=2),                   SUMIF(AB:AB,AB468,AA:AA),                       0)</f>
        <v>0</v>
      </c>
      <c r="AE468" s="277">
        <f t="shared" ca="1" si="89"/>
        <v>0</v>
      </c>
      <c r="AF468" s="277">
        <f t="shared" ca="1" si="84"/>
        <v>0</v>
      </c>
      <c r="AG468" s="402">
        <f ca="1">IF(  AND(AC468=AdóHó,   MAX(AF$1:AF467)&lt;2),   SUMIF(AB:AB,AB468-1,AE:AE),0  )
+ IF(AND(AC468&lt;AdóHó,                            AF468=2),   SUMIF(AB:AB,AB468-1,AE:AE),0  )
+ IF(                                                                  AF468=2,    SUMIF(AB:AB,AB468,AE:AE   ),0  )</f>
        <v>0</v>
      </c>
      <c r="AH468" s="272">
        <f ca="1">SUM(AG$2:AG468)</f>
        <v>1139324.2410681627</v>
      </c>
    </row>
    <row r="469" spans="1:34">
      <c r="A469" s="265">
        <f t="shared" si="79"/>
        <v>39</v>
      </c>
      <c r="B469" s="265">
        <f t="shared" si="80"/>
        <v>11</v>
      </c>
      <c r="C469" s="265">
        <f t="shared" ca="1" si="85"/>
        <v>40</v>
      </c>
      <c r="D469" s="265">
        <f t="shared" ca="1" si="86"/>
        <v>2</v>
      </c>
      <c r="E469" s="266">
        <v>5.0000000000000001E-3</v>
      </c>
      <c r="F469" s="267">
        <f>ÉV!$B$12</f>
        <v>0</v>
      </c>
      <c r="G469" s="271">
        <f ca="1">VLOOKUP(A469,ÉV!$A$18:$B$65,2,0)</f>
        <v>0</v>
      </c>
      <c r="H469" s="271">
        <f ca="1">IF(OR(A469=1,AND(C469=ÉV!$I$2,D469&gt;ÉV!$J$2),C469&gt;ÉV!$I$2),0,INDEX(Pz!$B$2:$AM$48,A469-1,ÉV!$G$2-9)/100000*ÉV!$B$10)</f>
        <v>0</v>
      </c>
      <c r="I469" s="271">
        <f ca="1">INDEX(Pz!$B$2:$AM$48,HÓ!A469,ÉV!$G$2-9)/100000*ÉV!$B$10</f>
        <v>0</v>
      </c>
      <c r="J469" s="273">
        <f ca="1">IF(OR(A469=1,A469=2,AND(C469=ÉV!$I$2,D469&gt;ÉV!$J$2),C469&gt;ÉV!$I$2),0,VLOOKUP(A469-2,ÉV!$A$18:$C$65,3,0))</f>
        <v>0</v>
      </c>
      <c r="K469" s="273">
        <f ca="1">IF(OR(A469=1,AND(C469=ÉV!$I$2,D469&gt;ÉV!$J$2),C469&gt;ÉV!$I$2),0,VLOOKUP(A469-1,ÉV!$A$18:$C$65,3,0))</f>
        <v>0</v>
      </c>
      <c r="L469" s="273">
        <f ca="1">VLOOKUP(A469,ÉV!$A$18:$C$65,3,0)*IF(OR(AND(C469=ÉV!$I$2,D469&gt;ÉV!$J$2),C469&gt;ÉV!$I$2),0,1)</f>
        <v>0</v>
      </c>
      <c r="M469" s="273">
        <f ca="1">(K469*(12-B469)/12+L469*B469/12)*IF(A469&gt;ÉV!$G$2,0,1)+IF(A469&gt;ÉV!$G$2,M468,0)*IF(OR(AND(C469=ÉV!$I$2,D469&gt;ÉV!$J$2),C469&gt;ÉV!$I$2),0,1)</f>
        <v>0</v>
      </c>
      <c r="N469" s="274">
        <f ca="1">IF(AND(C469=1,D469&lt;12),0,1)*IF(D469=12,MAX(0,F469-E469-0.003)*0.9*((K469+I469)*(B469/12)+(J469+H469)*(1-B469/12))+MAX(0,F469-0.003)*0.9*N468+N468,IF(AND(C469=ÉV!$I$2,D469=ÉV!$J$2),(M469+N468)*MAX(0,F469-0.003)*0.9*(D469/12)+N468,N468))*IF(OR(C469&gt;ÉV!$I$2,AND(C469=ÉV!$I$2,D469&gt;ÉV!$J$2)),0,1)</f>
        <v>0</v>
      </c>
      <c r="O469" s="313">
        <f ca="1">IF(MAX(AF$2:AF468)=2,      0,IF(OR(AC469=7, AF469=2),    SUM(AE$2:AE469),    O468)   )</f>
        <v>0</v>
      </c>
      <c r="P469" s="271">
        <f ca="1">IF(D469=12,V469+P468+P468*(F469-0.003)*0.9,IF(AND(C469=ÉV!$I$2,D469=ÉV!$J$2),V469+P468+P468*(F469-0.003)*0.9*D469/12,P468))*IF(OR(C469&gt;ÉV!$I$2,AND(C469=ÉV!$I$2,D469&gt;ÉV!$J$2)),0,1)</f>
        <v>0</v>
      </c>
      <c r="Q469" s="275">
        <f ca="1">(N469+P469)*IF(OR(AND(C469=ÉV!$I$2,D469&gt;ÉV!$J$2),C469&gt;ÉV!$I$2),0,1)</f>
        <v>0</v>
      </c>
      <c r="R469" s="271">
        <f ca="1">(MAX(0,F469-E469-0.003)*0.9*((K469+I469)*(1/12)))*IF(OR(C469&gt;ÉV!$I$2,AND(C469=ÉV!$I$2,D469&gt;ÉV!$J$2)),0,1)</f>
        <v>0</v>
      </c>
      <c r="S469" s="271">
        <f ca="1">(MAX(0,F469-0.003)*0.9*((O469)*(1/12)))*IF(OR(C469&gt;ÉV!$I$2,AND(C469=ÉV!$I$2,D469&gt;ÉV!$J$2)),0,1)</f>
        <v>0</v>
      </c>
      <c r="T469" s="271">
        <f ca="1">(MAX(0,F469-0.003)*0.9*((Q468)*(1/12)))*IF(OR(C469&gt;ÉV!$I$2,AND(C469=ÉV!$I$2,D469&gt;ÉV!$J$2)),0,1)</f>
        <v>0</v>
      </c>
      <c r="U469" s="271">
        <f ca="1">IF($D469=1,R469,R469+U468)*IF(OR(C469&gt;ÉV!$I$2,AND(C469=ÉV!$I$2,D469&gt;ÉV!$J$2)),0,1)</f>
        <v>0</v>
      </c>
      <c r="V469" s="271">
        <f ca="1">IF($D469=1,S469,S469+V468)*IF(OR(C469&gt;ÉV!$I$2,AND(C469=ÉV!$I$2,D469&gt;ÉV!$J$2)),0,1)</f>
        <v>0</v>
      </c>
      <c r="W469" s="271">
        <f ca="1">IF($D469=1,T469,T469+W468)*IF(OR(C469&gt;ÉV!$I$2,AND(C469=ÉV!$I$2,D469&gt;ÉV!$J$2)),0,1)</f>
        <v>0</v>
      </c>
      <c r="X469" s="271">
        <f ca="1">IF(OR(D469=12,AND(C469=ÉV!$I$2,D469=ÉV!$J$2)),SUM(U469:W469)+X468,X468)*IF(OR(C469&gt;ÉV!$I$2,AND(C469=ÉV!$I$2,D469&gt;ÉV!$J$2)),0,1)</f>
        <v>0</v>
      </c>
      <c r="Y469" s="271">
        <f t="shared" ca="1" si="81"/>
        <v>0</v>
      </c>
      <c r="Z469" s="265">
        <f t="shared" si="82"/>
        <v>11</v>
      </c>
      <c r="AA469" s="272">
        <f t="shared" ca="1" si="83"/>
        <v>0</v>
      </c>
      <c r="AB469" s="265">
        <f t="shared" ca="1" si="87"/>
        <v>2056</v>
      </c>
      <c r="AC469" s="265">
        <f t="shared" ca="1" si="88"/>
        <v>2</v>
      </c>
      <c r="AD469" s="276">
        <f ca="1">IF(     OR(               AND(MAX(AF$6:AF469)&lt;2,  AC469=12),                 AF469=2),                   SUMIF(AB:AB,AB469,AA:AA),                       0)</f>
        <v>0</v>
      </c>
      <c r="AE469" s="277">
        <f t="shared" ca="1" si="89"/>
        <v>0</v>
      </c>
      <c r="AF469" s="277">
        <f t="shared" ca="1" si="84"/>
        <v>0</v>
      </c>
      <c r="AG469" s="402">
        <f ca="1">IF(  AND(AC469=AdóHó,   MAX(AF$1:AF468)&lt;2),   SUMIF(AB:AB,AB469-1,AE:AE),0  )
+ IF(AND(AC469&lt;AdóHó,                            AF469=2),   SUMIF(AB:AB,AB469-1,AE:AE),0  )
+ IF(                                                                  AF469=2,    SUMIF(AB:AB,AB469,AE:AE   ),0  )</f>
        <v>0</v>
      </c>
      <c r="AH469" s="272">
        <f ca="1">SUM(AG$2:AG469)</f>
        <v>1139324.2410681627</v>
      </c>
    </row>
    <row r="470" spans="1:34">
      <c r="A470" s="265">
        <f t="shared" si="79"/>
        <v>39</v>
      </c>
      <c r="B470" s="265">
        <f t="shared" si="80"/>
        <v>12</v>
      </c>
      <c r="C470" s="265">
        <f t="shared" ca="1" si="85"/>
        <v>40</v>
      </c>
      <c r="D470" s="265">
        <f t="shared" ca="1" si="86"/>
        <v>3</v>
      </c>
      <c r="E470" s="266">
        <v>5.0000000000000001E-3</v>
      </c>
      <c r="F470" s="267">
        <f>ÉV!$B$12</f>
        <v>0</v>
      </c>
      <c r="G470" s="271">
        <f ca="1">VLOOKUP(A470,ÉV!$A$18:$B$65,2,0)</f>
        <v>0</v>
      </c>
      <c r="H470" s="271">
        <f ca="1">IF(OR(A470=1,AND(C470=ÉV!$I$2,D470&gt;ÉV!$J$2),C470&gt;ÉV!$I$2),0,INDEX(Pz!$B$2:$AM$48,A470-1,ÉV!$G$2-9)/100000*ÉV!$B$10)</f>
        <v>0</v>
      </c>
      <c r="I470" s="271">
        <f ca="1">INDEX(Pz!$B$2:$AM$48,HÓ!A470,ÉV!$G$2-9)/100000*ÉV!$B$10</f>
        <v>0</v>
      </c>
      <c r="J470" s="273">
        <f ca="1">IF(OR(A470=1,A470=2,AND(C470=ÉV!$I$2,D470&gt;ÉV!$J$2),C470&gt;ÉV!$I$2),0,VLOOKUP(A470-2,ÉV!$A$18:$C$65,3,0))</f>
        <v>0</v>
      </c>
      <c r="K470" s="273">
        <f ca="1">IF(OR(A470=1,AND(C470=ÉV!$I$2,D470&gt;ÉV!$J$2),C470&gt;ÉV!$I$2),0,VLOOKUP(A470-1,ÉV!$A$18:$C$65,3,0))</f>
        <v>0</v>
      </c>
      <c r="L470" s="273">
        <f ca="1">VLOOKUP(A470,ÉV!$A$18:$C$65,3,0)*IF(OR(AND(C470=ÉV!$I$2,D470&gt;ÉV!$J$2),C470&gt;ÉV!$I$2),0,1)</f>
        <v>0</v>
      </c>
      <c r="M470" s="273">
        <f ca="1">(K470*(12-B470)/12+L470*B470/12)*IF(A470&gt;ÉV!$G$2,0,1)+IF(A470&gt;ÉV!$G$2,M469,0)*IF(OR(AND(C470=ÉV!$I$2,D470&gt;ÉV!$J$2),C470&gt;ÉV!$I$2),0,1)</f>
        <v>0</v>
      </c>
      <c r="N470" s="274">
        <f ca="1">IF(AND(C470=1,D470&lt;12),0,1)*IF(D470=12,MAX(0,F470-E470-0.003)*0.9*((K470+I470)*(B470/12)+(J470+H470)*(1-B470/12))+MAX(0,F470-0.003)*0.9*N469+N469,IF(AND(C470=ÉV!$I$2,D470=ÉV!$J$2),(M470+N469)*MAX(0,F470-0.003)*0.9*(D470/12)+N469,N469))*IF(OR(C470&gt;ÉV!$I$2,AND(C470=ÉV!$I$2,D470&gt;ÉV!$J$2)),0,1)</f>
        <v>0</v>
      </c>
      <c r="O470" s="313">
        <f ca="1">IF(MAX(AF$2:AF469)=2,      0,IF(OR(AC470=7, AF470=2),    SUM(AE$2:AE470),    O469)   )</f>
        <v>0</v>
      </c>
      <c r="P470" s="271">
        <f ca="1">IF(D470=12,V470+P469+P469*(F470-0.003)*0.9,IF(AND(C470=ÉV!$I$2,D470=ÉV!$J$2),V470+P469+P469*(F470-0.003)*0.9*D470/12,P469))*IF(OR(C470&gt;ÉV!$I$2,AND(C470=ÉV!$I$2,D470&gt;ÉV!$J$2)),0,1)</f>
        <v>0</v>
      </c>
      <c r="Q470" s="275">
        <f ca="1">(N470+P470)*IF(OR(AND(C470=ÉV!$I$2,D470&gt;ÉV!$J$2),C470&gt;ÉV!$I$2),0,1)</f>
        <v>0</v>
      </c>
      <c r="R470" s="271">
        <f ca="1">(MAX(0,F470-E470-0.003)*0.9*((K470+I470)*(1/12)))*IF(OR(C470&gt;ÉV!$I$2,AND(C470=ÉV!$I$2,D470&gt;ÉV!$J$2)),0,1)</f>
        <v>0</v>
      </c>
      <c r="S470" s="271">
        <f ca="1">(MAX(0,F470-0.003)*0.9*((O470)*(1/12)))*IF(OR(C470&gt;ÉV!$I$2,AND(C470=ÉV!$I$2,D470&gt;ÉV!$J$2)),0,1)</f>
        <v>0</v>
      </c>
      <c r="T470" s="271">
        <f ca="1">(MAX(0,F470-0.003)*0.9*((Q469)*(1/12)))*IF(OR(C470&gt;ÉV!$I$2,AND(C470=ÉV!$I$2,D470&gt;ÉV!$J$2)),0,1)</f>
        <v>0</v>
      </c>
      <c r="U470" s="271">
        <f ca="1">IF($D470=1,R470,R470+U469)*IF(OR(C470&gt;ÉV!$I$2,AND(C470=ÉV!$I$2,D470&gt;ÉV!$J$2)),0,1)</f>
        <v>0</v>
      </c>
      <c r="V470" s="271">
        <f ca="1">IF($D470=1,S470,S470+V469)*IF(OR(C470&gt;ÉV!$I$2,AND(C470=ÉV!$I$2,D470&gt;ÉV!$J$2)),0,1)</f>
        <v>0</v>
      </c>
      <c r="W470" s="271">
        <f ca="1">IF($D470=1,T470,T470+W469)*IF(OR(C470&gt;ÉV!$I$2,AND(C470=ÉV!$I$2,D470&gt;ÉV!$J$2)),0,1)</f>
        <v>0</v>
      </c>
      <c r="X470" s="271">
        <f ca="1">IF(OR(D470=12,AND(C470=ÉV!$I$2,D470=ÉV!$J$2)),SUM(U470:W470)+X469,X469)*IF(OR(C470&gt;ÉV!$I$2,AND(C470=ÉV!$I$2,D470&gt;ÉV!$J$2)),0,1)</f>
        <v>0</v>
      </c>
      <c r="Y470" s="271">
        <f t="shared" ca="1" si="81"/>
        <v>0</v>
      </c>
      <c r="Z470" s="265">
        <f t="shared" si="82"/>
        <v>12</v>
      </c>
      <c r="AA470" s="272">
        <f t="shared" ca="1" si="83"/>
        <v>0</v>
      </c>
      <c r="AB470" s="265">
        <f t="shared" ca="1" si="87"/>
        <v>2056</v>
      </c>
      <c r="AC470" s="265">
        <f t="shared" ca="1" si="88"/>
        <v>3</v>
      </c>
      <c r="AD470" s="276">
        <f ca="1">IF(     OR(               AND(MAX(AF$6:AF470)&lt;2,  AC470=12),                 AF470=2),                   SUMIF(AB:AB,AB470,AA:AA),                       0)</f>
        <v>0</v>
      </c>
      <c r="AE470" s="277">
        <f t="shared" ca="1" si="89"/>
        <v>0</v>
      </c>
      <c r="AF470" s="277">
        <f t="shared" ca="1" si="84"/>
        <v>0</v>
      </c>
      <c r="AG470" s="402">
        <f ca="1">IF(  AND(AC470=AdóHó,   MAX(AF$1:AF469)&lt;2),   SUMIF(AB:AB,AB470-1,AE:AE),0  )
+ IF(AND(AC470&lt;AdóHó,                            AF470=2),   SUMIF(AB:AB,AB470-1,AE:AE),0  )
+ IF(                                                                  AF470=2,    SUMIF(AB:AB,AB470,AE:AE   ),0  )</f>
        <v>0</v>
      </c>
      <c r="AH470" s="272">
        <f ca="1">SUM(AG$2:AG470)</f>
        <v>1139324.2410681627</v>
      </c>
    </row>
    <row r="471" spans="1:34">
      <c r="A471" s="265">
        <f t="shared" si="79"/>
        <v>40</v>
      </c>
      <c r="B471" s="265">
        <f t="shared" si="80"/>
        <v>1</v>
      </c>
      <c r="C471" s="265">
        <f t="shared" ca="1" si="85"/>
        <v>40</v>
      </c>
      <c r="D471" s="265">
        <f t="shared" ca="1" si="86"/>
        <v>4</v>
      </c>
      <c r="E471" s="266">
        <v>5.0000000000000001E-3</v>
      </c>
      <c r="F471" s="267">
        <f>ÉV!$B$12</f>
        <v>0</v>
      </c>
      <c r="G471" s="271">
        <f ca="1">VLOOKUP(A471,ÉV!$A$18:$B$65,2,0)</f>
        <v>0</v>
      </c>
      <c r="H471" s="271">
        <f ca="1">IF(OR(A471=1,AND(C471=ÉV!$I$2,D471&gt;ÉV!$J$2),C471&gt;ÉV!$I$2),0,INDEX(Pz!$B$2:$AM$48,A471-1,ÉV!$G$2-9)/100000*ÉV!$B$10)</f>
        <v>0</v>
      </c>
      <c r="I471" s="271">
        <f ca="1">INDEX(Pz!$B$2:$AM$48,HÓ!A471,ÉV!$G$2-9)/100000*ÉV!$B$10</f>
        <v>0</v>
      </c>
      <c r="J471" s="273">
        <f ca="1">IF(OR(A471=1,A471=2,AND(C471=ÉV!$I$2,D471&gt;ÉV!$J$2),C471&gt;ÉV!$I$2),0,VLOOKUP(A471-2,ÉV!$A$18:$C$65,3,0))</f>
        <v>0</v>
      </c>
      <c r="K471" s="273">
        <f ca="1">IF(OR(A471=1,AND(C471=ÉV!$I$2,D471&gt;ÉV!$J$2),C471&gt;ÉV!$I$2),0,VLOOKUP(A471-1,ÉV!$A$18:$C$65,3,0))</f>
        <v>0</v>
      </c>
      <c r="L471" s="273">
        <f ca="1">VLOOKUP(A471,ÉV!$A$18:$C$65,3,0)*IF(OR(AND(C471=ÉV!$I$2,D471&gt;ÉV!$J$2),C471&gt;ÉV!$I$2),0,1)</f>
        <v>0</v>
      </c>
      <c r="M471" s="273">
        <f ca="1">(K471*(12-B471)/12+L471*B471/12)*IF(A471&gt;ÉV!$G$2,0,1)+IF(A471&gt;ÉV!$G$2,M470,0)*IF(OR(AND(C471=ÉV!$I$2,D471&gt;ÉV!$J$2),C471&gt;ÉV!$I$2),0,1)</f>
        <v>0</v>
      </c>
      <c r="N471" s="274">
        <f ca="1">IF(AND(C471=1,D471&lt;12),0,1)*IF(D471=12,MAX(0,F471-E471-0.003)*0.9*((K471+I471)*(B471/12)+(J471+H471)*(1-B471/12))+MAX(0,F471-0.003)*0.9*N470+N470,IF(AND(C471=ÉV!$I$2,D471=ÉV!$J$2),(M471+N470)*MAX(0,F471-0.003)*0.9*(D471/12)+N470,N470))*IF(OR(C471&gt;ÉV!$I$2,AND(C471=ÉV!$I$2,D471&gt;ÉV!$J$2)),0,1)</f>
        <v>0</v>
      </c>
      <c r="O471" s="313">
        <f ca="1">IF(MAX(AF$2:AF470)=2,      0,IF(OR(AC471=7, AF471=2),    SUM(AE$2:AE471),    O470)   )</f>
        <v>0</v>
      </c>
      <c r="P471" s="271">
        <f ca="1">IF(D471=12,V471+P470+P470*(F471-0.003)*0.9,IF(AND(C471=ÉV!$I$2,D471=ÉV!$J$2),V471+P470+P470*(F471-0.003)*0.9*D471/12,P470))*IF(OR(C471&gt;ÉV!$I$2,AND(C471=ÉV!$I$2,D471&gt;ÉV!$J$2)),0,1)</f>
        <v>0</v>
      </c>
      <c r="Q471" s="275">
        <f ca="1">(N471+P471)*IF(OR(AND(C471=ÉV!$I$2,D471&gt;ÉV!$J$2),C471&gt;ÉV!$I$2),0,1)</f>
        <v>0</v>
      </c>
      <c r="R471" s="271">
        <f ca="1">(MAX(0,F471-E471-0.003)*0.9*((K471+I471)*(1/12)))*IF(OR(C471&gt;ÉV!$I$2,AND(C471=ÉV!$I$2,D471&gt;ÉV!$J$2)),0,1)</f>
        <v>0</v>
      </c>
      <c r="S471" s="271">
        <f ca="1">(MAX(0,F471-0.003)*0.9*((O471)*(1/12)))*IF(OR(C471&gt;ÉV!$I$2,AND(C471=ÉV!$I$2,D471&gt;ÉV!$J$2)),0,1)</f>
        <v>0</v>
      </c>
      <c r="T471" s="271">
        <f ca="1">(MAX(0,F471-0.003)*0.9*((Q470)*(1/12)))*IF(OR(C471&gt;ÉV!$I$2,AND(C471=ÉV!$I$2,D471&gt;ÉV!$J$2)),0,1)</f>
        <v>0</v>
      </c>
      <c r="U471" s="271">
        <f ca="1">IF($D471=1,R471,R471+U470)*IF(OR(C471&gt;ÉV!$I$2,AND(C471=ÉV!$I$2,D471&gt;ÉV!$J$2)),0,1)</f>
        <v>0</v>
      </c>
      <c r="V471" s="271">
        <f ca="1">IF($D471=1,S471,S471+V470)*IF(OR(C471&gt;ÉV!$I$2,AND(C471=ÉV!$I$2,D471&gt;ÉV!$J$2)),0,1)</f>
        <v>0</v>
      </c>
      <c r="W471" s="271">
        <f ca="1">IF($D471=1,T471,T471+W470)*IF(OR(C471&gt;ÉV!$I$2,AND(C471=ÉV!$I$2,D471&gt;ÉV!$J$2)),0,1)</f>
        <v>0</v>
      </c>
      <c r="X471" s="271">
        <f ca="1">IF(OR(D471=12,AND(C471=ÉV!$I$2,D471=ÉV!$J$2)),SUM(U471:W471)+X470,X470)*IF(OR(C471&gt;ÉV!$I$2,AND(C471=ÉV!$I$2,D471&gt;ÉV!$J$2)),0,1)</f>
        <v>0</v>
      </c>
      <c r="Y471" s="271">
        <f t="shared" ca="1" si="81"/>
        <v>0</v>
      </c>
      <c r="Z471" s="265">
        <f t="shared" si="82"/>
        <v>1</v>
      </c>
      <c r="AA471" s="272">
        <f t="shared" ca="1" si="83"/>
        <v>0</v>
      </c>
      <c r="AB471" s="265">
        <f t="shared" ca="1" si="87"/>
        <v>2056</v>
      </c>
      <c r="AC471" s="265">
        <f t="shared" ca="1" si="88"/>
        <v>4</v>
      </c>
      <c r="AD471" s="276">
        <f ca="1">IF(     OR(               AND(MAX(AF$6:AF471)&lt;2,  AC471=12),                 AF471=2),                   SUMIF(AB:AB,AB471,AA:AA),                       0)</f>
        <v>0</v>
      </c>
      <c r="AE471" s="277">
        <f t="shared" ca="1" si="89"/>
        <v>0</v>
      </c>
      <c r="AF471" s="277">
        <f t="shared" ca="1" si="84"/>
        <v>0</v>
      </c>
      <c r="AG471" s="402">
        <f ca="1">IF(  AND(AC471=AdóHó,   MAX(AF$1:AF470)&lt;2),   SUMIF(AB:AB,AB471-1,AE:AE),0  )
+ IF(AND(AC471&lt;AdóHó,                            AF471=2),   SUMIF(AB:AB,AB471-1,AE:AE),0  )
+ IF(                                                                  AF471=2,    SUMIF(AB:AB,AB471,AE:AE   ),0  )</f>
        <v>0</v>
      </c>
      <c r="AH471" s="272">
        <f ca="1">SUM(AG$2:AG471)</f>
        <v>1139324.2410681627</v>
      </c>
    </row>
    <row r="472" spans="1:34">
      <c r="A472" s="265">
        <f t="shared" si="79"/>
        <v>40</v>
      </c>
      <c r="B472" s="265">
        <f t="shared" si="80"/>
        <v>2</v>
      </c>
      <c r="C472" s="265">
        <f t="shared" ca="1" si="85"/>
        <v>40</v>
      </c>
      <c r="D472" s="265">
        <f t="shared" ca="1" si="86"/>
        <v>5</v>
      </c>
      <c r="E472" s="266">
        <v>5.0000000000000001E-3</v>
      </c>
      <c r="F472" s="267">
        <f>ÉV!$B$12</f>
        <v>0</v>
      </c>
      <c r="G472" s="271">
        <f ca="1">VLOOKUP(A472,ÉV!$A$18:$B$65,2,0)</f>
        <v>0</v>
      </c>
      <c r="H472" s="271">
        <f ca="1">IF(OR(A472=1,AND(C472=ÉV!$I$2,D472&gt;ÉV!$J$2),C472&gt;ÉV!$I$2),0,INDEX(Pz!$B$2:$AM$48,A472-1,ÉV!$G$2-9)/100000*ÉV!$B$10)</f>
        <v>0</v>
      </c>
      <c r="I472" s="271">
        <f ca="1">INDEX(Pz!$B$2:$AM$48,HÓ!A472,ÉV!$G$2-9)/100000*ÉV!$B$10</f>
        <v>0</v>
      </c>
      <c r="J472" s="273">
        <f ca="1">IF(OR(A472=1,A472=2,AND(C472=ÉV!$I$2,D472&gt;ÉV!$J$2),C472&gt;ÉV!$I$2),0,VLOOKUP(A472-2,ÉV!$A$18:$C$65,3,0))</f>
        <v>0</v>
      </c>
      <c r="K472" s="273">
        <f ca="1">IF(OR(A472=1,AND(C472=ÉV!$I$2,D472&gt;ÉV!$J$2),C472&gt;ÉV!$I$2),0,VLOOKUP(A472-1,ÉV!$A$18:$C$65,3,0))</f>
        <v>0</v>
      </c>
      <c r="L472" s="273">
        <f ca="1">VLOOKUP(A472,ÉV!$A$18:$C$65,3,0)*IF(OR(AND(C472=ÉV!$I$2,D472&gt;ÉV!$J$2),C472&gt;ÉV!$I$2),0,1)</f>
        <v>0</v>
      </c>
      <c r="M472" s="273">
        <f ca="1">(K472*(12-B472)/12+L472*B472/12)*IF(A472&gt;ÉV!$G$2,0,1)+IF(A472&gt;ÉV!$G$2,M471,0)*IF(OR(AND(C472=ÉV!$I$2,D472&gt;ÉV!$J$2),C472&gt;ÉV!$I$2),0,1)</f>
        <v>0</v>
      </c>
      <c r="N472" s="274">
        <f ca="1">IF(AND(C472=1,D472&lt;12),0,1)*IF(D472=12,MAX(0,F472-E472-0.003)*0.9*((K472+I472)*(B472/12)+(J472+H472)*(1-B472/12))+MAX(0,F472-0.003)*0.9*N471+N471,IF(AND(C472=ÉV!$I$2,D472=ÉV!$J$2),(M472+N471)*MAX(0,F472-0.003)*0.9*(D472/12)+N471,N471))*IF(OR(C472&gt;ÉV!$I$2,AND(C472=ÉV!$I$2,D472&gt;ÉV!$J$2)),0,1)</f>
        <v>0</v>
      </c>
      <c r="O472" s="313">
        <f ca="1">IF(MAX(AF$2:AF471)=2,      0,IF(OR(AC472=7, AF472=2),    SUM(AE$2:AE472),    O471)   )</f>
        <v>0</v>
      </c>
      <c r="P472" s="271">
        <f ca="1">IF(D472=12,V472+P471+P471*(F472-0.003)*0.9,IF(AND(C472=ÉV!$I$2,D472=ÉV!$J$2),V472+P471+P471*(F472-0.003)*0.9*D472/12,P471))*IF(OR(C472&gt;ÉV!$I$2,AND(C472=ÉV!$I$2,D472&gt;ÉV!$J$2)),0,1)</f>
        <v>0</v>
      </c>
      <c r="Q472" s="275">
        <f ca="1">(N472+P472)*IF(OR(AND(C472=ÉV!$I$2,D472&gt;ÉV!$J$2),C472&gt;ÉV!$I$2),0,1)</f>
        <v>0</v>
      </c>
      <c r="R472" s="271">
        <f ca="1">(MAX(0,F472-E472-0.003)*0.9*((K472+I472)*(1/12)))*IF(OR(C472&gt;ÉV!$I$2,AND(C472=ÉV!$I$2,D472&gt;ÉV!$J$2)),0,1)</f>
        <v>0</v>
      </c>
      <c r="S472" s="271">
        <f ca="1">(MAX(0,F472-0.003)*0.9*((O472)*(1/12)))*IF(OR(C472&gt;ÉV!$I$2,AND(C472=ÉV!$I$2,D472&gt;ÉV!$J$2)),0,1)</f>
        <v>0</v>
      </c>
      <c r="T472" s="271">
        <f ca="1">(MAX(0,F472-0.003)*0.9*((Q471)*(1/12)))*IF(OR(C472&gt;ÉV!$I$2,AND(C472=ÉV!$I$2,D472&gt;ÉV!$J$2)),0,1)</f>
        <v>0</v>
      </c>
      <c r="U472" s="271">
        <f ca="1">IF($D472=1,R472,R472+U471)*IF(OR(C472&gt;ÉV!$I$2,AND(C472=ÉV!$I$2,D472&gt;ÉV!$J$2)),0,1)</f>
        <v>0</v>
      </c>
      <c r="V472" s="271">
        <f ca="1">IF($D472=1,S472,S472+V471)*IF(OR(C472&gt;ÉV!$I$2,AND(C472=ÉV!$I$2,D472&gt;ÉV!$J$2)),0,1)</f>
        <v>0</v>
      </c>
      <c r="W472" s="271">
        <f ca="1">IF($D472=1,T472,T472+W471)*IF(OR(C472&gt;ÉV!$I$2,AND(C472=ÉV!$I$2,D472&gt;ÉV!$J$2)),0,1)</f>
        <v>0</v>
      </c>
      <c r="X472" s="271">
        <f ca="1">IF(OR(D472=12,AND(C472=ÉV!$I$2,D472=ÉV!$J$2)),SUM(U472:W472)+X471,X471)*IF(OR(C472&gt;ÉV!$I$2,AND(C472=ÉV!$I$2,D472&gt;ÉV!$J$2)),0,1)</f>
        <v>0</v>
      </c>
      <c r="Y472" s="271">
        <f t="shared" ca="1" si="81"/>
        <v>0</v>
      </c>
      <c r="Z472" s="265">
        <f t="shared" si="82"/>
        <v>2</v>
      </c>
      <c r="AA472" s="272">
        <f t="shared" ca="1" si="83"/>
        <v>0</v>
      </c>
      <c r="AB472" s="265">
        <f t="shared" ca="1" si="87"/>
        <v>2056</v>
      </c>
      <c r="AC472" s="265">
        <f t="shared" ca="1" si="88"/>
        <v>5</v>
      </c>
      <c r="AD472" s="276">
        <f ca="1">IF(     OR(               AND(MAX(AF$6:AF472)&lt;2,  AC472=12),                 AF472=2),                   SUMIF(AB:AB,AB472,AA:AA),                       0)</f>
        <v>0</v>
      </c>
      <c r="AE472" s="277">
        <f t="shared" ca="1" si="89"/>
        <v>0</v>
      </c>
      <c r="AF472" s="277">
        <f t="shared" ca="1" si="84"/>
        <v>0</v>
      </c>
      <c r="AG472" s="402">
        <f ca="1">IF(  AND(AC472=AdóHó,   MAX(AF$1:AF471)&lt;2),   SUMIF(AB:AB,AB472-1,AE:AE),0  )
+ IF(AND(AC472&lt;AdóHó,                            AF472=2),   SUMIF(AB:AB,AB472-1,AE:AE),0  )
+ IF(                                                                  AF472=2,    SUMIF(AB:AB,AB472,AE:AE   ),0  )</f>
        <v>0</v>
      </c>
      <c r="AH472" s="272">
        <f ca="1">SUM(AG$2:AG472)</f>
        <v>1139324.2410681627</v>
      </c>
    </row>
    <row r="473" spans="1:34">
      <c r="A473" s="265">
        <f t="shared" si="79"/>
        <v>40</v>
      </c>
      <c r="B473" s="265">
        <f t="shared" si="80"/>
        <v>3</v>
      </c>
      <c r="C473" s="265">
        <f t="shared" ca="1" si="85"/>
        <v>40</v>
      </c>
      <c r="D473" s="265">
        <f t="shared" ca="1" si="86"/>
        <v>6</v>
      </c>
      <c r="E473" s="266">
        <v>5.0000000000000001E-3</v>
      </c>
      <c r="F473" s="267">
        <f>ÉV!$B$12</f>
        <v>0</v>
      </c>
      <c r="G473" s="271">
        <f ca="1">VLOOKUP(A473,ÉV!$A$18:$B$65,2,0)</f>
        <v>0</v>
      </c>
      <c r="H473" s="271">
        <f ca="1">IF(OR(A473=1,AND(C473=ÉV!$I$2,D473&gt;ÉV!$J$2),C473&gt;ÉV!$I$2),0,INDEX(Pz!$B$2:$AM$48,A473-1,ÉV!$G$2-9)/100000*ÉV!$B$10)</f>
        <v>0</v>
      </c>
      <c r="I473" s="271">
        <f ca="1">INDEX(Pz!$B$2:$AM$48,HÓ!A473,ÉV!$G$2-9)/100000*ÉV!$B$10</f>
        <v>0</v>
      </c>
      <c r="J473" s="273">
        <f ca="1">IF(OR(A473=1,A473=2,AND(C473=ÉV!$I$2,D473&gt;ÉV!$J$2),C473&gt;ÉV!$I$2),0,VLOOKUP(A473-2,ÉV!$A$18:$C$65,3,0))</f>
        <v>0</v>
      </c>
      <c r="K473" s="273">
        <f ca="1">IF(OR(A473=1,AND(C473=ÉV!$I$2,D473&gt;ÉV!$J$2),C473&gt;ÉV!$I$2),0,VLOOKUP(A473-1,ÉV!$A$18:$C$65,3,0))</f>
        <v>0</v>
      </c>
      <c r="L473" s="273">
        <f ca="1">VLOOKUP(A473,ÉV!$A$18:$C$65,3,0)*IF(OR(AND(C473=ÉV!$I$2,D473&gt;ÉV!$J$2),C473&gt;ÉV!$I$2),0,1)</f>
        <v>0</v>
      </c>
      <c r="M473" s="273">
        <f ca="1">(K473*(12-B473)/12+L473*B473/12)*IF(A473&gt;ÉV!$G$2,0,1)+IF(A473&gt;ÉV!$G$2,M472,0)*IF(OR(AND(C473=ÉV!$I$2,D473&gt;ÉV!$J$2),C473&gt;ÉV!$I$2),0,1)</f>
        <v>0</v>
      </c>
      <c r="N473" s="274">
        <f ca="1">IF(AND(C473=1,D473&lt;12),0,1)*IF(D473=12,MAX(0,F473-E473-0.003)*0.9*((K473+I473)*(B473/12)+(J473+H473)*(1-B473/12))+MAX(0,F473-0.003)*0.9*N472+N472,IF(AND(C473=ÉV!$I$2,D473=ÉV!$J$2),(M473+N472)*MAX(0,F473-0.003)*0.9*(D473/12)+N472,N472))*IF(OR(C473&gt;ÉV!$I$2,AND(C473=ÉV!$I$2,D473&gt;ÉV!$J$2)),0,1)</f>
        <v>0</v>
      </c>
      <c r="O473" s="313">
        <f ca="1">IF(MAX(AF$2:AF472)=2,      0,IF(OR(AC473=7, AF473=2),    SUM(AE$2:AE473),    O472)   )</f>
        <v>0</v>
      </c>
      <c r="P473" s="271">
        <f ca="1">IF(D473=12,V473+P472+P472*(F473-0.003)*0.9,IF(AND(C473=ÉV!$I$2,D473=ÉV!$J$2),V473+P472+P472*(F473-0.003)*0.9*D473/12,P472))*IF(OR(C473&gt;ÉV!$I$2,AND(C473=ÉV!$I$2,D473&gt;ÉV!$J$2)),0,1)</f>
        <v>0</v>
      </c>
      <c r="Q473" s="275">
        <f ca="1">(N473+P473)*IF(OR(AND(C473=ÉV!$I$2,D473&gt;ÉV!$J$2),C473&gt;ÉV!$I$2),0,1)</f>
        <v>0</v>
      </c>
      <c r="R473" s="271">
        <f ca="1">(MAX(0,F473-E473-0.003)*0.9*((K473+I473)*(1/12)))*IF(OR(C473&gt;ÉV!$I$2,AND(C473=ÉV!$I$2,D473&gt;ÉV!$J$2)),0,1)</f>
        <v>0</v>
      </c>
      <c r="S473" s="271">
        <f ca="1">(MAX(0,F473-0.003)*0.9*((O473)*(1/12)))*IF(OR(C473&gt;ÉV!$I$2,AND(C473=ÉV!$I$2,D473&gt;ÉV!$J$2)),0,1)</f>
        <v>0</v>
      </c>
      <c r="T473" s="271">
        <f ca="1">(MAX(0,F473-0.003)*0.9*((Q472)*(1/12)))*IF(OR(C473&gt;ÉV!$I$2,AND(C473=ÉV!$I$2,D473&gt;ÉV!$J$2)),0,1)</f>
        <v>0</v>
      </c>
      <c r="U473" s="271">
        <f ca="1">IF($D473=1,R473,R473+U472)*IF(OR(C473&gt;ÉV!$I$2,AND(C473=ÉV!$I$2,D473&gt;ÉV!$J$2)),0,1)</f>
        <v>0</v>
      </c>
      <c r="V473" s="271">
        <f ca="1">IF($D473=1,S473,S473+V472)*IF(OR(C473&gt;ÉV!$I$2,AND(C473=ÉV!$I$2,D473&gt;ÉV!$J$2)),0,1)</f>
        <v>0</v>
      </c>
      <c r="W473" s="271">
        <f ca="1">IF($D473=1,T473,T473+W472)*IF(OR(C473&gt;ÉV!$I$2,AND(C473=ÉV!$I$2,D473&gt;ÉV!$J$2)),0,1)</f>
        <v>0</v>
      </c>
      <c r="X473" s="271">
        <f ca="1">IF(OR(D473=12,AND(C473=ÉV!$I$2,D473=ÉV!$J$2)),SUM(U473:W473)+X472,X472)*IF(OR(C473&gt;ÉV!$I$2,AND(C473=ÉV!$I$2,D473&gt;ÉV!$J$2)),0,1)</f>
        <v>0</v>
      </c>
      <c r="Y473" s="271">
        <f t="shared" ca="1" si="81"/>
        <v>0</v>
      </c>
      <c r="Z473" s="265">
        <f t="shared" si="82"/>
        <v>3</v>
      </c>
      <c r="AA473" s="272">
        <f t="shared" ca="1" si="83"/>
        <v>0</v>
      </c>
      <c r="AB473" s="265">
        <f t="shared" ca="1" si="87"/>
        <v>2056</v>
      </c>
      <c r="AC473" s="265">
        <f t="shared" ca="1" si="88"/>
        <v>6</v>
      </c>
      <c r="AD473" s="276">
        <f ca="1">IF(     OR(               AND(MAX(AF$6:AF473)&lt;2,  AC473=12),                 AF473=2),                   SUMIF(AB:AB,AB473,AA:AA),                       0)</f>
        <v>0</v>
      </c>
      <c r="AE473" s="277">
        <f t="shared" ca="1" si="89"/>
        <v>0</v>
      </c>
      <c r="AF473" s="277">
        <f t="shared" ca="1" si="84"/>
        <v>0</v>
      </c>
      <c r="AG473" s="402">
        <f ca="1">IF(  AND(AC473=AdóHó,   MAX(AF$1:AF472)&lt;2),   SUMIF(AB:AB,AB473-1,AE:AE),0  )
+ IF(AND(AC473&lt;AdóHó,                            AF473=2),   SUMIF(AB:AB,AB473-1,AE:AE),0  )
+ IF(                                                                  AF473=2,    SUMIF(AB:AB,AB473,AE:AE   ),0  )</f>
        <v>0</v>
      </c>
      <c r="AH473" s="272">
        <f ca="1">SUM(AG$2:AG473)</f>
        <v>1139324.2410681627</v>
      </c>
    </row>
    <row r="474" spans="1:34">
      <c r="A474" s="265">
        <f t="shared" si="79"/>
        <v>40</v>
      </c>
      <c r="B474" s="265">
        <f t="shared" si="80"/>
        <v>4</v>
      </c>
      <c r="C474" s="265">
        <f t="shared" ca="1" si="85"/>
        <v>40</v>
      </c>
      <c r="D474" s="265">
        <f t="shared" ca="1" si="86"/>
        <v>7</v>
      </c>
      <c r="E474" s="266">
        <v>5.0000000000000001E-3</v>
      </c>
      <c r="F474" s="267">
        <f>ÉV!$B$12</f>
        <v>0</v>
      </c>
      <c r="G474" s="271">
        <f ca="1">VLOOKUP(A474,ÉV!$A$18:$B$65,2,0)</f>
        <v>0</v>
      </c>
      <c r="H474" s="271">
        <f ca="1">IF(OR(A474=1,AND(C474=ÉV!$I$2,D474&gt;ÉV!$J$2),C474&gt;ÉV!$I$2),0,INDEX(Pz!$B$2:$AM$48,A474-1,ÉV!$G$2-9)/100000*ÉV!$B$10)</f>
        <v>0</v>
      </c>
      <c r="I474" s="271">
        <f ca="1">INDEX(Pz!$B$2:$AM$48,HÓ!A474,ÉV!$G$2-9)/100000*ÉV!$B$10</f>
        <v>0</v>
      </c>
      <c r="J474" s="273">
        <f ca="1">IF(OR(A474=1,A474=2,AND(C474=ÉV!$I$2,D474&gt;ÉV!$J$2),C474&gt;ÉV!$I$2),0,VLOOKUP(A474-2,ÉV!$A$18:$C$65,3,0))</f>
        <v>0</v>
      </c>
      <c r="K474" s="273">
        <f ca="1">IF(OR(A474=1,AND(C474=ÉV!$I$2,D474&gt;ÉV!$J$2),C474&gt;ÉV!$I$2),0,VLOOKUP(A474-1,ÉV!$A$18:$C$65,3,0))</f>
        <v>0</v>
      </c>
      <c r="L474" s="273">
        <f ca="1">VLOOKUP(A474,ÉV!$A$18:$C$65,3,0)*IF(OR(AND(C474=ÉV!$I$2,D474&gt;ÉV!$J$2),C474&gt;ÉV!$I$2),0,1)</f>
        <v>0</v>
      </c>
      <c r="M474" s="273">
        <f ca="1">(K474*(12-B474)/12+L474*B474/12)*IF(A474&gt;ÉV!$G$2,0,1)+IF(A474&gt;ÉV!$G$2,M473,0)*IF(OR(AND(C474=ÉV!$I$2,D474&gt;ÉV!$J$2),C474&gt;ÉV!$I$2),0,1)</f>
        <v>0</v>
      </c>
      <c r="N474" s="274">
        <f ca="1">IF(AND(C474=1,D474&lt;12),0,1)*IF(D474=12,MAX(0,F474-E474-0.003)*0.9*((K474+I474)*(B474/12)+(J474+H474)*(1-B474/12))+MAX(0,F474-0.003)*0.9*N473+N473,IF(AND(C474=ÉV!$I$2,D474=ÉV!$J$2),(M474+N473)*MAX(0,F474-0.003)*0.9*(D474/12)+N473,N473))*IF(OR(C474&gt;ÉV!$I$2,AND(C474=ÉV!$I$2,D474&gt;ÉV!$J$2)),0,1)</f>
        <v>0</v>
      </c>
      <c r="O474" s="313">
        <f ca="1">IF(MAX(AF$2:AF473)=2,      0,IF(OR(AC474=7, AF474=2),    SUM(AE$2:AE474),    O473)   )</f>
        <v>0</v>
      </c>
      <c r="P474" s="271">
        <f ca="1">IF(D474=12,V474+P473+P473*(F474-0.003)*0.9,IF(AND(C474=ÉV!$I$2,D474=ÉV!$J$2),V474+P473+P473*(F474-0.003)*0.9*D474/12,P473))*IF(OR(C474&gt;ÉV!$I$2,AND(C474=ÉV!$I$2,D474&gt;ÉV!$J$2)),0,1)</f>
        <v>0</v>
      </c>
      <c r="Q474" s="275">
        <f ca="1">(N474+P474)*IF(OR(AND(C474=ÉV!$I$2,D474&gt;ÉV!$J$2),C474&gt;ÉV!$I$2),0,1)</f>
        <v>0</v>
      </c>
      <c r="R474" s="271">
        <f ca="1">(MAX(0,F474-E474-0.003)*0.9*((K474+I474)*(1/12)))*IF(OR(C474&gt;ÉV!$I$2,AND(C474=ÉV!$I$2,D474&gt;ÉV!$J$2)),0,1)</f>
        <v>0</v>
      </c>
      <c r="S474" s="271">
        <f ca="1">(MAX(0,F474-0.003)*0.9*((O474)*(1/12)))*IF(OR(C474&gt;ÉV!$I$2,AND(C474=ÉV!$I$2,D474&gt;ÉV!$J$2)),0,1)</f>
        <v>0</v>
      </c>
      <c r="T474" s="271">
        <f ca="1">(MAX(0,F474-0.003)*0.9*((Q473)*(1/12)))*IF(OR(C474&gt;ÉV!$I$2,AND(C474=ÉV!$I$2,D474&gt;ÉV!$J$2)),0,1)</f>
        <v>0</v>
      </c>
      <c r="U474" s="271">
        <f ca="1">IF($D474=1,R474,R474+U473)*IF(OR(C474&gt;ÉV!$I$2,AND(C474=ÉV!$I$2,D474&gt;ÉV!$J$2)),0,1)</f>
        <v>0</v>
      </c>
      <c r="V474" s="271">
        <f ca="1">IF($D474=1,S474,S474+V473)*IF(OR(C474&gt;ÉV!$I$2,AND(C474=ÉV!$I$2,D474&gt;ÉV!$J$2)),0,1)</f>
        <v>0</v>
      </c>
      <c r="W474" s="271">
        <f ca="1">IF($D474=1,T474,T474+W473)*IF(OR(C474&gt;ÉV!$I$2,AND(C474=ÉV!$I$2,D474&gt;ÉV!$J$2)),0,1)</f>
        <v>0</v>
      </c>
      <c r="X474" s="271">
        <f ca="1">IF(OR(D474=12,AND(C474=ÉV!$I$2,D474=ÉV!$J$2)),SUM(U474:W474)+X473,X473)*IF(OR(C474&gt;ÉV!$I$2,AND(C474=ÉV!$I$2,D474&gt;ÉV!$J$2)),0,1)</f>
        <v>0</v>
      </c>
      <c r="Y474" s="271">
        <f t="shared" ca="1" si="81"/>
        <v>0</v>
      </c>
      <c r="Z474" s="265">
        <f t="shared" si="82"/>
        <v>4</v>
      </c>
      <c r="AA474" s="272">
        <f t="shared" ca="1" si="83"/>
        <v>0</v>
      </c>
      <c r="AB474" s="265">
        <f t="shared" ca="1" si="87"/>
        <v>2056</v>
      </c>
      <c r="AC474" s="265">
        <f t="shared" ca="1" si="88"/>
        <v>7</v>
      </c>
      <c r="AD474" s="276">
        <f ca="1">IF(     OR(               AND(MAX(AF$6:AF474)&lt;2,  AC474=12),                 AF474=2),                   SUMIF(AB:AB,AB474,AA:AA),                       0)</f>
        <v>0</v>
      </c>
      <c r="AE474" s="277">
        <f t="shared" ca="1" si="89"/>
        <v>0</v>
      </c>
      <c r="AF474" s="277">
        <f t="shared" ca="1" si="84"/>
        <v>0</v>
      </c>
      <c r="AG474" s="402">
        <f ca="1">IF(  AND(AC474=AdóHó,   MAX(AF$1:AF473)&lt;2),   SUMIF(AB:AB,AB474-1,AE:AE),0  )
+ IF(AND(AC474&lt;AdóHó,                            AF474=2),   SUMIF(AB:AB,AB474-1,AE:AE),0  )
+ IF(                                                                  AF474=2,    SUMIF(AB:AB,AB474,AE:AE   ),0  )</f>
        <v>0</v>
      </c>
      <c r="AH474" s="272">
        <f ca="1">SUM(AG$2:AG474)</f>
        <v>1139324.2410681627</v>
      </c>
    </row>
    <row r="475" spans="1:34">
      <c r="A475" s="265">
        <f t="shared" si="79"/>
        <v>40</v>
      </c>
      <c r="B475" s="265">
        <f t="shared" si="80"/>
        <v>5</v>
      </c>
      <c r="C475" s="265">
        <f t="shared" ca="1" si="85"/>
        <v>40</v>
      </c>
      <c r="D475" s="265">
        <f t="shared" ca="1" si="86"/>
        <v>8</v>
      </c>
      <c r="E475" s="266">
        <v>5.0000000000000001E-3</v>
      </c>
      <c r="F475" s="267">
        <f>ÉV!$B$12</f>
        <v>0</v>
      </c>
      <c r="G475" s="271">
        <f ca="1">VLOOKUP(A475,ÉV!$A$18:$B$65,2,0)</f>
        <v>0</v>
      </c>
      <c r="H475" s="271">
        <f ca="1">IF(OR(A475=1,AND(C475=ÉV!$I$2,D475&gt;ÉV!$J$2),C475&gt;ÉV!$I$2),0,INDEX(Pz!$B$2:$AM$48,A475-1,ÉV!$G$2-9)/100000*ÉV!$B$10)</f>
        <v>0</v>
      </c>
      <c r="I475" s="271">
        <f ca="1">INDEX(Pz!$B$2:$AM$48,HÓ!A475,ÉV!$G$2-9)/100000*ÉV!$B$10</f>
        <v>0</v>
      </c>
      <c r="J475" s="273">
        <f ca="1">IF(OR(A475=1,A475=2,AND(C475=ÉV!$I$2,D475&gt;ÉV!$J$2),C475&gt;ÉV!$I$2),0,VLOOKUP(A475-2,ÉV!$A$18:$C$65,3,0))</f>
        <v>0</v>
      </c>
      <c r="K475" s="273">
        <f ca="1">IF(OR(A475=1,AND(C475=ÉV!$I$2,D475&gt;ÉV!$J$2),C475&gt;ÉV!$I$2),0,VLOOKUP(A475-1,ÉV!$A$18:$C$65,3,0))</f>
        <v>0</v>
      </c>
      <c r="L475" s="273">
        <f ca="1">VLOOKUP(A475,ÉV!$A$18:$C$65,3,0)*IF(OR(AND(C475=ÉV!$I$2,D475&gt;ÉV!$J$2),C475&gt;ÉV!$I$2),0,1)</f>
        <v>0</v>
      </c>
      <c r="M475" s="273">
        <f ca="1">(K475*(12-B475)/12+L475*B475/12)*IF(A475&gt;ÉV!$G$2,0,1)+IF(A475&gt;ÉV!$G$2,M474,0)*IF(OR(AND(C475=ÉV!$I$2,D475&gt;ÉV!$J$2),C475&gt;ÉV!$I$2),0,1)</f>
        <v>0</v>
      </c>
      <c r="N475" s="274">
        <f ca="1">IF(AND(C475=1,D475&lt;12),0,1)*IF(D475=12,MAX(0,F475-E475-0.003)*0.9*((K475+I475)*(B475/12)+(J475+H475)*(1-B475/12))+MAX(0,F475-0.003)*0.9*N474+N474,IF(AND(C475=ÉV!$I$2,D475=ÉV!$J$2),(M475+N474)*MAX(0,F475-0.003)*0.9*(D475/12)+N474,N474))*IF(OR(C475&gt;ÉV!$I$2,AND(C475=ÉV!$I$2,D475&gt;ÉV!$J$2)),0,1)</f>
        <v>0</v>
      </c>
      <c r="O475" s="313">
        <f ca="1">IF(MAX(AF$2:AF474)=2,      0,IF(OR(AC475=7, AF475=2),    SUM(AE$2:AE475),    O474)   )</f>
        <v>0</v>
      </c>
      <c r="P475" s="271">
        <f ca="1">IF(D475=12,V475+P474+P474*(F475-0.003)*0.9,IF(AND(C475=ÉV!$I$2,D475=ÉV!$J$2),V475+P474+P474*(F475-0.003)*0.9*D475/12,P474))*IF(OR(C475&gt;ÉV!$I$2,AND(C475=ÉV!$I$2,D475&gt;ÉV!$J$2)),0,1)</f>
        <v>0</v>
      </c>
      <c r="Q475" s="275">
        <f ca="1">(N475+P475)*IF(OR(AND(C475=ÉV!$I$2,D475&gt;ÉV!$J$2),C475&gt;ÉV!$I$2),0,1)</f>
        <v>0</v>
      </c>
      <c r="R475" s="271">
        <f ca="1">(MAX(0,F475-E475-0.003)*0.9*((K475+I475)*(1/12)))*IF(OR(C475&gt;ÉV!$I$2,AND(C475=ÉV!$I$2,D475&gt;ÉV!$J$2)),0,1)</f>
        <v>0</v>
      </c>
      <c r="S475" s="271">
        <f ca="1">(MAX(0,F475-0.003)*0.9*((O475)*(1/12)))*IF(OR(C475&gt;ÉV!$I$2,AND(C475=ÉV!$I$2,D475&gt;ÉV!$J$2)),0,1)</f>
        <v>0</v>
      </c>
      <c r="T475" s="271">
        <f ca="1">(MAX(0,F475-0.003)*0.9*((Q474)*(1/12)))*IF(OR(C475&gt;ÉV!$I$2,AND(C475=ÉV!$I$2,D475&gt;ÉV!$J$2)),0,1)</f>
        <v>0</v>
      </c>
      <c r="U475" s="271">
        <f ca="1">IF($D475=1,R475,R475+U474)*IF(OR(C475&gt;ÉV!$I$2,AND(C475=ÉV!$I$2,D475&gt;ÉV!$J$2)),0,1)</f>
        <v>0</v>
      </c>
      <c r="V475" s="271">
        <f ca="1">IF($D475=1,S475,S475+V474)*IF(OR(C475&gt;ÉV!$I$2,AND(C475=ÉV!$I$2,D475&gt;ÉV!$J$2)),0,1)</f>
        <v>0</v>
      </c>
      <c r="W475" s="271">
        <f ca="1">IF($D475=1,T475,T475+W474)*IF(OR(C475&gt;ÉV!$I$2,AND(C475=ÉV!$I$2,D475&gt;ÉV!$J$2)),0,1)</f>
        <v>0</v>
      </c>
      <c r="X475" s="271">
        <f ca="1">IF(OR(D475=12,AND(C475=ÉV!$I$2,D475=ÉV!$J$2)),SUM(U475:W475)+X474,X474)*IF(OR(C475&gt;ÉV!$I$2,AND(C475=ÉV!$I$2,D475&gt;ÉV!$J$2)),0,1)</f>
        <v>0</v>
      </c>
      <c r="Y475" s="271">
        <f t="shared" ca="1" si="81"/>
        <v>0</v>
      </c>
      <c r="Z475" s="265">
        <f t="shared" si="82"/>
        <v>5</v>
      </c>
      <c r="AA475" s="272">
        <f t="shared" ca="1" si="83"/>
        <v>0</v>
      </c>
      <c r="AB475" s="265">
        <f t="shared" ca="1" si="87"/>
        <v>2056</v>
      </c>
      <c r="AC475" s="265">
        <f t="shared" ca="1" si="88"/>
        <v>8</v>
      </c>
      <c r="AD475" s="276">
        <f ca="1">IF(     OR(               AND(MAX(AF$6:AF475)&lt;2,  AC475=12),                 AF475=2),                   SUMIF(AB:AB,AB475,AA:AA),                       0)</f>
        <v>0</v>
      </c>
      <c r="AE475" s="277">
        <f t="shared" ca="1" si="89"/>
        <v>0</v>
      </c>
      <c r="AF475" s="277">
        <f t="shared" ca="1" si="84"/>
        <v>0</v>
      </c>
      <c r="AG475" s="402">
        <f ca="1">IF(  AND(AC475=AdóHó,   MAX(AF$1:AF474)&lt;2),   SUMIF(AB:AB,AB475-1,AE:AE),0  )
+ IF(AND(AC475&lt;AdóHó,                            AF475=2),   SUMIF(AB:AB,AB475-1,AE:AE),0  )
+ IF(                                                                  AF475=2,    SUMIF(AB:AB,AB475,AE:AE   ),0  )</f>
        <v>0</v>
      </c>
      <c r="AH475" s="272">
        <f ca="1">SUM(AG$2:AG475)</f>
        <v>1139324.2410681627</v>
      </c>
    </row>
    <row r="476" spans="1:34">
      <c r="A476" s="265">
        <f t="shared" si="79"/>
        <v>40</v>
      </c>
      <c r="B476" s="265">
        <f t="shared" si="80"/>
        <v>6</v>
      </c>
      <c r="C476" s="265">
        <f t="shared" ca="1" si="85"/>
        <v>40</v>
      </c>
      <c r="D476" s="265">
        <f t="shared" ca="1" si="86"/>
        <v>9</v>
      </c>
      <c r="E476" s="266">
        <v>5.0000000000000001E-3</v>
      </c>
      <c r="F476" s="267">
        <f>ÉV!$B$12</f>
        <v>0</v>
      </c>
      <c r="G476" s="271">
        <f ca="1">VLOOKUP(A476,ÉV!$A$18:$B$65,2,0)</f>
        <v>0</v>
      </c>
      <c r="H476" s="271">
        <f ca="1">IF(OR(A476=1,AND(C476=ÉV!$I$2,D476&gt;ÉV!$J$2),C476&gt;ÉV!$I$2),0,INDEX(Pz!$B$2:$AM$48,A476-1,ÉV!$G$2-9)/100000*ÉV!$B$10)</f>
        <v>0</v>
      </c>
      <c r="I476" s="271">
        <f ca="1">INDEX(Pz!$B$2:$AM$48,HÓ!A476,ÉV!$G$2-9)/100000*ÉV!$B$10</f>
        <v>0</v>
      </c>
      <c r="J476" s="273">
        <f ca="1">IF(OR(A476=1,A476=2,AND(C476=ÉV!$I$2,D476&gt;ÉV!$J$2),C476&gt;ÉV!$I$2),0,VLOOKUP(A476-2,ÉV!$A$18:$C$65,3,0))</f>
        <v>0</v>
      </c>
      <c r="K476" s="273">
        <f ca="1">IF(OR(A476=1,AND(C476=ÉV!$I$2,D476&gt;ÉV!$J$2),C476&gt;ÉV!$I$2),0,VLOOKUP(A476-1,ÉV!$A$18:$C$65,3,0))</f>
        <v>0</v>
      </c>
      <c r="L476" s="273">
        <f ca="1">VLOOKUP(A476,ÉV!$A$18:$C$65,3,0)*IF(OR(AND(C476=ÉV!$I$2,D476&gt;ÉV!$J$2),C476&gt;ÉV!$I$2),0,1)</f>
        <v>0</v>
      </c>
      <c r="M476" s="273">
        <f ca="1">(K476*(12-B476)/12+L476*B476/12)*IF(A476&gt;ÉV!$G$2,0,1)+IF(A476&gt;ÉV!$G$2,M475,0)*IF(OR(AND(C476=ÉV!$I$2,D476&gt;ÉV!$J$2),C476&gt;ÉV!$I$2),0,1)</f>
        <v>0</v>
      </c>
      <c r="N476" s="274">
        <f ca="1">IF(AND(C476=1,D476&lt;12),0,1)*IF(D476=12,MAX(0,F476-E476-0.003)*0.9*((K476+I476)*(B476/12)+(J476+H476)*(1-B476/12))+MAX(0,F476-0.003)*0.9*N475+N475,IF(AND(C476=ÉV!$I$2,D476=ÉV!$J$2),(M476+N475)*MAX(0,F476-0.003)*0.9*(D476/12)+N475,N475))*IF(OR(C476&gt;ÉV!$I$2,AND(C476=ÉV!$I$2,D476&gt;ÉV!$J$2)),0,1)</f>
        <v>0</v>
      </c>
      <c r="O476" s="313">
        <f ca="1">IF(MAX(AF$2:AF475)=2,      0,IF(OR(AC476=7, AF476=2),    SUM(AE$2:AE476),    O475)   )</f>
        <v>0</v>
      </c>
      <c r="P476" s="271">
        <f ca="1">IF(D476=12,V476+P475+P475*(F476-0.003)*0.9,IF(AND(C476=ÉV!$I$2,D476=ÉV!$J$2),V476+P475+P475*(F476-0.003)*0.9*D476/12,P475))*IF(OR(C476&gt;ÉV!$I$2,AND(C476=ÉV!$I$2,D476&gt;ÉV!$J$2)),0,1)</f>
        <v>0</v>
      </c>
      <c r="Q476" s="275">
        <f ca="1">(N476+P476)*IF(OR(AND(C476=ÉV!$I$2,D476&gt;ÉV!$J$2),C476&gt;ÉV!$I$2),0,1)</f>
        <v>0</v>
      </c>
      <c r="R476" s="271">
        <f ca="1">(MAX(0,F476-E476-0.003)*0.9*((K476+I476)*(1/12)))*IF(OR(C476&gt;ÉV!$I$2,AND(C476=ÉV!$I$2,D476&gt;ÉV!$J$2)),0,1)</f>
        <v>0</v>
      </c>
      <c r="S476" s="271">
        <f ca="1">(MAX(0,F476-0.003)*0.9*((O476)*(1/12)))*IF(OR(C476&gt;ÉV!$I$2,AND(C476=ÉV!$I$2,D476&gt;ÉV!$J$2)),0,1)</f>
        <v>0</v>
      </c>
      <c r="T476" s="271">
        <f ca="1">(MAX(0,F476-0.003)*0.9*((Q475)*(1/12)))*IF(OR(C476&gt;ÉV!$I$2,AND(C476=ÉV!$I$2,D476&gt;ÉV!$J$2)),0,1)</f>
        <v>0</v>
      </c>
      <c r="U476" s="271">
        <f ca="1">IF($D476=1,R476,R476+U475)*IF(OR(C476&gt;ÉV!$I$2,AND(C476=ÉV!$I$2,D476&gt;ÉV!$J$2)),0,1)</f>
        <v>0</v>
      </c>
      <c r="V476" s="271">
        <f ca="1">IF($D476=1,S476,S476+V475)*IF(OR(C476&gt;ÉV!$I$2,AND(C476=ÉV!$I$2,D476&gt;ÉV!$J$2)),0,1)</f>
        <v>0</v>
      </c>
      <c r="W476" s="271">
        <f ca="1">IF($D476=1,T476,T476+W475)*IF(OR(C476&gt;ÉV!$I$2,AND(C476=ÉV!$I$2,D476&gt;ÉV!$J$2)),0,1)</f>
        <v>0</v>
      </c>
      <c r="X476" s="271">
        <f ca="1">IF(OR(D476=12,AND(C476=ÉV!$I$2,D476=ÉV!$J$2)),SUM(U476:W476)+X475,X475)*IF(OR(C476&gt;ÉV!$I$2,AND(C476=ÉV!$I$2,D476&gt;ÉV!$J$2)),0,1)</f>
        <v>0</v>
      </c>
      <c r="Y476" s="271">
        <f t="shared" ca="1" si="81"/>
        <v>0</v>
      </c>
      <c r="Z476" s="265">
        <f t="shared" si="82"/>
        <v>6</v>
      </c>
      <c r="AA476" s="272">
        <f t="shared" ca="1" si="83"/>
        <v>0</v>
      </c>
      <c r="AB476" s="265">
        <f t="shared" ca="1" si="87"/>
        <v>2056</v>
      </c>
      <c r="AC476" s="265">
        <f t="shared" ca="1" si="88"/>
        <v>9</v>
      </c>
      <c r="AD476" s="276">
        <f ca="1">IF(     OR(               AND(MAX(AF$6:AF476)&lt;2,  AC476=12),                 AF476=2),                   SUMIF(AB:AB,AB476,AA:AA),                       0)</f>
        <v>0</v>
      </c>
      <c r="AE476" s="277">
        <f t="shared" ca="1" si="89"/>
        <v>0</v>
      </c>
      <c r="AF476" s="277">
        <f t="shared" ca="1" si="84"/>
        <v>0</v>
      </c>
      <c r="AG476" s="402">
        <f ca="1">IF(  AND(AC476=AdóHó,   MAX(AF$1:AF475)&lt;2),   SUMIF(AB:AB,AB476-1,AE:AE),0  )
+ IF(AND(AC476&lt;AdóHó,                            AF476=2),   SUMIF(AB:AB,AB476-1,AE:AE),0  )
+ IF(                                                                  AF476=2,    SUMIF(AB:AB,AB476,AE:AE   ),0  )</f>
        <v>0</v>
      </c>
      <c r="AH476" s="272">
        <f ca="1">SUM(AG$2:AG476)</f>
        <v>1139324.2410681627</v>
      </c>
    </row>
    <row r="477" spans="1:34">
      <c r="A477" s="265">
        <f t="shared" si="79"/>
        <v>40</v>
      </c>
      <c r="B477" s="265">
        <f t="shared" si="80"/>
        <v>7</v>
      </c>
      <c r="C477" s="265">
        <f t="shared" ca="1" si="85"/>
        <v>40</v>
      </c>
      <c r="D477" s="265">
        <f t="shared" ca="1" si="86"/>
        <v>10</v>
      </c>
      <c r="E477" s="266">
        <v>5.0000000000000001E-3</v>
      </c>
      <c r="F477" s="267">
        <f>ÉV!$B$12</f>
        <v>0</v>
      </c>
      <c r="G477" s="271">
        <f ca="1">VLOOKUP(A477,ÉV!$A$18:$B$65,2,0)</f>
        <v>0</v>
      </c>
      <c r="H477" s="271">
        <f ca="1">IF(OR(A477=1,AND(C477=ÉV!$I$2,D477&gt;ÉV!$J$2),C477&gt;ÉV!$I$2),0,INDEX(Pz!$B$2:$AM$48,A477-1,ÉV!$G$2-9)/100000*ÉV!$B$10)</f>
        <v>0</v>
      </c>
      <c r="I477" s="271">
        <f ca="1">INDEX(Pz!$B$2:$AM$48,HÓ!A477,ÉV!$G$2-9)/100000*ÉV!$B$10</f>
        <v>0</v>
      </c>
      <c r="J477" s="273">
        <f ca="1">IF(OR(A477=1,A477=2,AND(C477=ÉV!$I$2,D477&gt;ÉV!$J$2),C477&gt;ÉV!$I$2),0,VLOOKUP(A477-2,ÉV!$A$18:$C$65,3,0))</f>
        <v>0</v>
      </c>
      <c r="K477" s="273">
        <f ca="1">IF(OR(A477=1,AND(C477=ÉV!$I$2,D477&gt;ÉV!$J$2),C477&gt;ÉV!$I$2),0,VLOOKUP(A477-1,ÉV!$A$18:$C$65,3,0))</f>
        <v>0</v>
      </c>
      <c r="L477" s="273">
        <f ca="1">VLOOKUP(A477,ÉV!$A$18:$C$65,3,0)*IF(OR(AND(C477=ÉV!$I$2,D477&gt;ÉV!$J$2),C477&gt;ÉV!$I$2),0,1)</f>
        <v>0</v>
      </c>
      <c r="M477" s="273">
        <f ca="1">(K477*(12-B477)/12+L477*B477/12)*IF(A477&gt;ÉV!$G$2,0,1)+IF(A477&gt;ÉV!$G$2,M476,0)*IF(OR(AND(C477=ÉV!$I$2,D477&gt;ÉV!$J$2),C477&gt;ÉV!$I$2),0,1)</f>
        <v>0</v>
      </c>
      <c r="N477" s="274">
        <f ca="1">IF(AND(C477=1,D477&lt;12),0,1)*IF(D477=12,MAX(0,F477-E477-0.003)*0.9*((K477+I477)*(B477/12)+(J477+H477)*(1-B477/12))+MAX(0,F477-0.003)*0.9*N476+N476,IF(AND(C477=ÉV!$I$2,D477=ÉV!$J$2),(M477+N476)*MAX(0,F477-0.003)*0.9*(D477/12)+N476,N476))*IF(OR(C477&gt;ÉV!$I$2,AND(C477=ÉV!$I$2,D477&gt;ÉV!$J$2)),0,1)</f>
        <v>0</v>
      </c>
      <c r="O477" s="313">
        <f ca="1">IF(MAX(AF$2:AF476)=2,      0,IF(OR(AC477=7, AF477=2),    SUM(AE$2:AE477),    O476)   )</f>
        <v>0</v>
      </c>
      <c r="P477" s="271">
        <f ca="1">IF(D477=12,V477+P476+P476*(F477-0.003)*0.9,IF(AND(C477=ÉV!$I$2,D477=ÉV!$J$2),V477+P476+P476*(F477-0.003)*0.9*D477/12,P476))*IF(OR(C477&gt;ÉV!$I$2,AND(C477=ÉV!$I$2,D477&gt;ÉV!$J$2)),0,1)</f>
        <v>0</v>
      </c>
      <c r="Q477" s="275">
        <f ca="1">(N477+P477)*IF(OR(AND(C477=ÉV!$I$2,D477&gt;ÉV!$J$2),C477&gt;ÉV!$I$2),0,1)</f>
        <v>0</v>
      </c>
      <c r="R477" s="271">
        <f ca="1">(MAX(0,F477-E477-0.003)*0.9*((K477+I477)*(1/12)))*IF(OR(C477&gt;ÉV!$I$2,AND(C477=ÉV!$I$2,D477&gt;ÉV!$J$2)),0,1)</f>
        <v>0</v>
      </c>
      <c r="S477" s="271">
        <f ca="1">(MAX(0,F477-0.003)*0.9*((O477)*(1/12)))*IF(OR(C477&gt;ÉV!$I$2,AND(C477=ÉV!$I$2,D477&gt;ÉV!$J$2)),0,1)</f>
        <v>0</v>
      </c>
      <c r="T477" s="271">
        <f ca="1">(MAX(0,F477-0.003)*0.9*((Q476)*(1/12)))*IF(OR(C477&gt;ÉV!$I$2,AND(C477=ÉV!$I$2,D477&gt;ÉV!$J$2)),0,1)</f>
        <v>0</v>
      </c>
      <c r="U477" s="271">
        <f ca="1">IF($D477=1,R477,R477+U476)*IF(OR(C477&gt;ÉV!$I$2,AND(C477=ÉV!$I$2,D477&gt;ÉV!$J$2)),0,1)</f>
        <v>0</v>
      </c>
      <c r="V477" s="271">
        <f ca="1">IF($D477=1,S477,S477+V476)*IF(OR(C477&gt;ÉV!$I$2,AND(C477=ÉV!$I$2,D477&gt;ÉV!$J$2)),0,1)</f>
        <v>0</v>
      </c>
      <c r="W477" s="271">
        <f ca="1">IF($D477=1,T477,T477+W476)*IF(OR(C477&gt;ÉV!$I$2,AND(C477=ÉV!$I$2,D477&gt;ÉV!$J$2)),0,1)</f>
        <v>0</v>
      </c>
      <c r="X477" s="271">
        <f ca="1">IF(OR(D477=12,AND(C477=ÉV!$I$2,D477=ÉV!$J$2)),SUM(U477:W477)+X476,X476)*IF(OR(C477&gt;ÉV!$I$2,AND(C477=ÉV!$I$2,D477&gt;ÉV!$J$2)),0,1)</f>
        <v>0</v>
      </c>
      <c r="Y477" s="271">
        <f t="shared" ca="1" si="81"/>
        <v>0</v>
      </c>
      <c r="Z477" s="265">
        <f t="shared" si="82"/>
        <v>7</v>
      </c>
      <c r="AA477" s="272">
        <f t="shared" ca="1" si="83"/>
        <v>0</v>
      </c>
      <c r="AB477" s="265">
        <f t="shared" ca="1" si="87"/>
        <v>2056</v>
      </c>
      <c r="AC477" s="265">
        <f t="shared" ca="1" si="88"/>
        <v>10</v>
      </c>
      <c r="AD477" s="276">
        <f ca="1">IF(     OR(               AND(MAX(AF$6:AF477)&lt;2,  AC477=12),                 AF477=2),                   SUMIF(AB:AB,AB477,AA:AA),                       0)</f>
        <v>0</v>
      </c>
      <c r="AE477" s="277">
        <f t="shared" ca="1" si="89"/>
        <v>0</v>
      </c>
      <c r="AF477" s="277">
        <f t="shared" ca="1" si="84"/>
        <v>0</v>
      </c>
      <c r="AG477" s="402">
        <f ca="1">IF(  AND(AC477=AdóHó,   MAX(AF$1:AF476)&lt;2),   SUMIF(AB:AB,AB477-1,AE:AE),0  )
+ IF(AND(AC477&lt;AdóHó,                            AF477=2),   SUMIF(AB:AB,AB477-1,AE:AE),0  )
+ IF(                                                                  AF477=2,    SUMIF(AB:AB,AB477,AE:AE   ),0  )</f>
        <v>0</v>
      </c>
      <c r="AH477" s="272">
        <f ca="1">SUM(AG$2:AG477)</f>
        <v>1139324.2410681627</v>
      </c>
    </row>
    <row r="478" spans="1:34">
      <c r="A478" s="265">
        <f t="shared" si="79"/>
        <v>40</v>
      </c>
      <c r="B478" s="265">
        <f t="shared" si="80"/>
        <v>8</v>
      </c>
      <c r="C478" s="265">
        <f t="shared" ca="1" si="85"/>
        <v>40</v>
      </c>
      <c r="D478" s="265">
        <f t="shared" ca="1" si="86"/>
        <v>11</v>
      </c>
      <c r="E478" s="266">
        <v>5.0000000000000001E-3</v>
      </c>
      <c r="F478" s="267">
        <f>ÉV!$B$12</f>
        <v>0</v>
      </c>
      <c r="G478" s="271">
        <f ca="1">VLOOKUP(A478,ÉV!$A$18:$B$65,2,0)</f>
        <v>0</v>
      </c>
      <c r="H478" s="271">
        <f ca="1">IF(OR(A478=1,AND(C478=ÉV!$I$2,D478&gt;ÉV!$J$2),C478&gt;ÉV!$I$2),0,INDEX(Pz!$B$2:$AM$48,A478-1,ÉV!$G$2-9)/100000*ÉV!$B$10)</f>
        <v>0</v>
      </c>
      <c r="I478" s="271">
        <f ca="1">INDEX(Pz!$B$2:$AM$48,HÓ!A478,ÉV!$G$2-9)/100000*ÉV!$B$10</f>
        <v>0</v>
      </c>
      <c r="J478" s="273">
        <f ca="1">IF(OR(A478=1,A478=2,AND(C478=ÉV!$I$2,D478&gt;ÉV!$J$2),C478&gt;ÉV!$I$2),0,VLOOKUP(A478-2,ÉV!$A$18:$C$65,3,0))</f>
        <v>0</v>
      </c>
      <c r="K478" s="273">
        <f ca="1">IF(OR(A478=1,AND(C478=ÉV!$I$2,D478&gt;ÉV!$J$2),C478&gt;ÉV!$I$2),0,VLOOKUP(A478-1,ÉV!$A$18:$C$65,3,0))</f>
        <v>0</v>
      </c>
      <c r="L478" s="273">
        <f ca="1">VLOOKUP(A478,ÉV!$A$18:$C$65,3,0)*IF(OR(AND(C478=ÉV!$I$2,D478&gt;ÉV!$J$2),C478&gt;ÉV!$I$2),0,1)</f>
        <v>0</v>
      </c>
      <c r="M478" s="273">
        <f ca="1">(K478*(12-B478)/12+L478*B478/12)*IF(A478&gt;ÉV!$G$2,0,1)+IF(A478&gt;ÉV!$G$2,M477,0)*IF(OR(AND(C478=ÉV!$I$2,D478&gt;ÉV!$J$2),C478&gt;ÉV!$I$2),0,1)</f>
        <v>0</v>
      </c>
      <c r="N478" s="274">
        <f ca="1">IF(AND(C478=1,D478&lt;12),0,1)*IF(D478=12,MAX(0,F478-E478-0.003)*0.9*((K478+I478)*(B478/12)+(J478+H478)*(1-B478/12))+MAX(0,F478-0.003)*0.9*N477+N477,IF(AND(C478=ÉV!$I$2,D478=ÉV!$J$2),(M478+N477)*MAX(0,F478-0.003)*0.9*(D478/12)+N477,N477))*IF(OR(C478&gt;ÉV!$I$2,AND(C478=ÉV!$I$2,D478&gt;ÉV!$J$2)),0,1)</f>
        <v>0</v>
      </c>
      <c r="O478" s="313">
        <f ca="1">IF(MAX(AF$2:AF477)=2,      0,IF(OR(AC478=7, AF478=2),    SUM(AE$2:AE478),    O477)   )</f>
        <v>0</v>
      </c>
      <c r="P478" s="271">
        <f ca="1">IF(D478=12,V478+P477+P477*(F478-0.003)*0.9,IF(AND(C478=ÉV!$I$2,D478=ÉV!$J$2),V478+P477+P477*(F478-0.003)*0.9*D478/12,P477))*IF(OR(C478&gt;ÉV!$I$2,AND(C478=ÉV!$I$2,D478&gt;ÉV!$J$2)),0,1)</f>
        <v>0</v>
      </c>
      <c r="Q478" s="275">
        <f ca="1">(N478+P478)*IF(OR(AND(C478=ÉV!$I$2,D478&gt;ÉV!$J$2),C478&gt;ÉV!$I$2),0,1)</f>
        <v>0</v>
      </c>
      <c r="R478" s="271">
        <f ca="1">(MAX(0,F478-E478-0.003)*0.9*((K478+I478)*(1/12)))*IF(OR(C478&gt;ÉV!$I$2,AND(C478=ÉV!$I$2,D478&gt;ÉV!$J$2)),0,1)</f>
        <v>0</v>
      </c>
      <c r="S478" s="271">
        <f ca="1">(MAX(0,F478-0.003)*0.9*((O478)*(1/12)))*IF(OR(C478&gt;ÉV!$I$2,AND(C478=ÉV!$I$2,D478&gt;ÉV!$J$2)),0,1)</f>
        <v>0</v>
      </c>
      <c r="T478" s="271">
        <f ca="1">(MAX(0,F478-0.003)*0.9*((Q477)*(1/12)))*IF(OR(C478&gt;ÉV!$I$2,AND(C478=ÉV!$I$2,D478&gt;ÉV!$J$2)),0,1)</f>
        <v>0</v>
      </c>
      <c r="U478" s="271">
        <f ca="1">IF($D478=1,R478,R478+U477)*IF(OR(C478&gt;ÉV!$I$2,AND(C478=ÉV!$I$2,D478&gt;ÉV!$J$2)),0,1)</f>
        <v>0</v>
      </c>
      <c r="V478" s="271">
        <f ca="1">IF($D478=1,S478,S478+V477)*IF(OR(C478&gt;ÉV!$I$2,AND(C478=ÉV!$I$2,D478&gt;ÉV!$J$2)),0,1)</f>
        <v>0</v>
      </c>
      <c r="W478" s="271">
        <f ca="1">IF($D478=1,T478,T478+W477)*IF(OR(C478&gt;ÉV!$I$2,AND(C478=ÉV!$I$2,D478&gt;ÉV!$J$2)),0,1)</f>
        <v>0</v>
      </c>
      <c r="X478" s="271">
        <f ca="1">IF(OR(D478=12,AND(C478=ÉV!$I$2,D478=ÉV!$J$2)),SUM(U478:W478)+X477,X477)*IF(OR(C478&gt;ÉV!$I$2,AND(C478=ÉV!$I$2,D478&gt;ÉV!$J$2)),0,1)</f>
        <v>0</v>
      </c>
      <c r="Y478" s="271">
        <f t="shared" ca="1" si="81"/>
        <v>0</v>
      </c>
      <c r="Z478" s="265">
        <f t="shared" si="82"/>
        <v>8</v>
      </c>
      <c r="AA478" s="272">
        <f t="shared" ca="1" si="83"/>
        <v>0</v>
      </c>
      <c r="AB478" s="265">
        <f t="shared" ca="1" si="87"/>
        <v>2056</v>
      </c>
      <c r="AC478" s="265">
        <f t="shared" ca="1" si="88"/>
        <v>11</v>
      </c>
      <c r="AD478" s="276">
        <f ca="1">IF(     OR(               AND(MAX(AF$6:AF478)&lt;2,  AC478=12),                 AF478=2),                   SUMIF(AB:AB,AB478,AA:AA),                       0)</f>
        <v>0</v>
      </c>
      <c r="AE478" s="277">
        <f t="shared" ca="1" si="89"/>
        <v>0</v>
      </c>
      <c r="AF478" s="277">
        <f t="shared" ca="1" si="84"/>
        <v>0</v>
      </c>
      <c r="AG478" s="402">
        <f ca="1">IF(  AND(AC478=AdóHó,   MAX(AF$1:AF477)&lt;2),   SUMIF(AB:AB,AB478-1,AE:AE),0  )
+ IF(AND(AC478&lt;AdóHó,                            AF478=2),   SUMIF(AB:AB,AB478-1,AE:AE),0  )
+ IF(                                                                  AF478=2,    SUMIF(AB:AB,AB478,AE:AE   ),0  )</f>
        <v>0</v>
      </c>
      <c r="AH478" s="272">
        <f ca="1">SUM(AG$2:AG478)</f>
        <v>1139324.2410681627</v>
      </c>
    </row>
    <row r="479" spans="1:34">
      <c r="A479" s="265">
        <f t="shared" si="79"/>
        <v>40</v>
      </c>
      <c r="B479" s="265">
        <f t="shared" si="80"/>
        <v>9</v>
      </c>
      <c r="C479" s="265">
        <f t="shared" ca="1" si="85"/>
        <v>40</v>
      </c>
      <c r="D479" s="265">
        <f t="shared" ca="1" si="86"/>
        <v>12</v>
      </c>
      <c r="E479" s="266">
        <v>5.0000000000000001E-3</v>
      </c>
      <c r="F479" s="267">
        <f>ÉV!$B$12</f>
        <v>0</v>
      </c>
      <c r="G479" s="271">
        <f ca="1">VLOOKUP(A479,ÉV!$A$18:$B$65,2,0)</f>
        <v>0</v>
      </c>
      <c r="H479" s="271">
        <f ca="1">IF(OR(A479=1,AND(C479=ÉV!$I$2,D479&gt;ÉV!$J$2),C479&gt;ÉV!$I$2),0,INDEX(Pz!$B$2:$AM$48,A479-1,ÉV!$G$2-9)/100000*ÉV!$B$10)</f>
        <v>0</v>
      </c>
      <c r="I479" s="271">
        <f ca="1">INDEX(Pz!$B$2:$AM$48,HÓ!A479,ÉV!$G$2-9)/100000*ÉV!$B$10</f>
        <v>0</v>
      </c>
      <c r="J479" s="273">
        <f ca="1">IF(OR(A479=1,A479=2,AND(C479=ÉV!$I$2,D479&gt;ÉV!$J$2),C479&gt;ÉV!$I$2),0,VLOOKUP(A479-2,ÉV!$A$18:$C$65,3,0))</f>
        <v>0</v>
      </c>
      <c r="K479" s="273">
        <f ca="1">IF(OR(A479=1,AND(C479=ÉV!$I$2,D479&gt;ÉV!$J$2),C479&gt;ÉV!$I$2),0,VLOOKUP(A479-1,ÉV!$A$18:$C$65,3,0))</f>
        <v>0</v>
      </c>
      <c r="L479" s="273">
        <f ca="1">VLOOKUP(A479,ÉV!$A$18:$C$65,3,0)*IF(OR(AND(C479=ÉV!$I$2,D479&gt;ÉV!$J$2),C479&gt;ÉV!$I$2),0,1)</f>
        <v>0</v>
      </c>
      <c r="M479" s="273">
        <f ca="1">(K479*(12-B479)/12+L479*B479/12)*IF(A479&gt;ÉV!$G$2,0,1)+IF(A479&gt;ÉV!$G$2,M478,0)*IF(OR(AND(C479=ÉV!$I$2,D479&gt;ÉV!$J$2),C479&gt;ÉV!$I$2),0,1)</f>
        <v>0</v>
      </c>
      <c r="N479" s="274">
        <f ca="1">IF(AND(C479=1,D479&lt;12),0,1)*IF(D479=12,MAX(0,F479-E479-0.003)*0.9*((K479+I479)*(B479/12)+(J479+H479)*(1-B479/12))+MAX(0,F479-0.003)*0.9*N478+N478,IF(AND(C479=ÉV!$I$2,D479=ÉV!$J$2),(M479+N478)*MAX(0,F479-0.003)*0.9*(D479/12)+N478,N478))*IF(OR(C479&gt;ÉV!$I$2,AND(C479=ÉV!$I$2,D479&gt;ÉV!$J$2)),0,1)</f>
        <v>0</v>
      </c>
      <c r="O479" s="313">
        <f ca="1">IF(MAX(AF$2:AF478)=2,      0,IF(OR(AC479=7, AF479=2),    SUM(AE$2:AE479),    O478)   )</f>
        <v>0</v>
      </c>
      <c r="P479" s="271">
        <f ca="1">IF(D479=12,V479+P478+P478*(F479-0.003)*0.9,IF(AND(C479=ÉV!$I$2,D479=ÉV!$J$2),V479+P478+P478*(F479-0.003)*0.9*D479/12,P478))*IF(OR(C479&gt;ÉV!$I$2,AND(C479=ÉV!$I$2,D479&gt;ÉV!$J$2)),0,1)</f>
        <v>0</v>
      </c>
      <c r="Q479" s="275">
        <f ca="1">(N479+P479)*IF(OR(AND(C479=ÉV!$I$2,D479&gt;ÉV!$J$2),C479&gt;ÉV!$I$2),0,1)</f>
        <v>0</v>
      </c>
      <c r="R479" s="271">
        <f ca="1">(MAX(0,F479-E479-0.003)*0.9*((K479+I479)*(1/12)))*IF(OR(C479&gt;ÉV!$I$2,AND(C479=ÉV!$I$2,D479&gt;ÉV!$J$2)),0,1)</f>
        <v>0</v>
      </c>
      <c r="S479" s="271">
        <f ca="1">(MAX(0,F479-0.003)*0.9*((O479)*(1/12)))*IF(OR(C479&gt;ÉV!$I$2,AND(C479=ÉV!$I$2,D479&gt;ÉV!$J$2)),0,1)</f>
        <v>0</v>
      </c>
      <c r="T479" s="271">
        <f ca="1">(MAX(0,F479-0.003)*0.9*((Q478)*(1/12)))*IF(OR(C479&gt;ÉV!$I$2,AND(C479=ÉV!$I$2,D479&gt;ÉV!$J$2)),0,1)</f>
        <v>0</v>
      </c>
      <c r="U479" s="271">
        <f ca="1">IF($D479=1,R479,R479+U478)*IF(OR(C479&gt;ÉV!$I$2,AND(C479=ÉV!$I$2,D479&gt;ÉV!$J$2)),0,1)</f>
        <v>0</v>
      </c>
      <c r="V479" s="271">
        <f ca="1">IF($D479=1,S479,S479+V478)*IF(OR(C479&gt;ÉV!$I$2,AND(C479=ÉV!$I$2,D479&gt;ÉV!$J$2)),0,1)</f>
        <v>0</v>
      </c>
      <c r="W479" s="271">
        <f ca="1">IF($D479=1,T479,T479+W478)*IF(OR(C479&gt;ÉV!$I$2,AND(C479=ÉV!$I$2,D479&gt;ÉV!$J$2)),0,1)</f>
        <v>0</v>
      </c>
      <c r="X479" s="271">
        <f ca="1">IF(OR(D479=12,AND(C479=ÉV!$I$2,D479=ÉV!$J$2)),SUM(U479:W479)+X478,X478)*IF(OR(C479&gt;ÉV!$I$2,AND(C479=ÉV!$I$2,D479&gt;ÉV!$J$2)),0,1)</f>
        <v>0</v>
      </c>
      <c r="Y479" s="271">
        <f t="shared" ca="1" si="81"/>
        <v>0</v>
      </c>
      <c r="Z479" s="265">
        <f t="shared" si="82"/>
        <v>9</v>
      </c>
      <c r="AA479" s="272">
        <f t="shared" ca="1" si="83"/>
        <v>0</v>
      </c>
      <c r="AB479" s="265">
        <f t="shared" ca="1" si="87"/>
        <v>2056</v>
      </c>
      <c r="AC479" s="265">
        <f t="shared" ca="1" si="88"/>
        <v>12</v>
      </c>
      <c r="AD479" s="276">
        <f ca="1">IF(     OR(               AND(MAX(AF$6:AF479)&lt;2,  AC479=12),                 AF479=2),                   SUMIF(AB:AB,AB479,AA:AA),                       0)</f>
        <v>0</v>
      </c>
      <c r="AE479" s="277">
        <f t="shared" ca="1" si="89"/>
        <v>0</v>
      </c>
      <c r="AF479" s="277">
        <f t="shared" ca="1" si="84"/>
        <v>0</v>
      </c>
      <c r="AG479" s="402">
        <f ca="1">IF(  AND(AC479=AdóHó,   MAX(AF$1:AF478)&lt;2),   SUMIF(AB:AB,AB479-1,AE:AE),0  )
+ IF(AND(AC479&lt;AdóHó,                            AF479=2),   SUMIF(AB:AB,AB479-1,AE:AE),0  )
+ IF(                                                                  AF479=2,    SUMIF(AB:AB,AB479,AE:AE   ),0  )</f>
        <v>0</v>
      </c>
      <c r="AH479" s="272">
        <f ca="1">SUM(AG$2:AG479)</f>
        <v>1139324.2410681627</v>
      </c>
    </row>
    <row r="480" spans="1:34">
      <c r="A480" s="265">
        <f t="shared" si="79"/>
        <v>40</v>
      </c>
      <c r="B480" s="265">
        <f t="shared" si="80"/>
        <v>10</v>
      </c>
      <c r="C480" s="265">
        <f t="shared" ca="1" si="85"/>
        <v>41</v>
      </c>
      <c r="D480" s="265">
        <f t="shared" ca="1" si="86"/>
        <v>1</v>
      </c>
      <c r="E480" s="266">
        <v>5.0000000000000001E-3</v>
      </c>
      <c r="F480" s="267">
        <f>ÉV!$B$12</f>
        <v>0</v>
      </c>
      <c r="G480" s="271">
        <f ca="1">VLOOKUP(A480,ÉV!$A$18:$B$65,2,0)</f>
        <v>0</v>
      </c>
      <c r="H480" s="271">
        <f ca="1">IF(OR(A480=1,AND(C480=ÉV!$I$2,D480&gt;ÉV!$J$2),C480&gt;ÉV!$I$2),0,INDEX(Pz!$B$2:$AM$48,A480-1,ÉV!$G$2-9)/100000*ÉV!$B$10)</f>
        <v>0</v>
      </c>
      <c r="I480" s="271">
        <f ca="1">INDEX(Pz!$B$2:$AM$48,HÓ!A480,ÉV!$G$2-9)/100000*ÉV!$B$10</f>
        <v>0</v>
      </c>
      <c r="J480" s="273">
        <f ca="1">IF(OR(A480=1,A480=2,AND(C480=ÉV!$I$2,D480&gt;ÉV!$J$2),C480&gt;ÉV!$I$2),0,VLOOKUP(A480-2,ÉV!$A$18:$C$65,3,0))</f>
        <v>0</v>
      </c>
      <c r="K480" s="273">
        <f ca="1">IF(OR(A480=1,AND(C480=ÉV!$I$2,D480&gt;ÉV!$J$2),C480&gt;ÉV!$I$2),0,VLOOKUP(A480-1,ÉV!$A$18:$C$65,3,0))</f>
        <v>0</v>
      </c>
      <c r="L480" s="273">
        <f ca="1">VLOOKUP(A480,ÉV!$A$18:$C$65,3,0)*IF(OR(AND(C480=ÉV!$I$2,D480&gt;ÉV!$J$2),C480&gt;ÉV!$I$2),0,1)</f>
        <v>0</v>
      </c>
      <c r="M480" s="273">
        <f ca="1">(K480*(12-B480)/12+L480*B480/12)*IF(A480&gt;ÉV!$G$2,0,1)+IF(A480&gt;ÉV!$G$2,M479,0)*IF(OR(AND(C480=ÉV!$I$2,D480&gt;ÉV!$J$2),C480&gt;ÉV!$I$2),0,1)</f>
        <v>0</v>
      </c>
      <c r="N480" s="274">
        <f ca="1">IF(AND(C480=1,D480&lt;12),0,1)*IF(D480=12,MAX(0,F480-E480-0.003)*0.9*((K480+I480)*(B480/12)+(J480+H480)*(1-B480/12))+MAX(0,F480-0.003)*0.9*N479+N479,IF(AND(C480=ÉV!$I$2,D480=ÉV!$J$2),(M480+N479)*MAX(0,F480-0.003)*0.9*(D480/12)+N479,N479))*IF(OR(C480&gt;ÉV!$I$2,AND(C480=ÉV!$I$2,D480&gt;ÉV!$J$2)),0,1)</f>
        <v>0</v>
      </c>
      <c r="O480" s="313">
        <f ca="1">IF(MAX(AF$2:AF479)=2,      0,IF(OR(AC480=7, AF480=2),    SUM(AE$2:AE480),    O479)   )</f>
        <v>0</v>
      </c>
      <c r="P480" s="271">
        <f ca="1">IF(D480=12,V480+P479+P479*(F480-0.003)*0.9,IF(AND(C480=ÉV!$I$2,D480=ÉV!$J$2),V480+P479+P479*(F480-0.003)*0.9*D480/12,P479))*IF(OR(C480&gt;ÉV!$I$2,AND(C480=ÉV!$I$2,D480&gt;ÉV!$J$2)),0,1)</f>
        <v>0</v>
      </c>
      <c r="Q480" s="275">
        <f ca="1">(N480+P480)*IF(OR(AND(C480=ÉV!$I$2,D480&gt;ÉV!$J$2),C480&gt;ÉV!$I$2),0,1)</f>
        <v>0</v>
      </c>
      <c r="R480" s="271">
        <f ca="1">(MAX(0,F480-E480-0.003)*0.9*((K480+I480)*(1/12)))*IF(OR(C480&gt;ÉV!$I$2,AND(C480=ÉV!$I$2,D480&gt;ÉV!$J$2)),0,1)</f>
        <v>0</v>
      </c>
      <c r="S480" s="271">
        <f ca="1">(MAX(0,F480-0.003)*0.9*((O480)*(1/12)))*IF(OR(C480&gt;ÉV!$I$2,AND(C480=ÉV!$I$2,D480&gt;ÉV!$J$2)),0,1)</f>
        <v>0</v>
      </c>
      <c r="T480" s="271">
        <f ca="1">(MAX(0,F480-0.003)*0.9*((Q479)*(1/12)))*IF(OR(C480&gt;ÉV!$I$2,AND(C480=ÉV!$I$2,D480&gt;ÉV!$J$2)),0,1)</f>
        <v>0</v>
      </c>
      <c r="U480" s="271">
        <f ca="1">IF($D480=1,R480,R480+U479)*IF(OR(C480&gt;ÉV!$I$2,AND(C480=ÉV!$I$2,D480&gt;ÉV!$J$2)),0,1)</f>
        <v>0</v>
      </c>
      <c r="V480" s="271">
        <f ca="1">IF($D480=1,S480,S480+V479)*IF(OR(C480&gt;ÉV!$I$2,AND(C480=ÉV!$I$2,D480&gt;ÉV!$J$2)),0,1)</f>
        <v>0</v>
      </c>
      <c r="W480" s="271">
        <f ca="1">IF($D480=1,T480,T480+W479)*IF(OR(C480&gt;ÉV!$I$2,AND(C480=ÉV!$I$2,D480&gt;ÉV!$J$2)),0,1)</f>
        <v>0</v>
      </c>
      <c r="X480" s="271">
        <f ca="1">IF(OR(D480=12,AND(C480=ÉV!$I$2,D480=ÉV!$J$2)),SUM(U480:W480)+X479,X479)*IF(OR(C480&gt;ÉV!$I$2,AND(C480=ÉV!$I$2,D480&gt;ÉV!$J$2)),0,1)</f>
        <v>0</v>
      </c>
      <c r="Y480" s="271">
        <f t="shared" ca="1" si="81"/>
        <v>0</v>
      </c>
      <c r="Z480" s="265">
        <f t="shared" si="82"/>
        <v>10</v>
      </c>
      <c r="AA480" s="272">
        <f t="shared" ca="1" si="83"/>
        <v>0</v>
      </c>
      <c r="AB480" s="265">
        <f t="shared" ca="1" si="87"/>
        <v>2057</v>
      </c>
      <c r="AC480" s="265">
        <f t="shared" ca="1" si="88"/>
        <v>1</v>
      </c>
      <c r="AD480" s="276">
        <f ca="1">IF(     OR(               AND(MAX(AF$6:AF480)&lt;2,  AC480=12),                 AF480=2),                   SUMIF(AB:AB,AB480,AA:AA),                       0)</f>
        <v>0</v>
      </c>
      <c r="AE480" s="277">
        <f t="shared" ca="1" si="89"/>
        <v>0</v>
      </c>
      <c r="AF480" s="277">
        <f t="shared" ca="1" si="84"/>
        <v>0</v>
      </c>
      <c r="AG480" s="402">
        <f ca="1">IF(  AND(AC480=AdóHó,   MAX(AF$1:AF479)&lt;2),   SUMIF(AB:AB,AB480-1,AE:AE),0  )
+ IF(AND(AC480&lt;AdóHó,                            AF480=2),   SUMIF(AB:AB,AB480-1,AE:AE),0  )
+ IF(                                                                  AF480=2,    SUMIF(AB:AB,AB480,AE:AE   ),0  )</f>
        <v>0</v>
      </c>
      <c r="AH480" s="272">
        <f ca="1">SUM(AG$2:AG480)</f>
        <v>1139324.2410681627</v>
      </c>
    </row>
    <row r="481" spans="1:34">
      <c r="A481" s="265">
        <f t="shared" si="79"/>
        <v>40</v>
      </c>
      <c r="B481" s="265">
        <f t="shared" si="80"/>
        <v>11</v>
      </c>
      <c r="C481" s="265">
        <f t="shared" ca="1" si="85"/>
        <v>41</v>
      </c>
      <c r="D481" s="265">
        <f t="shared" ca="1" si="86"/>
        <v>2</v>
      </c>
      <c r="E481" s="266">
        <v>5.0000000000000001E-3</v>
      </c>
      <c r="F481" s="267">
        <f>ÉV!$B$12</f>
        <v>0</v>
      </c>
      <c r="G481" s="271">
        <f ca="1">VLOOKUP(A481,ÉV!$A$18:$B$65,2,0)</f>
        <v>0</v>
      </c>
      <c r="H481" s="271">
        <f ca="1">IF(OR(A481=1,AND(C481=ÉV!$I$2,D481&gt;ÉV!$J$2),C481&gt;ÉV!$I$2),0,INDEX(Pz!$B$2:$AM$48,A481-1,ÉV!$G$2-9)/100000*ÉV!$B$10)</f>
        <v>0</v>
      </c>
      <c r="I481" s="271">
        <f ca="1">INDEX(Pz!$B$2:$AM$48,HÓ!A481,ÉV!$G$2-9)/100000*ÉV!$B$10</f>
        <v>0</v>
      </c>
      <c r="J481" s="273">
        <f ca="1">IF(OR(A481=1,A481=2,AND(C481=ÉV!$I$2,D481&gt;ÉV!$J$2),C481&gt;ÉV!$I$2),0,VLOOKUP(A481-2,ÉV!$A$18:$C$65,3,0))</f>
        <v>0</v>
      </c>
      <c r="K481" s="273">
        <f ca="1">IF(OR(A481=1,AND(C481=ÉV!$I$2,D481&gt;ÉV!$J$2),C481&gt;ÉV!$I$2),0,VLOOKUP(A481-1,ÉV!$A$18:$C$65,3,0))</f>
        <v>0</v>
      </c>
      <c r="L481" s="273">
        <f ca="1">VLOOKUP(A481,ÉV!$A$18:$C$65,3,0)*IF(OR(AND(C481=ÉV!$I$2,D481&gt;ÉV!$J$2),C481&gt;ÉV!$I$2),0,1)</f>
        <v>0</v>
      </c>
      <c r="M481" s="273">
        <f ca="1">(K481*(12-B481)/12+L481*B481/12)*IF(A481&gt;ÉV!$G$2,0,1)+IF(A481&gt;ÉV!$G$2,M480,0)*IF(OR(AND(C481=ÉV!$I$2,D481&gt;ÉV!$J$2),C481&gt;ÉV!$I$2),0,1)</f>
        <v>0</v>
      </c>
      <c r="N481" s="274">
        <f ca="1">IF(AND(C481=1,D481&lt;12),0,1)*IF(D481=12,MAX(0,F481-E481-0.003)*0.9*((K481+I481)*(B481/12)+(J481+H481)*(1-B481/12))+MAX(0,F481-0.003)*0.9*N480+N480,IF(AND(C481=ÉV!$I$2,D481=ÉV!$J$2),(M481+N480)*MAX(0,F481-0.003)*0.9*(D481/12)+N480,N480))*IF(OR(C481&gt;ÉV!$I$2,AND(C481=ÉV!$I$2,D481&gt;ÉV!$J$2)),0,1)</f>
        <v>0</v>
      </c>
      <c r="O481" s="313">
        <f ca="1">IF(MAX(AF$2:AF480)=2,      0,IF(OR(AC481=7, AF481=2),    SUM(AE$2:AE481),    O480)   )</f>
        <v>0</v>
      </c>
      <c r="P481" s="271">
        <f ca="1">IF(D481=12,V481+P480+P480*(F481-0.003)*0.9,IF(AND(C481=ÉV!$I$2,D481=ÉV!$J$2),V481+P480+P480*(F481-0.003)*0.9*D481/12,P480))*IF(OR(C481&gt;ÉV!$I$2,AND(C481=ÉV!$I$2,D481&gt;ÉV!$J$2)),0,1)</f>
        <v>0</v>
      </c>
      <c r="Q481" s="275">
        <f ca="1">(N481+P481)*IF(OR(AND(C481=ÉV!$I$2,D481&gt;ÉV!$J$2),C481&gt;ÉV!$I$2),0,1)</f>
        <v>0</v>
      </c>
      <c r="R481" s="271">
        <f ca="1">(MAX(0,F481-E481-0.003)*0.9*((K481+I481)*(1/12)))*IF(OR(C481&gt;ÉV!$I$2,AND(C481=ÉV!$I$2,D481&gt;ÉV!$J$2)),0,1)</f>
        <v>0</v>
      </c>
      <c r="S481" s="271">
        <f ca="1">(MAX(0,F481-0.003)*0.9*((O481)*(1/12)))*IF(OR(C481&gt;ÉV!$I$2,AND(C481=ÉV!$I$2,D481&gt;ÉV!$J$2)),0,1)</f>
        <v>0</v>
      </c>
      <c r="T481" s="271">
        <f ca="1">(MAX(0,F481-0.003)*0.9*((Q480)*(1/12)))*IF(OR(C481&gt;ÉV!$I$2,AND(C481=ÉV!$I$2,D481&gt;ÉV!$J$2)),0,1)</f>
        <v>0</v>
      </c>
      <c r="U481" s="271">
        <f ca="1">IF($D481=1,R481,R481+U480)*IF(OR(C481&gt;ÉV!$I$2,AND(C481=ÉV!$I$2,D481&gt;ÉV!$J$2)),0,1)</f>
        <v>0</v>
      </c>
      <c r="V481" s="271">
        <f ca="1">IF($D481=1,S481,S481+V480)*IF(OR(C481&gt;ÉV!$I$2,AND(C481=ÉV!$I$2,D481&gt;ÉV!$J$2)),0,1)</f>
        <v>0</v>
      </c>
      <c r="W481" s="271">
        <f ca="1">IF($D481=1,T481,T481+W480)*IF(OR(C481&gt;ÉV!$I$2,AND(C481=ÉV!$I$2,D481&gt;ÉV!$J$2)),0,1)</f>
        <v>0</v>
      </c>
      <c r="X481" s="271">
        <f ca="1">IF(OR(D481=12,AND(C481=ÉV!$I$2,D481=ÉV!$J$2)),SUM(U481:W481)+X480,X480)*IF(OR(C481&gt;ÉV!$I$2,AND(C481=ÉV!$I$2,D481&gt;ÉV!$J$2)),0,1)</f>
        <v>0</v>
      </c>
      <c r="Y481" s="271">
        <f t="shared" ca="1" si="81"/>
        <v>0</v>
      </c>
      <c r="Z481" s="265">
        <f t="shared" si="82"/>
        <v>11</v>
      </c>
      <c r="AA481" s="272">
        <f t="shared" ca="1" si="83"/>
        <v>0</v>
      </c>
      <c r="AB481" s="265">
        <f t="shared" ca="1" si="87"/>
        <v>2057</v>
      </c>
      <c r="AC481" s="265">
        <f t="shared" ca="1" si="88"/>
        <v>2</v>
      </c>
      <c r="AD481" s="276">
        <f ca="1">IF(     OR(               AND(MAX(AF$6:AF481)&lt;2,  AC481=12),                 AF481=2),                   SUMIF(AB:AB,AB481,AA:AA),                       0)</f>
        <v>0</v>
      </c>
      <c r="AE481" s="277">
        <f t="shared" ca="1" si="89"/>
        <v>0</v>
      </c>
      <c r="AF481" s="277">
        <f t="shared" ca="1" si="84"/>
        <v>0</v>
      </c>
      <c r="AG481" s="402">
        <f ca="1">IF(  AND(AC481=AdóHó,   MAX(AF$1:AF480)&lt;2),   SUMIF(AB:AB,AB481-1,AE:AE),0  )
+ IF(AND(AC481&lt;AdóHó,                            AF481=2),   SUMIF(AB:AB,AB481-1,AE:AE),0  )
+ IF(                                                                  AF481=2,    SUMIF(AB:AB,AB481,AE:AE   ),0  )</f>
        <v>0</v>
      </c>
      <c r="AH481" s="272">
        <f ca="1">SUM(AG$2:AG481)</f>
        <v>1139324.2410681627</v>
      </c>
    </row>
    <row r="482" spans="1:34">
      <c r="A482" s="265">
        <f t="shared" si="79"/>
        <v>40</v>
      </c>
      <c r="B482" s="265">
        <f t="shared" si="80"/>
        <v>12</v>
      </c>
      <c r="C482" s="265">
        <f t="shared" ca="1" si="85"/>
        <v>41</v>
      </c>
      <c r="D482" s="265">
        <f t="shared" ca="1" si="86"/>
        <v>3</v>
      </c>
      <c r="E482" s="266">
        <v>5.0000000000000001E-3</v>
      </c>
      <c r="F482" s="267">
        <f>ÉV!$B$12</f>
        <v>0</v>
      </c>
      <c r="G482" s="271">
        <f ca="1">VLOOKUP(A482,ÉV!$A$18:$B$65,2,0)</f>
        <v>0</v>
      </c>
      <c r="H482" s="271">
        <f ca="1">IF(OR(A482=1,AND(C482=ÉV!$I$2,D482&gt;ÉV!$J$2),C482&gt;ÉV!$I$2),0,INDEX(Pz!$B$2:$AM$48,A482-1,ÉV!$G$2-9)/100000*ÉV!$B$10)</f>
        <v>0</v>
      </c>
      <c r="I482" s="271">
        <f ca="1">INDEX(Pz!$B$2:$AM$48,HÓ!A482,ÉV!$G$2-9)/100000*ÉV!$B$10</f>
        <v>0</v>
      </c>
      <c r="J482" s="273">
        <f ca="1">IF(OR(A482=1,A482=2,AND(C482=ÉV!$I$2,D482&gt;ÉV!$J$2),C482&gt;ÉV!$I$2),0,VLOOKUP(A482-2,ÉV!$A$18:$C$65,3,0))</f>
        <v>0</v>
      </c>
      <c r="K482" s="273">
        <f ca="1">IF(OR(A482=1,AND(C482=ÉV!$I$2,D482&gt;ÉV!$J$2),C482&gt;ÉV!$I$2),0,VLOOKUP(A482-1,ÉV!$A$18:$C$65,3,0))</f>
        <v>0</v>
      </c>
      <c r="L482" s="273">
        <f ca="1">VLOOKUP(A482,ÉV!$A$18:$C$65,3,0)*IF(OR(AND(C482=ÉV!$I$2,D482&gt;ÉV!$J$2),C482&gt;ÉV!$I$2),0,1)</f>
        <v>0</v>
      </c>
      <c r="M482" s="273">
        <f ca="1">(K482*(12-B482)/12+L482*B482/12)*IF(A482&gt;ÉV!$G$2,0,1)+IF(A482&gt;ÉV!$G$2,M481,0)*IF(OR(AND(C482=ÉV!$I$2,D482&gt;ÉV!$J$2),C482&gt;ÉV!$I$2),0,1)</f>
        <v>0</v>
      </c>
      <c r="N482" s="274">
        <f ca="1">IF(AND(C482=1,D482&lt;12),0,1)*IF(D482=12,MAX(0,F482-E482-0.003)*0.9*((K482+I482)*(B482/12)+(J482+H482)*(1-B482/12))+MAX(0,F482-0.003)*0.9*N481+N481,IF(AND(C482=ÉV!$I$2,D482=ÉV!$J$2),(M482+N481)*MAX(0,F482-0.003)*0.9*(D482/12)+N481,N481))*IF(OR(C482&gt;ÉV!$I$2,AND(C482=ÉV!$I$2,D482&gt;ÉV!$J$2)),0,1)</f>
        <v>0</v>
      </c>
      <c r="O482" s="313">
        <f ca="1">IF(MAX(AF$2:AF481)=2,      0,IF(OR(AC482=7, AF482=2),    SUM(AE$2:AE482),    O481)   )</f>
        <v>0</v>
      </c>
      <c r="P482" s="271">
        <f ca="1">IF(D482=12,V482+P481+P481*(F482-0.003)*0.9,IF(AND(C482=ÉV!$I$2,D482=ÉV!$J$2),V482+P481+P481*(F482-0.003)*0.9*D482/12,P481))*IF(OR(C482&gt;ÉV!$I$2,AND(C482=ÉV!$I$2,D482&gt;ÉV!$J$2)),0,1)</f>
        <v>0</v>
      </c>
      <c r="Q482" s="275">
        <f ca="1">(N482+P482)*IF(OR(AND(C482=ÉV!$I$2,D482&gt;ÉV!$J$2),C482&gt;ÉV!$I$2),0,1)</f>
        <v>0</v>
      </c>
      <c r="R482" s="271">
        <f ca="1">(MAX(0,F482-E482-0.003)*0.9*((K482+I482)*(1/12)))*IF(OR(C482&gt;ÉV!$I$2,AND(C482=ÉV!$I$2,D482&gt;ÉV!$J$2)),0,1)</f>
        <v>0</v>
      </c>
      <c r="S482" s="271">
        <f ca="1">(MAX(0,F482-0.003)*0.9*((O482)*(1/12)))*IF(OR(C482&gt;ÉV!$I$2,AND(C482=ÉV!$I$2,D482&gt;ÉV!$J$2)),0,1)</f>
        <v>0</v>
      </c>
      <c r="T482" s="271">
        <f ca="1">(MAX(0,F482-0.003)*0.9*((Q481)*(1/12)))*IF(OR(C482&gt;ÉV!$I$2,AND(C482=ÉV!$I$2,D482&gt;ÉV!$J$2)),0,1)</f>
        <v>0</v>
      </c>
      <c r="U482" s="271">
        <f ca="1">IF($D482=1,R482,R482+U481)*IF(OR(C482&gt;ÉV!$I$2,AND(C482=ÉV!$I$2,D482&gt;ÉV!$J$2)),0,1)</f>
        <v>0</v>
      </c>
      <c r="V482" s="271">
        <f ca="1">IF($D482=1,S482,S482+V481)*IF(OR(C482&gt;ÉV!$I$2,AND(C482=ÉV!$I$2,D482&gt;ÉV!$J$2)),0,1)</f>
        <v>0</v>
      </c>
      <c r="W482" s="271">
        <f ca="1">IF($D482=1,T482,T482+W481)*IF(OR(C482&gt;ÉV!$I$2,AND(C482=ÉV!$I$2,D482&gt;ÉV!$J$2)),0,1)</f>
        <v>0</v>
      </c>
      <c r="X482" s="271">
        <f ca="1">IF(OR(D482=12,AND(C482=ÉV!$I$2,D482=ÉV!$J$2)),SUM(U482:W482)+X481,X481)*IF(OR(C482&gt;ÉV!$I$2,AND(C482=ÉV!$I$2,D482&gt;ÉV!$J$2)),0,1)</f>
        <v>0</v>
      </c>
      <c r="Y482" s="271">
        <f t="shared" ca="1" si="81"/>
        <v>0</v>
      </c>
      <c r="Z482" s="265">
        <f t="shared" si="82"/>
        <v>12</v>
      </c>
      <c r="AA482" s="272">
        <f t="shared" ca="1" si="83"/>
        <v>0</v>
      </c>
      <c r="AB482" s="265">
        <f t="shared" ca="1" si="87"/>
        <v>2057</v>
      </c>
      <c r="AC482" s="265">
        <f t="shared" ca="1" si="88"/>
        <v>3</v>
      </c>
      <c r="AD482" s="276">
        <f ca="1">IF(     OR(               AND(MAX(AF$6:AF482)&lt;2,  AC482=12),                 AF482=2),                   SUMIF(AB:AB,AB482,AA:AA),                       0)</f>
        <v>0</v>
      </c>
      <c r="AE482" s="277">
        <f t="shared" ca="1" si="89"/>
        <v>0</v>
      </c>
      <c r="AF482" s="277">
        <f t="shared" ca="1" si="84"/>
        <v>0</v>
      </c>
      <c r="AG482" s="402">
        <f ca="1">IF(  AND(AC482=AdóHó,   MAX(AF$1:AF481)&lt;2),   SUMIF(AB:AB,AB482-1,AE:AE),0  )
+ IF(AND(AC482&lt;AdóHó,                            AF482=2),   SUMIF(AB:AB,AB482-1,AE:AE),0  )
+ IF(                                                                  AF482=2,    SUMIF(AB:AB,AB482,AE:AE   ),0  )</f>
        <v>0</v>
      </c>
      <c r="AH482" s="272">
        <f ca="1">SUM(AG$2:AG482)</f>
        <v>1139324.2410681627</v>
      </c>
    </row>
    <row r="483" spans="1:34">
      <c r="A483" s="265">
        <f t="shared" si="79"/>
        <v>41</v>
      </c>
      <c r="B483" s="265">
        <f t="shared" si="80"/>
        <v>1</v>
      </c>
      <c r="C483" s="265">
        <f t="shared" ca="1" si="85"/>
        <v>41</v>
      </c>
      <c r="D483" s="265">
        <f t="shared" ca="1" si="86"/>
        <v>4</v>
      </c>
      <c r="E483" s="266">
        <v>5.0000000000000001E-3</v>
      </c>
      <c r="F483" s="267">
        <f>ÉV!$B$12</f>
        <v>0</v>
      </c>
      <c r="G483" s="271">
        <f ca="1">VLOOKUP(A483,ÉV!$A$18:$B$65,2,0)</f>
        <v>0</v>
      </c>
      <c r="H483" s="271">
        <f ca="1">IF(OR(A483=1,AND(C483=ÉV!$I$2,D483&gt;ÉV!$J$2),C483&gt;ÉV!$I$2),0,INDEX(Pz!$B$2:$AM$48,A483-1,ÉV!$G$2-9)/100000*ÉV!$B$10)</f>
        <v>0</v>
      </c>
      <c r="I483" s="271">
        <f ca="1">INDEX(Pz!$B$2:$AM$48,HÓ!A483,ÉV!$G$2-9)/100000*ÉV!$B$10</f>
        <v>0</v>
      </c>
      <c r="J483" s="273">
        <f ca="1">IF(OR(A483=1,A483=2,AND(C483=ÉV!$I$2,D483&gt;ÉV!$J$2),C483&gt;ÉV!$I$2),0,VLOOKUP(A483-2,ÉV!$A$18:$C$65,3,0))</f>
        <v>0</v>
      </c>
      <c r="K483" s="273">
        <f ca="1">IF(OR(A483=1,AND(C483=ÉV!$I$2,D483&gt;ÉV!$J$2),C483&gt;ÉV!$I$2),0,VLOOKUP(A483-1,ÉV!$A$18:$C$65,3,0))</f>
        <v>0</v>
      </c>
      <c r="L483" s="273">
        <f ca="1">VLOOKUP(A483,ÉV!$A$18:$C$65,3,0)*IF(OR(AND(C483=ÉV!$I$2,D483&gt;ÉV!$J$2),C483&gt;ÉV!$I$2),0,1)</f>
        <v>0</v>
      </c>
      <c r="M483" s="273">
        <f ca="1">(K483*(12-B483)/12+L483*B483/12)*IF(A483&gt;ÉV!$G$2,0,1)+IF(A483&gt;ÉV!$G$2,M482,0)*IF(OR(AND(C483=ÉV!$I$2,D483&gt;ÉV!$J$2),C483&gt;ÉV!$I$2),0,1)</f>
        <v>0</v>
      </c>
      <c r="N483" s="274">
        <f ca="1">IF(AND(C483=1,D483&lt;12),0,1)*IF(D483=12,MAX(0,F483-E483-0.003)*0.9*((K483+I483)*(B483/12)+(J483+H483)*(1-B483/12))+MAX(0,F483-0.003)*0.9*N482+N482,IF(AND(C483=ÉV!$I$2,D483=ÉV!$J$2),(M483+N482)*MAX(0,F483-0.003)*0.9*(D483/12)+N482,N482))*IF(OR(C483&gt;ÉV!$I$2,AND(C483=ÉV!$I$2,D483&gt;ÉV!$J$2)),0,1)</f>
        <v>0</v>
      </c>
      <c r="O483" s="313">
        <f ca="1">IF(MAX(AF$2:AF482)=2,      0,IF(OR(AC483=7, AF483=2),    SUM(AE$2:AE483),    O482)   )</f>
        <v>0</v>
      </c>
      <c r="P483" s="271">
        <f ca="1">IF(D483=12,V483+P482+P482*(F483-0.003)*0.9,IF(AND(C483=ÉV!$I$2,D483=ÉV!$J$2),V483+P482+P482*(F483-0.003)*0.9*D483/12,P482))*IF(OR(C483&gt;ÉV!$I$2,AND(C483=ÉV!$I$2,D483&gt;ÉV!$J$2)),0,1)</f>
        <v>0</v>
      </c>
      <c r="Q483" s="275">
        <f ca="1">(N483+P483)*IF(OR(AND(C483=ÉV!$I$2,D483&gt;ÉV!$J$2),C483&gt;ÉV!$I$2),0,1)</f>
        <v>0</v>
      </c>
      <c r="R483" s="271">
        <f ca="1">(MAX(0,F483-E483-0.003)*0.9*((K483+I483)*(1/12)))*IF(OR(C483&gt;ÉV!$I$2,AND(C483=ÉV!$I$2,D483&gt;ÉV!$J$2)),0,1)</f>
        <v>0</v>
      </c>
      <c r="S483" s="271">
        <f ca="1">(MAX(0,F483-0.003)*0.9*((O483)*(1/12)))*IF(OR(C483&gt;ÉV!$I$2,AND(C483=ÉV!$I$2,D483&gt;ÉV!$J$2)),0,1)</f>
        <v>0</v>
      </c>
      <c r="T483" s="271">
        <f ca="1">(MAX(0,F483-0.003)*0.9*((Q482)*(1/12)))*IF(OR(C483&gt;ÉV!$I$2,AND(C483=ÉV!$I$2,D483&gt;ÉV!$J$2)),0,1)</f>
        <v>0</v>
      </c>
      <c r="U483" s="271">
        <f ca="1">IF($D483=1,R483,R483+U482)*IF(OR(C483&gt;ÉV!$I$2,AND(C483=ÉV!$I$2,D483&gt;ÉV!$J$2)),0,1)</f>
        <v>0</v>
      </c>
      <c r="V483" s="271">
        <f ca="1">IF($D483=1,S483,S483+V482)*IF(OR(C483&gt;ÉV!$I$2,AND(C483=ÉV!$I$2,D483&gt;ÉV!$J$2)),0,1)</f>
        <v>0</v>
      </c>
      <c r="W483" s="271">
        <f ca="1">IF($D483=1,T483,T483+W482)*IF(OR(C483&gt;ÉV!$I$2,AND(C483=ÉV!$I$2,D483&gt;ÉV!$J$2)),0,1)</f>
        <v>0</v>
      </c>
      <c r="X483" s="271">
        <f ca="1">IF(OR(D483=12,AND(C483=ÉV!$I$2,D483=ÉV!$J$2)),SUM(U483:W483)+X482,X482)*IF(OR(C483&gt;ÉV!$I$2,AND(C483=ÉV!$I$2,D483&gt;ÉV!$J$2)),0,1)</f>
        <v>0</v>
      </c>
      <c r="Y483" s="271">
        <f t="shared" ca="1" si="81"/>
        <v>0</v>
      </c>
      <c r="Z483" s="265">
        <f t="shared" si="82"/>
        <v>1</v>
      </c>
      <c r="AA483" s="272">
        <f t="shared" ca="1" si="83"/>
        <v>0</v>
      </c>
      <c r="AB483" s="265">
        <f t="shared" ca="1" si="87"/>
        <v>2057</v>
      </c>
      <c r="AC483" s="265">
        <f t="shared" ca="1" si="88"/>
        <v>4</v>
      </c>
      <c r="AD483" s="276">
        <f ca="1">IF(     OR(               AND(MAX(AF$6:AF483)&lt;2,  AC483=12),                 AF483=2),                   SUMIF(AB:AB,AB483,AA:AA),                       0)</f>
        <v>0</v>
      </c>
      <c r="AE483" s="277">
        <f t="shared" ca="1" si="89"/>
        <v>0</v>
      </c>
      <c r="AF483" s="277">
        <f t="shared" ca="1" si="84"/>
        <v>0</v>
      </c>
      <c r="AG483" s="402">
        <f ca="1">IF(  AND(AC483=AdóHó,   MAX(AF$1:AF482)&lt;2),   SUMIF(AB:AB,AB483-1,AE:AE),0  )
+ IF(AND(AC483&lt;AdóHó,                            AF483=2),   SUMIF(AB:AB,AB483-1,AE:AE),0  )
+ IF(                                                                  AF483=2,    SUMIF(AB:AB,AB483,AE:AE   ),0  )</f>
        <v>0</v>
      </c>
      <c r="AH483" s="272">
        <f ca="1">SUM(AG$2:AG483)</f>
        <v>1139324.2410681627</v>
      </c>
    </row>
    <row r="484" spans="1:34">
      <c r="A484" s="265">
        <f t="shared" si="79"/>
        <v>41</v>
      </c>
      <c r="B484" s="265">
        <f t="shared" si="80"/>
        <v>2</v>
      </c>
      <c r="C484" s="265">
        <f t="shared" ca="1" si="85"/>
        <v>41</v>
      </c>
      <c r="D484" s="265">
        <f t="shared" ca="1" si="86"/>
        <v>5</v>
      </c>
      <c r="E484" s="266">
        <v>5.0000000000000001E-3</v>
      </c>
      <c r="F484" s="267">
        <f>ÉV!$B$12</f>
        <v>0</v>
      </c>
      <c r="G484" s="271">
        <f ca="1">VLOOKUP(A484,ÉV!$A$18:$B$65,2,0)</f>
        <v>0</v>
      </c>
      <c r="H484" s="271">
        <f ca="1">IF(OR(A484=1,AND(C484=ÉV!$I$2,D484&gt;ÉV!$J$2),C484&gt;ÉV!$I$2),0,INDEX(Pz!$B$2:$AM$48,A484-1,ÉV!$G$2-9)/100000*ÉV!$B$10)</f>
        <v>0</v>
      </c>
      <c r="I484" s="271">
        <f ca="1">INDEX(Pz!$B$2:$AM$48,HÓ!A484,ÉV!$G$2-9)/100000*ÉV!$B$10</f>
        <v>0</v>
      </c>
      <c r="J484" s="273">
        <f ca="1">IF(OR(A484=1,A484=2,AND(C484=ÉV!$I$2,D484&gt;ÉV!$J$2),C484&gt;ÉV!$I$2),0,VLOOKUP(A484-2,ÉV!$A$18:$C$65,3,0))</f>
        <v>0</v>
      </c>
      <c r="K484" s="273">
        <f ca="1">IF(OR(A484=1,AND(C484=ÉV!$I$2,D484&gt;ÉV!$J$2),C484&gt;ÉV!$I$2),0,VLOOKUP(A484-1,ÉV!$A$18:$C$65,3,0))</f>
        <v>0</v>
      </c>
      <c r="L484" s="273">
        <f ca="1">VLOOKUP(A484,ÉV!$A$18:$C$65,3,0)*IF(OR(AND(C484=ÉV!$I$2,D484&gt;ÉV!$J$2),C484&gt;ÉV!$I$2),0,1)</f>
        <v>0</v>
      </c>
      <c r="M484" s="273">
        <f ca="1">(K484*(12-B484)/12+L484*B484/12)*IF(A484&gt;ÉV!$G$2,0,1)+IF(A484&gt;ÉV!$G$2,M483,0)*IF(OR(AND(C484=ÉV!$I$2,D484&gt;ÉV!$J$2),C484&gt;ÉV!$I$2),0,1)</f>
        <v>0</v>
      </c>
      <c r="N484" s="274">
        <f ca="1">IF(AND(C484=1,D484&lt;12),0,1)*IF(D484=12,MAX(0,F484-E484-0.003)*0.9*((K484+I484)*(B484/12)+(J484+H484)*(1-B484/12))+MAX(0,F484-0.003)*0.9*N483+N483,IF(AND(C484=ÉV!$I$2,D484=ÉV!$J$2),(M484+N483)*MAX(0,F484-0.003)*0.9*(D484/12)+N483,N483))*IF(OR(C484&gt;ÉV!$I$2,AND(C484=ÉV!$I$2,D484&gt;ÉV!$J$2)),0,1)</f>
        <v>0</v>
      </c>
      <c r="O484" s="313">
        <f ca="1">IF(MAX(AF$2:AF483)=2,      0,IF(OR(AC484=7, AF484=2),    SUM(AE$2:AE484),    O483)   )</f>
        <v>0</v>
      </c>
      <c r="P484" s="271">
        <f ca="1">IF(D484=12,V484+P483+P483*(F484-0.003)*0.9,IF(AND(C484=ÉV!$I$2,D484=ÉV!$J$2),V484+P483+P483*(F484-0.003)*0.9*D484/12,P483))*IF(OR(C484&gt;ÉV!$I$2,AND(C484=ÉV!$I$2,D484&gt;ÉV!$J$2)),0,1)</f>
        <v>0</v>
      </c>
      <c r="Q484" s="275">
        <f ca="1">(N484+P484)*IF(OR(AND(C484=ÉV!$I$2,D484&gt;ÉV!$J$2),C484&gt;ÉV!$I$2),0,1)</f>
        <v>0</v>
      </c>
      <c r="R484" s="271">
        <f ca="1">(MAX(0,F484-E484-0.003)*0.9*((K484+I484)*(1/12)))*IF(OR(C484&gt;ÉV!$I$2,AND(C484=ÉV!$I$2,D484&gt;ÉV!$J$2)),0,1)</f>
        <v>0</v>
      </c>
      <c r="S484" s="271">
        <f ca="1">(MAX(0,F484-0.003)*0.9*((O484)*(1/12)))*IF(OR(C484&gt;ÉV!$I$2,AND(C484=ÉV!$I$2,D484&gt;ÉV!$J$2)),0,1)</f>
        <v>0</v>
      </c>
      <c r="T484" s="271">
        <f ca="1">(MAX(0,F484-0.003)*0.9*((Q483)*(1/12)))*IF(OR(C484&gt;ÉV!$I$2,AND(C484=ÉV!$I$2,D484&gt;ÉV!$J$2)),0,1)</f>
        <v>0</v>
      </c>
      <c r="U484" s="271">
        <f ca="1">IF($D484=1,R484,R484+U483)*IF(OR(C484&gt;ÉV!$I$2,AND(C484=ÉV!$I$2,D484&gt;ÉV!$J$2)),0,1)</f>
        <v>0</v>
      </c>
      <c r="V484" s="271">
        <f ca="1">IF($D484=1,S484,S484+V483)*IF(OR(C484&gt;ÉV!$I$2,AND(C484=ÉV!$I$2,D484&gt;ÉV!$J$2)),0,1)</f>
        <v>0</v>
      </c>
      <c r="W484" s="271">
        <f ca="1">IF($D484=1,T484,T484+W483)*IF(OR(C484&gt;ÉV!$I$2,AND(C484=ÉV!$I$2,D484&gt;ÉV!$J$2)),0,1)</f>
        <v>0</v>
      </c>
      <c r="X484" s="271">
        <f ca="1">IF(OR(D484=12,AND(C484=ÉV!$I$2,D484=ÉV!$J$2)),SUM(U484:W484)+X483,X483)*IF(OR(C484&gt;ÉV!$I$2,AND(C484=ÉV!$I$2,D484&gt;ÉV!$J$2)),0,1)</f>
        <v>0</v>
      </c>
      <c r="Y484" s="271">
        <f t="shared" ca="1" si="81"/>
        <v>0</v>
      </c>
      <c r="Z484" s="265">
        <f t="shared" si="82"/>
        <v>2</v>
      </c>
      <c r="AA484" s="272">
        <f t="shared" ca="1" si="83"/>
        <v>0</v>
      </c>
      <c r="AB484" s="265">
        <f t="shared" ca="1" si="87"/>
        <v>2057</v>
      </c>
      <c r="AC484" s="265">
        <f t="shared" ca="1" si="88"/>
        <v>5</v>
      </c>
      <c r="AD484" s="276">
        <f ca="1">IF(     OR(               AND(MAX(AF$6:AF484)&lt;2,  AC484=12),                 AF484=2),                   SUMIF(AB:AB,AB484,AA:AA),                       0)</f>
        <v>0</v>
      </c>
      <c r="AE484" s="277">
        <f t="shared" ca="1" si="89"/>
        <v>0</v>
      </c>
      <c r="AF484" s="277">
        <f t="shared" ca="1" si="84"/>
        <v>0</v>
      </c>
      <c r="AG484" s="402">
        <f ca="1">IF(  AND(AC484=AdóHó,   MAX(AF$1:AF483)&lt;2),   SUMIF(AB:AB,AB484-1,AE:AE),0  )
+ IF(AND(AC484&lt;AdóHó,                            AF484=2),   SUMIF(AB:AB,AB484-1,AE:AE),0  )
+ IF(                                                                  AF484=2,    SUMIF(AB:AB,AB484,AE:AE   ),0  )</f>
        <v>0</v>
      </c>
      <c r="AH484" s="272">
        <f ca="1">SUM(AG$2:AG484)</f>
        <v>1139324.2410681627</v>
      </c>
    </row>
    <row r="485" spans="1:34">
      <c r="A485" s="265">
        <f t="shared" ref="A485:A548" si="90">IF(B484=12,A484+1,A484)</f>
        <v>41</v>
      </c>
      <c r="B485" s="265">
        <f t="shared" ref="B485:B548" si="91">IF(B484=12,1,B484+1)</f>
        <v>3</v>
      </c>
      <c r="C485" s="265">
        <f t="shared" ca="1" si="85"/>
        <v>41</v>
      </c>
      <c r="D485" s="265">
        <f t="shared" ca="1" si="86"/>
        <v>6</v>
      </c>
      <c r="E485" s="266">
        <v>5.0000000000000001E-3</v>
      </c>
      <c r="F485" s="267">
        <f>ÉV!$B$12</f>
        <v>0</v>
      </c>
      <c r="G485" s="271">
        <f ca="1">VLOOKUP(A485,ÉV!$A$18:$B$65,2,0)</f>
        <v>0</v>
      </c>
      <c r="H485" s="271">
        <f ca="1">IF(OR(A485=1,AND(C485=ÉV!$I$2,D485&gt;ÉV!$J$2),C485&gt;ÉV!$I$2),0,INDEX(Pz!$B$2:$AM$48,A485-1,ÉV!$G$2-9)/100000*ÉV!$B$10)</f>
        <v>0</v>
      </c>
      <c r="I485" s="271">
        <f ca="1">INDEX(Pz!$B$2:$AM$48,HÓ!A485,ÉV!$G$2-9)/100000*ÉV!$B$10</f>
        <v>0</v>
      </c>
      <c r="J485" s="273">
        <f ca="1">IF(OR(A485=1,A485=2,AND(C485=ÉV!$I$2,D485&gt;ÉV!$J$2),C485&gt;ÉV!$I$2),0,VLOOKUP(A485-2,ÉV!$A$18:$C$65,3,0))</f>
        <v>0</v>
      </c>
      <c r="K485" s="273">
        <f ca="1">IF(OR(A485=1,AND(C485=ÉV!$I$2,D485&gt;ÉV!$J$2),C485&gt;ÉV!$I$2),0,VLOOKUP(A485-1,ÉV!$A$18:$C$65,3,0))</f>
        <v>0</v>
      </c>
      <c r="L485" s="273">
        <f ca="1">VLOOKUP(A485,ÉV!$A$18:$C$65,3,0)*IF(OR(AND(C485=ÉV!$I$2,D485&gt;ÉV!$J$2),C485&gt;ÉV!$I$2),0,1)</f>
        <v>0</v>
      </c>
      <c r="M485" s="273">
        <f ca="1">(K485*(12-B485)/12+L485*B485/12)*IF(A485&gt;ÉV!$G$2,0,1)+IF(A485&gt;ÉV!$G$2,M484,0)*IF(OR(AND(C485=ÉV!$I$2,D485&gt;ÉV!$J$2),C485&gt;ÉV!$I$2),0,1)</f>
        <v>0</v>
      </c>
      <c r="N485" s="274">
        <f ca="1">IF(AND(C485=1,D485&lt;12),0,1)*IF(D485=12,MAX(0,F485-E485-0.003)*0.9*((K485+I485)*(B485/12)+(J485+H485)*(1-B485/12))+MAX(0,F485-0.003)*0.9*N484+N484,IF(AND(C485=ÉV!$I$2,D485=ÉV!$J$2),(M485+N484)*MAX(0,F485-0.003)*0.9*(D485/12)+N484,N484))*IF(OR(C485&gt;ÉV!$I$2,AND(C485=ÉV!$I$2,D485&gt;ÉV!$J$2)),0,1)</f>
        <v>0</v>
      </c>
      <c r="O485" s="313">
        <f ca="1">IF(MAX(AF$2:AF484)=2,      0,IF(OR(AC485=7, AF485=2),    SUM(AE$2:AE485),    O484)   )</f>
        <v>0</v>
      </c>
      <c r="P485" s="271">
        <f ca="1">IF(D485=12,V485+P484+P484*(F485-0.003)*0.9,IF(AND(C485=ÉV!$I$2,D485=ÉV!$J$2),V485+P484+P484*(F485-0.003)*0.9*D485/12,P484))*IF(OR(C485&gt;ÉV!$I$2,AND(C485=ÉV!$I$2,D485&gt;ÉV!$J$2)),0,1)</f>
        <v>0</v>
      </c>
      <c r="Q485" s="275">
        <f ca="1">(N485+P485)*IF(OR(AND(C485=ÉV!$I$2,D485&gt;ÉV!$J$2),C485&gt;ÉV!$I$2),0,1)</f>
        <v>0</v>
      </c>
      <c r="R485" s="271">
        <f ca="1">(MAX(0,F485-E485-0.003)*0.9*((K485+I485)*(1/12)))*IF(OR(C485&gt;ÉV!$I$2,AND(C485=ÉV!$I$2,D485&gt;ÉV!$J$2)),0,1)</f>
        <v>0</v>
      </c>
      <c r="S485" s="271">
        <f ca="1">(MAX(0,F485-0.003)*0.9*((O485)*(1/12)))*IF(OR(C485&gt;ÉV!$I$2,AND(C485=ÉV!$I$2,D485&gt;ÉV!$J$2)),0,1)</f>
        <v>0</v>
      </c>
      <c r="T485" s="271">
        <f ca="1">(MAX(0,F485-0.003)*0.9*((Q484)*(1/12)))*IF(OR(C485&gt;ÉV!$I$2,AND(C485=ÉV!$I$2,D485&gt;ÉV!$J$2)),0,1)</f>
        <v>0</v>
      </c>
      <c r="U485" s="271">
        <f ca="1">IF($D485=1,R485,R485+U484)*IF(OR(C485&gt;ÉV!$I$2,AND(C485=ÉV!$I$2,D485&gt;ÉV!$J$2)),0,1)</f>
        <v>0</v>
      </c>
      <c r="V485" s="271">
        <f ca="1">IF($D485=1,S485,S485+V484)*IF(OR(C485&gt;ÉV!$I$2,AND(C485=ÉV!$I$2,D485&gt;ÉV!$J$2)),0,1)</f>
        <v>0</v>
      </c>
      <c r="W485" s="271">
        <f ca="1">IF($D485=1,T485,T485+W484)*IF(OR(C485&gt;ÉV!$I$2,AND(C485=ÉV!$I$2,D485&gt;ÉV!$J$2)),0,1)</f>
        <v>0</v>
      </c>
      <c r="X485" s="271">
        <f ca="1">IF(OR(D485=12,AND(C485=ÉV!$I$2,D485=ÉV!$J$2)),SUM(U485:W485)+X484,X484)*IF(OR(C485&gt;ÉV!$I$2,AND(C485=ÉV!$I$2,D485&gt;ÉV!$J$2)),0,1)</f>
        <v>0</v>
      </c>
      <c r="Y485" s="271">
        <f t="shared" ca="1" si="81"/>
        <v>0</v>
      </c>
      <c r="Z485" s="265">
        <f t="shared" si="82"/>
        <v>3</v>
      </c>
      <c r="AA485" s="272">
        <f t="shared" ca="1" si="83"/>
        <v>0</v>
      </c>
      <c r="AB485" s="265">
        <f t="shared" ca="1" si="87"/>
        <v>2057</v>
      </c>
      <c r="AC485" s="265">
        <f t="shared" ca="1" si="88"/>
        <v>6</v>
      </c>
      <c r="AD485" s="276">
        <f ca="1">IF(     OR(               AND(MAX(AF$6:AF485)&lt;2,  AC485=12),                 AF485=2),                   SUMIF(AB:AB,AB485,AA:AA),                       0)</f>
        <v>0</v>
      </c>
      <c r="AE485" s="277">
        <f t="shared" ca="1" si="89"/>
        <v>0</v>
      </c>
      <c r="AF485" s="277">
        <f t="shared" ca="1" si="84"/>
        <v>0</v>
      </c>
      <c r="AG485" s="402">
        <f ca="1">IF(  AND(AC485=AdóHó,   MAX(AF$1:AF484)&lt;2),   SUMIF(AB:AB,AB485-1,AE:AE),0  )
+ IF(AND(AC485&lt;AdóHó,                            AF485=2),   SUMIF(AB:AB,AB485-1,AE:AE),0  )
+ IF(                                                                  AF485=2,    SUMIF(AB:AB,AB485,AE:AE   ),0  )</f>
        <v>0</v>
      </c>
      <c r="AH485" s="272">
        <f ca="1">SUM(AG$2:AG485)</f>
        <v>1139324.2410681627</v>
      </c>
    </row>
    <row r="486" spans="1:34">
      <c r="A486" s="265">
        <f t="shared" si="90"/>
        <v>41</v>
      </c>
      <c r="B486" s="265">
        <f t="shared" si="91"/>
        <v>4</v>
      </c>
      <c r="C486" s="265">
        <f t="shared" ca="1" si="85"/>
        <v>41</v>
      </c>
      <c r="D486" s="265">
        <f t="shared" ca="1" si="86"/>
        <v>7</v>
      </c>
      <c r="E486" s="266">
        <v>5.0000000000000001E-3</v>
      </c>
      <c r="F486" s="267">
        <f>ÉV!$B$12</f>
        <v>0</v>
      </c>
      <c r="G486" s="271">
        <f ca="1">VLOOKUP(A486,ÉV!$A$18:$B$65,2,0)</f>
        <v>0</v>
      </c>
      <c r="H486" s="271">
        <f ca="1">IF(OR(A486=1,AND(C486=ÉV!$I$2,D486&gt;ÉV!$J$2),C486&gt;ÉV!$I$2),0,INDEX(Pz!$B$2:$AM$48,A486-1,ÉV!$G$2-9)/100000*ÉV!$B$10)</f>
        <v>0</v>
      </c>
      <c r="I486" s="271">
        <f ca="1">INDEX(Pz!$B$2:$AM$48,HÓ!A486,ÉV!$G$2-9)/100000*ÉV!$B$10</f>
        <v>0</v>
      </c>
      <c r="J486" s="273">
        <f ca="1">IF(OR(A486=1,A486=2,AND(C486=ÉV!$I$2,D486&gt;ÉV!$J$2),C486&gt;ÉV!$I$2),0,VLOOKUP(A486-2,ÉV!$A$18:$C$65,3,0))</f>
        <v>0</v>
      </c>
      <c r="K486" s="273">
        <f ca="1">IF(OR(A486=1,AND(C486=ÉV!$I$2,D486&gt;ÉV!$J$2),C486&gt;ÉV!$I$2),0,VLOOKUP(A486-1,ÉV!$A$18:$C$65,3,0))</f>
        <v>0</v>
      </c>
      <c r="L486" s="273">
        <f ca="1">VLOOKUP(A486,ÉV!$A$18:$C$65,3,0)*IF(OR(AND(C486=ÉV!$I$2,D486&gt;ÉV!$J$2),C486&gt;ÉV!$I$2),0,1)</f>
        <v>0</v>
      </c>
      <c r="M486" s="273">
        <f ca="1">(K486*(12-B486)/12+L486*B486/12)*IF(A486&gt;ÉV!$G$2,0,1)+IF(A486&gt;ÉV!$G$2,M485,0)*IF(OR(AND(C486=ÉV!$I$2,D486&gt;ÉV!$J$2),C486&gt;ÉV!$I$2),0,1)</f>
        <v>0</v>
      </c>
      <c r="N486" s="274">
        <f ca="1">IF(AND(C486=1,D486&lt;12),0,1)*IF(D486=12,MAX(0,F486-E486-0.003)*0.9*((K486+I486)*(B486/12)+(J486+H486)*(1-B486/12))+MAX(0,F486-0.003)*0.9*N485+N485,IF(AND(C486=ÉV!$I$2,D486=ÉV!$J$2),(M486+N485)*MAX(0,F486-0.003)*0.9*(D486/12)+N485,N485))*IF(OR(C486&gt;ÉV!$I$2,AND(C486=ÉV!$I$2,D486&gt;ÉV!$J$2)),0,1)</f>
        <v>0</v>
      </c>
      <c r="O486" s="313">
        <f ca="1">IF(MAX(AF$2:AF485)=2,      0,IF(OR(AC486=7, AF486=2),    SUM(AE$2:AE486),    O485)   )</f>
        <v>0</v>
      </c>
      <c r="P486" s="271">
        <f ca="1">IF(D486=12,V486+P485+P485*(F486-0.003)*0.9,IF(AND(C486=ÉV!$I$2,D486=ÉV!$J$2),V486+P485+P485*(F486-0.003)*0.9*D486/12,P485))*IF(OR(C486&gt;ÉV!$I$2,AND(C486=ÉV!$I$2,D486&gt;ÉV!$J$2)),0,1)</f>
        <v>0</v>
      </c>
      <c r="Q486" s="275">
        <f ca="1">(N486+P486)*IF(OR(AND(C486=ÉV!$I$2,D486&gt;ÉV!$J$2),C486&gt;ÉV!$I$2),0,1)</f>
        <v>0</v>
      </c>
      <c r="R486" s="271">
        <f ca="1">(MAX(0,F486-E486-0.003)*0.9*((K486+I486)*(1/12)))*IF(OR(C486&gt;ÉV!$I$2,AND(C486=ÉV!$I$2,D486&gt;ÉV!$J$2)),0,1)</f>
        <v>0</v>
      </c>
      <c r="S486" s="271">
        <f ca="1">(MAX(0,F486-0.003)*0.9*((O486)*(1/12)))*IF(OR(C486&gt;ÉV!$I$2,AND(C486=ÉV!$I$2,D486&gt;ÉV!$J$2)),0,1)</f>
        <v>0</v>
      </c>
      <c r="T486" s="271">
        <f ca="1">(MAX(0,F486-0.003)*0.9*((Q485)*(1/12)))*IF(OR(C486&gt;ÉV!$I$2,AND(C486=ÉV!$I$2,D486&gt;ÉV!$J$2)),0,1)</f>
        <v>0</v>
      </c>
      <c r="U486" s="271">
        <f ca="1">IF($D486=1,R486,R486+U485)*IF(OR(C486&gt;ÉV!$I$2,AND(C486=ÉV!$I$2,D486&gt;ÉV!$J$2)),0,1)</f>
        <v>0</v>
      </c>
      <c r="V486" s="271">
        <f ca="1">IF($D486=1,S486,S486+V485)*IF(OR(C486&gt;ÉV!$I$2,AND(C486=ÉV!$I$2,D486&gt;ÉV!$J$2)),0,1)</f>
        <v>0</v>
      </c>
      <c r="W486" s="271">
        <f ca="1">IF($D486=1,T486,T486+W485)*IF(OR(C486&gt;ÉV!$I$2,AND(C486=ÉV!$I$2,D486&gt;ÉV!$J$2)),0,1)</f>
        <v>0</v>
      </c>
      <c r="X486" s="271">
        <f ca="1">IF(OR(D486=12,AND(C486=ÉV!$I$2,D486=ÉV!$J$2)),SUM(U486:W486)+X485,X485)*IF(OR(C486&gt;ÉV!$I$2,AND(C486=ÉV!$I$2,D486&gt;ÉV!$J$2)),0,1)</f>
        <v>0</v>
      </c>
      <c r="Y486" s="271">
        <f t="shared" ca="1" si="81"/>
        <v>0</v>
      </c>
      <c r="Z486" s="265">
        <f t="shared" si="82"/>
        <v>4</v>
      </c>
      <c r="AA486" s="272">
        <f t="shared" ca="1" si="83"/>
        <v>0</v>
      </c>
      <c r="AB486" s="265">
        <f t="shared" ca="1" si="87"/>
        <v>2057</v>
      </c>
      <c r="AC486" s="265">
        <f t="shared" ca="1" si="88"/>
        <v>7</v>
      </c>
      <c r="AD486" s="276">
        <f ca="1">IF(     OR(               AND(MAX(AF$6:AF486)&lt;2,  AC486=12),                 AF486=2),                   SUMIF(AB:AB,AB486,AA:AA),                       0)</f>
        <v>0</v>
      </c>
      <c r="AE486" s="277">
        <f t="shared" ca="1" si="89"/>
        <v>0</v>
      </c>
      <c r="AF486" s="277">
        <f t="shared" ca="1" si="84"/>
        <v>0</v>
      </c>
      <c r="AG486" s="402">
        <f ca="1">IF(  AND(AC486=AdóHó,   MAX(AF$1:AF485)&lt;2),   SUMIF(AB:AB,AB486-1,AE:AE),0  )
+ IF(AND(AC486&lt;AdóHó,                            AF486=2),   SUMIF(AB:AB,AB486-1,AE:AE),0  )
+ IF(                                                                  AF486=2,    SUMIF(AB:AB,AB486,AE:AE   ),0  )</f>
        <v>0</v>
      </c>
      <c r="AH486" s="272">
        <f ca="1">SUM(AG$2:AG486)</f>
        <v>1139324.2410681627</v>
      </c>
    </row>
    <row r="487" spans="1:34">
      <c r="A487" s="265">
        <f t="shared" si="90"/>
        <v>41</v>
      </c>
      <c r="B487" s="265">
        <f t="shared" si="91"/>
        <v>5</v>
      </c>
      <c r="C487" s="265">
        <f t="shared" ca="1" si="85"/>
        <v>41</v>
      </c>
      <c r="D487" s="265">
        <f t="shared" ca="1" si="86"/>
        <v>8</v>
      </c>
      <c r="E487" s="266">
        <v>5.0000000000000001E-3</v>
      </c>
      <c r="F487" s="267">
        <f>ÉV!$B$12</f>
        <v>0</v>
      </c>
      <c r="G487" s="271">
        <f ca="1">VLOOKUP(A487,ÉV!$A$18:$B$65,2,0)</f>
        <v>0</v>
      </c>
      <c r="H487" s="271">
        <f ca="1">IF(OR(A487=1,AND(C487=ÉV!$I$2,D487&gt;ÉV!$J$2),C487&gt;ÉV!$I$2),0,INDEX(Pz!$B$2:$AM$48,A487-1,ÉV!$G$2-9)/100000*ÉV!$B$10)</f>
        <v>0</v>
      </c>
      <c r="I487" s="271">
        <f ca="1">INDEX(Pz!$B$2:$AM$48,HÓ!A487,ÉV!$G$2-9)/100000*ÉV!$B$10</f>
        <v>0</v>
      </c>
      <c r="J487" s="273">
        <f ca="1">IF(OR(A487=1,A487=2,AND(C487=ÉV!$I$2,D487&gt;ÉV!$J$2),C487&gt;ÉV!$I$2),0,VLOOKUP(A487-2,ÉV!$A$18:$C$65,3,0))</f>
        <v>0</v>
      </c>
      <c r="K487" s="273">
        <f ca="1">IF(OR(A487=1,AND(C487=ÉV!$I$2,D487&gt;ÉV!$J$2),C487&gt;ÉV!$I$2),0,VLOOKUP(A487-1,ÉV!$A$18:$C$65,3,0))</f>
        <v>0</v>
      </c>
      <c r="L487" s="273">
        <f ca="1">VLOOKUP(A487,ÉV!$A$18:$C$65,3,0)*IF(OR(AND(C487=ÉV!$I$2,D487&gt;ÉV!$J$2),C487&gt;ÉV!$I$2),0,1)</f>
        <v>0</v>
      </c>
      <c r="M487" s="273">
        <f ca="1">(K487*(12-B487)/12+L487*B487/12)*IF(A487&gt;ÉV!$G$2,0,1)+IF(A487&gt;ÉV!$G$2,M486,0)*IF(OR(AND(C487=ÉV!$I$2,D487&gt;ÉV!$J$2),C487&gt;ÉV!$I$2),0,1)</f>
        <v>0</v>
      </c>
      <c r="N487" s="274">
        <f ca="1">IF(AND(C487=1,D487&lt;12),0,1)*IF(D487=12,MAX(0,F487-E487-0.003)*0.9*((K487+I487)*(B487/12)+(J487+H487)*(1-B487/12))+MAX(0,F487-0.003)*0.9*N486+N486,IF(AND(C487=ÉV!$I$2,D487=ÉV!$J$2),(M487+N486)*MAX(0,F487-0.003)*0.9*(D487/12)+N486,N486))*IF(OR(C487&gt;ÉV!$I$2,AND(C487=ÉV!$I$2,D487&gt;ÉV!$J$2)),0,1)</f>
        <v>0</v>
      </c>
      <c r="O487" s="313">
        <f ca="1">IF(MAX(AF$2:AF486)=2,      0,IF(OR(AC487=7, AF487=2),    SUM(AE$2:AE487),    O486)   )</f>
        <v>0</v>
      </c>
      <c r="P487" s="271">
        <f ca="1">IF(D487=12,V487+P486+P486*(F487-0.003)*0.9,IF(AND(C487=ÉV!$I$2,D487=ÉV!$J$2),V487+P486+P486*(F487-0.003)*0.9*D487/12,P486))*IF(OR(C487&gt;ÉV!$I$2,AND(C487=ÉV!$I$2,D487&gt;ÉV!$J$2)),0,1)</f>
        <v>0</v>
      </c>
      <c r="Q487" s="275">
        <f ca="1">(N487+P487)*IF(OR(AND(C487=ÉV!$I$2,D487&gt;ÉV!$J$2),C487&gt;ÉV!$I$2),0,1)</f>
        <v>0</v>
      </c>
      <c r="R487" s="271">
        <f ca="1">(MAX(0,F487-E487-0.003)*0.9*((K487+I487)*(1/12)))*IF(OR(C487&gt;ÉV!$I$2,AND(C487=ÉV!$I$2,D487&gt;ÉV!$J$2)),0,1)</f>
        <v>0</v>
      </c>
      <c r="S487" s="271">
        <f ca="1">(MAX(0,F487-0.003)*0.9*((O487)*(1/12)))*IF(OR(C487&gt;ÉV!$I$2,AND(C487=ÉV!$I$2,D487&gt;ÉV!$J$2)),0,1)</f>
        <v>0</v>
      </c>
      <c r="T487" s="271">
        <f ca="1">(MAX(0,F487-0.003)*0.9*((Q486)*(1/12)))*IF(OR(C487&gt;ÉV!$I$2,AND(C487=ÉV!$I$2,D487&gt;ÉV!$J$2)),0,1)</f>
        <v>0</v>
      </c>
      <c r="U487" s="271">
        <f ca="1">IF($D487=1,R487,R487+U486)*IF(OR(C487&gt;ÉV!$I$2,AND(C487=ÉV!$I$2,D487&gt;ÉV!$J$2)),0,1)</f>
        <v>0</v>
      </c>
      <c r="V487" s="271">
        <f ca="1">IF($D487=1,S487,S487+V486)*IF(OR(C487&gt;ÉV!$I$2,AND(C487=ÉV!$I$2,D487&gt;ÉV!$J$2)),0,1)</f>
        <v>0</v>
      </c>
      <c r="W487" s="271">
        <f ca="1">IF($D487=1,T487,T487+W486)*IF(OR(C487&gt;ÉV!$I$2,AND(C487=ÉV!$I$2,D487&gt;ÉV!$J$2)),0,1)</f>
        <v>0</v>
      </c>
      <c r="X487" s="271">
        <f ca="1">IF(OR(D487=12,AND(C487=ÉV!$I$2,D487=ÉV!$J$2)),SUM(U487:W487)+X486,X486)*IF(OR(C487&gt;ÉV!$I$2,AND(C487=ÉV!$I$2,D487&gt;ÉV!$J$2)),0,1)</f>
        <v>0</v>
      </c>
      <c r="Y487" s="271">
        <f t="shared" ca="1" si="81"/>
        <v>0</v>
      </c>
      <c r="Z487" s="265">
        <f t="shared" si="82"/>
        <v>5</v>
      </c>
      <c r="AA487" s="272">
        <f t="shared" ca="1" si="83"/>
        <v>0</v>
      </c>
      <c r="AB487" s="265">
        <f t="shared" ca="1" si="87"/>
        <v>2057</v>
      </c>
      <c r="AC487" s="265">
        <f t="shared" ca="1" si="88"/>
        <v>8</v>
      </c>
      <c r="AD487" s="276">
        <f ca="1">IF(     OR(               AND(MAX(AF$6:AF487)&lt;2,  AC487=12),                 AF487=2),                   SUMIF(AB:AB,AB487,AA:AA),                       0)</f>
        <v>0</v>
      </c>
      <c r="AE487" s="277">
        <f t="shared" ca="1" si="89"/>
        <v>0</v>
      </c>
      <c r="AF487" s="277">
        <f t="shared" ca="1" si="84"/>
        <v>0</v>
      </c>
      <c r="AG487" s="402">
        <f ca="1">IF(  AND(AC487=AdóHó,   MAX(AF$1:AF486)&lt;2),   SUMIF(AB:AB,AB487-1,AE:AE),0  )
+ IF(AND(AC487&lt;AdóHó,                            AF487=2),   SUMIF(AB:AB,AB487-1,AE:AE),0  )
+ IF(                                                                  AF487=2,    SUMIF(AB:AB,AB487,AE:AE   ),0  )</f>
        <v>0</v>
      </c>
      <c r="AH487" s="272">
        <f ca="1">SUM(AG$2:AG487)</f>
        <v>1139324.2410681627</v>
      </c>
    </row>
    <row r="488" spans="1:34">
      <c r="A488" s="265">
        <f t="shared" si="90"/>
        <v>41</v>
      </c>
      <c r="B488" s="265">
        <f t="shared" si="91"/>
        <v>6</v>
      </c>
      <c r="C488" s="265">
        <f t="shared" ca="1" si="85"/>
        <v>41</v>
      </c>
      <c r="D488" s="265">
        <f t="shared" ca="1" si="86"/>
        <v>9</v>
      </c>
      <c r="E488" s="266">
        <v>5.0000000000000001E-3</v>
      </c>
      <c r="F488" s="267">
        <f>ÉV!$B$12</f>
        <v>0</v>
      </c>
      <c r="G488" s="271">
        <f ca="1">VLOOKUP(A488,ÉV!$A$18:$B$65,2,0)</f>
        <v>0</v>
      </c>
      <c r="H488" s="271">
        <f ca="1">IF(OR(A488=1,AND(C488=ÉV!$I$2,D488&gt;ÉV!$J$2),C488&gt;ÉV!$I$2),0,INDEX(Pz!$B$2:$AM$48,A488-1,ÉV!$G$2-9)/100000*ÉV!$B$10)</f>
        <v>0</v>
      </c>
      <c r="I488" s="271">
        <f ca="1">INDEX(Pz!$B$2:$AM$48,HÓ!A488,ÉV!$G$2-9)/100000*ÉV!$B$10</f>
        <v>0</v>
      </c>
      <c r="J488" s="273">
        <f ca="1">IF(OR(A488=1,A488=2,AND(C488=ÉV!$I$2,D488&gt;ÉV!$J$2),C488&gt;ÉV!$I$2),0,VLOOKUP(A488-2,ÉV!$A$18:$C$65,3,0))</f>
        <v>0</v>
      </c>
      <c r="K488" s="273">
        <f ca="1">IF(OR(A488=1,AND(C488=ÉV!$I$2,D488&gt;ÉV!$J$2),C488&gt;ÉV!$I$2),0,VLOOKUP(A488-1,ÉV!$A$18:$C$65,3,0))</f>
        <v>0</v>
      </c>
      <c r="L488" s="273">
        <f ca="1">VLOOKUP(A488,ÉV!$A$18:$C$65,3,0)*IF(OR(AND(C488=ÉV!$I$2,D488&gt;ÉV!$J$2),C488&gt;ÉV!$I$2),0,1)</f>
        <v>0</v>
      </c>
      <c r="M488" s="273">
        <f ca="1">(K488*(12-B488)/12+L488*B488/12)*IF(A488&gt;ÉV!$G$2,0,1)+IF(A488&gt;ÉV!$G$2,M487,0)*IF(OR(AND(C488=ÉV!$I$2,D488&gt;ÉV!$J$2),C488&gt;ÉV!$I$2),0,1)</f>
        <v>0</v>
      </c>
      <c r="N488" s="274">
        <f ca="1">IF(AND(C488=1,D488&lt;12),0,1)*IF(D488=12,MAX(0,F488-E488-0.003)*0.9*((K488+I488)*(B488/12)+(J488+H488)*(1-B488/12))+MAX(0,F488-0.003)*0.9*N487+N487,IF(AND(C488=ÉV!$I$2,D488=ÉV!$J$2),(M488+N487)*MAX(0,F488-0.003)*0.9*(D488/12)+N487,N487))*IF(OR(C488&gt;ÉV!$I$2,AND(C488=ÉV!$I$2,D488&gt;ÉV!$J$2)),0,1)</f>
        <v>0</v>
      </c>
      <c r="O488" s="313">
        <f ca="1">IF(MAX(AF$2:AF487)=2,      0,IF(OR(AC488=7, AF488=2),    SUM(AE$2:AE488),    O487)   )</f>
        <v>0</v>
      </c>
      <c r="P488" s="271">
        <f ca="1">IF(D488=12,V488+P487+P487*(F488-0.003)*0.9,IF(AND(C488=ÉV!$I$2,D488=ÉV!$J$2),V488+P487+P487*(F488-0.003)*0.9*D488/12,P487))*IF(OR(C488&gt;ÉV!$I$2,AND(C488=ÉV!$I$2,D488&gt;ÉV!$J$2)),0,1)</f>
        <v>0</v>
      </c>
      <c r="Q488" s="275">
        <f ca="1">(N488+P488)*IF(OR(AND(C488=ÉV!$I$2,D488&gt;ÉV!$J$2),C488&gt;ÉV!$I$2),0,1)</f>
        <v>0</v>
      </c>
      <c r="R488" s="271">
        <f ca="1">(MAX(0,F488-E488-0.003)*0.9*((K488+I488)*(1/12)))*IF(OR(C488&gt;ÉV!$I$2,AND(C488=ÉV!$I$2,D488&gt;ÉV!$J$2)),0,1)</f>
        <v>0</v>
      </c>
      <c r="S488" s="271">
        <f ca="1">(MAX(0,F488-0.003)*0.9*((O488)*(1/12)))*IF(OR(C488&gt;ÉV!$I$2,AND(C488=ÉV!$I$2,D488&gt;ÉV!$J$2)),0,1)</f>
        <v>0</v>
      </c>
      <c r="T488" s="271">
        <f ca="1">(MAX(0,F488-0.003)*0.9*((Q487)*(1/12)))*IF(OR(C488&gt;ÉV!$I$2,AND(C488=ÉV!$I$2,D488&gt;ÉV!$J$2)),0,1)</f>
        <v>0</v>
      </c>
      <c r="U488" s="271">
        <f ca="1">IF($D488=1,R488,R488+U487)*IF(OR(C488&gt;ÉV!$I$2,AND(C488=ÉV!$I$2,D488&gt;ÉV!$J$2)),0,1)</f>
        <v>0</v>
      </c>
      <c r="V488" s="271">
        <f ca="1">IF($D488=1,S488,S488+V487)*IF(OR(C488&gt;ÉV!$I$2,AND(C488=ÉV!$I$2,D488&gt;ÉV!$J$2)),0,1)</f>
        <v>0</v>
      </c>
      <c r="W488" s="271">
        <f ca="1">IF($D488=1,T488,T488+W487)*IF(OR(C488&gt;ÉV!$I$2,AND(C488=ÉV!$I$2,D488&gt;ÉV!$J$2)),0,1)</f>
        <v>0</v>
      </c>
      <c r="X488" s="271">
        <f ca="1">IF(OR(D488=12,AND(C488=ÉV!$I$2,D488=ÉV!$J$2)),SUM(U488:W488)+X487,X487)*IF(OR(C488&gt;ÉV!$I$2,AND(C488=ÉV!$I$2,D488&gt;ÉV!$J$2)),0,1)</f>
        <v>0</v>
      </c>
      <c r="Y488" s="271">
        <f t="shared" ca="1" si="81"/>
        <v>0</v>
      </c>
      <c r="Z488" s="265">
        <f t="shared" si="82"/>
        <v>6</v>
      </c>
      <c r="AA488" s="272">
        <f t="shared" ca="1" si="83"/>
        <v>0</v>
      </c>
      <c r="AB488" s="265">
        <f t="shared" ca="1" si="87"/>
        <v>2057</v>
      </c>
      <c r="AC488" s="265">
        <f t="shared" ca="1" si="88"/>
        <v>9</v>
      </c>
      <c r="AD488" s="276">
        <f ca="1">IF(     OR(               AND(MAX(AF$6:AF488)&lt;2,  AC488=12),                 AF488=2),                   SUMIF(AB:AB,AB488,AA:AA),                       0)</f>
        <v>0</v>
      </c>
      <c r="AE488" s="277">
        <f t="shared" ca="1" si="89"/>
        <v>0</v>
      </c>
      <c r="AF488" s="277">
        <f t="shared" ca="1" si="84"/>
        <v>0</v>
      </c>
      <c r="AG488" s="402">
        <f ca="1">IF(  AND(AC488=AdóHó,   MAX(AF$1:AF487)&lt;2),   SUMIF(AB:AB,AB488-1,AE:AE),0  )
+ IF(AND(AC488&lt;AdóHó,                            AF488=2),   SUMIF(AB:AB,AB488-1,AE:AE),0  )
+ IF(                                                                  AF488=2,    SUMIF(AB:AB,AB488,AE:AE   ),0  )</f>
        <v>0</v>
      </c>
      <c r="AH488" s="272">
        <f ca="1">SUM(AG$2:AG488)</f>
        <v>1139324.2410681627</v>
      </c>
    </row>
    <row r="489" spans="1:34">
      <c r="A489" s="265">
        <f t="shared" si="90"/>
        <v>41</v>
      </c>
      <c r="B489" s="265">
        <f t="shared" si="91"/>
        <v>7</v>
      </c>
      <c r="C489" s="265">
        <f t="shared" ca="1" si="85"/>
        <v>41</v>
      </c>
      <c r="D489" s="265">
        <f t="shared" ca="1" si="86"/>
        <v>10</v>
      </c>
      <c r="E489" s="266">
        <v>5.0000000000000001E-3</v>
      </c>
      <c r="F489" s="267">
        <f>ÉV!$B$12</f>
        <v>0</v>
      </c>
      <c r="G489" s="271">
        <f ca="1">VLOOKUP(A489,ÉV!$A$18:$B$65,2,0)</f>
        <v>0</v>
      </c>
      <c r="H489" s="271">
        <f ca="1">IF(OR(A489=1,AND(C489=ÉV!$I$2,D489&gt;ÉV!$J$2),C489&gt;ÉV!$I$2),0,INDEX(Pz!$B$2:$AM$48,A489-1,ÉV!$G$2-9)/100000*ÉV!$B$10)</f>
        <v>0</v>
      </c>
      <c r="I489" s="271">
        <f ca="1">INDEX(Pz!$B$2:$AM$48,HÓ!A489,ÉV!$G$2-9)/100000*ÉV!$B$10</f>
        <v>0</v>
      </c>
      <c r="J489" s="273">
        <f ca="1">IF(OR(A489=1,A489=2,AND(C489=ÉV!$I$2,D489&gt;ÉV!$J$2),C489&gt;ÉV!$I$2),0,VLOOKUP(A489-2,ÉV!$A$18:$C$65,3,0))</f>
        <v>0</v>
      </c>
      <c r="K489" s="273">
        <f ca="1">IF(OR(A489=1,AND(C489=ÉV!$I$2,D489&gt;ÉV!$J$2),C489&gt;ÉV!$I$2),0,VLOOKUP(A489-1,ÉV!$A$18:$C$65,3,0))</f>
        <v>0</v>
      </c>
      <c r="L489" s="273">
        <f ca="1">VLOOKUP(A489,ÉV!$A$18:$C$65,3,0)*IF(OR(AND(C489=ÉV!$I$2,D489&gt;ÉV!$J$2),C489&gt;ÉV!$I$2),0,1)</f>
        <v>0</v>
      </c>
      <c r="M489" s="273">
        <f ca="1">(K489*(12-B489)/12+L489*B489/12)*IF(A489&gt;ÉV!$G$2,0,1)+IF(A489&gt;ÉV!$G$2,M488,0)*IF(OR(AND(C489=ÉV!$I$2,D489&gt;ÉV!$J$2),C489&gt;ÉV!$I$2),0,1)</f>
        <v>0</v>
      </c>
      <c r="N489" s="274">
        <f ca="1">IF(AND(C489=1,D489&lt;12),0,1)*IF(D489=12,MAX(0,F489-E489-0.003)*0.9*((K489+I489)*(B489/12)+(J489+H489)*(1-B489/12))+MAX(0,F489-0.003)*0.9*N488+N488,IF(AND(C489=ÉV!$I$2,D489=ÉV!$J$2),(M489+N488)*MAX(0,F489-0.003)*0.9*(D489/12)+N488,N488))*IF(OR(C489&gt;ÉV!$I$2,AND(C489=ÉV!$I$2,D489&gt;ÉV!$J$2)),0,1)</f>
        <v>0</v>
      </c>
      <c r="O489" s="313">
        <f ca="1">IF(MAX(AF$2:AF488)=2,      0,IF(OR(AC489=7, AF489=2),    SUM(AE$2:AE489),    O488)   )</f>
        <v>0</v>
      </c>
      <c r="P489" s="271">
        <f ca="1">IF(D489=12,V489+P488+P488*(F489-0.003)*0.9,IF(AND(C489=ÉV!$I$2,D489=ÉV!$J$2),V489+P488+P488*(F489-0.003)*0.9*D489/12,P488))*IF(OR(C489&gt;ÉV!$I$2,AND(C489=ÉV!$I$2,D489&gt;ÉV!$J$2)),0,1)</f>
        <v>0</v>
      </c>
      <c r="Q489" s="275">
        <f ca="1">(N489+P489)*IF(OR(AND(C489=ÉV!$I$2,D489&gt;ÉV!$J$2),C489&gt;ÉV!$I$2),0,1)</f>
        <v>0</v>
      </c>
      <c r="R489" s="271">
        <f ca="1">(MAX(0,F489-E489-0.003)*0.9*((K489+I489)*(1/12)))*IF(OR(C489&gt;ÉV!$I$2,AND(C489=ÉV!$I$2,D489&gt;ÉV!$J$2)),0,1)</f>
        <v>0</v>
      </c>
      <c r="S489" s="271">
        <f ca="1">(MAX(0,F489-0.003)*0.9*((O489)*(1/12)))*IF(OR(C489&gt;ÉV!$I$2,AND(C489=ÉV!$I$2,D489&gt;ÉV!$J$2)),0,1)</f>
        <v>0</v>
      </c>
      <c r="T489" s="271">
        <f ca="1">(MAX(0,F489-0.003)*0.9*((Q488)*(1/12)))*IF(OR(C489&gt;ÉV!$I$2,AND(C489=ÉV!$I$2,D489&gt;ÉV!$J$2)),0,1)</f>
        <v>0</v>
      </c>
      <c r="U489" s="271">
        <f ca="1">IF($D489=1,R489,R489+U488)*IF(OR(C489&gt;ÉV!$I$2,AND(C489=ÉV!$I$2,D489&gt;ÉV!$J$2)),0,1)</f>
        <v>0</v>
      </c>
      <c r="V489" s="271">
        <f ca="1">IF($D489=1,S489,S489+V488)*IF(OR(C489&gt;ÉV!$I$2,AND(C489=ÉV!$I$2,D489&gt;ÉV!$J$2)),0,1)</f>
        <v>0</v>
      </c>
      <c r="W489" s="271">
        <f ca="1">IF($D489=1,T489,T489+W488)*IF(OR(C489&gt;ÉV!$I$2,AND(C489=ÉV!$I$2,D489&gt;ÉV!$J$2)),0,1)</f>
        <v>0</v>
      </c>
      <c r="X489" s="271">
        <f ca="1">IF(OR(D489=12,AND(C489=ÉV!$I$2,D489=ÉV!$J$2)),SUM(U489:W489)+X488,X488)*IF(OR(C489&gt;ÉV!$I$2,AND(C489=ÉV!$I$2,D489&gt;ÉV!$J$2)),0,1)</f>
        <v>0</v>
      </c>
      <c r="Y489" s="271">
        <f t="shared" ca="1" si="81"/>
        <v>0</v>
      </c>
      <c r="Z489" s="265">
        <f t="shared" si="82"/>
        <v>7</v>
      </c>
      <c r="AA489" s="272">
        <f t="shared" ca="1" si="83"/>
        <v>0</v>
      </c>
      <c r="AB489" s="265">
        <f t="shared" ca="1" si="87"/>
        <v>2057</v>
      </c>
      <c r="AC489" s="265">
        <f t="shared" ca="1" si="88"/>
        <v>10</v>
      </c>
      <c r="AD489" s="276">
        <f ca="1">IF(     OR(               AND(MAX(AF$6:AF489)&lt;2,  AC489=12),                 AF489=2),                   SUMIF(AB:AB,AB489,AA:AA),                       0)</f>
        <v>0</v>
      </c>
      <c r="AE489" s="277">
        <f t="shared" ca="1" si="89"/>
        <v>0</v>
      </c>
      <c r="AF489" s="277">
        <f t="shared" ca="1" si="84"/>
        <v>0</v>
      </c>
      <c r="AG489" s="402">
        <f ca="1">IF(  AND(AC489=AdóHó,   MAX(AF$1:AF488)&lt;2),   SUMIF(AB:AB,AB489-1,AE:AE),0  )
+ IF(AND(AC489&lt;AdóHó,                            AF489=2),   SUMIF(AB:AB,AB489-1,AE:AE),0  )
+ IF(                                                                  AF489=2,    SUMIF(AB:AB,AB489,AE:AE   ),0  )</f>
        <v>0</v>
      </c>
      <c r="AH489" s="272">
        <f ca="1">SUM(AG$2:AG489)</f>
        <v>1139324.2410681627</v>
      </c>
    </row>
    <row r="490" spans="1:34">
      <c r="A490" s="265">
        <f t="shared" si="90"/>
        <v>41</v>
      </c>
      <c r="B490" s="265">
        <f t="shared" si="91"/>
        <v>8</v>
      </c>
      <c r="C490" s="265">
        <f t="shared" ca="1" si="85"/>
        <v>41</v>
      </c>
      <c r="D490" s="265">
        <f t="shared" ca="1" si="86"/>
        <v>11</v>
      </c>
      <c r="E490" s="266">
        <v>5.0000000000000001E-3</v>
      </c>
      <c r="F490" s="267">
        <f>ÉV!$B$12</f>
        <v>0</v>
      </c>
      <c r="G490" s="271">
        <f ca="1">VLOOKUP(A490,ÉV!$A$18:$B$65,2,0)</f>
        <v>0</v>
      </c>
      <c r="H490" s="271">
        <f ca="1">IF(OR(A490=1,AND(C490=ÉV!$I$2,D490&gt;ÉV!$J$2),C490&gt;ÉV!$I$2),0,INDEX(Pz!$B$2:$AM$48,A490-1,ÉV!$G$2-9)/100000*ÉV!$B$10)</f>
        <v>0</v>
      </c>
      <c r="I490" s="271">
        <f ca="1">INDEX(Pz!$B$2:$AM$48,HÓ!A490,ÉV!$G$2-9)/100000*ÉV!$B$10</f>
        <v>0</v>
      </c>
      <c r="J490" s="273">
        <f ca="1">IF(OR(A490=1,A490=2,AND(C490=ÉV!$I$2,D490&gt;ÉV!$J$2),C490&gt;ÉV!$I$2),0,VLOOKUP(A490-2,ÉV!$A$18:$C$65,3,0))</f>
        <v>0</v>
      </c>
      <c r="K490" s="273">
        <f ca="1">IF(OR(A490=1,AND(C490=ÉV!$I$2,D490&gt;ÉV!$J$2),C490&gt;ÉV!$I$2),0,VLOOKUP(A490-1,ÉV!$A$18:$C$65,3,0))</f>
        <v>0</v>
      </c>
      <c r="L490" s="273">
        <f ca="1">VLOOKUP(A490,ÉV!$A$18:$C$65,3,0)*IF(OR(AND(C490=ÉV!$I$2,D490&gt;ÉV!$J$2),C490&gt;ÉV!$I$2),0,1)</f>
        <v>0</v>
      </c>
      <c r="M490" s="273">
        <f ca="1">(K490*(12-B490)/12+L490*B490/12)*IF(A490&gt;ÉV!$G$2,0,1)+IF(A490&gt;ÉV!$G$2,M489,0)*IF(OR(AND(C490=ÉV!$I$2,D490&gt;ÉV!$J$2),C490&gt;ÉV!$I$2),0,1)</f>
        <v>0</v>
      </c>
      <c r="N490" s="274">
        <f ca="1">IF(AND(C490=1,D490&lt;12),0,1)*IF(D490=12,MAX(0,F490-E490-0.003)*0.9*((K490+I490)*(B490/12)+(J490+H490)*(1-B490/12))+MAX(0,F490-0.003)*0.9*N489+N489,IF(AND(C490=ÉV!$I$2,D490=ÉV!$J$2),(M490+N489)*MAX(0,F490-0.003)*0.9*(D490/12)+N489,N489))*IF(OR(C490&gt;ÉV!$I$2,AND(C490=ÉV!$I$2,D490&gt;ÉV!$J$2)),0,1)</f>
        <v>0</v>
      </c>
      <c r="O490" s="313">
        <f ca="1">IF(MAX(AF$2:AF489)=2,      0,IF(OR(AC490=7, AF490=2),    SUM(AE$2:AE490),    O489)   )</f>
        <v>0</v>
      </c>
      <c r="P490" s="271">
        <f ca="1">IF(D490=12,V490+P489+P489*(F490-0.003)*0.9,IF(AND(C490=ÉV!$I$2,D490=ÉV!$J$2),V490+P489+P489*(F490-0.003)*0.9*D490/12,P489))*IF(OR(C490&gt;ÉV!$I$2,AND(C490=ÉV!$I$2,D490&gt;ÉV!$J$2)),0,1)</f>
        <v>0</v>
      </c>
      <c r="Q490" s="275">
        <f ca="1">(N490+P490)*IF(OR(AND(C490=ÉV!$I$2,D490&gt;ÉV!$J$2),C490&gt;ÉV!$I$2),0,1)</f>
        <v>0</v>
      </c>
      <c r="R490" s="271">
        <f ca="1">(MAX(0,F490-E490-0.003)*0.9*((K490+I490)*(1/12)))*IF(OR(C490&gt;ÉV!$I$2,AND(C490=ÉV!$I$2,D490&gt;ÉV!$J$2)),0,1)</f>
        <v>0</v>
      </c>
      <c r="S490" s="271">
        <f ca="1">(MAX(0,F490-0.003)*0.9*((O490)*(1/12)))*IF(OR(C490&gt;ÉV!$I$2,AND(C490=ÉV!$I$2,D490&gt;ÉV!$J$2)),0,1)</f>
        <v>0</v>
      </c>
      <c r="T490" s="271">
        <f ca="1">(MAX(0,F490-0.003)*0.9*((Q489)*(1/12)))*IF(OR(C490&gt;ÉV!$I$2,AND(C490=ÉV!$I$2,D490&gt;ÉV!$J$2)),0,1)</f>
        <v>0</v>
      </c>
      <c r="U490" s="271">
        <f ca="1">IF($D490=1,R490,R490+U489)*IF(OR(C490&gt;ÉV!$I$2,AND(C490=ÉV!$I$2,D490&gt;ÉV!$J$2)),0,1)</f>
        <v>0</v>
      </c>
      <c r="V490" s="271">
        <f ca="1">IF($D490=1,S490,S490+V489)*IF(OR(C490&gt;ÉV!$I$2,AND(C490=ÉV!$I$2,D490&gt;ÉV!$J$2)),0,1)</f>
        <v>0</v>
      </c>
      <c r="W490" s="271">
        <f ca="1">IF($D490=1,T490,T490+W489)*IF(OR(C490&gt;ÉV!$I$2,AND(C490=ÉV!$I$2,D490&gt;ÉV!$J$2)),0,1)</f>
        <v>0</v>
      </c>
      <c r="X490" s="271">
        <f ca="1">IF(OR(D490=12,AND(C490=ÉV!$I$2,D490=ÉV!$J$2)),SUM(U490:W490)+X489,X489)*IF(OR(C490&gt;ÉV!$I$2,AND(C490=ÉV!$I$2,D490&gt;ÉV!$J$2)),0,1)</f>
        <v>0</v>
      </c>
      <c r="Y490" s="271">
        <f t="shared" ca="1" si="81"/>
        <v>0</v>
      </c>
      <c r="Z490" s="265">
        <f t="shared" si="82"/>
        <v>8</v>
      </c>
      <c r="AA490" s="272">
        <f t="shared" ca="1" si="83"/>
        <v>0</v>
      </c>
      <c r="AB490" s="265">
        <f t="shared" ca="1" si="87"/>
        <v>2057</v>
      </c>
      <c r="AC490" s="265">
        <f t="shared" ca="1" si="88"/>
        <v>11</v>
      </c>
      <c r="AD490" s="276">
        <f ca="1">IF(     OR(               AND(MAX(AF$6:AF490)&lt;2,  AC490=12),                 AF490=2),                   SUMIF(AB:AB,AB490,AA:AA),                       0)</f>
        <v>0</v>
      </c>
      <c r="AE490" s="277">
        <f t="shared" ca="1" si="89"/>
        <v>0</v>
      </c>
      <c r="AF490" s="277">
        <f t="shared" ca="1" si="84"/>
        <v>0</v>
      </c>
      <c r="AG490" s="402">
        <f ca="1">IF(  AND(AC490=AdóHó,   MAX(AF$1:AF489)&lt;2),   SUMIF(AB:AB,AB490-1,AE:AE),0  )
+ IF(AND(AC490&lt;AdóHó,                            AF490=2),   SUMIF(AB:AB,AB490-1,AE:AE),0  )
+ IF(                                                                  AF490=2,    SUMIF(AB:AB,AB490,AE:AE   ),0  )</f>
        <v>0</v>
      </c>
      <c r="AH490" s="272">
        <f ca="1">SUM(AG$2:AG490)</f>
        <v>1139324.2410681627</v>
      </c>
    </row>
    <row r="491" spans="1:34">
      <c r="A491" s="265">
        <f t="shared" si="90"/>
        <v>41</v>
      </c>
      <c r="B491" s="265">
        <f t="shared" si="91"/>
        <v>9</v>
      </c>
      <c r="C491" s="265">
        <f t="shared" ca="1" si="85"/>
        <v>41</v>
      </c>
      <c r="D491" s="265">
        <f t="shared" ca="1" si="86"/>
        <v>12</v>
      </c>
      <c r="E491" s="266">
        <v>5.0000000000000001E-3</v>
      </c>
      <c r="F491" s="267">
        <f>ÉV!$B$12</f>
        <v>0</v>
      </c>
      <c r="G491" s="271">
        <f ca="1">VLOOKUP(A491,ÉV!$A$18:$B$65,2,0)</f>
        <v>0</v>
      </c>
      <c r="H491" s="271">
        <f ca="1">IF(OR(A491=1,AND(C491=ÉV!$I$2,D491&gt;ÉV!$J$2),C491&gt;ÉV!$I$2),0,INDEX(Pz!$B$2:$AM$48,A491-1,ÉV!$G$2-9)/100000*ÉV!$B$10)</f>
        <v>0</v>
      </c>
      <c r="I491" s="271">
        <f ca="1">INDEX(Pz!$B$2:$AM$48,HÓ!A491,ÉV!$G$2-9)/100000*ÉV!$B$10</f>
        <v>0</v>
      </c>
      <c r="J491" s="273">
        <f ca="1">IF(OR(A491=1,A491=2,AND(C491=ÉV!$I$2,D491&gt;ÉV!$J$2),C491&gt;ÉV!$I$2),0,VLOOKUP(A491-2,ÉV!$A$18:$C$65,3,0))</f>
        <v>0</v>
      </c>
      <c r="K491" s="273">
        <f ca="1">IF(OR(A491=1,AND(C491=ÉV!$I$2,D491&gt;ÉV!$J$2),C491&gt;ÉV!$I$2),0,VLOOKUP(A491-1,ÉV!$A$18:$C$65,3,0))</f>
        <v>0</v>
      </c>
      <c r="L491" s="273">
        <f ca="1">VLOOKUP(A491,ÉV!$A$18:$C$65,3,0)*IF(OR(AND(C491=ÉV!$I$2,D491&gt;ÉV!$J$2),C491&gt;ÉV!$I$2),0,1)</f>
        <v>0</v>
      </c>
      <c r="M491" s="273">
        <f ca="1">(K491*(12-B491)/12+L491*B491/12)*IF(A491&gt;ÉV!$G$2,0,1)+IF(A491&gt;ÉV!$G$2,M490,0)*IF(OR(AND(C491=ÉV!$I$2,D491&gt;ÉV!$J$2),C491&gt;ÉV!$I$2),0,1)</f>
        <v>0</v>
      </c>
      <c r="N491" s="274">
        <f ca="1">IF(AND(C491=1,D491&lt;12),0,1)*IF(D491=12,MAX(0,F491-E491-0.003)*0.9*((K491+I491)*(B491/12)+(J491+H491)*(1-B491/12))+MAX(0,F491-0.003)*0.9*N490+N490,IF(AND(C491=ÉV!$I$2,D491=ÉV!$J$2),(M491+N490)*MAX(0,F491-0.003)*0.9*(D491/12)+N490,N490))*IF(OR(C491&gt;ÉV!$I$2,AND(C491=ÉV!$I$2,D491&gt;ÉV!$J$2)),0,1)</f>
        <v>0</v>
      </c>
      <c r="O491" s="313">
        <f ca="1">IF(MAX(AF$2:AF490)=2,      0,IF(OR(AC491=7, AF491=2),    SUM(AE$2:AE491),    O490)   )</f>
        <v>0</v>
      </c>
      <c r="P491" s="271">
        <f ca="1">IF(D491=12,V491+P490+P490*(F491-0.003)*0.9,IF(AND(C491=ÉV!$I$2,D491=ÉV!$J$2),V491+P490+P490*(F491-0.003)*0.9*D491/12,P490))*IF(OR(C491&gt;ÉV!$I$2,AND(C491=ÉV!$I$2,D491&gt;ÉV!$J$2)),0,1)</f>
        <v>0</v>
      </c>
      <c r="Q491" s="275">
        <f ca="1">(N491+P491)*IF(OR(AND(C491=ÉV!$I$2,D491&gt;ÉV!$J$2),C491&gt;ÉV!$I$2),0,1)</f>
        <v>0</v>
      </c>
      <c r="R491" s="271">
        <f ca="1">(MAX(0,F491-E491-0.003)*0.9*((K491+I491)*(1/12)))*IF(OR(C491&gt;ÉV!$I$2,AND(C491=ÉV!$I$2,D491&gt;ÉV!$J$2)),0,1)</f>
        <v>0</v>
      </c>
      <c r="S491" s="271">
        <f ca="1">(MAX(0,F491-0.003)*0.9*((O491)*(1/12)))*IF(OR(C491&gt;ÉV!$I$2,AND(C491=ÉV!$I$2,D491&gt;ÉV!$J$2)),0,1)</f>
        <v>0</v>
      </c>
      <c r="T491" s="271">
        <f ca="1">(MAX(0,F491-0.003)*0.9*((Q490)*(1/12)))*IF(OR(C491&gt;ÉV!$I$2,AND(C491=ÉV!$I$2,D491&gt;ÉV!$J$2)),0,1)</f>
        <v>0</v>
      </c>
      <c r="U491" s="271">
        <f ca="1">IF($D491=1,R491,R491+U490)*IF(OR(C491&gt;ÉV!$I$2,AND(C491=ÉV!$I$2,D491&gt;ÉV!$J$2)),0,1)</f>
        <v>0</v>
      </c>
      <c r="V491" s="271">
        <f ca="1">IF($D491=1,S491,S491+V490)*IF(OR(C491&gt;ÉV!$I$2,AND(C491=ÉV!$I$2,D491&gt;ÉV!$J$2)),0,1)</f>
        <v>0</v>
      </c>
      <c r="W491" s="271">
        <f ca="1">IF($D491=1,T491,T491+W490)*IF(OR(C491&gt;ÉV!$I$2,AND(C491=ÉV!$I$2,D491&gt;ÉV!$J$2)),0,1)</f>
        <v>0</v>
      </c>
      <c r="X491" s="271">
        <f ca="1">IF(OR(D491=12,AND(C491=ÉV!$I$2,D491=ÉV!$J$2)),SUM(U491:W491)+X490,X490)*IF(OR(C491&gt;ÉV!$I$2,AND(C491=ÉV!$I$2,D491&gt;ÉV!$J$2)),0,1)</f>
        <v>0</v>
      </c>
      <c r="Y491" s="271">
        <f t="shared" ca="1" si="81"/>
        <v>0</v>
      </c>
      <c r="Z491" s="265">
        <f t="shared" si="82"/>
        <v>9</v>
      </c>
      <c r="AA491" s="272">
        <f t="shared" ca="1" si="83"/>
        <v>0</v>
      </c>
      <c r="AB491" s="265">
        <f t="shared" ca="1" si="87"/>
        <v>2057</v>
      </c>
      <c r="AC491" s="265">
        <f t="shared" ca="1" si="88"/>
        <v>12</v>
      </c>
      <c r="AD491" s="276">
        <f ca="1">IF(     OR(               AND(MAX(AF$6:AF491)&lt;2,  AC491=12),                 AF491=2),                   SUMIF(AB:AB,AB491,AA:AA),                       0)</f>
        <v>0</v>
      </c>
      <c r="AE491" s="277">
        <f t="shared" ca="1" si="89"/>
        <v>0</v>
      </c>
      <c r="AF491" s="277">
        <f t="shared" ca="1" si="84"/>
        <v>0</v>
      </c>
      <c r="AG491" s="402">
        <f ca="1">IF(  AND(AC491=AdóHó,   MAX(AF$1:AF490)&lt;2),   SUMIF(AB:AB,AB491-1,AE:AE),0  )
+ IF(AND(AC491&lt;AdóHó,                            AF491=2),   SUMIF(AB:AB,AB491-1,AE:AE),0  )
+ IF(                                                                  AF491=2,    SUMIF(AB:AB,AB491,AE:AE   ),0  )</f>
        <v>0</v>
      </c>
      <c r="AH491" s="272">
        <f ca="1">SUM(AG$2:AG491)</f>
        <v>1139324.2410681627</v>
      </c>
    </row>
    <row r="492" spans="1:34">
      <c r="A492" s="265">
        <f t="shared" si="90"/>
        <v>41</v>
      </c>
      <c r="B492" s="265">
        <f t="shared" si="91"/>
        <v>10</v>
      </c>
      <c r="C492" s="265">
        <f t="shared" ca="1" si="85"/>
        <v>42</v>
      </c>
      <c r="D492" s="265">
        <f t="shared" ca="1" si="86"/>
        <v>1</v>
      </c>
      <c r="E492" s="266">
        <v>5.0000000000000001E-3</v>
      </c>
      <c r="F492" s="267">
        <f>ÉV!$B$12</f>
        <v>0</v>
      </c>
      <c r="G492" s="271">
        <f ca="1">VLOOKUP(A492,ÉV!$A$18:$B$65,2,0)</f>
        <v>0</v>
      </c>
      <c r="H492" s="271">
        <f ca="1">IF(OR(A492=1,AND(C492=ÉV!$I$2,D492&gt;ÉV!$J$2),C492&gt;ÉV!$I$2),0,INDEX(Pz!$B$2:$AM$48,A492-1,ÉV!$G$2-9)/100000*ÉV!$B$10)</f>
        <v>0</v>
      </c>
      <c r="I492" s="271">
        <f ca="1">INDEX(Pz!$B$2:$AM$48,HÓ!A492,ÉV!$G$2-9)/100000*ÉV!$B$10</f>
        <v>0</v>
      </c>
      <c r="J492" s="273">
        <f ca="1">IF(OR(A492=1,A492=2,AND(C492=ÉV!$I$2,D492&gt;ÉV!$J$2),C492&gt;ÉV!$I$2),0,VLOOKUP(A492-2,ÉV!$A$18:$C$65,3,0))</f>
        <v>0</v>
      </c>
      <c r="K492" s="273">
        <f ca="1">IF(OR(A492=1,AND(C492=ÉV!$I$2,D492&gt;ÉV!$J$2),C492&gt;ÉV!$I$2),0,VLOOKUP(A492-1,ÉV!$A$18:$C$65,3,0))</f>
        <v>0</v>
      </c>
      <c r="L492" s="273">
        <f ca="1">VLOOKUP(A492,ÉV!$A$18:$C$65,3,0)*IF(OR(AND(C492=ÉV!$I$2,D492&gt;ÉV!$J$2),C492&gt;ÉV!$I$2),0,1)</f>
        <v>0</v>
      </c>
      <c r="M492" s="273">
        <f ca="1">(K492*(12-B492)/12+L492*B492/12)*IF(A492&gt;ÉV!$G$2,0,1)+IF(A492&gt;ÉV!$G$2,M491,0)*IF(OR(AND(C492=ÉV!$I$2,D492&gt;ÉV!$J$2),C492&gt;ÉV!$I$2),0,1)</f>
        <v>0</v>
      </c>
      <c r="N492" s="274">
        <f ca="1">IF(AND(C492=1,D492&lt;12),0,1)*IF(D492=12,MAX(0,F492-E492-0.003)*0.9*((K492+I492)*(B492/12)+(J492+H492)*(1-B492/12))+MAX(0,F492-0.003)*0.9*N491+N491,IF(AND(C492=ÉV!$I$2,D492=ÉV!$J$2),(M492+N491)*MAX(0,F492-0.003)*0.9*(D492/12)+N491,N491))*IF(OR(C492&gt;ÉV!$I$2,AND(C492=ÉV!$I$2,D492&gt;ÉV!$J$2)),0,1)</f>
        <v>0</v>
      </c>
      <c r="O492" s="313">
        <f ca="1">IF(MAX(AF$2:AF491)=2,      0,IF(OR(AC492=7, AF492=2),    SUM(AE$2:AE492),    O491)   )</f>
        <v>0</v>
      </c>
      <c r="P492" s="271">
        <f ca="1">IF(D492=12,V492+P491+P491*(F492-0.003)*0.9,IF(AND(C492=ÉV!$I$2,D492=ÉV!$J$2),V492+P491+P491*(F492-0.003)*0.9*D492/12,P491))*IF(OR(C492&gt;ÉV!$I$2,AND(C492=ÉV!$I$2,D492&gt;ÉV!$J$2)),0,1)</f>
        <v>0</v>
      </c>
      <c r="Q492" s="275">
        <f ca="1">(N492+P492)*IF(OR(AND(C492=ÉV!$I$2,D492&gt;ÉV!$J$2),C492&gt;ÉV!$I$2),0,1)</f>
        <v>0</v>
      </c>
      <c r="R492" s="271">
        <f ca="1">(MAX(0,F492-E492-0.003)*0.9*((K492+I492)*(1/12)))*IF(OR(C492&gt;ÉV!$I$2,AND(C492=ÉV!$I$2,D492&gt;ÉV!$J$2)),0,1)</f>
        <v>0</v>
      </c>
      <c r="S492" s="271">
        <f ca="1">(MAX(0,F492-0.003)*0.9*((O492)*(1/12)))*IF(OR(C492&gt;ÉV!$I$2,AND(C492=ÉV!$I$2,D492&gt;ÉV!$J$2)),0,1)</f>
        <v>0</v>
      </c>
      <c r="T492" s="271">
        <f ca="1">(MAX(0,F492-0.003)*0.9*((Q491)*(1/12)))*IF(OR(C492&gt;ÉV!$I$2,AND(C492=ÉV!$I$2,D492&gt;ÉV!$J$2)),0,1)</f>
        <v>0</v>
      </c>
      <c r="U492" s="271">
        <f ca="1">IF($D492=1,R492,R492+U491)*IF(OR(C492&gt;ÉV!$I$2,AND(C492=ÉV!$I$2,D492&gt;ÉV!$J$2)),0,1)</f>
        <v>0</v>
      </c>
      <c r="V492" s="271">
        <f ca="1">IF($D492=1,S492,S492+V491)*IF(OR(C492&gt;ÉV!$I$2,AND(C492=ÉV!$I$2,D492&gt;ÉV!$J$2)),0,1)</f>
        <v>0</v>
      </c>
      <c r="W492" s="271">
        <f ca="1">IF($D492=1,T492,T492+W491)*IF(OR(C492&gt;ÉV!$I$2,AND(C492=ÉV!$I$2,D492&gt;ÉV!$J$2)),0,1)</f>
        <v>0</v>
      </c>
      <c r="X492" s="271">
        <f ca="1">IF(OR(D492=12,AND(C492=ÉV!$I$2,D492=ÉV!$J$2)),SUM(U492:W492)+X491,X491)*IF(OR(C492&gt;ÉV!$I$2,AND(C492=ÉV!$I$2,D492&gt;ÉV!$J$2)),0,1)</f>
        <v>0</v>
      </c>
      <c r="Y492" s="271">
        <f t="shared" ca="1" si="81"/>
        <v>0</v>
      </c>
      <c r="Z492" s="265">
        <f t="shared" si="82"/>
        <v>10</v>
      </c>
      <c r="AA492" s="272">
        <f t="shared" ca="1" si="83"/>
        <v>0</v>
      </c>
      <c r="AB492" s="265">
        <f t="shared" ca="1" si="87"/>
        <v>2058</v>
      </c>
      <c r="AC492" s="265">
        <f t="shared" ca="1" si="88"/>
        <v>1</v>
      </c>
      <c r="AD492" s="276">
        <f ca="1">IF(     OR(               AND(MAX(AF$6:AF492)&lt;2,  AC492=12),                 AF492=2),                   SUMIF(AB:AB,AB492,AA:AA),                       0)</f>
        <v>0</v>
      </c>
      <c r="AE492" s="277">
        <f t="shared" ca="1" si="89"/>
        <v>0</v>
      </c>
      <c r="AF492" s="277">
        <f t="shared" ca="1" si="84"/>
        <v>0</v>
      </c>
      <c r="AG492" s="402">
        <f ca="1">IF(  AND(AC492=AdóHó,   MAX(AF$1:AF491)&lt;2),   SUMIF(AB:AB,AB492-1,AE:AE),0  )
+ IF(AND(AC492&lt;AdóHó,                            AF492=2),   SUMIF(AB:AB,AB492-1,AE:AE),0  )
+ IF(                                                                  AF492=2,    SUMIF(AB:AB,AB492,AE:AE   ),0  )</f>
        <v>0</v>
      </c>
      <c r="AH492" s="272">
        <f ca="1">SUM(AG$2:AG492)</f>
        <v>1139324.2410681627</v>
      </c>
    </row>
    <row r="493" spans="1:34">
      <c r="A493" s="265">
        <f t="shared" si="90"/>
        <v>41</v>
      </c>
      <c r="B493" s="265">
        <f t="shared" si="91"/>
        <v>11</v>
      </c>
      <c r="C493" s="265">
        <f t="shared" ca="1" si="85"/>
        <v>42</v>
      </c>
      <c r="D493" s="265">
        <f t="shared" ca="1" si="86"/>
        <v>2</v>
      </c>
      <c r="E493" s="266">
        <v>5.0000000000000001E-3</v>
      </c>
      <c r="F493" s="267">
        <f>ÉV!$B$12</f>
        <v>0</v>
      </c>
      <c r="G493" s="271">
        <f ca="1">VLOOKUP(A493,ÉV!$A$18:$B$65,2,0)</f>
        <v>0</v>
      </c>
      <c r="H493" s="271">
        <f ca="1">IF(OR(A493=1,AND(C493=ÉV!$I$2,D493&gt;ÉV!$J$2),C493&gt;ÉV!$I$2),0,INDEX(Pz!$B$2:$AM$48,A493-1,ÉV!$G$2-9)/100000*ÉV!$B$10)</f>
        <v>0</v>
      </c>
      <c r="I493" s="271">
        <f ca="1">INDEX(Pz!$B$2:$AM$48,HÓ!A493,ÉV!$G$2-9)/100000*ÉV!$B$10</f>
        <v>0</v>
      </c>
      <c r="J493" s="273">
        <f ca="1">IF(OR(A493=1,A493=2,AND(C493=ÉV!$I$2,D493&gt;ÉV!$J$2),C493&gt;ÉV!$I$2),0,VLOOKUP(A493-2,ÉV!$A$18:$C$65,3,0))</f>
        <v>0</v>
      </c>
      <c r="K493" s="273">
        <f ca="1">IF(OR(A493=1,AND(C493=ÉV!$I$2,D493&gt;ÉV!$J$2),C493&gt;ÉV!$I$2),0,VLOOKUP(A493-1,ÉV!$A$18:$C$65,3,0))</f>
        <v>0</v>
      </c>
      <c r="L493" s="273">
        <f ca="1">VLOOKUP(A493,ÉV!$A$18:$C$65,3,0)*IF(OR(AND(C493=ÉV!$I$2,D493&gt;ÉV!$J$2),C493&gt;ÉV!$I$2),0,1)</f>
        <v>0</v>
      </c>
      <c r="M493" s="273">
        <f ca="1">(K493*(12-B493)/12+L493*B493/12)*IF(A493&gt;ÉV!$G$2,0,1)+IF(A493&gt;ÉV!$G$2,M492,0)*IF(OR(AND(C493=ÉV!$I$2,D493&gt;ÉV!$J$2),C493&gt;ÉV!$I$2),0,1)</f>
        <v>0</v>
      </c>
      <c r="N493" s="274">
        <f ca="1">IF(AND(C493=1,D493&lt;12),0,1)*IF(D493=12,MAX(0,F493-E493-0.003)*0.9*((K493+I493)*(B493/12)+(J493+H493)*(1-B493/12))+MAX(0,F493-0.003)*0.9*N492+N492,IF(AND(C493=ÉV!$I$2,D493=ÉV!$J$2),(M493+N492)*MAX(0,F493-0.003)*0.9*(D493/12)+N492,N492))*IF(OR(C493&gt;ÉV!$I$2,AND(C493=ÉV!$I$2,D493&gt;ÉV!$J$2)),0,1)</f>
        <v>0</v>
      </c>
      <c r="O493" s="313">
        <f ca="1">IF(MAX(AF$2:AF492)=2,      0,IF(OR(AC493=7, AF493=2),    SUM(AE$2:AE493),    O492)   )</f>
        <v>0</v>
      </c>
      <c r="P493" s="271">
        <f ca="1">IF(D493=12,V493+P492+P492*(F493-0.003)*0.9,IF(AND(C493=ÉV!$I$2,D493=ÉV!$J$2),V493+P492+P492*(F493-0.003)*0.9*D493/12,P492))*IF(OR(C493&gt;ÉV!$I$2,AND(C493=ÉV!$I$2,D493&gt;ÉV!$J$2)),0,1)</f>
        <v>0</v>
      </c>
      <c r="Q493" s="275">
        <f ca="1">(N493+P493)*IF(OR(AND(C493=ÉV!$I$2,D493&gt;ÉV!$J$2),C493&gt;ÉV!$I$2),0,1)</f>
        <v>0</v>
      </c>
      <c r="R493" s="271">
        <f ca="1">(MAX(0,F493-E493-0.003)*0.9*((K493+I493)*(1/12)))*IF(OR(C493&gt;ÉV!$I$2,AND(C493=ÉV!$I$2,D493&gt;ÉV!$J$2)),0,1)</f>
        <v>0</v>
      </c>
      <c r="S493" s="271">
        <f ca="1">(MAX(0,F493-0.003)*0.9*((O493)*(1/12)))*IF(OR(C493&gt;ÉV!$I$2,AND(C493=ÉV!$I$2,D493&gt;ÉV!$J$2)),0,1)</f>
        <v>0</v>
      </c>
      <c r="T493" s="271">
        <f ca="1">(MAX(0,F493-0.003)*0.9*((Q492)*(1/12)))*IF(OR(C493&gt;ÉV!$I$2,AND(C493=ÉV!$I$2,D493&gt;ÉV!$J$2)),0,1)</f>
        <v>0</v>
      </c>
      <c r="U493" s="271">
        <f ca="1">IF($D493=1,R493,R493+U492)*IF(OR(C493&gt;ÉV!$I$2,AND(C493=ÉV!$I$2,D493&gt;ÉV!$J$2)),0,1)</f>
        <v>0</v>
      </c>
      <c r="V493" s="271">
        <f ca="1">IF($D493=1,S493,S493+V492)*IF(OR(C493&gt;ÉV!$I$2,AND(C493=ÉV!$I$2,D493&gt;ÉV!$J$2)),0,1)</f>
        <v>0</v>
      </c>
      <c r="W493" s="271">
        <f ca="1">IF($D493=1,T493,T493+W492)*IF(OR(C493&gt;ÉV!$I$2,AND(C493=ÉV!$I$2,D493&gt;ÉV!$J$2)),0,1)</f>
        <v>0</v>
      </c>
      <c r="X493" s="271">
        <f ca="1">IF(OR(D493=12,AND(C493=ÉV!$I$2,D493=ÉV!$J$2)),SUM(U493:W493)+X492,X492)*IF(OR(C493&gt;ÉV!$I$2,AND(C493=ÉV!$I$2,D493&gt;ÉV!$J$2)),0,1)</f>
        <v>0</v>
      </c>
      <c r="Y493" s="271">
        <f t="shared" ca="1" si="81"/>
        <v>0</v>
      </c>
      <c r="Z493" s="265">
        <f t="shared" si="82"/>
        <v>11</v>
      </c>
      <c r="AA493" s="272">
        <f t="shared" ca="1" si="83"/>
        <v>0</v>
      </c>
      <c r="AB493" s="265">
        <f t="shared" ca="1" si="87"/>
        <v>2058</v>
      </c>
      <c r="AC493" s="265">
        <f t="shared" ca="1" si="88"/>
        <v>2</v>
      </c>
      <c r="AD493" s="276">
        <f ca="1">IF(     OR(               AND(MAX(AF$6:AF493)&lt;2,  AC493=12),                 AF493=2),                   SUMIF(AB:AB,AB493,AA:AA),                       0)</f>
        <v>0</v>
      </c>
      <c r="AE493" s="277">
        <f t="shared" ca="1" si="89"/>
        <v>0</v>
      </c>
      <c r="AF493" s="277">
        <f t="shared" ca="1" si="84"/>
        <v>0</v>
      </c>
      <c r="AG493" s="402">
        <f ca="1">IF(  AND(AC493=AdóHó,   MAX(AF$1:AF492)&lt;2),   SUMIF(AB:AB,AB493-1,AE:AE),0  )
+ IF(AND(AC493&lt;AdóHó,                            AF493=2),   SUMIF(AB:AB,AB493-1,AE:AE),0  )
+ IF(                                                                  AF493=2,    SUMIF(AB:AB,AB493,AE:AE   ),0  )</f>
        <v>0</v>
      </c>
      <c r="AH493" s="272">
        <f ca="1">SUM(AG$2:AG493)</f>
        <v>1139324.2410681627</v>
      </c>
    </row>
    <row r="494" spans="1:34">
      <c r="A494" s="265">
        <f t="shared" si="90"/>
        <v>41</v>
      </c>
      <c r="B494" s="265">
        <f t="shared" si="91"/>
        <v>12</v>
      </c>
      <c r="C494" s="265">
        <f t="shared" ca="1" si="85"/>
        <v>42</v>
      </c>
      <c r="D494" s="265">
        <f t="shared" ca="1" si="86"/>
        <v>3</v>
      </c>
      <c r="E494" s="266">
        <v>5.0000000000000001E-3</v>
      </c>
      <c r="F494" s="267">
        <f>ÉV!$B$12</f>
        <v>0</v>
      </c>
      <c r="G494" s="271">
        <f ca="1">VLOOKUP(A494,ÉV!$A$18:$B$65,2,0)</f>
        <v>0</v>
      </c>
      <c r="H494" s="271">
        <f ca="1">IF(OR(A494=1,AND(C494=ÉV!$I$2,D494&gt;ÉV!$J$2),C494&gt;ÉV!$I$2),0,INDEX(Pz!$B$2:$AM$48,A494-1,ÉV!$G$2-9)/100000*ÉV!$B$10)</f>
        <v>0</v>
      </c>
      <c r="I494" s="271">
        <f ca="1">INDEX(Pz!$B$2:$AM$48,HÓ!A494,ÉV!$G$2-9)/100000*ÉV!$B$10</f>
        <v>0</v>
      </c>
      <c r="J494" s="273">
        <f ca="1">IF(OR(A494=1,A494=2,AND(C494=ÉV!$I$2,D494&gt;ÉV!$J$2),C494&gt;ÉV!$I$2),0,VLOOKUP(A494-2,ÉV!$A$18:$C$65,3,0))</f>
        <v>0</v>
      </c>
      <c r="K494" s="273">
        <f ca="1">IF(OR(A494=1,AND(C494=ÉV!$I$2,D494&gt;ÉV!$J$2),C494&gt;ÉV!$I$2),0,VLOOKUP(A494-1,ÉV!$A$18:$C$65,3,0))</f>
        <v>0</v>
      </c>
      <c r="L494" s="273">
        <f ca="1">VLOOKUP(A494,ÉV!$A$18:$C$65,3,0)*IF(OR(AND(C494=ÉV!$I$2,D494&gt;ÉV!$J$2),C494&gt;ÉV!$I$2),0,1)</f>
        <v>0</v>
      </c>
      <c r="M494" s="273">
        <f ca="1">(K494*(12-B494)/12+L494*B494/12)*IF(A494&gt;ÉV!$G$2,0,1)+IF(A494&gt;ÉV!$G$2,M493,0)*IF(OR(AND(C494=ÉV!$I$2,D494&gt;ÉV!$J$2),C494&gt;ÉV!$I$2),0,1)</f>
        <v>0</v>
      </c>
      <c r="N494" s="274">
        <f ca="1">IF(AND(C494=1,D494&lt;12),0,1)*IF(D494=12,MAX(0,F494-E494-0.003)*0.9*((K494+I494)*(B494/12)+(J494+H494)*(1-B494/12))+MAX(0,F494-0.003)*0.9*N493+N493,IF(AND(C494=ÉV!$I$2,D494=ÉV!$J$2),(M494+N493)*MAX(0,F494-0.003)*0.9*(D494/12)+N493,N493))*IF(OR(C494&gt;ÉV!$I$2,AND(C494=ÉV!$I$2,D494&gt;ÉV!$J$2)),0,1)</f>
        <v>0</v>
      </c>
      <c r="O494" s="313">
        <f ca="1">IF(MAX(AF$2:AF493)=2,      0,IF(OR(AC494=7, AF494=2),    SUM(AE$2:AE494),    O493)   )</f>
        <v>0</v>
      </c>
      <c r="P494" s="271">
        <f ca="1">IF(D494=12,V494+P493+P493*(F494-0.003)*0.9,IF(AND(C494=ÉV!$I$2,D494=ÉV!$J$2),V494+P493+P493*(F494-0.003)*0.9*D494/12,P493))*IF(OR(C494&gt;ÉV!$I$2,AND(C494=ÉV!$I$2,D494&gt;ÉV!$J$2)),0,1)</f>
        <v>0</v>
      </c>
      <c r="Q494" s="275">
        <f ca="1">(N494+P494)*IF(OR(AND(C494=ÉV!$I$2,D494&gt;ÉV!$J$2),C494&gt;ÉV!$I$2),0,1)</f>
        <v>0</v>
      </c>
      <c r="R494" s="271">
        <f ca="1">(MAX(0,F494-E494-0.003)*0.9*((K494+I494)*(1/12)))*IF(OR(C494&gt;ÉV!$I$2,AND(C494=ÉV!$I$2,D494&gt;ÉV!$J$2)),0,1)</f>
        <v>0</v>
      </c>
      <c r="S494" s="271">
        <f ca="1">(MAX(0,F494-0.003)*0.9*((O494)*(1/12)))*IF(OR(C494&gt;ÉV!$I$2,AND(C494=ÉV!$I$2,D494&gt;ÉV!$J$2)),0,1)</f>
        <v>0</v>
      </c>
      <c r="T494" s="271">
        <f ca="1">(MAX(0,F494-0.003)*0.9*((Q493)*(1/12)))*IF(OR(C494&gt;ÉV!$I$2,AND(C494=ÉV!$I$2,D494&gt;ÉV!$J$2)),0,1)</f>
        <v>0</v>
      </c>
      <c r="U494" s="271">
        <f ca="1">IF($D494=1,R494,R494+U493)*IF(OR(C494&gt;ÉV!$I$2,AND(C494=ÉV!$I$2,D494&gt;ÉV!$J$2)),0,1)</f>
        <v>0</v>
      </c>
      <c r="V494" s="271">
        <f ca="1">IF($D494=1,S494,S494+V493)*IF(OR(C494&gt;ÉV!$I$2,AND(C494=ÉV!$I$2,D494&gt;ÉV!$J$2)),0,1)</f>
        <v>0</v>
      </c>
      <c r="W494" s="271">
        <f ca="1">IF($D494=1,T494,T494+W493)*IF(OR(C494&gt;ÉV!$I$2,AND(C494=ÉV!$I$2,D494&gt;ÉV!$J$2)),0,1)</f>
        <v>0</v>
      </c>
      <c r="X494" s="271">
        <f ca="1">IF(OR(D494=12,AND(C494=ÉV!$I$2,D494=ÉV!$J$2)),SUM(U494:W494)+X493,X493)*IF(OR(C494&gt;ÉV!$I$2,AND(C494=ÉV!$I$2,D494&gt;ÉV!$J$2)),0,1)</f>
        <v>0</v>
      </c>
      <c r="Y494" s="271">
        <f t="shared" ca="1" si="81"/>
        <v>0</v>
      </c>
      <c r="Z494" s="265">
        <f t="shared" si="82"/>
        <v>12</v>
      </c>
      <c r="AA494" s="272">
        <f t="shared" ca="1" si="83"/>
        <v>0</v>
      </c>
      <c r="AB494" s="265">
        <f t="shared" ca="1" si="87"/>
        <v>2058</v>
      </c>
      <c r="AC494" s="265">
        <f t="shared" ca="1" si="88"/>
        <v>3</v>
      </c>
      <c r="AD494" s="276">
        <f ca="1">IF(     OR(               AND(MAX(AF$6:AF494)&lt;2,  AC494=12),                 AF494=2),                   SUMIF(AB:AB,AB494,AA:AA),                       0)</f>
        <v>0</v>
      </c>
      <c r="AE494" s="277">
        <f t="shared" ca="1" si="89"/>
        <v>0</v>
      </c>
      <c r="AF494" s="277">
        <f t="shared" ca="1" si="84"/>
        <v>0</v>
      </c>
      <c r="AG494" s="402">
        <f ca="1">IF(  AND(AC494=AdóHó,   MAX(AF$1:AF493)&lt;2),   SUMIF(AB:AB,AB494-1,AE:AE),0  )
+ IF(AND(AC494&lt;AdóHó,                            AF494=2),   SUMIF(AB:AB,AB494-1,AE:AE),0  )
+ IF(                                                                  AF494=2,    SUMIF(AB:AB,AB494,AE:AE   ),0  )</f>
        <v>0</v>
      </c>
      <c r="AH494" s="272">
        <f ca="1">SUM(AG$2:AG494)</f>
        <v>1139324.2410681627</v>
      </c>
    </row>
    <row r="495" spans="1:34">
      <c r="A495" s="265">
        <f t="shared" si="90"/>
        <v>42</v>
      </c>
      <c r="B495" s="265">
        <f t="shared" si="91"/>
        <v>1</v>
      </c>
      <c r="C495" s="265">
        <f t="shared" ca="1" si="85"/>
        <v>42</v>
      </c>
      <c r="D495" s="265">
        <f t="shared" ca="1" si="86"/>
        <v>4</v>
      </c>
      <c r="E495" s="266">
        <v>5.0000000000000001E-3</v>
      </c>
      <c r="F495" s="267">
        <f>ÉV!$B$12</f>
        <v>0</v>
      </c>
      <c r="G495" s="271">
        <f ca="1">VLOOKUP(A495,ÉV!$A$18:$B$65,2,0)</f>
        <v>0</v>
      </c>
      <c r="H495" s="271">
        <f ca="1">IF(OR(A495=1,AND(C495=ÉV!$I$2,D495&gt;ÉV!$J$2),C495&gt;ÉV!$I$2),0,INDEX(Pz!$B$2:$AM$48,A495-1,ÉV!$G$2-9)/100000*ÉV!$B$10)</f>
        <v>0</v>
      </c>
      <c r="I495" s="271">
        <f ca="1">INDEX(Pz!$B$2:$AM$48,HÓ!A495,ÉV!$G$2-9)/100000*ÉV!$B$10</f>
        <v>0</v>
      </c>
      <c r="J495" s="273">
        <f ca="1">IF(OR(A495=1,A495=2,AND(C495=ÉV!$I$2,D495&gt;ÉV!$J$2),C495&gt;ÉV!$I$2),0,VLOOKUP(A495-2,ÉV!$A$18:$C$65,3,0))</f>
        <v>0</v>
      </c>
      <c r="K495" s="273">
        <f ca="1">IF(OR(A495=1,AND(C495=ÉV!$I$2,D495&gt;ÉV!$J$2),C495&gt;ÉV!$I$2),0,VLOOKUP(A495-1,ÉV!$A$18:$C$65,3,0))</f>
        <v>0</v>
      </c>
      <c r="L495" s="273">
        <f ca="1">VLOOKUP(A495,ÉV!$A$18:$C$65,3,0)*IF(OR(AND(C495=ÉV!$I$2,D495&gt;ÉV!$J$2),C495&gt;ÉV!$I$2),0,1)</f>
        <v>0</v>
      </c>
      <c r="M495" s="273">
        <f ca="1">(K495*(12-B495)/12+L495*B495/12)*IF(A495&gt;ÉV!$G$2,0,1)+IF(A495&gt;ÉV!$G$2,M494,0)*IF(OR(AND(C495=ÉV!$I$2,D495&gt;ÉV!$J$2),C495&gt;ÉV!$I$2),0,1)</f>
        <v>0</v>
      </c>
      <c r="N495" s="274">
        <f ca="1">IF(AND(C495=1,D495&lt;12),0,1)*IF(D495=12,MAX(0,F495-E495-0.003)*0.9*((K495+I495)*(B495/12)+(J495+H495)*(1-B495/12))+MAX(0,F495-0.003)*0.9*N494+N494,IF(AND(C495=ÉV!$I$2,D495=ÉV!$J$2),(M495+N494)*MAX(0,F495-0.003)*0.9*(D495/12)+N494,N494))*IF(OR(C495&gt;ÉV!$I$2,AND(C495=ÉV!$I$2,D495&gt;ÉV!$J$2)),0,1)</f>
        <v>0</v>
      </c>
      <c r="O495" s="313">
        <f ca="1">IF(MAX(AF$2:AF494)=2,      0,IF(OR(AC495=7, AF495=2),    SUM(AE$2:AE495),    O494)   )</f>
        <v>0</v>
      </c>
      <c r="P495" s="271">
        <f ca="1">IF(D495=12,V495+P494+P494*(F495-0.003)*0.9,IF(AND(C495=ÉV!$I$2,D495=ÉV!$J$2),V495+P494+P494*(F495-0.003)*0.9*D495/12,P494))*IF(OR(C495&gt;ÉV!$I$2,AND(C495=ÉV!$I$2,D495&gt;ÉV!$J$2)),0,1)</f>
        <v>0</v>
      </c>
      <c r="Q495" s="275">
        <f ca="1">(N495+P495)*IF(OR(AND(C495=ÉV!$I$2,D495&gt;ÉV!$J$2),C495&gt;ÉV!$I$2),0,1)</f>
        <v>0</v>
      </c>
      <c r="R495" s="271">
        <f ca="1">(MAX(0,F495-E495-0.003)*0.9*((K495+I495)*(1/12)))*IF(OR(C495&gt;ÉV!$I$2,AND(C495=ÉV!$I$2,D495&gt;ÉV!$J$2)),0,1)</f>
        <v>0</v>
      </c>
      <c r="S495" s="271">
        <f ca="1">(MAX(0,F495-0.003)*0.9*((O495)*(1/12)))*IF(OR(C495&gt;ÉV!$I$2,AND(C495=ÉV!$I$2,D495&gt;ÉV!$J$2)),0,1)</f>
        <v>0</v>
      </c>
      <c r="T495" s="271">
        <f ca="1">(MAX(0,F495-0.003)*0.9*((Q494)*(1/12)))*IF(OR(C495&gt;ÉV!$I$2,AND(C495=ÉV!$I$2,D495&gt;ÉV!$J$2)),0,1)</f>
        <v>0</v>
      </c>
      <c r="U495" s="271">
        <f ca="1">IF($D495=1,R495,R495+U494)*IF(OR(C495&gt;ÉV!$I$2,AND(C495=ÉV!$I$2,D495&gt;ÉV!$J$2)),0,1)</f>
        <v>0</v>
      </c>
      <c r="V495" s="271">
        <f ca="1">IF($D495=1,S495,S495+V494)*IF(OR(C495&gt;ÉV!$I$2,AND(C495=ÉV!$I$2,D495&gt;ÉV!$J$2)),0,1)</f>
        <v>0</v>
      </c>
      <c r="W495" s="271">
        <f ca="1">IF($D495=1,T495,T495+W494)*IF(OR(C495&gt;ÉV!$I$2,AND(C495=ÉV!$I$2,D495&gt;ÉV!$J$2)),0,1)</f>
        <v>0</v>
      </c>
      <c r="X495" s="271">
        <f ca="1">IF(OR(D495=12,AND(C495=ÉV!$I$2,D495=ÉV!$J$2)),SUM(U495:W495)+X494,X494)*IF(OR(C495&gt;ÉV!$I$2,AND(C495=ÉV!$I$2,D495&gt;ÉV!$J$2)),0,1)</f>
        <v>0</v>
      </c>
      <c r="Y495" s="271">
        <f t="shared" ca="1" si="81"/>
        <v>0</v>
      </c>
      <c r="Z495" s="265">
        <f t="shared" si="82"/>
        <v>1</v>
      </c>
      <c r="AA495" s="272">
        <f t="shared" ca="1" si="83"/>
        <v>0</v>
      </c>
      <c r="AB495" s="265">
        <f t="shared" ca="1" si="87"/>
        <v>2058</v>
      </c>
      <c r="AC495" s="265">
        <f t="shared" ca="1" si="88"/>
        <v>4</v>
      </c>
      <c r="AD495" s="276">
        <f ca="1">IF(     OR(               AND(MAX(AF$6:AF495)&lt;2,  AC495=12),                 AF495=2),                   SUMIF(AB:AB,AB495,AA:AA),                       0)</f>
        <v>0</v>
      </c>
      <c r="AE495" s="277">
        <f t="shared" ca="1" si="89"/>
        <v>0</v>
      </c>
      <c r="AF495" s="277">
        <f t="shared" ca="1" si="84"/>
        <v>0</v>
      </c>
      <c r="AG495" s="402">
        <f ca="1">IF(  AND(AC495=AdóHó,   MAX(AF$1:AF494)&lt;2),   SUMIF(AB:AB,AB495-1,AE:AE),0  )
+ IF(AND(AC495&lt;AdóHó,                            AF495=2),   SUMIF(AB:AB,AB495-1,AE:AE),0  )
+ IF(                                                                  AF495=2,    SUMIF(AB:AB,AB495,AE:AE   ),0  )</f>
        <v>0</v>
      </c>
      <c r="AH495" s="272">
        <f ca="1">SUM(AG$2:AG495)</f>
        <v>1139324.2410681627</v>
      </c>
    </row>
    <row r="496" spans="1:34">
      <c r="A496" s="265">
        <f t="shared" si="90"/>
        <v>42</v>
      </c>
      <c r="B496" s="265">
        <f t="shared" si="91"/>
        <v>2</v>
      </c>
      <c r="C496" s="265">
        <f t="shared" ca="1" si="85"/>
        <v>42</v>
      </c>
      <c r="D496" s="265">
        <f t="shared" ca="1" si="86"/>
        <v>5</v>
      </c>
      <c r="E496" s="266">
        <v>5.0000000000000001E-3</v>
      </c>
      <c r="F496" s="267">
        <f>ÉV!$B$12</f>
        <v>0</v>
      </c>
      <c r="G496" s="271">
        <f ca="1">VLOOKUP(A496,ÉV!$A$18:$B$65,2,0)</f>
        <v>0</v>
      </c>
      <c r="H496" s="271">
        <f ca="1">IF(OR(A496=1,AND(C496=ÉV!$I$2,D496&gt;ÉV!$J$2),C496&gt;ÉV!$I$2),0,INDEX(Pz!$B$2:$AM$48,A496-1,ÉV!$G$2-9)/100000*ÉV!$B$10)</f>
        <v>0</v>
      </c>
      <c r="I496" s="271">
        <f ca="1">INDEX(Pz!$B$2:$AM$48,HÓ!A496,ÉV!$G$2-9)/100000*ÉV!$B$10</f>
        <v>0</v>
      </c>
      <c r="J496" s="273">
        <f ca="1">IF(OR(A496=1,A496=2,AND(C496=ÉV!$I$2,D496&gt;ÉV!$J$2),C496&gt;ÉV!$I$2),0,VLOOKUP(A496-2,ÉV!$A$18:$C$65,3,0))</f>
        <v>0</v>
      </c>
      <c r="K496" s="273">
        <f ca="1">IF(OR(A496=1,AND(C496=ÉV!$I$2,D496&gt;ÉV!$J$2),C496&gt;ÉV!$I$2),0,VLOOKUP(A496-1,ÉV!$A$18:$C$65,3,0))</f>
        <v>0</v>
      </c>
      <c r="L496" s="273">
        <f ca="1">VLOOKUP(A496,ÉV!$A$18:$C$65,3,0)*IF(OR(AND(C496=ÉV!$I$2,D496&gt;ÉV!$J$2),C496&gt;ÉV!$I$2),0,1)</f>
        <v>0</v>
      </c>
      <c r="M496" s="273">
        <f ca="1">(K496*(12-B496)/12+L496*B496/12)*IF(A496&gt;ÉV!$G$2,0,1)+IF(A496&gt;ÉV!$G$2,M495,0)*IF(OR(AND(C496=ÉV!$I$2,D496&gt;ÉV!$J$2),C496&gt;ÉV!$I$2),0,1)</f>
        <v>0</v>
      </c>
      <c r="N496" s="274">
        <f ca="1">IF(AND(C496=1,D496&lt;12),0,1)*IF(D496=12,MAX(0,F496-E496-0.003)*0.9*((K496+I496)*(B496/12)+(J496+H496)*(1-B496/12))+MAX(0,F496-0.003)*0.9*N495+N495,IF(AND(C496=ÉV!$I$2,D496=ÉV!$J$2),(M496+N495)*MAX(0,F496-0.003)*0.9*(D496/12)+N495,N495))*IF(OR(C496&gt;ÉV!$I$2,AND(C496=ÉV!$I$2,D496&gt;ÉV!$J$2)),0,1)</f>
        <v>0</v>
      </c>
      <c r="O496" s="313">
        <f ca="1">IF(MAX(AF$2:AF495)=2,      0,IF(OR(AC496=7, AF496=2),    SUM(AE$2:AE496),    O495)   )</f>
        <v>0</v>
      </c>
      <c r="P496" s="271">
        <f ca="1">IF(D496=12,V496+P495+P495*(F496-0.003)*0.9,IF(AND(C496=ÉV!$I$2,D496=ÉV!$J$2),V496+P495+P495*(F496-0.003)*0.9*D496/12,P495))*IF(OR(C496&gt;ÉV!$I$2,AND(C496=ÉV!$I$2,D496&gt;ÉV!$J$2)),0,1)</f>
        <v>0</v>
      </c>
      <c r="Q496" s="275">
        <f ca="1">(N496+P496)*IF(OR(AND(C496=ÉV!$I$2,D496&gt;ÉV!$J$2),C496&gt;ÉV!$I$2),0,1)</f>
        <v>0</v>
      </c>
      <c r="R496" s="271">
        <f ca="1">(MAX(0,F496-E496-0.003)*0.9*((K496+I496)*(1/12)))*IF(OR(C496&gt;ÉV!$I$2,AND(C496=ÉV!$I$2,D496&gt;ÉV!$J$2)),0,1)</f>
        <v>0</v>
      </c>
      <c r="S496" s="271">
        <f ca="1">(MAX(0,F496-0.003)*0.9*((O496)*(1/12)))*IF(OR(C496&gt;ÉV!$I$2,AND(C496=ÉV!$I$2,D496&gt;ÉV!$J$2)),0,1)</f>
        <v>0</v>
      </c>
      <c r="T496" s="271">
        <f ca="1">(MAX(0,F496-0.003)*0.9*((Q495)*(1/12)))*IF(OR(C496&gt;ÉV!$I$2,AND(C496=ÉV!$I$2,D496&gt;ÉV!$J$2)),0,1)</f>
        <v>0</v>
      </c>
      <c r="U496" s="271">
        <f ca="1">IF($D496=1,R496,R496+U495)*IF(OR(C496&gt;ÉV!$I$2,AND(C496=ÉV!$I$2,D496&gt;ÉV!$J$2)),0,1)</f>
        <v>0</v>
      </c>
      <c r="V496" s="271">
        <f ca="1">IF($D496=1,S496,S496+V495)*IF(OR(C496&gt;ÉV!$I$2,AND(C496=ÉV!$I$2,D496&gt;ÉV!$J$2)),0,1)</f>
        <v>0</v>
      </c>
      <c r="W496" s="271">
        <f ca="1">IF($D496=1,T496,T496+W495)*IF(OR(C496&gt;ÉV!$I$2,AND(C496=ÉV!$I$2,D496&gt;ÉV!$J$2)),0,1)</f>
        <v>0</v>
      </c>
      <c r="X496" s="271">
        <f ca="1">IF(OR(D496=12,AND(C496=ÉV!$I$2,D496=ÉV!$J$2)),SUM(U496:W496)+X495,X495)*IF(OR(C496&gt;ÉV!$I$2,AND(C496=ÉV!$I$2,D496&gt;ÉV!$J$2)),0,1)</f>
        <v>0</v>
      </c>
      <c r="Y496" s="271">
        <f t="shared" ca="1" si="81"/>
        <v>0</v>
      </c>
      <c r="Z496" s="265">
        <f t="shared" si="82"/>
        <v>2</v>
      </c>
      <c r="AA496" s="272">
        <f t="shared" ca="1" si="83"/>
        <v>0</v>
      </c>
      <c r="AB496" s="265">
        <f t="shared" ca="1" si="87"/>
        <v>2058</v>
      </c>
      <c r="AC496" s="265">
        <f t="shared" ca="1" si="88"/>
        <v>5</v>
      </c>
      <c r="AD496" s="276">
        <f ca="1">IF(     OR(               AND(MAX(AF$6:AF496)&lt;2,  AC496=12),                 AF496=2),                   SUMIF(AB:AB,AB496,AA:AA),                       0)</f>
        <v>0</v>
      </c>
      <c r="AE496" s="277">
        <f t="shared" ca="1" si="89"/>
        <v>0</v>
      </c>
      <c r="AF496" s="277">
        <f t="shared" ca="1" si="84"/>
        <v>0</v>
      </c>
      <c r="AG496" s="402">
        <f ca="1">IF(  AND(AC496=AdóHó,   MAX(AF$1:AF495)&lt;2),   SUMIF(AB:AB,AB496-1,AE:AE),0  )
+ IF(AND(AC496&lt;AdóHó,                            AF496=2),   SUMIF(AB:AB,AB496-1,AE:AE),0  )
+ IF(                                                                  AF496=2,    SUMIF(AB:AB,AB496,AE:AE   ),0  )</f>
        <v>0</v>
      </c>
      <c r="AH496" s="272">
        <f ca="1">SUM(AG$2:AG496)</f>
        <v>1139324.2410681627</v>
      </c>
    </row>
    <row r="497" spans="1:34">
      <c r="A497" s="265">
        <f t="shared" si="90"/>
        <v>42</v>
      </c>
      <c r="B497" s="265">
        <f t="shared" si="91"/>
        <v>3</v>
      </c>
      <c r="C497" s="265">
        <f t="shared" ca="1" si="85"/>
        <v>42</v>
      </c>
      <c r="D497" s="265">
        <f t="shared" ca="1" si="86"/>
        <v>6</v>
      </c>
      <c r="E497" s="266">
        <v>5.0000000000000001E-3</v>
      </c>
      <c r="F497" s="267">
        <f>ÉV!$B$12</f>
        <v>0</v>
      </c>
      <c r="G497" s="271">
        <f ca="1">VLOOKUP(A497,ÉV!$A$18:$B$65,2,0)</f>
        <v>0</v>
      </c>
      <c r="H497" s="271">
        <f ca="1">IF(OR(A497=1,AND(C497=ÉV!$I$2,D497&gt;ÉV!$J$2),C497&gt;ÉV!$I$2),0,INDEX(Pz!$B$2:$AM$48,A497-1,ÉV!$G$2-9)/100000*ÉV!$B$10)</f>
        <v>0</v>
      </c>
      <c r="I497" s="271">
        <f ca="1">INDEX(Pz!$B$2:$AM$48,HÓ!A497,ÉV!$G$2-9)/100000*ÉV!$B$10</f>
        <v>0</v>
      </c>
      <c r="J497" s="273">
        <f ca="1">IF(OR(A497=1,A497=2,AND(C497=ÉV!$I$2,D497&gt;ÉV!$J$2),C497&gt;ÉV!$I$2),0,VLOOKUP(A497-2,ÉV!$A$18:$C$65,3,0))</f>
        <v>0</v>
      </c>
      <c r="K497" s="273">
        <f ca="1">IF(OR(A497=1,AND(C497=ÉV!$I$2,D497&gt;ÉV!$J$2),C497&gt;ÉV!$I$2),0,VLOOKUP(A497-1,ÉV!$A$18:$C$65,3,0))</f>
        <v>0</v>
      </c>
      <c r="L497" s="273">
        <f ca="1">VLOOKUP(A497,ÉV!$A$18:$C$65,3,0)*IF(OR(AND(C497=ÉV!$I$2,D497&gt;ÉV!$J$2),C497&gt;ÉV!$I$2),0,1)</f>
        <v>0</v>
      </c>
      <c r="M497" s="273">
        <f ca="1">(K497*(12-B497)/12+L497*B497/12)*IF(A497&gt;ÉV!$G$2,0,1)+IF(A497&gt;ÉV!$G$2,M496,0)*IF(OR(AND(C497=ÉV!$I$2,D497&gt;ÉV!$J$2),C497&gt;ÉV!$I$2),0,1)</f>
        <v>0</v>
      </c>
      <c r="N497" s="274">
        <f ca="1">IF(AND(C497=1,D497&lt;12),0,1)*IF(D497=12,MAX(0,F497-E497-0.003)*0.9*((K497+I497)*(B497/12)+(J497+H497)*(1-B497/12))+MAX(0,F497-0.003)*0.9*N496+N496,IF(AND(C497=ÉV!$I$2,D497=ÉV!$J$2),(M497+N496)*MAX(0,F497-0.003)*0.9*(D497/12)+N496,N496))*IF(OR(C497&gt;ÉV!$I$2,AND(C497=ÉV!$I$2,D497&gt;ÉV!$J$2)),0,1)</f>
        <v>0</v>
      </c>
      <c r="O497" s="313">
        <f ca="1">IF(MAX(AF$2:AF496)=2,      0,IF(OR(AC497=7, AF497=2),    SUM(AE$2:AE497),    O496)   )</f>
        <v>0</v>
      </c>
      <c r="P497" s="271">
        <f ca="1">IF(D497=12,V497+P496+P496*(F497-0.003)*0.9,IF(AND(C497=ÉV!$I$2,D497=ÉV!$J$2),V497+P496+P496*(F497-0.003)*0.9*D497/12,P496))*IF(OR(C497&gt;ÉV!$I$2,AND(C497=ÉV!$I$2,D497&gt;ÉV!$J$2)),0,1)</f>
        <v>0</v>
      </c>
      <c r="Q497" s="275">
        <f ca="1">(N497+P497)*IF(OR(AND(C497=ÉV!$I$2,D497&gt;ÉV!$J$2),C497&gt;ÉV!$I$2),0,1)</f>
        <v>0</v>
      </c>
      <c r="R497" s="271">
        <f ca="1">(MAX(0,F497-E497-0.003)*0.9*((K497+I497)*(1/12)))*IF(OR(C497&gt;ÉV!$I$2,AND(C497=ÉV!$I$2,D497&gt;ÉV!$J$2)),0,1)</f>
        <v>0</v>
      </c>
      <c r="S497" s="271">
        <f ca="1">(MAX(0,F497-0.003)*0.9*((O497)*(1/12)))*IF(OR(C497&gt;ÉV!$I$2,AND(C497=ÉV!$I$2,D497&gt;ÉV!$J$2)),0,1)</f>
        <v>0</v>
      </c>
      <c r="T497" s="271">
        <f ca="1">(MAX(0,F497-0.003)*0.9*((Q496)*(1/12)))*IF(OR(C497&gt;ÉV!$I$2,AND(C497=ÉV!$I$2,D497&gt;ÉV!$J$2)),0,1)</f>
        <v>0</v>
      </c>
      <c r="U497" s="271">
        <f ca="1">IF($D497=1,R497,R497+U496)*IF(OR(C497&gt;ÉV!$I$2,AND(C497=ÉV!$I$2,D497&gt;ÉV!$J$2)),0,1)</f>
        <v>0</v>
      </c>
      <c r="V497" s="271">
        <f ca="1">IF($D497=1,S497,S497+V496)*IF(OR(C497&gt;ÉV!$I$2,AND(C497=ÉV!$I$2,D497&gt;ÉV!$J$2)),0,1)</f>
        <v>0</v>
      </c>
      <c r="W497" s="271">
        <f ca="1">IF($D497=1,T497,T497+W496)*IF(OR(C497&gt;ÉV!$I$2,AND(C497=ÉV!$I$2,D497&gt;ÉV!$J$2)),0,1)</f>
        <v>0</v>
      </c>
      <c r="X497" s="271">
        <f ca="1">IF(OR(D497=12,AND(C497=ÉV!$I$2,D497=ÉV!$J$2)),SUM(U497:W497)+X496,X496)*IF(OR(C497&gt;ÉV!$I$2,AND(C497=ÉV!$I$2,D497&gt;ÉV!$J$2)),0,1)</f>
        <v>0</v>
      </c>
      <c r="Y497" s="271">
        <f t="shared" ca="1" si="81"/>
        <v>0</v>
      </c>
      <c r="Z497" s="265">
        <f t="shared" si="82"/>
        <v>3</v>
      </c>
      <c r="AA497" s="272">
        <f t="shared" ca="1" si="83"/>
        <v>0</v>
      </c>
      <c r="AB497" s="265">
        <f t="shared" ca="1" si="87"/>
        <v>2058</v>
      </c>
      <c r="AC497" s="265">
        <f t="shared" ca="1" si="88"/>
        <v>6</v>
      </c>
      <c r="AD497" s="276">
        <f ca="1">IF(     OR(               AND(MAX(AF$6:AF497)&lt;2,  AC497=12),                 AF497=2),                   SUMIF(AB:AB,AB497,AA:AA),                       0)</f>
        <v>0</v>
      </c>
      <c r="AE497" s="277">
        <f t="shared" ca="1" si="89"/>
        <v>0</v>
      </c>
      <c r="AF497" s="277">
        <f t="shared" ca="1" si="84"/>
        <v>0</v>
      </c>
      <c r="AG497" s="402">
        <f ca="1">IF(  AND(AC497=AdóHó,   MAX(AF$1:AF496)&lt;2),   SUMIF(AB:AB,AB497-1,AE:AE),0  )
+ IF(AND(AC497&lt;AdóHó,                            AF497=2),   SUMIF(AB:AB,AB497-1,AE:AE),0  )
+ IF(                                                                  AF497=2,    SUMIF(AB:AB,AB497,AE:AE   ),0  )</f>
        <v>0</v>
      </c>
      <c r="AH497" s="272">
        <f ca="1">SUM(AG$2:AG497)</f>
        <v>1139324.2410681627</v>
      </c>
    </row>
    <row r="498" spans="1:34">
      <c r="A498" s="265">
        <f t="shared" si="90"/>
        <v>42</v>
      </c>
      <c r="B498" s="265">
        <f t="shared" si="91"/>
        <v>4</v>
      </c>
      <c r="C498" s="265">
        <f t="shared" ca="1" si="85"/>
        <v>42</v>
      </c>
      <c r="D498" s="265">
        <f t="shared" ca="1" si="86"/>
        <v>7</v>
      </c>
      <c r="E498" s="266">
        <v>5.0000000000000001E-3</v>
      </c>
      <c r="F498" s="267">
        <f>ÉV!$B$12</f>
        <v>0</v>
      </c>
      <c r="G498" s="271">
        <f ca="1">VLOOKUP(A498,ÉV!$A$18:$B$65,2,0)</f>
        <v>0</v>
      </c>
      <c r="H498" s="271">
        <f ca="1">IF(OR(A498=1,AND(C498=ÉV!$I$2,D498&gt;ÉV!$J$2),C498&gt;ÉV!$I$2),0,INDEX(Pz!$B$2:$AM$48,A498-1,ÉV!$G$2-9)/100000*ÉV!$B$10)</f>
        <v>0</v>
      </c>
      <c r="I498" s="271">
        <f ca="1">INDEX(Pz!$B$2:$AM$48,HÓ!A498,ÉV!$G$2-9)/100000*ÉV!$B$10</f>
        <v>0</v>
      </c>
      <c r="J498" s="273">
        <f ca="1">IF(OR(A498=1,A498=2,AND(C498=ÉV!$I$2,D498&gt;ÉV!$J$2),C498&gt;ÉV!$I$2),0,VLOOKUP(A498-2,ÉV!$A$18:$C$65,3,0))</f>
        <v>0</v>
      </c>
      <c r="K498" s="273">
        <f ca="1">IF(OR(A498=1,AND(C498=ÉV!$I$2,D498&gt;ÉV!$J$2),C498&gt;ÉV!$I$2),0,VLOOKUP(A498-1,ÉV!$A$18:$C$65,3,0))</f>
        <v>0</v>
      </c>
      <c r="L498" s="273">
        <f ca="1">VLOOKUP(A498,ÉV!$A$18:$C$65,3,0)*IF(OR(AND(C498=ÉV!$I$2,D498&gt;ÉV!$J$2),C498&gt;ÉV!$I$2),0,1)</f>
        <v>0</v>
      </c>
      <c r="M498" s="273">
        <f ca="1">(K498*(12-B498)/12+L498*B498/12)*IF(A498&gt;ÉV!$G$2,0,1)+IF(A498&gt;ÉV!$G$2,M497,0)*IF(OR(AND(C498=ÉV!$I$2,D498&gt;ÉV!$J$2),C498&gt;ÉV!$I$2),0,1)</f>
        <v>0</v>
      </c>
      <c r="N498" s="274">
        <f ca="1">IF(AND(C498=1,D498&lt;12),0,1)*IF(D498=12,MAX(0,F498-E498-0.003)*0.9*((K498+I498)*(B498/12)+(J498+H498)*(1-B498/12))+MAX(0,F498-0.003)*0.9*N497+N497,IF(AND(C498=ÉV!$I$2,D498=ÉV!$J$2),(M498+N497)*MAX(0,F498-0.003)*0.9*(D498/12)+N497,N497))*IF(OR(C498&gt;ÉV!$I$2,AND(C498=ÉV!$I$2,D498&gt;ÉV!$J$2)),0,1)</f>
        <v>0</v>
      </c>
      <c r="O498" s="313">
        <f ca="1">IF(MAX(AF$2:AF497)=2,      0,IF(OR(AC498=7, AF498=2),    SUM(AE$2:AE498),    O497)   )</f>
        <v>0</v>
      </c>
      <c r="P498" s="271">
        <f ca="1">IF(D498=12,V498+P497+P497*(F498-0.003)*0.9,IF(AND(C498=ÉV!$I$2,D498=ÉV!$J$2),V498+P497+P497*(F498-0.003)*0.9*D498/12,P497))*IF(OR(C498&gt;ÉV!$I$2,AND(C498=ÉV!$I$2,D498&gt;ÉV!$J$2)),0,1)</f>
        <v>0</v>
      </c>
      <c r="Q498" s="275">
        <f ca="1">(N498+P498)*IF(OR(AND(C498=ÉV!$I$2,D498&gt;ÉV!$J$2),C498&gt;ÉV!$I$2),0,1)</f>
        <v>0</v>
      </c>
      <c r="R498" s="271">
        <f ca="1">(MAX(0,F498-E498-0.003)*0.9*((K498+I498)*(1/12)))*IF(OR(C498&gt;ÉV!$I$2,AND(C498=ÉV!$I$2,D498&gt;ÉV!$J$2)),0,1)</f>
        <v>0</v>
      </c>
      <c r="S498" s="271">
        <f ca="1">(MAX(0,F498-0.003)*0.9*((O498)*(1/12)))*IF(OR(C498&gt;ÉV!$I$2,AND(C498=ÉV!$I$2,D498&gt;ÉV!$J$2)),0,1)</f>
        <v>0</v>
      </c>
      <c r="T498" s="271">
        <f ca="1">(MAX(0,F498-0.003)*0.9*((Q497)*(1/12)))*IF(OR(C498&gt;ÉV!$I$2,AND(C498=ÉV!$I$2,D498&gt;ÉV!$J$2)),0,1)</f>
        <v>0</v>
      </c>
      <c r="U498" s="271">
        <f ca="1">IF($D498=1,R498,R498+U497)*IF(OR(C498&gt;ÉV!$I$2,AND(C498=ÉV!$I$2,D498&gt;ÉV!$J$2)),0,1)</f>
        <v>0</v>
      </c>
      <c r="V498" s="271">
        <f ca="1">IF($D498=1,S498,S498+V497)*IF(OR(C498&gt;ÉV!$I$2,AND(C498=ÉV!$I$2,D498&gt;ÉV!$J$2)),0,1)</f>
        <v>0</v>
      </c>
      <c r="W498" s="271">
        <f ca="1">IF($D498=1,T498,T498+W497)*IF(OR(C498&gt;ÉV!$I$2,AND(C498=ÉV!$I$2,D498&gt;ÉV!$J$2)),0,1)</f>
        <v>0</v>
      </c>
      <c r="X498" s="271">
        <f ca="1">IF(OR(D498=12,AND(C498=ÉV!$I$2,D498=ÉV!$J$2)),SUM(U498:W498)+X497,X497)*IF(OR(C498&gt;ÉV!$I$2,AND(C498=ÉV!$I$2,D498&gt;ÉV!$J$2)),0,1)</f>
        <v>0</v>
      </c>
      <c r="Y498" s="271">
        <f t="shared" ca="1" si="81"/>
        <v>0</v>
      </c>
      <c r="Z498" s="265">
        <f t="shared" si="82"/>
        <v>4</v>
      </c>
      <c r="AA498" s="272">
        <f t="shared" ca="1" si="83"/>
        <v>0</v>
      </c>
      <c r="AB498" s="265">
        <f t="shared" ca="1" si="87"/>
        <v>2058</v>
      </c>
      <c r="AC498" s="265">
        <f t="shared" ca="1" si="88"/>
        <v>7</v>
      </c>
      <c r="AD498" s="276">
        <f ca="1">IF(     OR(               AND(MAX(AF$6:AF498)&lt;2,  AC498=12),                 AF498=2),                   SUMIF(AB:AB,AB498,AA:AA),                       0)</f>
        <v>0</v>
      </c>
      <c r="AE498" s="277">
        <f t="shared" ca="1" si="89"/>
        <v>0</v>
      </c>
      <c r="AF498" s="277">
        <f t="shared" ca="1" si="84"/>
        <v>0</v>
      </c>
      <c r="AG498" s="402">
        <f ca="1">IF(  AND(AC498=AdóHó,   MAX(AF$1:AF497)&lt;2),   SUMIF(AB:AB,AB498-1,AE:AE),0  )
+ IF(AND(AC498&lt;AdóHó,                            AF498=2),   SUMIF(AB:AB,AB498-1,AE:AE),0  )
+ IF(                                                                  AF498=2,    SUMIF(AB:AB,AB498,AE:AE   ),0  )</f>
        <v>0</v>
      </c>
      <c r="AH498" s="272">
        <f ca="1">SUM(AG$2:AG498)</f>
        <v>1139324.2410681627</v>
      </c>
    </row>
    <row r="499" spans="1:34">
      <c r="A499" s="265">
        <f t="shared" si="90"/>
        <v>42</v>
      </c>
      <c r="B499" s="265">
        <f t="shared" si="91"/>
        <v>5</v>
      </c>
      <c r="C499" s="265">
        <f t="shared" ca="1" si="85"/>
        <v>42</v>
      </c>
      <c r="D499" s="265">
        <f t="shared" ca="1" si="86"/>
        <v>8</v>
      </c>
      <c r="E499" s="266">
        <v>5.0000000000000001E-3</v>
      </c>
      <c r="F499" s="267">
        <f>ÉV!$B$12</f>
        <v>0</v>
      </c>
      <c r="G499" s="271">
        <f ca="1">VLOOKUP(A499,ÉV!$A$18:$B$65,2,0)</f>
        <v>0</v>
      </c>
      <c r="H499" s="271">
        <f ca="1">IF(OR(A499=1,AND(C499=ÉV!$I$2,D499&gt;ÉV!$J$2),C499&gt;ÉV!$I$2),0,INDEX(Pz!$B$2:$AM$48,A499-1,ÉV!$G$2-9)/100000*ÉV!$B$10)</f>
        <v>0</v>
      </c>
      <c r="I499" s="271">
        <f ca="1">INDEX(Pz!$B$2:$AM$48,HÓ!A499,ÉV!$G$2-9)/100000*ÉV!$B$10</f>
        <v>0</v>
      </c>
      <c r="J499" s="273">
        <f ca="1">IF(OR(A499=1,A499=2,AND(C499=ÉV!$I$2,D499&gt;ÉV!$J$2),C499&gt;ÉV!$I$2),0,VLOOKUP(A499-2,ÉV!$A$18:$C$65,3,0))</f>
        <v>0</v>
      </c>
      <c r="K499" s="273">
        <f ca="1">IF(OR(A499=1,AND(C499=ÉV!$I$2,D499&gt;ÉV!$J$2),C499&gt;ÉV!$I$2),0,VLOOKUP(A499-1,ÉV!$A$18:$C$65,3,0))</f>
        <v>0</v>
      </c>
      <c r="L499" s="273">
        <f ca="1">VLOOKUP(A499,ÉV!$A$18:$C$65,3,0)*IF(OR(AND(C499=ÉV!$I$2,D499&gt;ÉV!$J$2),C499&gt;ÉV!$I$2),0,1)</f>
        <v>0</v>
      </c>
      <c r="M499" s="273">
        <f ca="1">(K499*(12-B499)/12+L499*B499/12)*IF(A499&gt;ÉV!$G$2,0,1)+IF(A499&gt;ÉV!$G$2,M498,0)*IF(OR(AND(C499=ÉV!$I$2,D499&gt;ÉV!$J$2),C499&gt;ÉV!$I$2),0,1)</f>
        <v>0</v>
      </c>
      <c r="N499" s="274">
        <f ca="1">IF(AND(C499=1,D499&lt;12),0,1)*IF(D499=12,MAX(0,F499-E499-0.003)*0.9*((K499+I499)*(B499/12)+(J499+H499)*(1-B499/12))+MAX(0,F499-0.003)*0.9*N498+N498,IF(AND(C499=ÉV!$I$2,D499=ÉV!$J$2),(M499+N498)*MAX(0,F499-0.003)*0.9*(D499/12)+N498,N498))*IF(OR(C499&gt;ÉV!$I$2,AND(C499=ÉV!$I$2,D499&gt;ÉV!$J$2)),0,1)</f>
        <v>0</v>
      </c>
      <c r="O499" s="313">
        <f ca="1">IF(MAX(AF$2:AF498)=2,      0,IF(OR(AC499=7, AF499=2),    SUM(AE$2:AE499),    O498)   )</f>
        <v>0</v>
      </c>
      <c r="P499" s="271">
        <f ca="1">IF(D499=12,V499+P498+P498*(F499-0.003)*0.9,IF(AND(C499=ÉV!$I$2,D499=ÉV!$J$2),V499+P498+P498*(F499-0.003)*0.9*D499/12,P498))*IF(OR(C499&gt;ÉV!$I$2,AND(C499=ÉV!$I$2,D499&gt;ÉV!$J$2)),0,1)</f>
        <v>0</v>
      </c>
      <c r="Q499" s="275">
        <f ca="1">(N499+P499)*IF(OR(AND(C499=ÉV!$I$2,D499&gt;ÉV!$J$2),C499&gt;ÉV!$I$2),0,1)</f>
        <v>0</v>
      </c>
      <c r="R499" s="271">
        <f ca="1">(MAX(0,F499-E499-0.003)*0.9*((K499+I499)*(1/12)))*IF(OR(C499&gt;ÉV!$I$2,AND(C499=ÉV!$I$2,D499&gt;ÉV!$J$2)),0,1)</f>
        <v>0</v>
      </c>
      <c r="S499" s="271">
        <f ca="1">(MAX(0,F499-0.003)*0.9*((O499)*(1/12)))*IF(OR(C499&gt;ÉV!$I$2,AND(C499=ÉV!$I$2,D499&gt;ÉV!$J$2)),0,1)</f>
        <v>0</v>
      </c>
      <c r="T499" s="271">
        <f ca="1">(MAX(0,F499-0.003)*0.9*((Q498)*(1/12)))*IF(OR(C499&gt;ÉV!$I$2,AND(C499=ÉV!$I$2,D499&gt;ÉV!$J$2)),0,1)</f>
        <v>0</v>
      </c>
      <c r="U499" s="271">
        <f ca="1">IF($D499=1,R499,R499+U498)*IF(OR(C499&gt;ÉV!$I$2,AND(C499=ÉV!$I$2,D499&gt;ÉV!$J$2)),0,1)</f>
        <v>0</v>
      </c>
      <c r="V499" s="271">
        <f ca="1">IF($D499=1,S499,S499+V498)*IF(OR(C499&gt;ÉV!$I$2,AND(C499=ÉV!$I$2,D499&gt;ÉV!$J$2)),0,1)</f>
        <v>0</v>
      </c>
      <c r="W499" s="271">
        <f ca="1">IF($D499=1,T499,T499+W498)*IF(OR(C499&gt;ÉV!$I$2,AND(C499=ÉV!$I$2,D499&gt;ÉV!$J$2)),0,1)</f>
        <v>0</v>
      </c>
      <c r="X499" s="271">
        <f ca="1">IF(OR(D499=12,AND(C499=ÉV!$I$2,D499=ÉV!$J$2)),SUM(U499:W499)+X498,X498)*IF(OR(C499&gt;ÉV!$I$2,AND(C499=ÉV!$I$2,D499&gt;ÉV!$J$2)),0,1)</f>
        <v>0</v>
      </c>
      <c r="Y499" s="271">
        <f t="shared" ca="1" si="81"/>
        <v>0</v>
      </c>
      <c r="Z499" s="265">
        <f t="shared" si="82"/>
        <v>5</v>
      </c>
      <c r="AA499" s="272">
        <f t="shared" ca="1" si="83"/>
        <v>0</v>
      </c>
      <c r="AB499" s="265">
        <f t="shared" ca="1" si="87"/>
        <v>2058</v>
      </c>
      <c r="AC499" s="265">
        <f t="shared" ca="1" si="88"/>
        <v>8</v>
      </c>
      <c r="AD499" s="276">
        <f ca="1">IF(     OR(               AND(MAX(AF$6:AF499)&lt;2,  AC499=12),                 AF499=2),                   SUMIF(AB:AB,AB499,AA:AA),                       0)</f>
        <v>0</v>
      </c>
      <c r="AE499" s="277">
        <f t="shared" ca="1" si="89"/>
        <v>0</v>
      </c>
      <c r="AF499" s="277">
        <f t="shared" ca="1" si="84"/>
        <v>0</v>
      </c>
      <c r="AG499" s="402">
        <f ca="1">IF(  AND(AC499=AdóHó,   MAX(AF$1:AF498)&lt;2),   SUMIF(AB:AB,AB499-1,AE:AE),0  )
+ IF(AND(AC499&lt;AdóHó,                            AF499=2),   SUMIF(AB:AB,AB499-1,AE:AE),0  )
+ IF(                                                                  AF499=2,    SUMIF(AB:AB,AB499,AE:AE   ),0  )</f>
        <v>0</v>
      </c>
      <c r="AH499" s="272">
        <f ca="1">SUM(AG$2:AG499)</f>
        <v>1139324.2410681627</v>
      </c>
    </row>
    <row r="500" spans="1:34">
      <c r="A500" s="265">
        <f t="shared" si="90"/>
        <v>42</v>
      </c>
      <c r="B500" s="265">
        <f t="shared" si="91"/>
        <v>6</v>
      </c>
      <c r="C500" s="265">
        <f t="shared" ca="1" si="85"/>
        <v>42</v>
      </c>
      <c r="D500" s="265">
        <f t="shared" ca="1" si="86"/>
        <v>9</v>
      </c>
      <c r="E500" s="266">
        <v>5.0000000000000001E-3</v>
      </c>
      <c r="F500" s="267">
        <f>ÉV!$B$12</f>
        <v>0</v>
      </c>
      <c r="G500" s="271">
        <f ca="1">VLOOKUP(A500,ÉV!$A$18:$B$65,2,0)</f>
        <v>0</v>
      </c>
      <c r="H500" s="271">
        <f ca="1">IF(OR(A500=1,AND(C500=ÉV!$I$2,D500&gt;ÉV!$J$2),C500&gt;ÉV!$I$2),0,INDEX(Pz!$B$2:$AM$48,A500-1,ÉV!$G$2-9)/100000*ÉV!$B$10)</f>
        <v>0</v>
      </c>
      <c r="I500" s="271">
        <f ca="1">INDEX(Pz!$B$2:$AM$48,HÓ!A500,ÉV!$G$2-9)/100000*ÉV!$B$10</f>
        <v>0</v>
      </c>
      <c r="J500" s="273">
        <f ca="1">IF(OR(A500=1,A500=2,AND(C500=ÉV!$I$2,D500&gt;ÉV!$J$2),C500&gt;ÉV!$I$2),0,VLOOKUP(A500-2,ÉV!$A$18:$C$65,3,0))</f>
        <v>0</v>
      </c>
      <c r="K500" s="273">
        <f ca="1">IF(OR(A500=1,AND(C500=ÉV!$I$2,D500&gt;ÉV!$J$2),C500&gt;ÉV!$I$2),0,VLOOKUP(A500-1,ÉV!$A$18:$C$65,3,0))</f>
        <v>0</v>
      </c>
      <c r="L500" s="273">
        <f ca="1">VLOOKUP(A500,ÉV!$A$18:$C$65,3,0)*IF(OR(AND(C500=ÉV!$I$2,D500&gt;ÉV!$J$2),C500&gt;ÉV!$I$2),0,1)</f>
        <v>0</v>
      </c>
      <c r="M500" s="273">
        <f ca="1">(K500*(12-B500)/12+L500*B500/12)*IF(A500&gt;ÉV!$G$2,0,1)+IF(A500&gt;ÉV!$G$2,M499,0)*IF(OR(AND(C500=ÉV!$I$2,D500&gt;ÉV!$J$2),C500&gt;ÉV!$I$2),0,1)</f>
        <v>0</v>
      </c>
      <c r="N500" s="274">
        <f ca="1">IF(AND(C500=1,D500&lt;12),0,1)*IF(D500=12,MAX(0,F500-E500-0.003)*0.9*((K500+I500)*(B500/12)+(J500+H500)*(1-B500/12))+MAX(0,F500-0.003)*0.9*N499+N499,IF(AND(C500=ÉV!$I$2,D500=ÉV!$J$2),(M500+N499)*MAX(0,F500-0.003)*0.9*(D500/12)+N499,N499))*IF(OR(C500&gt;ÉV!$I$2,AND(C500=ÉV!$I$2,D500&gt;ÉV!$J$2)),0,1)</f>
        <v>0</v>
      </c>
      <c r="O500" s="313">
        <f ca="1">IF(MAX(AF$2:AF499)=2,      0,IF(OR(AC500=7, AF500=2),    SUM(AE$2:AE500),    O499)   )</f>
        <v>0</v>
      </c>
      <c r="P500" s="271">
        <f ca="1">IF(D500=12,V500+P499+P499*(F500-0.003)*0.9,IF(AND(C500=ÉV!$I$2,D500=ÉV!$J$2),V500+P499+P499*(F500-0.003)*0.9*D500/12,P499))*IF(OR(C500&gt;ÉV!$I$2,AND(C500=ÉV!$I$2,D500&gt;ÉV!$J$2)),0,1)</f>
        <v>0</v>
      </c>
      <c r="Q500" s="275">
        <f ca="1">(N500+P500)*IF(OR(AND(C500=ÉV!$I$2,D500&gt;ÉV!$J$2),C500&gt;ÉV!$I$2),0,1)</f>
        <v>0</v>
      </c>
      <c r="R500" s="271">
        <f ca="1">(MAX(0,F500-E500-0.003)*0.9*((K500+I500)*(1/12)))*IF(OR(C500&gt;ÉV!$I$2,AND(C500=ÉV!$I$2,D500&gt;ÉV!$J$2)),0,1)</f>
        <v>0</v>
      </c>
      <c r="S500" s="271">
        <f ca="1">(MAX(0,F500-0.003)*0.9*((O500)*(1/12)))*IF(OR(C500&gt;ÉV!$I$2,AND(C500=ÉV!$I$2,D500&gt;ÉV!$J$2)),0,1)</f>
        <v>0</v>
      </c>
      <c r="T500" s="271">
        <f ca="1">(MAX(0,F500-0.003)*0.9*((Q499)*(1/12)))*IF(OR(C500&gt;ÉV!$I$2,AND(C500=ÉV!$I$2,D500&gt;ÉV!$J$2)),0,1)</f>
        <v>0</v>
      </c>
      <c r="U500" s="271">
        <f ca="1">IF($D500=1,R500,R500+U499)*IF(OR(C500&gt;ÉV!$I$2,AND(C500=ÉV!$I$2,D500&gt;ÉV!$J$2)),0,1)</f>
        <v>0</v>
      </c>
      <c r="V500" s="271">
        <f ca="1">IF($D500=1,S500,S500+V499)*IF(OR(C500&gt;ÉV!$I$2,AND(C500=ÉV!$I$2,D500&gt;ÉV!$J$2)),0,1)</f>
        <v>0</v>
      </c>
      <c r="W500" s="271">
        <f ca="1">IF($D500=1,T500,T500+W499)*IF(OR(C500&gt;ÉV!$I$2,AND(C500=ÉV!$I$2,D500&gt;ÉV!$J$2)),0,1)</f>
        <v>0</v>
      </c>
      <c r="X500" s="271">
        <f ca="1">IF(OR(D500=12,AND(C500=ÉV!$I$2,D500=ÉV!$J$2)),SUM(U500:W500)+X499,X499)*IF(OR(C500&gt;ÉV!$I$2,AND(C500=ÉV!$I$2,D500&gt;ÉV!$J$2)),0,1)</f>
        <v>0</v>
      </c>
      <c r="Y500" s="271">
        <f t="shared" ca="1" si="81"/>
        <v>0</v>
      </c>
      <c r="Z500" s="265">
        <f t="shared" si="82"/>
        <v>6</v>
      </c>
      <c r="AA500" s="272">
        <f t="shared" ca="1" si="83"/>
        <v>0</v>
      </c>
      <c r="AB500" s="265">
        <f t="shared" ca="1" si="87"/>
        <v>2058</v>
      </c>
      <c r="AC500" s="265">
        <f t="shared" ca="1" si="88"/>
        <v>9</v>
      </c>
      <c r="AD500" s="276">
        <f ca="1">IF(     OR(               AND(MAX(AF$6:AF500)&lt;2,  AC500=12),                 AF500=2),                   SUMIF(AB:AB,AB500,AA:AA),                       0)</f>
        <v>0</v>
      </c>
      <c r="AE500" s="277">
        <f t="shared" ca="1" si="89"/>
        <v>0</v>
      </c>
      <c r="AF500" s="277">
        <f t="shared" ca="1" si="84"/>
        <v>0</v>
      </c>
      <c r="AG500" s="402">
        <f ca="1">IF(  AND(AC500=AdóHó,   MAX(AF$1:AF499)&lt;2),   SUMIF(AB:AB,AB500-1,AE:AE),0  )
+ IF(AND(AC500&lt;AdóHó,                            AF500=2),   SUMIF(AB:AB,AB500-1,AE:AE),0  )
+ IF(                                                                  AF500=2,    SUMIF(AB:AB,AB500,AE:AE   ),0  )</f>
        <v>0</v>
      </c>
      <c r="AH500" s="272">
        <f ca="1">SUM(AG$2:AG500)</f>
        <v>1139324.2410681627</v>
      </c>
    </row>
    <row r="501" spans="1:34">
      <c r="A501" s="265">
        <f t="shared" si="90"/>
        <v>42</v>
      </c>
      <c r="B501" s="265">
        <f t="shared" si="91"/>
        <v>7</v>
      </c>
      <c r="C501" s="265">
        <f t="shared" ca="1" si="85"/>
        <v>42</v>
      </c>
      <c r="D501" s="265">
        <f t="shared" ca="1" si="86"/>
        <v>10</v>
      </c>
      <c r="E501" s="266">
        <v>5.0000000000000001E-3</v>
      </c>
      <c r="F501" s="267">
        <f>ÉV!$B$12</f>
        <v>0</v>
      </c>
      <c r="G501" s="271">
        <f ca="1">VLOOKUP(A501,ÉV!$A$18:$B$65,2,0)</f>
        <v>0</v>
      </c>
      <c r="H501" s="271">
        <f ca="1">IF(OR(A501=1,AND(C501=ÉV!$I$2,D501&gt;ÉV!$J$2),C501&gt;ÉV!$I$2),0,INDEX(Pz!$B$2:$AM$48,A501-1,ÉV!$G$2-9)/100000*ÉV!$B$10)</f>
        <v>0</v>
      </c>
      <c r="I501" s="271">
        <f ca="1">INDEX(Pz!$B$2:$AM$48,HÓ!A501,ÉV!$G$2-9)/100000*ÉV!$B$10</f>
        <v>0</v>
      </c>
      <c r="J501" s="273">
        <f ca="1">IF(OR(A501=1,A501=2,AND(C501=ÉV!$I$2,D501&gt;ÉV!$J$2),C501&gt;ÉV!$I$2),0,VLOOKUP(A501-2,ÉV!$A$18:$C$65,3,0))</f>
        <v>0</v>
      </c>
      <c r="K501" s="273">
        <f ca="1">IF(OR(A501=1,AND(C501=ÉV!$I$2,D501&gt;ÉV!$J$2),C501&gt;ÉV!$I$2),0,VLOOKUP(A501-1,ÉV!$A$18:$C$65,3,0))</f>
        <v>0</v>
      </c>
      <c r="L501" s="273">
        <f ca="1">VLOOKUP(A501,ÉV!$A$18:$C$65,3,0)*IF(OR(AND(C501=ÉV!$I$2,D501&gt;ÉV!$J$2),C501&gt;ÉV!$I$2),0,1)</f>
        <v>0</v>
      </c>
      <c r="M501" s="273">
        <f ca="1">(K501*(12-B501)/12+L501*B501/12)*IF(A501&gt;ÉV!$G$2,0,1)+IF(A501&gt;ÉV!$G$2,M500,0)*IF(OR(AND(C501=ÉV!$I$2,D501&gt;ÉV!$J$2),C501&gt;ÉV!$I$2),0,1)</f>
        <v>0</v>
      </c>
      <c r="N501" s="274">
        <f ca="1">IF(AND(C501=1,D501&lt;12),0,1)*IF(D501=12,MAX(0,F501-E501-0.003)*0.9*((K501+I501)*(B501/12)+(J501+H501)*(1-B501/12))+MAX(0,F501-0.003)*0.9*N500+N500,IF(AND(C501=ÉV!$I$2,D501=ÉV!$J$2),(M501+N500)*MAX(0,F501-0.003)*0.9*(D501/12)+N500,N500))*IF(OR(C501&gt;ÉV!$I$2,AND(C501=ÉV!$I$2,D501&gt;ÉV!$J$2)),0,1)</f>
        <v>0</v>
      </c>
      <c r="O501" s="313">
        <f ca="1">IF(MAX(AF$2:AF500)=2,      0,IF(OR(AC501=7, AF501=2),    SUM(AE$2:AE501),    O500)   )</f>
        <v>0</v>
      </c>
      <c r="P501" s="271">
        <f ca="1">IF(D501=12,V501+P500+P500*(F501-0.003)*0.9,IF(AND(C501=ÉV!$I$2,D501=ÉV!$J$2),V501+P500+P500*(F501-0.003)*0.9*D501/12,P500))*IF(OR(C501&gt;ÉV!$I$2,AND(C501=ÉV!$I$2,D501&gt;ÉV!$J$2)),0,1)</f>
        <v>0</v>
      </c>
      <c r="Q501" s="275">
        <f ca="1">(N501+P501)*IF(OR(AND(C501=ÉV!$I$2,D501&gt;ÉV!$J$2),C501&gt;ÉV!$I$2),0,1)</f>
        <v>0</v>
      </c>
      <c r="R501" s="271">
        <f ca="1">(MAX(0,F501-E501-0.003)*0.9*((K501+I501)*(1/12)))*IF(OR(C501&gt;ÉV!$I$2,AND(C501=ÉV!$I$2,D501&gt;ÉV!$J$2)),0,1)</f>
        <v>0</v>
      </c>
      <c r="S501" s="271">
        <f ca="1">(MAX(0,F501-0.003)*0.9*((O501)*(1/12)))*IF(OR(C501&gt;ÉV!$I$2,AND(C501=ÉV!$I$2,D501&gt;ÉV!$J$2)),0,1)</f>
        <v>0</v>
      </c>
      <c r="T501" s="271">
        <f ca="1">(MAX(0,F501-0.003)*0.9*((Q500)*(1/12)))*IF(OR(C501&gt;ÉV!$I$2,AND(C501=ÉV!$I$2,D501&gt;ÉV!$J$2)),0,1)</f>
        <v>0</v>
      </c>
      <c r="U501" s="271">
        <f ca="1">IF($D501=1,R501,R501+U500)*IF(OR(C501&gt;ÉV!$I$2,AND(C501=ÉV!$I$2,D501&gt;ÉV!$J$2)),0,1)</f>
        <v>0</v>
      </c>
      <c r="V501" s="271">
        <f ca="1">IF($D501=1,S501,S501+V500)*IF(OR(C501&gt;ÉV!$I$2,AND(C501=ÉV!$I$2,D501&gt;ÉV!$J$2)),0,1)</f>
        <v>0</v>
      </c>
      <c r="W501" s="271">
        <f ca="1">IF($D501=1,T501,T501+W500)*IF(OR(C501&gt;ÉV!$I$2,AND(C501=ÉV!$I$2,D501&gt;ÉV!$J$2)),0,1)</f>
        <v>0</v>
      </c>
      <c r="X501" s="271">
        <f ca="1">IF(OR(D501=12,AND(C501=ÉV!$I$2,D501=ÉV!$J$2)),SUM(U501:W501)+X500,X500)*IF(OR(C501&gt;ÉV!$I$2,AND(C501=ÉV!$I$2,D501&gt;ÉV!$J$2)),0,1)</f>
        <v>0</v>
      </c>
      <c r="Y501" s="271">
        <f t="shared" ca="1" si="81"/>
        <v>0</v>
      </c>
      <c r="Z501" s="265">
        <f t="shared" si="82"/>
        <v>7</v>
      </c>
      <c r="AA501" s="272">
        <f t="shared" ca="1" si="83"/>
        <v>0</v>
      </c>
      <c r="AB501" s="265">
        <f t="shared" ca="1" si="87"/>
        <v>2058</v>
      </c>
      <c r="AC501" s="265">
        <f t="shared" ca="1" si="88"/>
        <v>10</v>
      </c>
      <c r="AD501" s="276">
        <f ca="1">IF(     OR(               AND(MAX(AF$6:AF501)&lt;2,  AC501=12),                 AF501=2),                   SUMIF(AB:AB,AB501,AA:AA),                       0)</f>
        <v>0</v>
      </c>
      <c r="AE501" s="277">
        <f t="shared" ca="1" si="89"/>
        <v>0</v>
      </c>
      <c r="AF501" s="277">
        <f t="shared" ca="1" si="84"/>
        <v>0</v>
      </c>
      <c r="AG501" s="402">
        <f ca="1">IF(  AND(AC501=AdóHó,   MAX(AF$1:AF500)&lt;2),   SUMIF(AB:AB,AB501-1,AE:AE),0  )
+ IF(AND(AC501&lt;AdóHó,                            AF501=2),   SUMIF(AB:AB,AB501-1,AE:AE),0  )
+ IF(                                                                  AF501=2,    SUMIF(AB:AB,AB501,AE:AE   ),0  )</f>
        <v>0</v>
      </c>
      <c r="AH501" s="272">
        <f ca="1">SUM(AG$2:AG501)</f>
        <v>1139324.2410681627</v>
      </c>
    </row>
    <row r="502" spans="1:34">
      <c r="A502" s="265">
        <f t="shared" si="90"/>
        <v>42</v>
      </c>
      <c r="B502" s="265">
        <f t="shared" si="91"/>
        <v>8</v>
      </c>
      <c r="C502" s="265">
        <f t="shared" ca="1" si="85"/>
        <v>42</v>
      </c>
      <c r="D502" s="265">
        <f t="shared" ca="1" si="86"/>
        <v>11</v>
      </c>
      <c r="E502" s="266">
        <v>5.0000000000000001E-3</v>
      </c>
      <c r="F502" s="267">
        <f>ÉV!$B$12</f>
        <v>0</v>
      </c>
      <c r="G502" s="271">
        <f ca="1">VLOOKUP(A502,ÉV!$A$18:$B$65,2,0)</f>
        <v>0</v>
      </c>
      <c r="H502" s="271">
        <f ca="1">IF(OR(A502=1,AND(C502=ÉV!$I$2,D502&gt;ÉV!$J$2),C502&gt;ÉV!$I$2),0,INDEX(Pz!$B$2:$AM$48,A502-1,ÉV!$G$2-9)/100000*ÉV!$B$10)</f>
        <v>0</v>
      </c>
      <c r="I502" s="271">
        <f ca="1">INDEX(Pz!$B$2:$AM$48,HÓ!A502,ÉV!$G$2-9)/100000*ÉV!$B$10</f>
        <v>0</v>
      </c>
      <c r="J502" s="273">
        <f ca="1">IF(OR(A502=1,A502=2,AND(C502=ÉV!$I$2,D502&gt;ÉV!$J$2),C502&gt;ÉV!$I$2),0,VLOOKUP(A502-2,ÉV!$A$18:$C$65,3,0))</f>
        <v>0</v>
      </c>
      <c r="K502" s="273">
        <f ca="1">IF(OR(A502=1,AND(C502=ÉV!$I$2,D502&gt;ÉV!$J$2),C502&gt;ÉV!$I$2),0,VLOOKUP(A502-1,ÉV!$A$18:$C$65,3,0))</f>
        <v>0</v>
      </c>
      <c r="L502" s="273">
        <f ca="1">VLOOKUP(A502,ÉV!$A$18:$C$65,3,0)*IF(OR(AND(C502=ÉV!$I$2,D502&gt;ÉV!$J$2),C502&gt;ÉV!$I$2),0,1)</f>
        <v>0</v>
      </c>
      <c r="M502" s="273">
        <f ca="1">(K502*(12-B502)/12+L502*B502/12)*IF(A502&gt;ÉV!$G$2,0,1)+IF(A502&gt;ÉV!$G$2,M501,0)*IF(OR(AND(C502=ÉV!$I$2,D502&gt;ÉV!$J$2),C502&gt;ÉV!$I$2),0,1)</f>
        <v>0</v>
      </c>
      <c r="N502" s="274">
        <f ca="1">IF(AND(C502=1,D502&lt;12),0,1)*IF(D502=12,MAX(0,F502-E502-0.003)*0.9*((K502+I502)*(B502/12)+(J502+H502)*(1-B502/12))+MAX(0,F502-0.003)*0.9*N501+N501,IF(AND(C502=ÉV!$I$2,D502=ÉV!$J$2),(M502+N501)*MAX(0,F502-0.003)*0.9*(D502/12)+N501,N501))*IF(OR(C502&gt;ÉV!$I$2,AND(C502=ÉV!$I$2,D502&gt;ÉV!$J$2)),0,1)</f>
        <v>0</v>
      </c>
      <c r="O502" s="313">
        <f ca="1">IF(MAX(AF$2:AF501)=2,      0,IF(OR(AC502=7, AF502=2),    SUM(AE$2:AE502),    O501)   )</f>
        <v>0</v>
      </c>
      <c r="P502" s="271">
        <f ca="1">IF(D502=12,V502+P501+P501*(F502-0.003)*0.9,IF(AND(C502=ÉV!$I$2,D502=ÉV!$J$2),V502+P501+P501*(F502-0.003)*0.9*D502/12,P501))*IF(OR(C502&gt;ÉV!$I$2,AND(C502=ÉV!$I$2,D502&gt;ÉV!$J$2)),0,1)</f>
        <v>0</v>
      </c>
      <c r="Q502" s="275">
        <f ca="1">(N502+P502)*IF(OR(AND(C502=ÉV!$I$2,D502&gt;ÉV!$J$2),C502&gt;ÉV!$I$2),0,1)</f>
        <v>0</v>
      </c>
      <c r="R502" s="271">
        <f ca="1">(MAX(0,F502-E502-0.003)*0.9*((K502+I502)*(1/12)))*IF(OR(C502&gt;ÉV!$I$2,AND(C502=ÉV!$I$2,D502&gt;ÉV!$J$2)),0,1)</f>
        <v>0</v>
      </c>
      <c r="S502" s="271">
        <f ca="1">(MAX(0,F502-0.003)*0.9*((O502)*(1/12)))*IF(OR(C502&gt;ÉV!$I$2,AND(C502=ÉV!$I$2,D502&gt;ÉV!$J$2)),0,1)</f>
        <v>0</v>
      </c>
      <c r="T502" s="271">
        <f ca="1">(MAX(0,F502-0.003)*0.9*((Q501)*(1/12)))*IF(OR(C502&gt;ÉV!$I$2,AND(C502=ÉV!$I$2,D502&gt;ÉV!$J$2)),0,1)</f>
        <v>0</v>
      </c>
      <c r="U502" s="271">
        <f ca="1">IF($D502=1,R502,R502+U501)*IF(OR(C502&gt;ÉV!$I$2,AND(C502=ÉV!$I$2,D502&gt;ÉV!$J$2)),0,1)</f>
        <v>0</v>
      </c>
      <c r="V502" s="271">
        <f ca="1">IF($D502=1,S502,S502+V501)*IF(OR(C502&gt;ÉV!$I$2,AND(C502=ÉV!$I$2,D502&gt;ÉV!$J$2)),0,1)</f>
        <v>0</v>
      </c>
      <c r="W502" s="271">
        <f ca="1">IF($D502=1,T502,T502+W501)*IF(OR(C502&gt;ÉV!$I$2,AND(C502=ÉV!$I$2,D502&gt;ÉV!$J$2)),0,1)</f>
        <v>0</v>
      </c>
      <c r="X502" s="271">
        <f ca="1">IF(OR(D502=12,AND(C502=ÉV!$I$2,D502=ÉV!$J$2)),SUM(U502:W502)+X501,X501)*IF(OR(C502&gt;ÉV!$I$2,AND(C502=ÉV!$I$2,D502&gt;ÉV!$J$2)),0,1)</f>
        <v>0</v>
      </c>
      <c r="Y502" s="271">
        <f t="shared" ca="1" si="81"/>
        <v>0</v>
      </c>
      <c r="Z502" s="265">
        <f t="shared" si="82"/>
        <v>8</v>
      </c>
      <c r="AA502" s="272">
        <f t="shared" ca="1" si="83"/>
        <v>0</v>
      </c>
      <c r="AB502" s="265">
        <f t="shared" ca="1" si="87"/>
        <v>2058</v>
      </c>
      <c r="AC502" s="265">
        <f t="shared" ca="1" si="88"/>
        <v>11</v>
      </c>
      <c r="AD502" s="276">
        <f ca="1">IF(     OR(               AND(MAX(AF$6:AF502)&lt;2,  AC502=12),                 AF502=2),                   SUMIF(AB:AB,AB502,AA:AA),                       0)</f>
        <v>0</v>
      </c>
      <c r="AE502" s="277">
        <f t="shared" ca="1" si="89"/>
        <v>0</v>
      </c>
      <c r="AF502" s="277">
        <f t="shared" ca="1" si="84"/>
        <v>0</v>
      </c>
      <c r="AG502" s="402">
        <f ca="1">IF(  AND(AC502=AdóHó,   MAX(AF$1:AF501)&lt;2),   SUMIF(AB:AB,AB502-1,AE:AE),0  )
+ IF(AND(AC502&lt;AdóHó,                            AF502=2),   SUMIF(AB:AB,AB502-1,AE:AE),0  )
+ IF(                                                                  AF502=2,    SUMIF(AB:AB,AB502,AE:AE   ),0  )</f>
        <v>0</v>
      </c>
      <c r="AH502" s="272">
        <f ca="1">SUM(AG$2:AG502)</f>
        <v>1139324.2410681627</v>
      </c>
    </row>
    <row r="503" spans="1:34">
      <c r="A503" s="265">
        <f t="shared" si="90"/>
        <v>42</v>
      </c>
      <c r="B503" s="265">
        <f t="shared" si="91"/>
        <v>9</v>
      </c>
      <c r="C503" s="265">
        <f t="shared" ca="1" si="85"/>
        <v>42</v>
      </c>
      <c r="D503" s="265">
        <f t="shared" ca="1" si="86"/>
        <v>12</v>
      </c>
      <c r="E503" s="266">
        <v>5.0000000000000001E-3</v>
      </c>
      <c r="F503" s="267">
        <f>ÉV!$B$12</f>
        <v>0</v>
      </c>
      <c r="G503" s="271">
        <f ca="1">VLOOKUP(A503,ÉV!$A$18:$B$65,2,0)</f>
        <v>0</v>
      </c>
      <c r="H503" s="271">
        <f ca="1">IF(OR(A503=1,AND(C503=ÉV!$I$2,D503&gt;ÉV!$J$2),C503&gt;ÉV!$I$2),0,INDEX(Pz!$B$2:$AM$48,A503-1,ÉV!$G$2-9)/100000*ÉV!$B$10)</f>
        <v>0</v>
      </c>
      <c r="I503" s="271">
        <f ca="1">INDEX(Pz!$B$2:$AM$48,HÓ!A503,ÉV!$G$2-9)/100000*ÉV!$B$10</f>
        <v>0</v>
      </c>
      <c r="J503" s="273">
        <f ca="1">IF(OR(A503=1,A503=2,AND(C503=ÉV!$I$2,D503&gt;ÉV!$J$2),C503&gt;ÉV!$I$2),0,VLOOKUP(A503-2,ÉV!$A$18:$C$65,3,0))</f>
        <v>0</v>
      </c>
      <c r="K503" s="273">
        <f ca="1">IF(OR(A503=1,AND(C503=ÉV!$I$2,D503&gt;ÉV!$J$2),C503&gt;ÉV!$I$2),0,VLOOKUP(A503-1,ÉV!$A$18:$C$65,3,0))</f>
        <v>0</v>
      </c>
      <c r="L503" s="273">
        <f ca="1">VLOOKUP(A503,ÉV!$A$18:$C$65,3,0)*IF(OR(AND(C503=ÉV!$I$2,D503&gt;ÉV!$J$2),C503&gt;ÉV!$I$2),0,1)</f>
        <v>0</v>
      </c>
      <c r="M503" s="273">
        <f ca="1">(K503*(12-B503)/12+L503*B503/12)*IF(A503&gt;ÉV!$G$2,0,1)+IF(A503&gt;ÉV!$G$2,M502,0)*IF(OR(AND(C503=ÉV!$I$2,D503&gt;ÉV!$J$2),C503&gt;ÉV!$I$2),0,1)</f>
        <v>0</v>
      </c>
      <c r="N503" s="274">
        <f ca="1">IF(AND(C503=1,D503&lt;12),0,1)*IF(D503=12,MAX(0,F503-E503-0.003)*0.9*((K503+I503)*(B503/12)+(J503+H503)*(1-B503/12))+MAX(0,F503-0.003)*0.9*N502+N502,IF(AND(C503=ÉV!$I$2,D503=ÉV!$J$2),(M503+N502)*MAX(0,F503-0.003)*0.9*(D503/12)+N502,N502))*IF(OR(C503&gt;ÉV!$I$2,AND(C503=ÉV!$I$2,D503&gt;ÉV!$J$2)),0,1)</f>
        <v>0</v>
      </c>
      <c r="O503" s="313">
        <f ca="1">IF(MAX(AF$2:AF502)=2,      0,IF(OR(AC503=7, AF503=2),    SUM(AE$2:AE503),    O502)   )</f>
        <v>0</v>
      </c>
      <c r="P503" s="271">
        <f ca="1">IF(D503=12,V503+P502+P502*(F503-0.003)*0.9,IF(AND(C503=ÉV!$I$2,D503=ÉV!$J$2),V503+P502+P502*(F503-0.003)*0.9*D503/12,P502))*IF(OR(C503&gt;ÉV!$I$2,AND(C503=ÉV!$I$2,D503&gt;ÉV!$J$2)),0,1)</f>
        <v>0</v>
      </c>
      <c r="Q503" s="275">
        <f ca="1">(N503+P503)*IF(OR(AND(C503=ÉV!$I$2,D503&gt;ÉV!$J$2),C503&gt;ÉV!$I$2),0,1)</f>
        <v>0</v>
      </c>
      <c r="R503" s="271">
        <f ca="1">(MAX(0,F503-E503-0.003)*0.9*((K503+I503)*(1/12)))*IF(OR(C503&gt;ÉV!$I$2,AND(C503=ÉV!$I$2,D503&gt;ÉV!$J$2)),0,1)</f>
        <v>0</v>
      </c>
      <c r="S503" s="271">
        <f ca="1">(MAX(0,F503-0.003)*0.9*((O503)*(1/12)))*IF(OR(C503&gt;ÉV!$I$2,AND(C503=ÉV!$I$2,D503&gt;ÉV!$J$2)),0,1)</f>
        <v>0</v>
      </c>
      <c r="T503" s="271">
        <f ca="1">(MAX(0,F503-0.003)*0.9*((Q502)*(1/12)))*IF(OR(C503&gt;ÉV!$I$2,AND(C503=ÉV!$I$2,D503&gt;ÉV!$J$2)),0,1)</f>
        <v>0</v>
      </c>
      <c r="U503" s="271">
        <f ca="1">IF($D503=1,R503,R503+U502)*IF(OR(C503&gt;ÉV!$I$2,AND(C503=ÉV!$I$2,D503&gt;ÉV!$J$2)),0,1)</f>
        <v>0</v>
      </c>
      <c r="V503" s="271">
        <f ca="1">IF($D503=1,S503,S503+V502)*IF(OR(C503&gt;ÉV!$I$2,AND(C503=ÉV!$I$2,D503&gt;ÉV!$J$2)),0,1)</f>
        <v>0</v>
      </c>
      <c r="W503" s="271">
        <f ca="1">IF($D503=1,T503,T503+W502)*IF(OR(C503&gt;ÉV!$I$2,AND(C503=ÉV!$I$2,D503&gt;ÉV!$J$2)),0,1)</f>
        <v>0</v>
      </c>
      <c r="X503" s="271">
        <f ca="1">IF(OR(D503=12,AND(C503=ÉV!$I$2,D503=ÉV!$J$2)),SUM(U503:W503)+X502,X502)*IF(OR(C503&gt;ÉV!$I$2,AND(C503=ÉV!$I$2,D503&gt;ÉV!$J$2)),0,1)</f>
        <v>0</v>
      </c>
      <c r="Y503" s="271">
        <f t="shared" ca="1" si="81"/>
        <v>0</v>
      </c>
      <c r="Z503" s="265">
        <f t="shared" si="82"/>
        <v>9</v>
      </c>
      <c r="AA503" s="272">
        <f t="shared" ca="1" si="83"/>
        <v>0</v>
      </c>
      <c r="AB503" s="265">
        <f t="shared" ca="1" si="87"/>
        <v>2058</v>
      </c>
      <c r="AC503" s="265">
        <f t="shared" ca="1" si="88"/>
        <v>12</v>
      </c>
      <c r="AD503" s="276">
        <f ca="1">IF(     OR(               AND(MAX(AF$6:AF503)&lt;2,  AC503=12),                 AF503=2),                   SUMIF(AB:AB,AB503,AA:AA),                       0)</f>
        <v>0</v>
      </c>
      <c r="AE503" s="277">
        <f t="shared" ca="1" si="89"/>
        <v>0</v>
      </c>
      <c r="AF503" s="277">
        <f t="shared" ca="1" si="84"/>
        <v>0</v>
      </c>
      <c r="AG503" s="402">
        <f ca="1">IF(  AND(AC503=AdóHó,   MAX(AF$1:AF502)&lt;2),   SUMIF(AB:AB,AB503-1,AE:AE),0  )
+ IF(AND(AC503&lt;AdóHó,                            AF503=2),   SUMIF(AB:AB,AB503-1,AE:AE),0  )
+ IF(                                                                  AF503=2,    SUMIF(AB:AB,AB503,AE:AE   ),0  )</f>
        <v>0</v>
      </c>
      <c r="AH503" s="272">
        <f ca="1">SUM(AG$2:AG503)</f>
        <v>1139324.2410681627</v>
      </c>
    </row>
    <row r="504" spans="1:34">
      <c r="A504" s="265">
        <f t="shared" si="90"/>
        <v>42</v>
      </c>
      <c r="B504" s="265">
        <f t="shared" si="91"/>
        <v>10</v>
      </c>
      <c r="C504" s="265">
        <f t="shared" ca="1" si="85"/>
        <v>43</v>
      </c>
      <c r="D504" s="265">
        <f t="shared" ca="1" si="86"/>
        <v>1</v>
      </c>
      <c r="E504" s="266">
        <v>5.0000000000000001E-3</v>
      </c>
      <c r="F504" s="267">
        <f>ÉV!$B$12</f>
        <v>0</v>
      </c>
      <c r="G504" s="271">
        <f ca="1">VLOOKUP(A504,ÉV!$A$18:$B$65,2,0)</f>
        <v>0</v>
      </c>
      <c r="H504" s="271">
        <f ca="1">IF(OR(A504=1,AND(C504=ÉV!$I$2,D504&gt;ÉV!$J$2),C504&gt;ÉV!$I$2),0,INDEX(Pz!$B$2:$AM$48,A504-1,ÉV!$G$2-9)/100000*ÉV!$B$10)</f>
        <v>0</v>
      </c>
      <c r="I504" s="271">
        <f ca="1">INDEX(Pz!$B$2:$AM$48,HÓ!A504,ÉV!$G$2-9)/100000*ÉV!$B$10</f>
        <v>0</v>
      </c>
      <c r="J504" s="273">
        <f ca="1">IF(OR(A504=1,A504=2,AND(C504=ÉV!$I$2,D504&gt;ÉV!$J$2),C504&gt;ÉV!$I$2),0,VLOOKUP(A504-2,ÉV!$A$18:$C$65,3,0))</f>
        <v>0</v>
      </c>
      <c r="K504" s="273">
        <f ca="1">IF(OR(A504=1,AND(C504=ÉV!$I$2,D504&gt;ÉV!$J$2),C504&gt;ÉV!$I$2),0,VLOOKUP(A504-1,ÉV!$A$18:$C$65,3,0))</f>
        <v>0</v>
      </c>
      <c r="L504" s="273">
        <f ca="1">VLOOKUP(A504,ÉV!$A$18:$C$65,3,0)*IF(OR(AND(C504=ÉV!$I$2,D504&gt;ÉV!$J$2),C504&gt;ÉV!$I$2),0,1)</f>
        <v>0</v>
      </c>
      <c r="M504" s="273">
        <f ca="1">(K504*(12-B504)/12+L504*B504/12)*IF(A504&gt;ÉV!$G$2,0,1)+IF(A504&gt;ÉV!$G$2,M503,0)*IF(OR(AND(C504=ÉV!$I$2,D504&gt;ÉV!$J$2),C504&gt;ÉV!$I$2),0,1)</f>
        <v>0</v>
      </c>
      <c r="N504" s="274">
        <f ca="1">IF(AND(C504=1,D504&lt;12),0,1)*IF(D504=12,MAX(0,F504-E504-0.003)*0.9*((K504+I504)*(B504/12)+(J504+H504)*(1-B504/12))+MAX(0,F504-0.003)*0.9*N503+N503,IF(AND(C504=ÉV!$I$2,D504=ÉV!$J$2),(M504+N503)*MAX(0,F504-0.003)*0.9*(D504/12)+N503,N503))*IF(OR(C504&gt;ÉV!$I$2,AND(C504=ÉV!$I$2,D504&gt;ÉV!$J$2)),0,1)</f>
        <v>0</v>
      </c>
      <c r="O504" s="313">
        <f ca="1">IF(MAX(AF$2:AF503)=2,      0,IF(OR(AC504=7, AF504=2),    SUM(AE$2:AE504),    O503)   )</f>
        <v>0</v>
      </c>
      <c r="P504" s="271">
        <f ca="1">IF(D504=12,V504+P503+P503*(F504-0.003)*0.9,IF(AND(C504=ÉV!$I$2,D504=ÉV!$J$2),V504+P503+P503*(F504-0.003)*0.9*D504/12,P503))*IF(OR(C504&gt;ÉV!$I$2,AND(C504=ÉV!$I$2,D504&gt;ÉV!$J$2)),0,1)</f>
        <v>0</v>
      </c>
      <c r="Q504" s="275">
        <f ca="1">(N504+P504)*IF(OR(AND(C504=ÉV!$I$2,D504&gt;ÉV!$J$2),C504&gt;ÉV!$I$2),0,1)</f>
        <v>0</v>
      </c>
      <c r="R504" s="271">
        <f ca="1">(MAX(0,F504-E504-0.003)*0.9*((K504+I504)*(1/12)))*IF(OR(C504&gt;ÉV!$I$2,AND(C504=ÉV!$I$2,D504&gt;ÉV!$J$2)),0,1)</f>
        <v>0</v>
      </c>
      <c r="S504" s="271">
        <f ca="1">(MAX(0,F504-0.003)*0.9*((O504)*(1/12)))*IF(OR(C504&gt;ÉV!$I$2,AND(C504=ÉV!$I$2,D504&gt;ÉV!$J$2)),0,1)</f>
        <v>0</v>
      </c>
      <c r="T504" s="271">
        <f ca="1">(MAX(0,F504-0.003)*0.9*((Q503)*(1/12)))*IF(OR(C504&gt;ÉV!$I$2,AND(C504=ÉV!$I$2,D504&gt;ÉV!$J$2)),0,1)</f>
        <v>0</v>
      </c>
      <c r="U504" s="271">
        <f ca="1">IF($D504=1,R504,R504+U503)*IF(OR(C504&gt;ÉV!$I$2,AND(C504=ÉV!$I$2,D504&gt;ÉV!$J$2)),0,1)</f>
        <v>0</v>
      </c>
      <c r="V504" s="271">
        <f ca="1">IF($D504=1,S504,S504+V503)*IF(OR(C504&gt;ÉV!$I$2,AND(C504=ÉV!$I$2,D504&gt;ÉV!$J$2)),0,1)</f>
        <v>0</v>
      </c>
      <c r="W504" s="271">
        <f ca="1">IF($D504=1,T504,T504+W503)*IF(OR(C504&gt;ÉV!$I$2,AND(C504=ÉV!$I$2,D504&gt;ÉV!$J$2)),0,1)</f>
        <v>0</v>
      </c>
      <c r="X504" s="271">
        <f ca="1">IF(OR(D504=12,AND(C504=ÉV!$I$2,D504=ÉV!$J$2)),SUM(U504:W504)+X503,X503)*IF(OR(C504&gt;ÉV!$I$2,AND(C504=ÉV!$I$2,D504&gt;ÉV!$J$2)),0,1)</f>
        <v>0</v>
      </c>
      <c r="Y504" s="271">
        <f t="shared" ca="1" si="81"/>
        <v>0</v>
      </c>
      <c r="Z504" s="265">
        <f t="shared" si="82"/>
        <v>10</v>
      </c>
      <c r="AA504" s="272">
        <f t="shared" ca="1" si="83"/>
        <v>0</v>
      </c>
      <c r="AB504" s="265">
        <f t="shared" ca="1" si="87"/>
        <v>2059</v>
      </c>
      <c r="AC504" s="265">
        <f t="shared" ca="1" si="88"/>
        <v>1</v>
      </c>
      <c r="AD504" s="276">
        <f ca="1">IF(     OR(               AND(MAX(AF$6:AF504)&lt;2,  AC504=12),                 AF504=2),                   SUMIF(AB:AB,AB504,AA:AA),                       0)</f>
        <v>0</v>
      </c>
      <c r="AE504" s="277">
        <f t="shared" ca="1" si="89"/>
        <v>0</v>
      </c>
      <c r="AF504" s="277">
        <f t="shared" ca="1" si="84"/>
        <v>0</v>
      </c>
      <c r="AG504" s="402">
        <f ca="1">IF(  AND(AC504=AdóHó,   MAX(AF$1:AF503)&lt;2),   SUMIF(AB:AB,AB504-1,AE:AE),0  )
+ IF(AND(AC504&lt;AdóHó,                            AF504=2),   SUMIF(AB:AB,AB504-1,AE:AE),0  )
+ IF(                                                                  AF504=2,    SUMIF(AB:AB,AB504,AE:AE   ),0  )</f>
        <v>0</v>
      </c>
      <c r="AH504" s="272">
        <f ca="1">SUM(AG$2:AG504)</f>
        <v>1139324.2410681627</v>
      </c>
    </row>
    <row r="505" spans="1:34">
      <c r="A505" s="265">
        <f t="shared" si="90"/>
        <v>42</v>
      </c>
      <c r="B505" s="265">
        <f t="shared" si="91"/>
        <v>11</v>
      </c>
      <c r="C505" s="265">
        <f t="shared" ca="1" si="85"/>
        <v>43</v>
      </c>
      <c r="D505" s="265">
        <f t="shared" ca="1" si="86"/>
        <v>2</v>
      </c>
      <c r="E505" s="266">
        <v>5.0000000000000001E-3</v>
      </c>
      <c r="F505" s="267">
        <f>ÉV!$B$12</f>
        <v>0</v>
      </c>
      <c r="G505" s="271">
        <f ca="1">VLOOKUP(A505,ÉV!$A$18:$B$65,2,0)</f>
        <v>0</v>
      </c>
      <c r="H505" s="271">
        <f ca="1">IF(OR(A505=1,AND(C505=ÉV!$I$2,D505&gt;ÉV!$J$2),C505&gt;ÉV!$I$2),0,INDEX(Pz!$B$2:$AM$48,A505-1,ÉV!$G$2-9)/100000*ÉV!$B$10)</f>
        <v>0</v>
      </c>
      <c r="I505" s="271">
        <f ca="1">INDEX(Pz!$B$2:$AM$48,HÓ!A505,ÉV!$G$2-9)/100000*ÉV!$B$10</f>
        <v>0</v>
      </c>
      <c r="J505" s="273">
        <f ca="1">IF(OR(A505=1,A505=2,AND(C505=ÉV!$I$2,D505&gt;ÉV!$J$2),C505&gt;ÉV!$I$2),0,VLOOKUP(A505-2,ÉV!$A$18:$C$65,3,0))</f>
        <v>0</v>
      </c>
      <c r="K505" s="273">
        <f ca="1">IF(OR(A505=1,AND(C505=ÉV!$I$2,D505&gt;ÉV!$J$2),C505&gt;ÉV!$I$2),0,VLOOKUP(A505-1,ÉV!$A$18:$C$65,3,0))</f>
        <v>0</v>
      </c>
      <c r="L505" s="273">
        <f ca="1">VLOOKUP(A505,ÉV!$A$18:$C$65,3,0)*IF(OR(AND(C505=ÉV!$I$2,D505&gt;ÉV!$J$2),C505&gt;ÉV!$I$2),0,1)</f>
        <v>0</v>
      </c>
      <c r="M505" s="273">
        <f ca="1">(K505*(12-B505)/12+L505*B505/12)*IF(A505&gt;ÉV!$G$2,0,1)+IF(A505&gt;ÉV!$G$2,M504,0)*IF(OR(AND(C505=ÉV!$I$2,D505&gt;ÉV!$J$2),C505&gt;ÉV!$I$2),0,1)</f>
        <v>0</v>
      </c>
      <c r="N505" s="274">
        <f ca="1">IF(AND(C505=1,D505&lt;12),0,1)*IF(D505=12,MAX(0,F505-E505-0.003)*0.9*((K505+I505)*(B505/12)+(J505+H505)*(1-B505/12))+MAX(0,F505-0.003)*0.9*N504+N504,IF(AND(C505=ÉV!$I$2,D505=ÉV!$J$2),(M505+N504)*MAX(0,F505-0.003)*0.9*(D505/12)+N504,N504))*IF(OR(C505&gt;ÉV!$I$2,AND(C505=ÉV!$I$2,D505&gt;ÉV!$J$2)),0,1)</f>
        <v>0</v>
      </c>
      <c r="O505" s="313">
        <f ca="1">IF(MAX(AF$2:AF504)=2,      0,IF(OR(AC505=7, AF505=2),    SUM(AE$2:AE505),    O504)   )</f>
        <v>0</v>
      </c>
      <c r="P505" s="271">
        <f ca="1">IF(D505=12,V505+P504+P504*(F505-0.003)*0.9,IF(AND(C505=ÉV!$I$2,D505=ÉV!$J$2),V505+P504+P504*(F505-0.003)*0.9*D505/12,P504))*IF(OR(C505&gt;ÉV!$I$2,AND(C505=ÉV!$I$2,D505&gt;ÉV!$J$2)),0,1)</f>
        <v>0</v>
      </c>
      <c r="Q505" s="275">
        <f ca="1">(N505+P505)*IF(OR(AND(C505=ÉV!$I$2,D505&gt;ÉV!$J$2),C505&gt;ÉV!$I$2),0,1)</f>
        <v>0</v>
      </c>
      <c r="R505" s="271">
        <f ca="1">(MAX(0,F505-E505-0.003)*0.9*((K505+I505)*(1/12)))*IF(OR(C505&gt;ÉV!$I$2,AND(C505=ÉV!$I$2,D505&gt;ÉV!$J$2)),0,1)</f>
        <v>0</v>
      </c>
      <c r="S505" s="271">
        <f ca="1">(MAX(0,F505-0.003)*0.9*((O505)*(1/12)))*IF(OR(C505&gt;ÉV!$I$2,AND(C505=ÉV!$I$2,D505&gt;ÉV!$J$2)),0,1)</f>
        <v>0</v>
      </c>
      <c r="T505" s="271">
        <f ca="1">(MAX(0,F505-0.003)*0.9*((Q504)*(1/12)))*IF(OR(C505&gt;ÉV!$I$2,AND(C505=ÉV!$I$2,D505&gt;ÉV!$J$2)),0,1)</f>
        <v>0</v>
      </c>
      <c r="U505" s="271">
        <f ca="1">IF($D505=1,R505,R505+U504)*IF(OR(C505&gt;ÉV!$I$2,AND(C505=ÉV!$I$2,D505&gt;ÉV!$J$2)),0,1)</f>
        <v>0</v>
      </c>
      <c r="V505" s="271">
        <f ca="1">IF($D505=1,S505,S505+V504)*IF(OR(C505&gt;ÉV!$I$2,AND(C505=ÉV!$I$2,D505&gt;ÉV!$J$2)),0,1)</f>
        <v>0</v>
      </c>
      <c r="W505" s="271">
        <f ca="1">IF($D505=1,T505,T505+W504)*IF(OR(C505&gt;ÉV!$I$2,AND(C505=ÉV!$I$2,D505&gt;ÉV!$J$2)),0,1)</f>
        <v>0</v>
      </c>
      <c r="X505" s="271">
        <f ca="1">IF(OR(D505=12,AND(C505=ÉV!$I$2,D505=ÉV!$J$2)),SUM(U505:W505)+X504,X504)*IF(OR(C505&gt;ÉV!$I$2,AND(C505=ÉV!$I$2,D505&gt;ÉV!$J$2)),0,1)</f>
        <v>0</v>
      </c>
      <c r="Y505" s="271">
        <f t="shared" ca="1" si="81"/>
        <v>0</v>
      </c>
      <c r="Z505" s="265">
        <f t="shared" si="82"/>
        <v>11</v>
      </c>
      <c r="AA505" s="272">
        <f t="shared" ca="1" si="83"/>
        <v>0</v>
      </c>
      <c r="AB505" s="265">
        <f t="shared" ca="1" si="87"/>
        <v>2059</v>
      </c>
      <c r="AC505" s="265">
        <f t="shared" ca="1" si="88"/>
        <v>2</v>
      </c>
      <c r="AD505" s="276">
        <f ca="1">IF(     OR(               AND(MAX(AF$6:AF505)&lt;2,  AC505=12),                 AF505=2),                   SUMIF(AB:AB,AB505,AA:AA),                       0)</f>
        <v>0</v>
      </c>
      <c r="AE505" s="277">
        <f t="shared" ca="1" si="89"/>
        <v>0</v>
      </c>
      <c r="AF505" s="277">
        <f t="shared" ca="1" si="84"/>
        <v>0</v>
      </c>
      <c r="AG505" s="402">
        <f ca="1">IF(  AND(AC505=AdóHó,   MAX(AF$1:AF504)&lt;2),   SUMIF(AB:AB,AB505-1,AE:AE),0  )
+ IF(AND(AC505&lt;AdóHó,                            AF505=2),   SUMIF(AB:AB,AB505-1,AE:AE),0  )
+ IF(                                                                  AF505=2,    SUMIF(AB:AB,AB505,AE:AE   ),0  )</f>
        <v>0</v>
      </c>
      <c r="AH505" s="272">
        <f ca="1">SUM(AG$2:AG505)</f>
        <v>1139324.2410681627</v>
      </c>
    </row>
    <row r="506" spans="1:34">
      <c r="A506" s="265">
        <f t="shared" si="90"/>
        <v>42</v>
      </c>
      <c r="B506" s="265">
        <f t="shared" si="91"/>
        <v>12</v>
      </c>
      <c r="C506" s="265">
        <f t="shared" ca="1" si="85"/>
        <v>43</v>
      </c>
      <c r="D506" s="265">
        <f t="shared" ca="1" si="86"/>
        <v>3</v>
      </c>
      <c r="E506" s="266">
        <v>5.0000000000000001E-3</v>
      </c>
      <c r="F506" s="267">
        <f>ÉV!$B$12</f>
        <v>0</v>
      </c>
      <c r="G506" s="271">
        <f ca="1">VLOOKUP(A506,ÉV!$A$18:$B$65,2,0)</f>
        <v>0</v>
      </c>
      <c r="H506" s="271">
        <f ca="1">IF(OR(A506=1,AND(C506=ÉV!$I$2,D506&gt;ÉV!$J$2),C506&gt;ÉV!$I$2),0,INDEX(Pz!$B$2:$AM$48,A506-1,ÉV!$G$2-9)/100000*ÉV!$B$10)</f>
        <v>0</v>
      </c>
      <c r="I506" s="271">
        <f ca="1">INDEX(Pz!$B$2:$AM$48,HÓ!A506,ÉV!$G$2-9)/100000*ÉV!$B$10</f>
        <v>0</v>
      </c>
      <c r="J506" s="273">
        <f ca="1">IF(OR(A506=1,A506=2,AND(C506=ÉV!$I$2,D506&gt;ÉV!$J$2),C506&gt;ÉV!$I$2),0,VLOOKUP(A506-2,ÉV!$A$18:$C$65,3,0))</f>
        <v>0</v>
      </c>
      <c r="K506" s="273">
        <f ca="1">IF(OR(A506=1,AND(C506=ÉV!$I$2,D506&gt;ÉV!$J$2),C506&gt;ÉV!$I$2),0,VLOOKUP(A506-1,ÉV!$A$18:$C$65,3,0))</f>
        <v>0</v>
      </c>
      <c r="L506" s="273">
        <f ca="1">VLOOKUP(A506,ÉV!$A$18:$C$65,3,0)*IF(OR(AND(C506=ÉV!$I$2,D506&gt;ÉV!$J$2),C506&gt;ÉV!$I$2),0,1)</f>
        <v>0</v>
      </c>
      <c r="M506" s="273">
        <f ca="1">(K506*(12-B506)/12+L506*B506/12)*IF(A506&gt;ÉV!$G$2,0,1)+IF(A506&gt;ÉV!$G$2,M505,0)*IF(OR(AND(C506=ÉV!$I$2,D506&gt;ÉV!$J$2),C506&gt;ÉV!$I$2),0,1)</f>
        <v>0</v>
      </c>
      <c r="N506" s="274">
        <f ca="1">IF(AND(C506=1,D506&lt;12),0,1)*IF(D506=12,MAX(0,F506-E506-0.003)*0.9*((K506+I506)*(B506/12)+(J506+H506)*(1-B506/12))+MAX(0,F506-0.003)*0.9*N505+N505,IF(AND(C506=ÉV!$I$2,D506=ÉV!$J$2),(M506+N505)*MAX(0,F506-0.003)*0.9*(D506/12)+N505,N505))*IF(OR(C506&gt;ÉV!$I$2,AND(C506=ÉV!$I$2,D506&gt;ÉV!$J$2)),0,1)</f>
        <v>0</v>
      </c>
      <c r="O506" s="313">
        <f ca="1">IF(MAX(AF$2:AF505)=2,      0,IF(OR(AC506=7, AF506=2),    SUM(AE$2:AE506),    O505)   )</f>
        <v>0</v>
      </c>
      <c r="P506" s="271">
        <f ca="1">IF(D506=12,V506+P505+P505*(F506-0.003)*0.9,IF(AND(C506=ÉV!$I$2,D506=ÉV!$J$2),V506+P505+P505*(F506-0.003)*0.9*D506/12,P505))*IF(OR(C506&gt;ÉV!$I$2,AND(C506=ÉV!$I$2,D506&gt;ÉV!$J$2)),0,1)</f>
        <v>0</v>
      </c>
      <c r="Q506" s="275">
        <f ca="1">(N506+P506)*IF(OR(AND(C506=ÉV!$I$2,D506&gt;ÉV!$J$2),C506&gt;ÉV!$I$2),0,1)</f>
        <v>0</v>
      </c>
      <c r="R506" s="271">
        <f ca="1">(MAX(0,F506-E506-0.003)*0.9*((K506+I506)*(1/12)))*IF(OR(C506&gt;ÉV!$I$2,AND(C506=ÉV!$I$2,D506&gt;ÉV!$J$2)),0,1)</f>
        <v>0</v>
      </c>
      <c r="S506" s="271">
        <f ca="1">(MAX(0,F506-0.003)*0.9*((O506)*(1/12)))*IF(OR(C506&gt;ÉV!$I$2,AND(C506=ÉV!$I$2,D506&gt;ÉV!$J$2)),0,1)</f>
        <v>0</v>
      </c>
      <c r="T506" s="271">
        <f ca="1">(MAX(0,F506-0.003)*0.9*((Q505)*(1/12)))*IF(OR(C506&gt;ÉV!$I$2,AND(C506=ÉV!$I$2,D506&gt;ÉV!$J$2)),0,1)</f>
        <v>0</v>
      </c>
      <c r="U506" s="271">
        <f ca="1">IF($D506=1,R506,R506+U505)*IF(OR(C506&gt;ÉV!$I$2,AND(C506=ÉV!$I$2,D506&gt;ÉV!$J$2)),0,1)</f>
        <v>0</v>
      </c>
      <c r="V506" s="271">
        <f ca="1">IF($D506=1,S506,S506+V505)*IF(OR(C506&gt;ÉV!$I$2,AND(C506=ÉV!$I$2,D506&gt;ÉV!$J$2)),0,1)</f>
        <v>0</v>
      </c>
      <c r="W506" s="271">
        <f ca="1">IF($D506=1,T506,T506+W505)*IF(OR(C506&gt;ÉV!$I$2,AND(C506=ÉV!$I$2,D506&gt;ÉV!$J$2)),0,1)</f>
        <v>0</v>
      </c>
      <c r="X506" s="271">
        <f ca="1">IF(OR(D506=12,AND(C506=ÉV!$I$2,D506=ÉV!$J$2)),SUM(U506:W506)+X505,X505)*IF(OR(C506&gt;ÉV!$I$2,AND(C506=ÉV!$I$2,D506&gt;ÉV!$J$2)),0,1)</f>
        <v>0</v>
      </c>
      <c r="Y506" s="271">
        <f t="shared" ca="1" si="81"/>
        <v>0</v>
      </c>
      <c r="Z506" s="265">
        <f t="shared" si="82"/>
        <v>12</v>
      </c>
      <c r="AA506" s="272">
        <f t="shared" ca="1" si="83"/>
        <v>0</v>
      </c>
      <c r="AB506" s="265">
        <f t="shared" ca="1" si="87"/>
        <v>2059</v>
      </c>
      <c r="AC506" s="265">
        <f t="shared" ca="1" si="88"/>
        <v>3</v>
      </c>
      <c r="AD506" s="276">
        <f ca="1">IF(     OR(               AND(MAX(AF$6:AF506)&lt;2,  AC506=12),                 AF506=2),                   SUMIF(AB:AB,AB506,AA:AA),                       0)</f>
        <v>0</v>
      </c>
      <c r="AE506" s="277">
        <f t="shared" ca="1" si="89"/>
        <v>0</v>
      </c>
      <c r="AF506" s="277">
        <f t="shared" ca="1" si="84"/>
        <v>0</v>
      </c>
      <c r="AG506" s="402">
        <f ca="1">IF(  AND(AC506=AdóHó,   MAX(AF$1:AF505)&lt;2),   SUMIF(AB:AB,AB506-1,AE:AE),0  )
+ IF(AND(AC506&lt;AdóHó,                            AF506=2),   SUMIF(AB:AB,AB506-1,AE:AE),0  )
+ IF(                                                                  AF506=2,    SUMIF(AB:AB,AB506,AE:AE   ),0  )</f>
        <v>0</v>
      </c>
      <c r="AH506" s="272">
        <f ca="1">SUM(AG$2:AG506)</f>
        <v>1139324.2410681627</v>
      </c>
    </row>
    <row r="507" spans="1:34">
      <c r="A507" s="265">
        <f t="shared" si="90"/>
        <v>43</v>
      </c>
      <c r="B507" s="265">
        <f t="shared" si="91"/>
        <v>1</v>
      </c>
      <c r="C507" s="265">
        <f t="shared" ca="1" si="85"/>
        <v>43</v>
      </c>
      <c r="D507" s="265">
        <f t="shared" ca="1" si="86"/>
        <v>4</v>
      </c>
      <c r="E507" s="266">
        <v>5.0000000000000001E-3</v>
      </c>
      <c r="F507" s="267">
        <f>ÉV!$B$12</f>
        <v>0</v>
      </c>
      <c r="G507" s="271">
        <f ca="1">VLOOKUP(A507,ÉV!$A$18:$B$65,2,0)</f>
        <v>0</v>
      </c>
      <c r="H507" s="271">
        <f ca="1">IF(OR(A507=1,AND(C507=ÉV!$I$2,D507&gt;ÉV!$J$2),C507&gt;ÉV!$I$2),0,INDEX(Pz!$B$2:$AM$48,A507-1,ÉV!$G$2-9)/100000*ÉV!$B$10)</f>
        <v>0</v>
      </c>
      <c r="I507" s="271">
        <f ca="1">INDEX(Pz!$B$2:$AM$48,HÓ!A507,ÉV!$G$2-9)/100000*ÉV!$B$10</f>
        <v>0</v>
      </c>
      <c r="J507" s="273">
        <f ca="1">IF(OR(A507=1,A507=2,AND(C507=ÉV!$I$2,D507&gt;ÉV!$J$2),C507&gt;ÉV!$I$2),0,VLOOKUP(A507-2,ÉV!$A$18:$C$65,3,0))</f>
        <v>0</v>
      </c>
      <c r="K507" s="273">
        <f ca="1">IF(OR(A507=1,AND(C507=ÉV!$I$2,D507&gt;ÉV!$J$2),C507&gt;ÉV!$I$2),0,VLOOKUP(A507-1,ÉV!$A$18:$C$65,3,0))</f>
        <v>0</v>
      </c>
      <c r="L507" s="273">
        <f ca="1">VLOOKUP(A507,ÉV!$A$18:$C$65,3,0)*IF(OR(AND(C507=ÉV!$I$2,D507&gt;ÉV!$J$2),C507&gt;ÉV!$I$2),0,1)</f>
        <v>0</v>
      </c>
      <c r="M507" s="273">
        <f ca="1">(K507*(12-B507)/12+L507*B507/12)*IF(A507&gt;ÉV!$G$2,0,1)+IF(A507&gt;ÉV!$G$2,M506,0)*IF(OR(AND(C507=ÉV!$I$2,D507&gt;ÉV!$J$2),C507&gt;ÉV!$I$2),0,1)</f>
        <v>0</v>
      </c>
      <c r="N507" s="274">
        <f ca="1">IF(AND(C507=1,D507&lt;12),0,1)*IF(D507=12,MAX(0,F507-E507-0.003)*0.9*((K507+I507)*(B507/12)+(J507+H507)*(1-B507/12))+MAX(0,F507-0.003)*0.9*N506+N506,IF(AND(C507=ÉV!$I$2,D507=ÉV!$J$2),(M507+N506)*MAX(0,F507-0.003)*0.9*(D507/12)+N506,N506))*IF(OR(C507&gt;ÉV!$I$2,AND(C507=ÉV!$I$2,D507&gt;ÉV!$J$2)),0,1)</f>
        <v>0</v>
      </c>
      <c r="O507" s="313">
        <f ca="1">IF(MAX(AF$2:AF506)=2,      0,IF(OR(AC507=7, AF507=2),    SUM(AE$2:AE507),    O506)   )</f>
        <v>0</v>
      </c>
      <c r="P507" s="271">
        <f ca="1">IF(D507=12,V507+P506+P506*(F507-0.003)*0.9,IF(AND(C507=ÉV!$I$2,D507=ÉV!$J$2),V507+P506+P506*(F507-0.003)*0.9*D507/12,P506))*IF(OR(C507&gt;ÉV!$I$2,AND(C507=ÉV!$I$2,D507&gt;ÉV!$J$2)),0,1)</f>
        <v>0</v>
      </c>
      <c r="Q507" s="275">
        <f ca="1">(N507+P507)*IF(OR(AND(C507=ÉV!$I$2,D507&gt;ÉV!$J$2),C507&gt;ÉV!$I$2),0,1)</f>
        <v>0</v>
      </c>
      <c r="R507" s="271">
        <f ca="1">(MAX(0,F507-E507-0.003)*0.9*((K507+I507)*(1/12)))*IF(OR(C507&gt;ÉV!$I$2,AND(C507=ÉV!$I$2,D507&gt;ÉV!$J$2)),0,1)</f>
        <v>0</v>
      </c>
      <c r="S507" s="271">
        <f ca="1">(MAX(0,F507-0.003)*0.9*((O507)*(1/12)))*IF(OR(C507&gt;ÉV!$I$2,AND(C507=ÉV!$I$2,D507&gt;ÉV!$J$2)),0,1)</f>
        <v>0</v>
      </c>
      <c r="T507" s="271">
        <f ca="1">(MAX(0,F507-0.003)*0.9*((Q506)*(1/12)))*IF(OR(C507&gt;ÉV!$I$2,AND(C507=ÉV!$I$2,D507&gt;ÉV!$J$2)),0,1)</f>
        <v>0</v>
      </c>
      <c r="U507" s="271">
        <f ca="1">IF($D507=1,R507,R507+U506)*IF(OR(C507&gt;ÉV!$I$2,AND(C507=ÉV!$I$2,D507&gt;ÉV!$J$2)),0,1)</f>
        <v>0</v>
      </c>
      <c r="V507" s="271">
        <f ca="1">IF($D507=1,S507,S507+V506)*IF(OR(C507&gt;ÉV!$I$2,AND(C507=ÉV!$I$2,D507&gt;ÉV!$J$2)),0,1)</f>
        <v>0</v>
      </c>
      <c r="W507" s="271">
        <f ca="1">IF($D507=1,T507,T507+W506)*IF(OR(C507&gt;ÉV!$I$2,AND(C507=ÉV!$I$2,D507&gt;ÉV!$J$2)),0,1)</f>
        <v>0</v>
      </c>
      <c r="X507" s="271">
        <f ca="1">IF(OR(D507=12,AND(C507=ÉV!$I$2,D507=ÉV!$J$2)),SUM(U507:W507)+X506,X506)*IF(OR(C507&gt;ÉV!$I$2,AND(C507=ÉV!$I$2,D507&gt;ÉV!$J$2)),0,1)</f>
        <v>0</v>
      </c>
      <c r="Y507" s="271">
        <f t="shared" ca="1" si="81"/>
        <v>0</v>
      </c>
      <c r="Z507" s="265">
        <f t="shared" si="82"/>
        <v>1</v>
      </c>
      <c r="AA507" s="272">
        <f t="shared" ca="1" si="83"/>
        <v>0</v>
      </c>
      <c r="AB507" s="265">
        <f t="shared" ca="1" si="87"/>
        <v>2059</v>
      </c>
      <c r="AC507" s="265">
        <f t="shared" ca="1" si="88"/>
        <v>4</v>
      </c>
      <c r="AD507" s="276">
        <f ca="1">IF(     OR(               AND(MAX(AF$6:AF507)&lt;2,  AC507=12),                 AF507=2),                   SUMIF(AB:AB,AB507,AA:AA),                       0)</f>
        <v>0</v>
      </c>
      <c r="AE507" s="277">
        <f t="shared" ca="1" si="89"/>
        <v>0</v>
      </c>
      <c r="AF507" s="277">
        <f t="shared" ca="1" si="84"/>
        <v>0</v>
      </c>
      <c r="AG507" s="402">
        <f ca="1">IF(  AND(AC507=AdóHó,   MAX(AF$1:AF506)&lt;2),   SUMIF(AB:AB,AB507-1,AE:AE),0  )
+ IF(AND(AC507&lt;AdóHó,                            AF507=2),   SUMIF(AB:AB,AB507-1,AE:AE),0  )
+ IF(                                                                  AF507=2,    SUMIF(AB:AB,AB507,AE:AE   ),0  )</f>
        <v>0</v>
      </c>
      <c r="AH507" s="272">
        <f ca="1">SUM(AG$2:AG507)</f>
        <v>1139324.2410681627</v>
      </c>
    </row>
    <row r="508" spans="1:34">
      <c r="A508" s="265">
        <f t="shared" si="90"/>
        <v>43</v>
      </c>
      <c r="B508" s="265">
        <f t="shared" si="91"/>
        <v>2</v>
      </c>
      <c r="C508" s="265">
        <f t="shared" ca="1" si="85"/>
        <v>43</v>
      </c>
      <c r="D508" s="265">
        <f t="shared" ca="1" si="86"/>
        <v>5</v>
      </c>
      <c r="E508" s="266">
        <v>5.0000000000000001E-3</v>
      </c>
      <c r="F508" s="267">
        <f>ÉV!$B$12</f>
        <v>0</v>
      </c>
      <c r="G508" s="271">
        <f ca="1">VLOOKUP(A508,ÉV!$A$18:$B$65,2,0)</f>
        <v>0</v>
      </c>
      <c r="H508" s="271">
        <f ca="1">IF(OR(A508=1,AND(C508=ÉV!$I$2,D508&gt;ÉV!$J$2),C508&gt;ÉV!$I$2),0,INDEX(Pz!$B$2:$AM$48,A508-1,ÉV!$G$2-9)/100000*ÉV!$B$10)</f>
        <v>0</v>
      </c>
      <c r="I508" s="271">
        <f ca="1">INDEX(Pz!$B$2:$AM$48,HÓ!A508,ÉV!$G$2-9)/100000*ÉV!$B$10</f>
        <v>0</v>
      </c>
      <c r="J508" s="273">
        <f ca="1">IF(OR(A508=1,A508=2,AND(C508=ÉV!$I$2,D508&gt;ÉV!$J$2),C508&gt;ÉV!$I$2),0,VLOOKUP(A508-2,ÉV!$A$18:$C$65,3,0))</f>
        <v>0</v>
      </c>
      <c r="K508" s="273">
        <f ca="1">IF(OR(A508=1,AND(C508=ÉV!$I$2,D508&gt;ÉV!$J$2),C508&gt;ÉV!$I$2),0,VLOOKUP(A508-1,ÉV!$A$18:$C$65,3,0))</f>
        <v>0</v>
      </c>
      <c r="L508" s="273">
        <f ca="1">VLOOKUP(A508,ÉV!$A$18:$C$65,3,0)*IF(OR(AND(C508=ÉV!$I$2,D508&gt;ÉV!$J$2),C508&gt;ÉV!$I$2),0,1)</f>
        <v>0</v>
      </c>
      <c r="M508" s="273">
        <f ca="1">(K508*(12-B508)/12+L508*B508/12)*IF(A508&gt;ÉV!$G$2,0,1)+IF(A508&gt;ÉV!$G$2,M507,0)*IF(OR(AND(C508=ÉV!$I$2,D508&gt;ÉV!$J$2),C508&gt;ÉV!$I$2),0,1)</f>
        <v>0</v>
      </c>
      <c r="N508" s="274">
        <f ca="1">IF(AND(C508=1,D508&lt;12),0,1)*IF(D508=12,MAX(0,F508-E508-0.003)*0.9*((K508+I508)*(B508/12)+(J508+H508)*(1-B508/12))+MAX(0,F508-0.003)*0.9*N507+N507,IF(AND(C508=ÉV!$I$2,D508=ÉV!$J$2),(M508+N507)*MAX(0,F508-0.003)*0.9*(D508/12)+N507,N507))*IF(OR(C508&gt;ÉV!$I$2,AND(C508=ÉV!$I$2,D508&gt;ÉV!$J$2)),0,1)</f>
        <v>0</v>
      </c>
      <c r="O508" s="313">
        <f ca="1">IF(MAX(AF$2:AF507)=2,      0,IF(OR(AC508=7, AF508=2),    SUM(AE$2:AE508),    O507)   )</f>
        <v>0</v>
      </c>
      <c r="P508" s="271">
        <f ca="1">IF(D508=12,V508+P507+P507*(F508-0.003)*0.9,IF(AND(C508=ÉV!$I$2,D508=ÉV!$J$2),V508+P507+P507*(F508-0.003)*0.9*D508/12,P507))*IF(OR(C508&gt;ÉV!$I$2,AND(C508=ÉV!$I$2,D508&gt;ÉV!$J$2)),0,1)</f>
        <v>0</v>
      </c>
      <c r="Q508" s="275">
        <f ca="1">(N508+P508)*IF(OR(AND(C508=ÉV!$I$2,D508&gt;ÉV!$J$2),C508&gt;ÉV!$I$2),0,1)</f>
        <v>0</v>
      </c>
      <c r="R508" s="271">
        <f ca="1">(MAX(0,F508-E508-0.003)*0.9*((K508+I508)*(1/12)))*IF(OR(C508&gt;ÉV!$I$2,AND(C508=ÉV!$I$2,D508&gt;ÉV!$J$2)),0,1)</f>
        <v>0</v>
      </c>
      <c r="S508" s="271">
        <f ca="1">(MAX(0,F508-0.003)*0.9*((O508)*(1/12)))*IF(OR(C508&gt;ÉV!$I$2,AND(C508=ÉV!$I$2,D508&gt;ÉV!$J$2)),0,1)</f>
        <v>0</v>
      </c>
      <c r="T508" s="271">
        <f ca="1">(MAX(0,F508-0.003)*0.9*((Q507)*(1/12)))*IF(OR(C508&gt;ÉV!$I$2,AND(C508=ÉV!$I$2,D508&gt;ÉV!$J$2)),0,1)</f>
        <v>0</v>
      </c>
      <c r="U508" s="271">
        <f ca="1">IF($D508=1,R508,R508+U507)*IF(OR(C508&gt;ÉV!$I$2,AND(C508=ÉV!$I$2,D508&gt;ÉV!$J$2)),0,1)</f>
        <v>0</v>
      </c>
      <c r="V508" s="271">
        <f ca="1">IF($D508=1,S508,S508+V507)*IF(OR(C508&gt;ÉV!$I$2,AND(C508=ÉV!$I$2,D508&gt;ÉV!$J$2)),0,1)</f>
        <v>0</v>
      </c>
      <c r="W508" s="271">
        <f ca="1">IF($D508=1,T508,T508+W507)*IF(OR(C508&gt;ÉV!$I$2,AND(C508=ÉV!$I$2,D508&gt;ÉV!$J$2)),0,1)</f>
        <v>0</v>
      </c>
      <c r="X508" s="271">
        <f ca="1">IF(OR(D508=12,AND(C508=ÉV!$I$2,D508=ÉV!$J$2)),SUM(U508:W508)+X507,X507)*IF(OR(C508&gt;ÉV!$I$2,AND(C508=ÉV!$I$2,D508&gt;ÉV!$J$2)),0,1)</f>
        <v>0</v>
      </c>
      <c r="Y508" s="271">
        <f t="shared" ca="1" si="81"/>
        <v>0</v>
      </c>
      <c r="Z508" s="265">
        <f t="shared" si="82"/>
        <v>2</v>
      </c>
      <c r="AA508" s="272">
        <f t="shared" ca="1" si="83"/>
        <v>0</v>
      </c>
      <c r="AB508" s="265">
        <f t="shared" ca="1" si="87"/>
        <v>2059</v>
      </c>
      <c r="AC508" s="265">
        <f t="shared" ca="1" si="88"/>
        <v>5</v>
      </c>
      <c r="AD508" s="276">
        <f ca="1">IF(     OR(               AND(MAX(AF$6:AF508)&lt;2,  AC508=12),                 AF508=2),                   SUMIF(AB:AB,AB508,AA:AA),                       0)</f>
        <v>0</v>
      </c>
      <c r="AE508" s="277">
        <f t="shared" ca="1" si="89"/>
        <v>0</v>
      </c>
      <c r="AF508" s="277">
        <f t="shared" ca="1" si="84"/>
        <v>0</v>
      </c>
      <c r="AG508" s="402">
        <f ca="1">IF(  AND(AC508=AdóHó,   MAX(AF$1:AF507)&lt;2),   SUMIF(AB:AB,AB508-1,AE:AE),0  )
+ IF(AND(AC508&lt;AdóHó,                            AF508=2),   SUMIF(AB:AB,AB508-1,AE:AE),0  )
+ IF(                                                                  AF508=2,    SUMIF(AB:AB,AB508,AE:AE   ),0  )</f>
        <v>0</v>
      </c>
      <c r="AH508" s="272">
        <f ca="1">SUM(AG$2:AG508)</f>
        <v>1139324.2410681627</v>
      </c>
    </row>
    <row r="509" spans="1:34">
      <c r="A509" s="265">
        <f t="shared" si="90"/>
        <v>43</v>
      </c>
      <c r="B509" s="265">
        <f t="shared" si="91"/>
        <v>3</v>
      </c>
      <c r="C509" s="265">
        <f t="shared" ca="1" si="85"/>
        <v>43</v>
      </c>
      <c r="D509" s="265">
        <f t="shared" ca="1" si="86"/>
        <v>6</v>
      </c>
      <c r="E509" s="266">
        <v>5.0000000000000001E-3</v>
      </c>
      <c r="F509" s="267">
        <f>ÉV!$B$12</f>
        <v>0</v>
      </c>
      <c r="G509" s="271">
        <f ca="1">VLOOKUP(A509,ÉV!$A$18:$B$65,2,0)</f>
        <v>0</v>
      </c>
      <c r="H509" s="271">
        <f ca="1">IF(OR(A509=1,AND(C509=ÉV!$I$2,D509&gt;ÉV!$J$2),C509&gt;ÉV!$I$2),0,INDEX(Pz!$B$2:$AM$48,A509-1,ÉV!$G$2-9)/100000*ÉV!$B$10)</f>
        <v>0</v>
      </c>
      <c r="I509" s="271">
        <f ca="1">INDEX(Pz!$B$2:$AM$48,HÓ!A509,ÉV!$G$2-9)/100000*ÉV!$B$10</f>
        <v>0</v>
      </c>
      <c r="J509" s="273">
        <f ca="1">IF(OR(A509=1,A509=2,AND(C509=ÉV!$I$2,D509&gt;ÉV!$J$2),C509&gt;ÉV!$I$2),0,VLOOKUP(A509-2,ÉV!$A$18:$C$65,3,0))</f>
        <v>0</v>
      </c>
      <c r="K509" s="273">
        <f ca="1">IF(OR(A509=1,AND(C509=ÉV!$I$2,D509&gt;ÉV!$J$2),C509&gt;ÉV!$I$2),0,VLOOKUP(A509-1,ÉV!$A$18:$C$65,3,0))</f>
        <v>0</v>
      </c>
      <c r="L509" s="273">
        <f ca="1">VLOOKUP(A509,ÉV!$A$18:$C$65,3,0)*IF(OR(AND(C509=ÉV!$I$2,D509&gt;ÉV!$J$2),C509&gt;ÉV!$I$2),0,1)</f>
        <v>0</v>
      </c>
      <c r="M509" s="273">
        <f ca="1">(K509*(12-B509)/12+L509*B509/12)*IF(A509&gt;ÉV!$G$2,0,1)+IF(A509&gt;ÉV!$G$2,M508,0)*IF(OR(AND(C509=ÉV!$I$2,D509&gt;ÉV!$J$2),C509&gt;ÉV!$I$2),0,1)</f>
        <v>0</v>
      </c>
      <c r="N509" s="274">
        <f ca="1">IF(AND(C509=1,D509&lt;12),0,1)*IF(D509=12,MAX(0,F509-E509-0.003)*0.9*((K509+I509)*(B509/12)+(J509+H509)*(1-B509/12))+MAX(0,F509-0.003)*0.9*N508+N508,IF(AND(C509=ÉV!$I$2,D509=ÉV!$J$2),(M509+N508)*MAX(0,F509-0.003)*0.9*(D509/12)+N508,N508))*IF(OR(C509&gt;ÉV!$I$2,AND(C509=ÉV!$I$2,D509&gt;ÉV!$J$2)),0,1)</f>
        <v>0</v>
      </c>
      <c r="O509" s="313">
        <f ca="1">IF(MAX(AF$2:AF508)=2,      0,IF(OR(AC509=7, AF509=2),    SUM(AE$2:AE509),    O508)   )</f>
        <v>0</v>
      </c>
      <c r="P509" s="271">
        <f ca="1">IF(D509=12,V509+P508+P508*(F509-0.003)*0.9,IF(AND(C509=ÉV!$I$2,D509=ÉV!$J$2),V509+P508+P508*(F509-0.003)*0.9*D509/12,P508))*IF(OR(C509&gt;ÉV!$I$2,AND(C509=ÉV!$I$2,D509&gt;ÉV!$J$2)),0,1)</f>
        <v>0</v>
      </c>
      <c r="Q509" s="275">
        <f ca="1">(N509+P509)*IF(OR(AND(C509=ÉV!$I$2,D509&gt;ÉV!$J$2),C509&gt;ÉV!$I$2),0,1)</f>
        <v>0</v>
      </c>
      <c r="R509" s="271">
        <f ca="1">(MAX(0,F509-E509-0.003)*0.9*((K509+I509)*(1/12)))*IF(OR(C509&gt;ÉV!$I$2,AND(C509=ÉV!$I$2,D509&gt;ÉV!$J$2)),0,1)</f>
        <v>0</v>
      </c>
      <c r="S509" s="271">
        <f ca="1">(MAX(0,F509-0.003)*0.9*((O509)*(1/12)))*IF(OR(C509&gt;ÉV!$I$2,AND(C509=ÉV!$I$2,D509&gt;ÉV!$J$2)),0,1)</f>
        <v>0</v>
      </c>
      <c r="T509" s="271">
        <f ca="1">(MAX(0,F509-0.003)*0.9*((Q508)*(1/12)))*IF(OR(C509&gt;ÉV!$I$2,AND(C509=ÉV!$I$2,D509&gt;ÉV!$J$2)),0,1)</f>
        <v>0</v>
      </c>
      <c r="U509" s="271">
        <f ca="1">IF($D509=1,R509,R509+U508)*IF(OR(C509&gt;ÉV!$I$2,AND(C509=ÉV!$I$2,D509&gt;ÉV!$J$2)),0,1)</f>
        <v>0</v>
      </c>
      <c r="V509" s="271">
        <f ca="1">IF($D509=1,S509,S509+V508)*IF(OR(C509&gt;ÉV!$I$2,AND(C509=ÉV!$I$2,D509&gt;ÉV!$J$2)),0,1)</f>
        <v>0</v>
      </c>
      <c r="W509" s="271">
        <f ca="1">IF($D509=1,T509,T509+W508)*IF(OR(C509&gt;ÉV!$I$2,AND(C509=ÉV!$I$2,D509&gt;ÉV!$J$2)),0,1)</f>
        <v>0</v>
      </c>
      <c r="X509" s="271">
        <f ca="1">IF(OR(D509=12,AND(C509=ÉV!$I$2,D509=ÉV!$J$2)),SUM(U509:W509)+X508,X508)*IF(OR(C509&gt;ÉV!$I$2,AND(C509=ÉV!$I$2,D509&gt;ÉV!$J$2)),0,1)</f>
        <v>0</v>
      </c>
      <c r="Y509" s="271">
        <f t="shared" ca="1" si="81"/>
        <v>0</v>
      </c>
      <c r="Z509" s="265">
        <f t="shared" si="82"/>
        <v>3</v>
      </c>
      <c r="AA509" s="272">
        <f t="shared" ca="1" si="83"/>
        <v>0</v>
      </c>
      <c r="AB509" s="265">
        <f t="shared" ca="1" si="87"/>
        <v>2059</v>
      </c>
      <c r="AC509" s="265">
        <f t="shared" ca="1" si="88"/>
        <v>6</v>
      </c>
      <c r="AD509" s="276">
        <f ca="1">IF(     OR(               AND(MAX(AF$6:AF509)&lt;2,  AC509=12),                 AF509=2),                   SUMIF(AB:AB,AB509,AA:AA),                       0)</f>
        <v>0</v>
      </c>
      <c r="AE509" s="277">
        <f t="shared" ca="1" si="89"/>
        <v>0</v>
      </c>
      <c r="AF509" s="277">
        <f t="shared" ca="1" si="84"/>
        <v>0</v>
      </c>
      <c r="AG509" s="402">
        <f ca="1">IF(  AND(AC509=AdóHó,   MAX(AF$1:AF508)&lt;2),   SUMIF(AB:AB,AB509-1,AE:AE),0  )
+ IF(AND(AC509&lt;AdóHó,                            AF509=2),   SUMIF(AB:AB,AB509-1,AE:AE),0  )
+ IF(                                                                  AF509=2,    SUMIF(AB:AB,AB509,AE:AE   ),0  )</f>
        <v>0</v>
      </c>
      <c r="AH509" s="272">
        <f ca="1">SUM(AG$2:AG509)</f>
        <v>1139324.2410681627</v>
      </c>
    </row>
    <row r="510" spans="1:34">
      <c r="A510" s="265">
        <f t="shared" si="90"/>
        <v>43</v>
      </c>
      <c r="B510" s="265">
        <f t="shared" si="91"/>
        <v>4</v>
      </c>
      <c r="C510" s="265">
        <f t="shared" ca="1" si="85"/>
        <v>43</v>
      </c>
      <c r="D510" s="265">
        <f t="shared" ca="1" si="86"/>
        <v>7</v>
      </c>
      <c r="E510" s="266">
        <v>5.0000000000000001E-3</v>
      </c>
      <c r="F510" s="267">
        <f>ÉV!$B$12</f>
        <v>0</v>
      </c>
      <c r="G510" s="271">
        <f ca="1">VLOOKUP(A510,ÉV!$A$18:$B$65,2,0)</f>
        <v>0</v>
      </c>
      <c r="H510" s="271">
        <f ca="1">IF(OR(A510=1,AND(C510=ÉV!$I$2,D510&gt;ÉV!$J$2),C510&gt;ÉV!$I$2),0,INDEX(Pz!$B$2:$AM$48,A510-1,ÉV!$G$2-9)/100000*ÉV!$B$10)</f>
        <v>0</v>
      </c>
      <c r="I510" s="271">
        <f ca="1">INDEX(Pz!$B$2:$AM$48,HÓ!A510,ÉV!$G$2-9)/100000*ÉV!$B$10</f>
        <v>0</v>
      </c>
      <c r="J510" s="273">
        <f ca="1">IF(OR(A510=1,A510=2,AND(C510=ÉV!$I$2,D510&gt;ÉV!$J$2),C510&gt;ÉV!$I$2),0,VLOOKUP(A510-2,ÉV!$A$18:$C$65,3,0))</f>
        <v>0</v>
      </c>
      <c r="K510" s="273">
        <f ca="1">IF(OR(A510=1,AND(C510=ÉV!$I$2,D510&gt;ÉV!$J$2),C510&gt;ÉV!$I$2),0,VLOOKUP(A510-1,ÉV!$A$18:$C$65,3,0))</f>
        <v>0</v>
      </c>
      <c r="L510" s="273">
        <f ca="1">VLOOKUP(A510,ÉV!$A$18:$C$65,3,0)*IF(OR(AND(C510=ÉV!$I$2,D510&gt;ÉV!$J$2),C510&gt;ÉV!$I$2),0,1)</f>
        <v>0</v>
      </c>
      <c r="M510" s="273">
        <f ca="1">(K510*(12-B510)/12+L510*B510/12)*IF(A510&gt;ÉV!$G$2,0,1)+IF(A510&gt;ÉV!$G$2,M509,0)*IF(OR(AND(C510=ÉV!$I$2,D510&gt;ÉV!$J$2),C510&gt;ÉV!$I$2),0,1)</f>
        <v>0</v>
      </c>
      <c r="N510" s="274">
        <f ca="1">IF(AND(C510=1,D510&lt;12),0,1)*IF(D510=12,MAX(0,F510-E510-0.003)*0.9*((K510+I510)*(B510/12)+(J510+H510)*(1-B510/12))+MAX(0,F510-0.003)*0.9*N509+N509,IF(AND(C510=ÉV!$I$2,D510=ÉV!$J$2),(M510+N509)*MAX(0,F510-0.003)*0.9*(D510/12)+N509,N509))*IF(OR(C510&gt;ÉV!$I$2,AND(C510=ÉV!$I$2,D510&gt;ÉV!$J$2)),0,1)</f>
        <v>0</v>
      </c>
      <c r="O510" s="313">
        <f ca="1">IF(MAX(AF$2:AF509)=2,      0,IF(OR(AC510=7, AF510=2),    SUM(AE$2:AE510),    O509)   )</f>
        <v>0</v>
      </c>
      <c r="P510" s="271">
        <f ca="1">IF(D510=12,V510+P509+P509*(F510-0.003)*0.9,IF(AND(C510=ÉV!$I$2,D510=ÉV!$J$2),V510+P509+P509*(F510-0.003)*0.9*D510/12,P509))*IF(OR(C510&gt;ÉV!$I$2,AND(C510=ÉV!$I$2,D510&gt;ÉV!$J$2)),0,1)</f>
        <v>0</v>
      </c>
      <c r="Q510" s="275">
        <f ca="1">(N510+P510)*IF(OR(AND(C510=ÉV!$I$2,D510&gt;ÉV!$J$2),C510&gt;ÉV!$I$2),0,1)</f>
        <v>0</v>
      </c>
      <c r="R510" s="271">
        <f ca="1">(MAX(0,F510-E510-0.003)*0.9*((K510+I510)*(1/12)))*IF(OR(C510&gt;ÉV!$I$2,AND(C510=ÉV!$I$2,D510&gt;ÉV!$J$2)),0,1)</f>
        <v>0</v>
      </c>
      <c r="S510" s="271">
        <f ca="1">(MAX(0,F510-0.003)*0.9*((O510)*(1/12)))*IF(OR(C510&gt;ÉV!$I$2,AND(C510=ÉV!$I$2,D510&gt;ÉV!$J$2)),0,1)</f>
        <v>0</v>
      </c>
      <c r="T510" s="271">
        <f ca="1">(MAX(0,F510-0.003)*0.9*((Q509)*(1/12)))*IF(OR(C510&gt;ÉV!$I$2,AND(C510=ÉV!$I$2,D510&gt;ÉV!$J$2)),0,1)</f>
        <v>0</v>
      </c>
      <c r="U510" s="271">
        <f ca="1">IF($D510=1,R510,R510+U509)*IF(OR(C510&gt;ÉV!$I$2,AND(C510=ÉV!$I$2,D510&gt;ÉV!$J$2)),0,1)</f>
        <v>0</v>
      </c>
      <c r="V510" s="271">
        <f ca="1">IF($D510=1,S510,S510+V509)*IF(OR(C510&gt;ÉV!$I$2,AND(C510=ÉV!$I$2,D510&gt;ÉV!$J$2)),0,1)</f>
        <v>0</v>
      </c>
      <c r="W510" s="271">
        <f ca="1">IF($D510=1,T510,T510+W509)*IF(OR(C510&gt;ÉV!$I$2,AND(C510=ÉV!$I$2,D510&gt;ÉV!$J$2)),0,1)</f>
        <v>0</v>
      </c>
      <c r="X510" s="271">
        <f ca="1">IF(OR(D510=12,AND(C510=ÉV!$I$2,D510=ÉV!$J$2)),SUM(U510:W510)+X509,X509)*IF(OR(C510&gt;ÉV!$I$2,AND(C510=ÉV!$I$2,D510&gt;ÉV!$J$2)),0,1)</f>
        <v>0</v>
      </c>
      <c r="Y510" s="271">
        <f t="shared" ca="1" si="81"/>
        <v>0</v>
      </c>
      <c r="Z510" s="265">
        <f t="shared" si="82"/>
        <v>4</v>
      </c>
      <c r="AA510" s="272">
        <f t="shared" ca="1" si="83"/>
        <v>0</v>
      </c>
      <c r="AB510" s="265">
        <f t="shared" ca="1" si="87"/>
        <v>2059</v>
      </c>
      <c r="AC510" s="265">
        <f t="shared" ca="1" si="88"/>
        <v>7</v>
      </c>
      <c r="AD510" s="276">
        <f ca="1">IF(     OR(               AND(MAX(AF$6:AF510)&lt;2,  AC510=12),                 AF510=2),                   SUMIF(AB:AB,AB510,AA:AA),                       0)</f>
        <v>0</v>
      </c>
      <c r="AE510" s="277">
        <f t="shared" ca="1" si="89"/>
        <v>0</v>
      </c>
      <c r="AF510" s="277">
        <f t="shared" ca="1" si="84"/>
        <v>0</v>
      </c>
      <c r="AG510" s="402">
        <f ca="1">IF(  AND(AC510=AdóHó,   MAX(AF$1:AF509)&lt;2),   SUMIF(AB:AB,AB510-1,AE:AE),0  )
+ IF(AND(AC510&lt;AdóHó,                            AF510=2),   SUMIF(AB:AB,AB510-1,AE:AE),0  )
+ IF(                                                                  AF510=2,    SUMIF(AB:AB,AB510,AE:AE   ),0  )</f>
        <v>0</v>
      </c>
      <c r="AH510" s="272">
        <f ca="1">SUM(AG$2:AG510)</f>
        <v>1139324.2410681627</v>
      </c>
    </row>
    <row r="511" spans="1:34">
      <c r="A511" s="265">
        <f t="shared" si="90"/>
        <v>43</v>
      </c>
      <c r="B511" s="265">
        <f t="shared" si="91"/>
        <v>5</v>
      </c>
      <c r="C511" s="265">
        <f t="shared" ca="1" si="85"/>
        <v>43</v>
      </c>
      <c r="D511" s="265">
        <f t="shared" ca="1" si="86"/>
        <v>8</v>
      </c>
      <c r="E511" s="266">
        <v>5.0000000000000001E-3</v>
      </c>
      <c r="F511" s="267">
        <f>ÉV!$B$12</f>
        <v>0</v>
      </c>
      <c r="G511" s="271">
        <f ca="1">VLOOKUP(A511,ÉV!$A$18:$B$65,2,0)</f>
        <v>0</v>
      </c>
      <c r="H511" s="271">
        <f ca="1">IF(OR(A511=1,AND(C511=ÉV!$I$2,D511&gt;ÉV!$J$2),C511&gt;ÉV!$I$2),0,INDEX(Pz!$B$2:$AM$48,A511-1,ÉV!$G$2-9)/100000*ÉV!$B$10)</f>
        <v>0</v>
      </c>
      <c r="I511" s="271">
        <f ca="1">INDEX(Pz!$B$2:$AM$48,HÓ!A511,ÉV!$G$2-9)/100000*ÉV!$B$10</f>
        <v>0</v>
      </c>
      <c r="J511" s="273">
        <f ca="1">IF(OR(A511=1,A511=2,AND(C511=ÉV!$I$2,D511&gt;ÉV!$J$2),C511&gt;ÉV!$I$2),0,VLOOKUP(A511-2,ÉV!$A$18:$C$65,3,0))</f>
        <v>0</v>
      </c>
      <c r="K511" s="273">
        <f ca="1">IF(OR(A511=1,AND(C511=ÉV!$I$2,D511&gt;ÉV!$J$2),C511&gt;ÉV!$I$2),0,VLOOKUP(A511-1,ÉV!$A$18:$C$65,3,0))</f>
        <v>0</v>
      </c>
      <c r="L511" s="273">
        <f ca="1">VLOOKUP(A511,ÉV!$A$18:$C$65,3,0)*IF(OR(AND(C511=ÉV!$I$2,D511&gt;ÉV!$J$2),C511&gt;ÉV!$I$2),0,1)</f>
        <v>0</v>
      </c>
      <c r="M511" s="273">
        <f ca="1">(K511*(12-B511)/12+L511*B511/12)*IF(A511&gt;ÉV!$G$2,0,1)+IF(A511&gt;ÉV!$G$2,M510,0)*IF(OR(AND(C511=ÉV!$I$2,D511&gt;ÉV!$J$2),C511&gt;ÉV!$I$2),0,1)</f>
        <v>0</v>
      </c>
      <c r="N511" s="274">
        <f ca="1">IF(AND(C511=1,D511&lt;12),0,1)*IF(D511=12,MAX(0,F511-E511-0.003)*0.9*((K511+I511)*(B511/12)+(J511+H511)*(1-B511/12))+MAX(0,F511-0.003)*0.9*N510+N510,IF(AND(C511=ÉV!$I$2,D511=ÉV!$J$2),(M511+N510)*MAX(0,F511-0.003)*0.9*(D511/12)+N510,N510))*IF(OR(C511&gt;ÉV!$I$2,AND(C511=ÉV!$I$2,D511&gt;ÉV!$J$2)),0,1)</f>
        <v>0</v>
      </c>
      <c r="O511" s="313">
        <f ca="1">IF(MAX(AF$2:AF510)=2,      0,IF(OR(AC511=7, AF511=2),    SUM(AE$2:AE511),    O510)   )</f>
        <v>0</v>
      </c>
      <c r="P511" s="271">
        <f ca="1">IF(D511=12,V511+P510+P510*(F511-0.003)*0.9,IF(AND(C511=ÉV!$I$2,D511=ÉV!$J$2),V511+P510+P510*(F511-0.003)*0.9*D511/12,P510))*IF(OR(C511&gt;ÉV!$I$2,AND(C511=ÉV!$I$2,D511&gt;ÉV!$J$2)),0,1)</f>
        <v>0</v>
      </c>
      <c r="Q511" s="275">
        <f ca="1">(N511+P511)*IF(OR(AND(C511=ÉV!$I$2,D511&gt;ÉV!$J$2),C511&gt;ÉV!$I$2),0,1)</f>
        <v>0</v>
      </c>
      <c r="R511" s="271">
        <f ca="1">(MAX(0,F511-E511-0.003)*0.9*((K511+I511)*(1/12)))*IF(OR(C511&gt;ÉV!$I$2,AND(C511=ÉV!$I$2,D511&gt;ÉV!$J$2)),0,1)</f>
        <v>0</v>
      </c>
      <c r="S511" s="271">
        <f ca="1">(MAX(0,F511-0.003)*0.9*((O511)*(1/12)))*IF(OR(C511&gt;ÉV!$I$2,AND(C511=ÉV!$I$2,D511&gt;ÉV!$J$2)),0,1)</f>
        <v>0</v>
      </c>
      <c r="T511" s="271">
        <f ca="1">(MAX(0,F511-0.003)*0.9*((Q510)*(1/12)))*IF(OR(C511&gt;ÉV!$I$2,AND(C511=ÉV!$I$2,D511&gt;ÉV!$J$2)),0,1)</f>
        <v>0</v>
      </c>
      <c r="U511" s="271">
        <f ca="1">IF($D511=1,R511,R511+U510)*IF(OR(C511&gt;ÉV!$I$2,AND(C511=ÉV!$I$2,D511&gt;ÉV!$J$2)),0,1)</f>
        <v>0</v>
      </c>
      <c r="V511" s="271">
        <f ca="1">IF($D511=1,S511,S511+V510)*IF(OR(C511&gt;ÉV!$I$2,AND(C511=ÉV!$I$2,D511&gt;ÉV!$J$2)),0,1)</f>
        <v>0</v>
      </c>
      <c r="W511" s="271">
        <f ca="1">IF($D511=1,T511,T511+W510)*IF(OR(C511&gt;ÉV!$I$2,AND(C511=ÉV!$I$2,D511&gt;ÉV!$J$2)),0,1)</f>
        <v>0</v>
      </c>
      <c r="X511" s="271">
        <f ca="1">IF(OR(D511=12,AND(C511=ÉV!$I$2,D511=ÉV!$J$2)),SUM(U511:W511)+X510,X510)*IF(OR(C511&gt;ÉV!$I$2,AND(C511=ÉV!$I$2,D511&gt;ÉV!$J$2)),0,1)</f>
        <v>0</v>
      </c>
      <c r="Y511" s="271">
        <f t="shared" ca="1" si="81"/>
        <v>0</v>
      </c>
      <c r="Z511" s="265">
        <f t="shared" si="82"/>
        <v>5</v>
      </c>
      <c r="AA511" s="272">
        <f t="shared" ca="1" si="83"/>
        <v>0</v>
      </c>
      <c r="AB511" s="265">
        <f t="shared" ca="1" si="87"/>
        <v>2059</v>
      </c>
      <c r="AC511" s="265">
        <f t="shared" ca="1" si="88"/>
        <v>8</v>
      </c>
      <c r="AD511" s="276">
        <f ca="1">IF(     OR(               AND(MAX(AF$6:AF511)&lt;2,  AC511=12),                 AF511=2),                   SUMIF(AB:AB,AB511,AA:AA),                       0)</f>
        <v>0</v>
      </c>
      <c r="AE511" s="277">
        <f t="shared" ca="1" si="89"/>
        <v>0</v>
      </c>
      <c r="AF511" s="277">
        <f t="shared" ca="1" si="84"/>
        <v>0</v>
      </c>
      <c r="AG511" s="402">
        <f ca="1">IF(  AND(AC511=AdóHó,   MAX(AF$1:AF510)&lt;2),   SUMIF(AB:AB,AB511-1,AE:AE),0  )
+ IF(AND(AC511&lt;AdóHó,                            AF511=2),   SUMIF(AB:AB,AB511-1,AE:AE),0  )
+ IF(                                                                  AF511=2,    SUMIF(AB:AB,AB511,AE:AE   ),0  )</f>
        <v>0</v>
      </c>
      <c r="AH511" s="272">
        <f ca="1">SUM(AG$2:AG511)</f>
        <v>1139324.2410681627</v>
      </c>
    </row>
    <row r="512" spans="1:34">
      <c r="A512" s="265">
        <f t="shared" si="90"/>
        <v>43</v>
      </c>
      <c r="B512" s="265">
        <f t="shared" si="91"/>
        <v>6</v>
      </c>
      <c r="C512" s="265">
        <f t="shared" ca="1" si="85"/>
        <v>43</v>
      </c>
      <c r="D512" s="265">
        <f t="shared" ca="1" si="86"/>
        <v>9</v>
      </c>
      <c r="E512" s="266">
        <v>5.0000000000000001E-3</v>
      </c>
      <c r="F512" s="267">
        <f>ÉV!$B$12</f>
        <v>0</v>
      </c>
      <c r="G512" s="271">
        <f ca="1">VLOOKUP(A512,ÉV!$A$18:$B$65,2,0)</f>
        <v>0</v>
      </c>
      <c r="H512" s="271">
        <f ca="1">IF(OR(A512=1,AND(C512=ÉV!$I$2,D512&gt;ÉV!$J$2),C512&gt;ÉV!$I$2),0,INDEX(Pz!$B$2:$AM$48,A512-1,ÉV!$G$2-9)/100000*ÉV!$B$10)</f>
        <v>0</v>
      </c>
      <c r="I512" s="271">
        <f ca="1">INDEX(Pz!$B$2:$AM$48,HÓ!A512,ÉV!$G$2-9)/100000*ÉV!$B$10</f>
        <v>0</v>
      </c>
      <c r="J512" s="273">
        <f ca="1">IF(OR(A512=1,A512=2,AND(C512=ÉV!$I$2,D512&gt;ÉV!$J$2),C512&gt;ÉV!$I$2),0,VLOOKUP(A512-2,ÉV!$A$18:$C$65,3,0))</f>
        <v>0</v>
      </c>
      <c r="K512" s="273">
        <f ca="1">IF(OR(A512=1,AND(C512=ÉV!$I$2,D512&gt;ÉV!$J$2),C512&gt;ÉV!$I$2),0,VLOOKUP(A512-1,ÉV!$A$18:$C$65,3,0))</f>
        <v>0</v>
      </c>
      <c r="L512" s="273">
        <f ca="1">VLOOKUP(A512,ÉV!$A$18:$C$65,3,0)*IF(OR(AND(C512=ÉV!$I$2,D512&gt;ÉV!$J$2),C512&gt;ÉV!$I$2),0,1)</f>
        <v>0</v>
      </c>
      <c r="M512" s="273">
        <f ca="1">(K512*(12-B512)/12+L512*B512/12)*IF(A512&gt;ÉV!$G$2,0,1)+IF(A512&gt;ÉV!$G$2,M511,0)*IF(OR(AND(C512=ÉV!$I$2,D512&gt;ÉV!$J$2),C512&gt;ÉV!$I$2),0,1)</f>
        <v>0</v>
      </c>
      <c r="N512" s="274">
        <f ca="1">IF(AND(C512=1,D512&lt;12),0,1)*IF(D512=12,MAX(0,F512-E512-0.003)*0.9*((K512+I512)*(B512/12)+(J512+H512)*(1-B512/12))+MAX(0,F512-0.003)*0.9*N511+N511,IF(AND(C512=ÉV!$I$2,D512=ÉV!$J$2),(M512+N511)*MAX(0,F512-0.003)*0.9*(D512/12)+N511,N511))*IF(OR(C512&gt;ÉV!$I$2,AND(C512=ÉV!$I$2,D512&gt;ÉV!$J$2)),0,1)</f>
        <v>0</v>
      </c>
      <c r="O512" s="313">
        <f ca="1">IF(MAX(AF$2:AF511)=2,      0,IF(OR(AC512=7, AF512=2),    SUM(AE$2:AE512),    O511)   )</f>
        <v>0</v>
      </c>
      <c r="P512" s="271">
        <f ca="1">IF(D512=12,V512+P511+P511*(F512-0.003)*0.9,IF(AND(C512=ÉV!$I$2,D512=ÉV!$J$2),V512+P511+P511*(F512-0.003)*0.9*D512/12,P511))*IF(OR(C512&gt;ÉV!$I$2,AND(C512=ÉV!$I$2,D512&gt;ÉV!$J$2)),0,1)</f>
        <v>0</v>
      </c>
      <c r="Q512" s="275">
        <f ca="1">(N512+P512)*IF(OR(AND(C512=ÉV!$I$2,D512&gt;ÉV!$J$2),C512&gt;ÉV!$I$2),0,1)</f>
        <v>0</v>
      </c>
      <c r="R512" s="271">
        <f ca="1">(MAX(0,F512-E512-0.003)*0.9*((K512+I512)*(1/12)))*IF(OR(C512&gt;ÉV!$I$2,AND(C512=ÉV!$I$2,D512&gt;ÉV!$J$2)),0,1)</f>
        <v>0</v>
      </c>
      <c r="S512" s="271">
        <f ca="1">(MAX(0,F512-0.003)*0.9*((O512)*(1/12)))*IF(OR(C512&gt;ÉV!$I$2,AND(C512=ÉV!$I$2,D512&gt;ÉV!$J$2)),0,1)</f>
        <v>0</v>
      </c>
      <c r="T512" s="271">
        <f ca="1">(MAX(0,F512-0.003)*0.9*((Q511)*(1/12)))*IF(OR(C512&gt;ÉV!$I$2,AND(C512=ÉV!$I$2,D512&gt;ÉV!$J$2)),0,1)</f>
        <v>0</v>
      </c>
      <c r="U512" s="271">
        <f ca="1">IF($D512=1,R512,R512+U511)*IF(OR(C512&gt;ÉV!$I$2,AND(C512=ÉV!$I$2,D512&gt;ÉV!$J$2)),0,1)</f>
        <v>0</v>
      </c>
      <c r="V512" s="271">
        <f ca="1">IF($D512=1,S512,S512+V511)*IF(OR(C512&gt;ÉV!$I$2,AND(C512=ÉV!$I$2,D512&gt;ÉV!$J$2)),0,1)</f>
        <v>0</v>
      </c>
      <c r="W512" s="271">
        <f ca="1">IF($D512=1,T512,T512+W511)*IF(OR(C512&gt;ÉV!$I$2,AND(C512=ÉV!$I$2,D512&gt;ÉV!$J$2)),0,1)</f>
        <v>0</v>
      </c>
      <c r="X512" s="271">
        <f ca="1">IF(OR(D512=12,AND(C512=ÉV!$I$2,D512=ÉV!$J$2)),SUM(U512:W512)+X511,X511)*IF(OR(C512&gt;ÉV!$I$2,AND(C512=ÉV!$I$2,D512&gt;ÉV!$J$2)),0,1)</f>
        <v>0</v>
      </c>
      <c r="Y512" s="271">
        <f t="shared" ca="1" si="81"/>
        <v>0</v>
      </c>
      <c r="Z512" s="265">
        <f t="shared" si="82"/>
        <v>6</v>
      </c>
      <c r="AA512" s="272">
        <f t="shared" ca="1" si="83"/>
        <v>0</v>
      </c>
      <c r="AB512" s="265">
        <f t="shared" ca="1" si="87"/>
        <v>2059</v>
      </c>
      <c r="AC512" s="265">
        <f t="shared" ca="1" si="88"/>
        <v>9</v>
      </c>
      <c r="AD512" s="276">
        <f ca="1">IF(     OR(               AND(MAX(AF$6:AF512)&lt;2,  AC512=12),                 AF512=2),                   SUMIF(AB:AB,AB512,AA:AA),                       0)</f>
        <v>0</v>
      </c>
      <c r="AE512" s="277">
        <f t="shared" ca="1" si="89"/>
        <v>0</v>
      </c>
      <c r="AF512" s="277">
        <f t="shared" ca="1" si="84"/>
        <v>0</v>
      </c>
      <c r="AG512" s="402">
        <f ca="1">IF(  AND(AC512=AdóHó,   MAX(AF$1:AF511)&lt;2),   SUMIF(AB:AB,AB512-1,AE:AE),0  )
+ IF(AND(AC512&lt;AdóHó,                            AF512=2),   SUMIF(AB:AB,AB512-1,AE:AE),0  )
+ IF(                                                                  AF512=2,    SUMIF(AB:AB,AB512,AE:AE   ),0  )</f>
        <v>0</v>
      </c>
      <c r="AH512" s="272">
        <f ca="1">SUM(AG$2:AG512)</f>
        <v>1139324.2410681627</v>
      </c>
    </row>
    <row r="513" spans="1:34">
      <c r="A513" s="265">
        <f t="shared" si="90"/>
        <v>43</v>
      </c>
      <c r="B513" s="265">
        <f t="shared" si="91"/>
        <v>7</v>
      </c>
      <c r="C513" s="265">
        <f t="shared" ca="1" si="85"/>
        <v>43</v>
      </c>
      <c r="D513" s="265">
        <f t="shared" ca="1" si="86"/>
        <v>10</v>
      </c>
      <c r="E513" s="266">
        <v>5.0000000000000001E-3</v>
      </c>
      <c r="F513" s="267">
        <f>ÉV!$B$12</f>
        <v>0</v>
      </c>
      <c r="G513" s="271">
        <f ca="1">VLOOKUP(A513,ÉV!$A$18:$B$65,2,0)</f>
        <v>0</v>
      </c>
      <c r="H513" s="271">
        <f ca="1">IF(OR(A513=1,AND(C513=ÉV!$I$2,D513&gt;ÉV!$J$2),C513&gt;ÉV!$I$2),0,INDEX(Pz!$B$2:$AM$48,A513-1,ÉV!$G$2-9)/100000*ÉV!$B$10)</f>
        <v>0</v>
      </c>
      <c r="I513" s="271">
        <f ca="1">INDEX(Pz!$B$2:$AM$48,HÓ!A513,ÉV!$G$2-9)/100000*ÉV!$B$10</f>
        <v>0</v>
      </c>
      <c r="J513" s="273">
        <f ca="1">IF(OR(A513=1,A513=2,AND(C513=ÉV!$I$2,D513&gt;ÉV!$J$2),C513&gt;ÉV!$I$2),0,VLOOKUP(A513-2,ÉV!$A$18:$C$65,3,0))</f>
        <v>0</v>
      </c>
      <c r="K513" s="273">
        <f ca="1">IF(OR(A513=1,AND(C513=ÉV!$I$2,D513&gt;ÉV!$J$2),C513&gt;ÉV!$I$2),0,VLOOKUP(A513-1,ÉV!$A$18:$C$65,3,0))</f>
        <v>0</v>
      </c>
      <c r="L513" s="273">
        <f ca="1">VLOOKUP(A513,ÉV!$A$18:$C$65,3,0)*IF(OR(AND(C513=ÉV!$I$2,D513&gt;ÉV!$J$2),C513&gt;ÉV!$I$2),0,1)</f>
        <v>0</v>
      </c>
      <c r="M513" s="273">
        <f ca="1">(K513*(12-B513)/12+L513*B513/12)*IF(A513&gt;ÉV!$G$2,0,1)+IF(A513&gt;ÉV!$G$2,M512,0)*IF(OR(AND(C513=ÉV!$I$2,D513&gt;ÉV!$J$2),C513&gt;ÉV!$I$2),0,1)</f>
        <v>0</v>
      </c>
      <c r="N513" s="274">
        <f ca="1">IF(AND(C513=1,D513&lt;12),0,1)*IF(D513=12,MAX(0,F513-E513-0.003)*0.9*((K513+I513)*(B513/12)+(J513+H513)*(1-B513/12))+MAX(0,F513-0.003)*0.9*N512+N512,IF(AND(C513=ÉV!$I$2,D513=ÉV!$J$2),(M513+N512)*MAX(0,F513-0.003)*0.9*(D513/12)+N512,N512))*IF(OR(C513&gt;ÉV!$I$2,AND(C513=ÉV!$I$2,D513&gt;ÉV!$J$2)),0,1)</f>
        <v>0</v>
      </c>
      <c r="O513" s="313">
        <f ca="1">IF(MAX(AF$2:AF512)=2,      0,IF(OR(AC513=7, AF513=2),    SUM(AE$2:AE513),    O512)   )</f>
        <v>0</v>
      </c>
      <c r="P513" s="271">
        <f ca="1">IF(D513=12,V513+P512+P512*(F513-0.003)*0.9,IF(AND(C513=ÉV!$I$2,D513=ÉV!$J$2),V513+P512+P512*(F513-0.003)*0.9*D513/12,P512))*IF(OR(C513&gt;ÉV!$I$2,AND(C513=ÉV!$I$2,D513&gt;ÉV!$J$2)),0,1)</f>
        <v>0</v>
      </c>
      <c r="Q513" s="275">
        <f ca="1">(N513+P513)*IF(OR(AND(C513=ÉV!$I$2,D513&gt;ÉV!$J$2),C513&gt;ÉV!$I$2),0,1)</f>
        <v>0</v>
      </c>
      <c r="R513" s="271">
        <f ca="1">(MAX(0,F513-E513-0.003)*0.9*((K513+I513)*(1/12)))*IF(OR(C513&gt;ÉV!$I$2,AND(C513=ÉV!$I$2,D513&gt;ÉV!$J$2)),0,1)</f>
        <v>0</v>
      </c>
      <c r="S513" s="271">
        <f ca="1">(MAX(0,F513-0.003)*0.9*((O513)*(1/12)))*IF(OR(C513&gt;ÉV!$I$2,AND(C513=ÉV!$I$2,D513&gt;ÉV!$J$2)),0,1)</f>
        <v>0</v>
      </c>
      <c r="T513" s="271">
        <f ca="1">(MAX(0,F513-0.003)*0.9*((Q512)*(1/12)))*IF(OR(C513&gt;ÉV!$I$2,AND(C513=ÉV!$I$2,D513&gt;ÉV!$J$2)),0,1)</f>
        <v>0</v>
      </c>
      <c r="U513" s="271">
        <f ca="1">IF($D513=1,R513,R513+U512)*IF(OR(C513&gt;ÉV!$I$2,AND(C513=ÉV!$I$2,D513&gt;ÉV!$J$2)),0,1)</f>
        <v>0</v>
      </c>
      <c r="V513" s="271">
        <f ca="1">IF($D513=1,S513,S513+V512)*IF(OR(C513&gt;ÉV!$I$2,AND(C513=ÉV!$I$2,D513&gt;ÉV!$J$2)),0,1)</f>
        <v>0</v>
      </c>
      <c r="W513" s="271">
        <f ca="1">IF($D513=1,T513,T513+W512)*IF(OR(C513&gt;ÉV!$I$2,AND(C513=ÉV!$I$2,D513&gt;ÉV!$J$2)),0,1)</f>
        <v>0</v>
      </c>
      <c r="X513" s="271">
        <f ca="1">IF(OR(D513=12,AND(C513=ÉV!$I$2,D513=ÉV!$J$2)),SUM(U513:W513)+X512,X512)*IF(OR(C513&gt;ÉV!$I$2,AND(C513=ÉV!$I$2,D513&gt;ÉV!$J$2)),0,1)</f>
        <v>0</v>
      </c>
      <c r="Y513" s="271">
        <f t="shared" ca="1" si="81"/>
        <v>0</v>
      </c>
      <c r="Z513" s="265">
        <f t="shared" si="82"/>
        <v>7</v>
      </c>
      <c r="AA513" s="272">
        <f t="shared" ca="1" si="83"/>
        <v>0</v>
      </c>
      <c r="AB513" s="265">
        <f t="shared" ca="1" si="87"/>
        <v>2059</v>
      </c>
      <c r="AC513" s="265">
        <f t="shared" ca="1" si="88"/>
        <v>10</v>
      </c>
      <c r="AD513" s="276">
        <f ca="1">IF(     OR(               AND(MAX(AF$6:AF513)&lt;2,  AC513=12),                 AF513=2),                   SUMIF(AB:AB,AB513,AA:AA),                       0)</f>
        <v>0</v>
      </c>
      <c r="AE513" s="277">
        <f t="shared" ca="1" si="89"/>
        <v>0</v>
      </c>
      <c r="AF513" s="277">
        <f t="shared" ca="1" si="84"/>
        <v>0</v>
      </c>
      <c r="AG513" s="402">
        <f ca="1">IF(  AND(AC513=AdóHó,   MAX(AF$1:AF512)&lt;2),   SUMIF(AB:AB,AB513-1,AE:AE),0  )
+ IF(AND(AC513&lt;AdóHó,                            AF513=2),   SUMIF(AB:AB,AB513-1,AE:AE),0  )
+ IF(                                                                  AF513=2,    SUMIF(AB:AB,AB513,AE:AE   ),0  )</f>
        <v>0</v>
      </c>
      <c r="AH513" s="272">
        <f ca="1">SUM(AG$2:AG513)</f>
        <v>1139324.2410681627</v>
      </c>
    </row>
    <row r="514" spans="1:34">
      <c r="A514" s="265">
        <f t="shared" si="90"/>
        <v>43</v>
      </c>
      <c r="B514" s="265">
        <f t="shared" si="91"/>
        <v>8</v>
      </c>
      <c r="C514" s="265">
        <f t="shared" ca="1" si="85"/>
        <v>43</v>
      </c>
      <c r="D514" s="265">
        <f t="shared" ca="1" si="86"/>
        <v>11</v>
      </c>
      <c r="E514" s="266">
        <v>5.0000000000000001E-3</v>
      </c>
      <c r="F514" s="267">
        <f>ÉV!$B$12</f>
        <v>0</v>
      </c>
      <c r="G514" s="271">
        <f ca="1">VLOOKUP(A514,ÉV!$A$18:$B$65,2,0)</f>
        <v>0</v>
      </c>
      <c r="H514" s="271">
        <f ca="1">IF(OR(A514=1,AND(C514=ÉV!$I$2,D514&gt;ÉV!$J$2),C514&gt;ÉV!$I$2),0,INDEX(Pz!$B$2:$AM$48,A514-1,ÉV!$G$2-9)/100000*ÉV!$B$10)</f>
        <v>0</v>
      </c>
      <c r="I514" s="271">
        <f ca="1">INDEX(Pz!$B$2:$AM$48,HÓ!A514,ÉV!$G$2-9)/100000*ÉV!$B$10</f>
        <v>0</v>
      </c>
      <c r="J514" s="273">
        <f ca="1">IF(OR(A514=1,A514=2,AND(C514=ÉV!$I$2,D514&gt;ÉV!$J$2),C514&gt;ÉV!$I$2),0,VLOOKUP(A514-2,ÉV!$A$18:$C$65,3,0))</f>
        <v>0</v>
      </c>
      <c r="K514" s="273">
        <f ca="1">IF(OR(A514=1,AND(C514=ÉV!$I$2,D514&gt;ÉV!$J$2),C514&gt;ÉV!$I$2),0,VLOOKUP(A514-1,ÉV!$A$18:$C$65,3,0))</f>
        <v>0</v>
      </c>
      <c r="L514" s="273">
        <f ca="1">VLOOKUP(A514,ÉV!$A$18:$C$65,3,0)*IF(OR(AND(C514=ÉV!$I$2,D514&gt;ÉV!$J$2),C514&gt;ÉV!$I$2),0,1)</f>
        <v>0</v>
      </c>
      <c r="M514" s="273">
        <f ca="1">(K514*(12-B514)/12+L514*B514/12)*IF(A514&gt;ÉV!$G$2,0,1)+IF(A514&gt;ÉV!$G$2,M513,0)*IF(OR(AND(C514=ÉV!$I$2,D514&gt;ÉV!$J$2),C514&gt;ÉV!$I$2),0,1)</f>
        <v>0</v>
      </c>
      <c r="N514" s="274">
        <f ca="1">IF(AND(C514=1,D514&lt;12),0,1)*IF(D514=12,MAX(0,F514-E514-0.003)*0.9*((K514+I514)*(B514/12)+(J514+H514)*(1-B514/12))+MAX(0,F514-0.003)*0.9*N513+N513,IF(AND(C514=ÉV!$I$2,D514=ÉV!$J$2),(M514+N513)*MAX(0,F514-0.003)*0.9*(D514/12)+N513,N513))*IF(OR(C514&gt;ÉV!$I$2,AND(C514=ÉV!$I$2,D514&gt;ÉV!$J$2)),0,1)</f>
        <v>0</v>
      </c>
      <c r="O514" s="313">
        <f ca="1">IF(MAX(AF$2:AF513)=2,      0,IF(OR(AC514=7, AF514=2),    SUM(AE$2:AE514),    O513)   )</f>
        <v>0</v>
      </c>
      <c r="P514" s="271">
        <f ca="1">IF(D514=12,V514+P513+P513*(F514-0.003)*0.9,IF(AND(C514=ÉV!$I$2,D514=ÉV!$J$2),V514+P513+P513*(F514-0.003)*0.9*D514/12,P513))*IF(OR(C514&gt;ÉV!$I$2,AND(C514=ÉV!$I$2,D514&gt;ÉV!$J$2)),0,1)</f>
        <v>0</v>
      </c>
      <c r="Q514" s="275">
        <f ca="1">(N514+P514)*IF(OR(AND(C514=ÉV!$I$2,D514&gt;ÉV!$J$2),C514&gt;ÉV!$I$2),0,1)</f>
        <v>0</v>
      </c>
      <c r="R514" s="271">
        <f ca="1">(MAX(0,F514-E514-0.003)*0.9*((K514+I514)*(1/12)))*IF(OR(C514&gt;ÉV!$I$2,AND(C514=ÉV!$I$2,D514&gt;ÉV!$J$2)),0,1)</f>
        <v>0</v>
      </c>
      <c r="S514" s="271">
        <f ca="1">(MAX(0,F514-0.003)*0.9*((O514)*(1/12)))*IF(OR(C514&gt;ÉV!$I$2,AND(C514=ÉV!$I$2,D514&gt;ÉV!$J$2)),0,1)</f>
        <v>0</v>
      </c>
      <c r="T514" s="271">
        <f ca="1">(MAX(0,F514-0.003)*0.9*((Q513)*(1/12)))*IF(OR(C514&gt;ÉV!$I$2,AND(C514=ÉV!$I$2,D514&gt;ÉV!$J$2)),0,1)</f>
        <v>0</v>
      </c>
      <c r="U514" s="271">
        <f ca="1">IF($D514=1,R514,R514+U513)*IF(OR(C514&gt;ÉV!$I$2,AND(C514=ÉV!$I$2,D514&gt;ÉV!$J$2)),0,1)</f>
        <v>0</v>
      </c>
      <c r="V514" s="271">
        <f ca="1">IF($D514=1,S514,S514+V513)*IF(OR(C514&gt;ÉV!$I$2,AND(C514=ÉV!$I$2,D514&gt;ÉV!$J$2)),0,1)</f>
        <v>0</v>
      </c>
      <c r="W514" s="271">
        <f ca="1">IF($D514=1,T514,T514+W513)*IF(OR(C514&gt;ÉV!$I$2,AND(C514=ÉV!$I$2,D514&gt;ÉV!$J$2)),0,1)</f>
        <v>0</v>
      </c>
      <c r="X514" s="271">
        <f ca="1">IF(OR(D514=12,AND(C514=ÉV!$I$2,D514=ÉV!$J$2)),SUM(U514:W514)+X513,X513)*IF(OR(C514&gt;ÉV!$I$2,AND(C514=ÉV!$I$2,D514&gt;ÉV!$J$2)),0,1)</f>
        <v>0</v>
      </c>
      <c r="Y514" s="271">
        <f t="shared" ca="1" si="81"/>
        <v>0</v>
      </c>
      <c r="Z514" s="265">
        <f t="shared" si="82"/>
        <v>8</v>
      </c>
      <c r="AA514" s="272">
        <f t="shared" ca="1" si="83"/>
        <v>0</v>
      </c>
      <c r="AB514" s="265">
        <f t="shared" ca="1" si="87"/>
        <v>2059</v>
      </c>
      <c r="AC514" s="265">
        <f t="shared" ca="1" si="88"/>
        <v>11</v>
      </c>
      <c r="AD514" s="276">
        <f ca="1">IF(     OR(               AND(MAX(AF$6:AF514)&lt;2,  AC514=12),                 AF514=2),                   SUMIF(AB:AB,AB514,AA:AA),                       0)</f>
        <v>0</v>
      </c>
      <c r="AE514" s="277">
        <f t="shared" ca="1" si="89"/>
        <v>0</v>
      </c>
      <c r="AF514" s="277">
        <f t="shared" ca="1" si="84"/>
        <v>0</v>
      </c>
      <c r="AG514" s="402">
        <f ca="1">IF(  AND(AC514=AdóHó,   MAX(AF$1:AF513)&lt;2),   SUMIF(AB:AB,AB514-1,AE:AE),0  )
+ IF(AND(AC514&lt;AdóHó,                            AF514=2),   SUMIF(AB:AB,AB514-1,AE:AE),0  )
+ IF(                                                                  AF514=2,    SUMIF(AB:AB,AB514,AE:AE   ),0  )</f>
        <v>0</v>
      </c>
      <c r="AH514" s="272">
        <f ca="1">SUM(AG$2:AG514)</f>
        <v>1139324.2410681627</v>
      </c>
    </row>
    <row r="515" spans="1:34">
      <c r="A515" s="265">
        <f t="shared" si="90"/>
        <v>43</v>
      </c>
      <c r="B515" s="265">
        <f t="shared" si="91"/>
        <v>9</v>
      </c>
      <c r="C515" s="265">
        <f t="shared" ca="1" si="85"/>
        <v>43</v>
      </c>
      <c r="D515" s="265">
        <f t="shared" ca="1" si="86"/>
        <v>12</v>
      </c>
      <c r="E515" s="266">
        <v>5.0000000000000001E-3</v>
      </c>
      <c r="F515" s="267">
        <f>ÉV!$B$12</f>
        <v>0</v>
      </c>
      <c r="G515" s="271">
        <f ca="1">VLOOKUP(A515,ÉV!$A$18:$B$65,2,0)</f>
        <v>0</v>
      </c>
      <c r="H515" s="271">
        <f ca="1">IF(OR(A515=1,AND(C515=ÉV!$I$2,D515&gt;ÉV!$J$2),C515&gt;ÉV!$I$2),0,INDEX(Pz!$B$2:$AM$48,A515-1,ÉV!$G$2-9)/100000*ÉV!$B$10)</f>
        <v>0</v>
      </c>
      <c r="I515" s="271">
        <f ca="1">INDEX(Pz!$B$2:$AM$48,HÓ!A515,ÉV!$G$2-9)/100000*ÉV!$B$10</f>
        <v>0</v>
      </c>
      <c r="J515" s="273">
        <f ca="1">IF(OR(A515=1,A515=2,AND(C515=ÉV!$I$2,D515&gt;ÉV!$J$2),C515&gt;ÉV!$I$2),0,VLOOKUP(A515-2,ÉV!$A$18:$C$65,3,0))</f>
        <v>0</v>
      </c>
      <c r="K515" s="273">
        <f ca="1">IF(OR(A515=1,AND(C515=ÉV!$I$2,D515&gt;ÉV!$J$2),C515&gt;ÉV!$I$2),0,VLOOKUP(A515-1,ÉV!$A$18:$C$65,3,0))</f>
        <v>0</v>
      </c>
      <c r="L515" s="273">
        <f ca="1">VLOOKUP(A515,ÉV!$A$18:$C$65,3,0)*IF(OR(AND(C515=ÉV!$I$2,D515&gt;ÉV!$J$2),C515&gt;ÉV!$I$2),0,1)</f>
        <v>0</v>
      </c>
      <c r="M515" s="273">
        <f ca="1">(K515*(12-B515)/12+L515*B515/12)*IF(A515&gt;ÉV!$G$2,0,1)+IF(A515&gt;ÉV!$G$2,M514,0)*IF(OR(AND(C515=ÉV!$I$2,D515&gt;ÉV!$J$2),C515&gt;ÉV!$I$2),0,1)</f>
        <v>0</v>
      </c>
      <c r="N515" s="274">
        <f ca="1">IF(AND(C515=1,D515&lt;12),0,1)*IF(D515=12,MAX(0,F515-E515-0.003)*0.9*((K515+I515)*(B515/12)+(J515+H515)*(1-B515/12))+MAX(0,F515-0.003)*0.9*N514+N514,IF(AND(C515=ÉV!$I$2,D515=ÉV!$J$2),(M515+N514)*MAX(0,F515-0.003)*0.9*(D515/12)+N514,N514))*IF(OR(C515&gt;ÉV!$I$2,AND(C515=ÉV!$I$2,D515&gt;ÉV!$J$2)),0,1)</f>
        <v>0</v>
      </c>
      <c r="O515" s="313">
        <f ca="1">IF(MAX(AF$2:AF514)=2,      0,IF(OR(AC515=7, AF515=2),    SUM(AE$2:AE515),    O514)   )</f>
        <v>0</v>
      </c>
      <c r="P515" s="271">
        <f ca="1">IF(D515=12,V515+P514+P514*(F515-0.003)*0.9,IF(AND(C515=ÉV!$I$2,D515=ÉV!$J$2),V515+P514+P514*(F515-0.003)*0.9*D515/12,P514))*IF(OR(C515&gt;ÉV!$I$2,AND(C515=ÉV!$I$2,D515&gt;ÉV!$J$2)),0,1)</f>
        <v>0</v>
      </c>
      <c r="Q515" s="275">
        <f ca="1">(N515+P515)*IF(OR(AND(C515=ÉV!$I$2,D515&gt;ÉV!$J$2),C515&gt;ÉV!$I$2),0,1)</f>
        <v>0</v>
      </c>
      <c r="R515" s="271">
        <f ca="1">(MAX(0,F515-E515-0.003)*0.9*((K515+I515)*(1/12)))*IF(OR(C515&gt;ÉV!$I$2,AND(C515=ÉV!$I$2,D515&gt;ÉV!$J$2)),0,1)</f>
        <v>0</v>
      </c>
      <c r="S515" s="271">
        <f ca="1">(MAX(0,F515-0.003)*0.9*((O515)*(1/12)))*IF(OR(C515&gt;ÉV!$I$2,AND(C515=ÉV!$I$2,D515&gt;ÉV!$J$2)),0,1)</f>
        <v>0</v>
      </c>
      <c r="T515" s="271">
        <f ca="1">(MAX(0,F515-0.003)*0.9*((Q514)*(1/12)))*IF(OR(C515&gt;ÉV!$I$2,AND(C515=ÉV!$I$2,D515&gt;ÉV!$J$2)),0,1)</f>
        <v>0</v>
      </c>
      <c r="U515" s="271">
        <f ca="1">IF($D515=1,R515,R515+U514)*IF(OR(C515&gt;ÉV!$I$2,AND(C515=ÉV!$I$2,D515&gt;ÉV!$J$2)),0,1)</f>
        <v>0</v>
      </c>
      <c r="V515" s="271">
        <f ca="1">IF($D515=1,S515,S515+V514)*IF(OR(C515&gt;ÉV!$I$2,AND(C515=ÉV!$I$2,D515&gt;ÉV!$J$2)),0,1)</f>
        <v>0</v>
      </c>
      <c r="W515" s="271">
        <f ca="1">IF($D515=1,T515,T515+W514)*IF(OR(C515&gt;ÉV!$I$2,AND(C515=ÉV!$I$2,D515&gt;ÉV!$J$2)),0,1)</f>
        <v>0</v>
      </c>
      <c r="X515" s="271">
        <f ca="1">IF(OR(D515=12,AND(C515=ÉV!$I$2,D515=ÉV!$J$2)),SUM(U515:W515)+X514,X514)*IF(OR(C515&gt;ÉV!$I$2,AND(C515=ÉV!$I$2,D515&gt;ÉV!$J$2)),0,1)</f>
        <v>0</v>
      </c>
      <c r="Y515" s="271">
        <f t="shared" ref="Y515:Y577" ca="1" si="92">X515-Q515</f>
        <v>0</v>
      </c>
      <c r="Z515" s="265">
        <f t="shared" ref="Z515:Z577" si="93">B515</f>
        <v>9</v>
      </c>
      <c r="AA515" s="272">
        <f t="shared" ref="AA515:AA577" ca="1" si="94">IF(OR(FizGyakNr=12, MOD(B515,12/FizGyakNr)=1),  1,0)    *      G515/FizGyakNr</f>
        <v>0</v>
      </c>
      <c r="AB515" s="265">
        <f t="shared" ca="1" si="87"/>
        <v>2059</v>
      </c>
      <c r="AC515" s="265">
        <f t="shared" ca="1" si="88"/>
        <v>12</v>
      </c>
      <c r="AD515" s="276">
        <f ca="1">IF(     OR(               AND(MAX(AF$6:AF515)&lt;2,  AC515=12),                 AF515=2),                   SUMIF(AB:AB,AB515,AA:AA),                       0)</f>
        <v>0</v>
      </c>
      <c r="AE515" s="277">
        <f t="shared" ca="1" si="89"/>
        <v>0</v>
      </c>
      <c r="AF515" s="277">
        <f t="shared" ref="AF515:AF577" ca="1" si="95" xml:space="preserve"> IF(DATE(AB515,AC515,1)=DATE(YEAR(LejáratNyug),MONTH(LejáratNyug),1),     2,   IF(AND(A515=TartamDíjfiz,B515=12),     1,   0)  )</f>
        <v>0</v>
      </c>
      <c r="AG515" s="402">
        <f ca="1">IF(  AND(AC515=AdóHó,   MAX(AF$1:AF514)&lt;2),   SUMIF(AB:AB,AB515-1,AE:AE),0  )
+ IF(AND(AC515&lt;AdóHó,                            AF515=2),   SUMIF(AB:AB,AB515-1,AE:AE),0  )
+ IF(                                                                  AF515=2,    SUMIF(AB:AB,AB515,AE:AE   ),0  )</f>
        <v>0</v>
      </c>
      <c r="AH515" s="272">
        <f ca="1">SUM(AG$2:AG515)</f>
        <v>1139324.2410681627</v>
      </c>
    </row>
    <row r="516" spans="1:34">
      <c r="A516" s="265">
        <f t="shared" si="90"/>
        <v>43</v>
      </c>
      <c r="B516" s="265">
        <f t="shared" si="91"/>
        <v>10</v>
      </c>
      <c r="C516" s="265">
        <f t="shared" ca="1" si="85"/>
        <v>44</v>
      </c>
      <c r="D516" s="265">
        <f t="shared" ca="1" si="86"/>
        <v>1</v>
      </c>
      <c r="E516" s="266">
        <v>5.0000000000000001E-3</v>
      </c>
      <c r="F516" s="267">
        <f>ÉV!$B$12</f>
        <v>0</v>
      </c>
      <c r="G516" s="271">
        <f ca="1">VLOOKUP(A516,ÉV!$A$18:$B$65,2,0)</f>
        <v>0</v>
      </c>
      <c r="H516" s="271">
        <f ca="1">IF(OR(A516=1,AND(C516=ÉV!$I$2,D516&gt;ÉV!$J$2),C516&gt;ÉV!$I$2),0,INDEX(Pz!$B$2:$AM$48,A516-1,ÉV!$G$2-9)/100000*ÉV!$B$10)</f>
        <v>0</v>
      </c>
      <c r="I516" s="271">
        <f ca="1">INDEX(Pz!$B$2:$AM$48,HÓ!A516,ÉV!$G$2-9)/100000*ÉV!$B$10</f>
        <v>0</v>
      </c>
      <c r="J516" s="273">
        <f ca="1">IF(OR(A516=1,A516=2,AND(C516=ÉV!$I$2,D516&gt;ÉV!$J$2),C516&gt;ÉV!$I$2),0,VLOOKUP(A516-2,ÉV!$A$18:$C$65,3,0))</f>
        <v>0</v>
      </c>
      <c r="K516" s="273">
        <f ca="1">IF(OR(A516=1,AND(C516=ÉV!$I$2,D516&gt;ÉV!$J$2),C516&gt;ÉV!$I$2),0,VLOOKUP(A516-1,ÉV!$A$18:$C$65,3,0))</f>
        <v>0</v>
      </c>
      <c r="L516" s="273">
        <f ca="1">VLOOKUP(A516,ÉV!$A$18:$C$65,3,0)*IF(OR(AND(C516=ÉV!$I$2,D516&gt;ÉV!$J$2),C516&gt;ÉV!$I$2),0,1)</f>
        <v>0</v>
      </c>
      <c r="M516" s="273">
        <f ca="1">(K516*(12-B516)/12+L516*B516/12)*IF(A516&gt;ÉV!$G$2,0,1)+IF(A516&gt;ÉV!$G$2,M515,0)*IF(OR(AND(C516=ÉV!$I$2,D516&gt;ÉV!$J$2),C516&gt;ÉV!$I$2),0,1)</f>
        <v>0</v>
      </c>
      <c r="N516" s="274">
        <f ca="1">IF(AND(C516=1,D516&lt;12),0,1)*IF(D516=12,MAX(0,F516-E516-0.003)*0.9*((K516+I516)*(B516/12)+(J516+H516)*(1-B516/12))+MAX(0,F516-0.003)*0.9*N515+N515,IF(AND(C516=ÉV!$I$2,D516=ÉV!$J$2),(M516+N515)*MAX(0,F516-0.003)*0.9*(D516/12)+N515,N515))*IF(OR(C516&gt;ÉV!$I$2,AND(C516=ÉV!$I$2,D516&gt;ÉV!$J$2)),0,1)</f>
        <v>0</v>
      </c>
      <c r="O516" s="313">
        <f ca="1">IF(MAX(AF$2:AF515)=2,      0,IF(OR(AC516=7, AF516=2),    SUM(AE$2:AE516),    O515)   )</f>
        <v>0</v>
      </c>
      <c r="P516" s="271">
        <f ca="1">IF(D516=12,V516+P515+P515*(F516-0.003)*0.9,IF(AND(C516=ÉV!$I$2,D516=ÉV!$J$2),V516+P515+P515*(F516-0.003)*0.9*D516/12,P515))*IF(OR(C516&gt;ÉV!$I$2,AND(C516=ÉV!$I$2,D516&gt;ÉV!$J$2)),0,1)</f>
        <v>0</v>
      </c>
      <c r="Q516" s="275">
        <f ca="1">(N516+P516)*IF(OR(AND(C516=ÉV!$I$2,D516&gt;ÉV!$J$2),C516&gt;ÉV!$I$2),0,1)</f>
        <v>0</v>
      </c>
      <c r="R516" s="271">
        <f ca="1">(MAX(0,F516-E516-0.003)*0.9*((K516+I516)*(1/12)))*IF(OR(C516&gt;ÉV!$I$2,AND(C516=ÉV!$I$2,D516&gt;ÉV!$J$2)),0,1)</f>
        <v>0</v>
      </c>
      <c r="S516" s="271">
        <f ca="1">(MAX(0,F516-0.003)*0.9*((O516)*(1/12)))*IF(OR(C516&gt;ÉV!$I$2,AND(C516=ÉV!$I$2,D516&gt;ÉV!$J$2)),0,1)</f>
        <v>0</v>
      </c>
      <c r="T516" s="271">
        <f ca="1">(MAX(0,F516-0.003)*0.9*((Q515)*(1/12)))*IF(OR(C516&gt;ÉV!$I$2,AND(C516=ÉV!$I$2,D516&gt;ÉV!$J$2)),0,1)</f>
        <v>0</v>
      </c>
      <c r="U516" s="271">
        <f ca="1">IF($D516=1,R516,R516+U515)*IF(OR(C516&gt;ÉV!$I$2,AND(C516=ÉV!$I$2,D516&gt;ÉV!$J$2)),0,1)</f>
        <v>0</v>
      </c>
      <c r="V516" s="271">
        <f ca="1">IF($D516=1,S516,S516+V515)*IF(OR(C516&gt;ÉV!$I$2,AND(C516=ÉV!$I$2,D516&gt;ÉV!$J$2)),0,1)</f>
        <v>0</v>
      </c>
      <c r="W516" s="271">
        <f ca="1">IF($D516=1,T516,T516+W515)*IF(OR(C516&gt;ÉV!$I$2,AND(C516=ÉV!$I$2,D516&gt;ÉV!$J$2)),0,1)</f>
        <v>0</v>
      </c>
      <c r="X516" s="271">
        <f ca="1">IF(OR(D516=12,AND(C516=ÉV!$I$2,D516=ÉV!$J$2)),SUM(U516:W516)+X515,X515)*IF(OR(C516&gt;ÉV!$I$2,AND(C516=ÉV!$I$2,D516&gt;ÉV!$J$2)),0,1)</f>
        <v>0</v>
      </c>
      <c r="Y516" s="271">
        <f t="shared" ca="1" si="92"/>
        <v>0</v>
      </c>
      <c r="Z516" s="265">
        <f t="shared" si="93"/>
        <v>10</v>
      </c>
      <c r="AA516" s="272">
        <f t="shared" ca="1" si="94"/>
        <v>0</v>
      </c>
      <c r="AB516" s="265">
        <f t="shared" ca="1" si="87"/>
        <v>2060</v>
      </c>
      <c r="AC516" s="265">
        <f t="shared" ca="1" si="88"/>
        <v>1</v>
      </c>
      <c r="AD516" s="276">
        <f ca="1">IF(     OR(               AND(MAX(AF$6:AF516)&lt;2,  AC516=12),                 AF516=2),                   SUMIF(AB:AB,AB516,AA:AA),                       0)</f>
        <v>0</v>
      </c>
      <c r="AE516" s="277">
        <f t="shared" ca="1" si="89"/>
        <v>0</v>
      </c>
      <c r="AF516" s="277">
        <f t="shared" ca="1" si="95"/>
        <v>0</v>
      </c>
      <c r="AG516" s="402">
        <f ca="1">IF(  AND(AC516=AdóHó,   MAX(AF$1:AF515)&lt;2),   SUMIF(AB:AB,AB516-1,AE:AE),0  )
+ IF(AND(AC516&lt;AdóHó,                            AF516=2),   SUMIF(AB:AB,AB516-1,AE:AE),0  )
+ IF(                                                                  AF516=2,    SUMIF(AB:AB,AB516,AE:AE   ),0  )</f>
        <v>0</v>
      </c>
      <c r="AH516" s="272">
        <f ca="1">SUM(AG$2:AG516)</f>
        <v>1139324.2410681627</v>
      </c>
    </row>
    <row r="517" spans="1:34">
      <c r="A517" s="265">
        <f t="shared" si="90"/>
        <v>43</v>
      </c>
      <c r="B517" s="265">
        <f t="shared" si="91"/>
        <v>11</v>
      </c>
      <c r="C517" s="265">
        <f t="shared" ref="C517:C577" ca="1" si="96">IF(D516=12,C516+1,C516)</f>
        <v>44</v>
      </c>
      <c r="D517" s="265">
        <f t="shared" ref="D517:D577" ca="1" si="97">IF(D516=12,1,D516+1)</f>
        <v>2</v>
      </c>
      <c r="E517" s="266">
        <v>5.0000000000000001E-3</v>
      </c>
      <c r="F517" s="267">
        <f>ÉV!$B$12</f>
        <v>0</v>
      </c>
      <c r="G517" s="271">
        <f ca="1">VLOOKUP(A517,ÉV!$A$18:$B$65,2,0)</f>
        <v>0</v>
      </c>
      <c r="H517" s="271">
        <f ca="1">IF(OR(A517=1,AND(C517=ÉV!$I$2,D517&gt;ÉV!$J$2),C517&gt;ÉV!$I$2),0,INDEX(Pz!$B$2:$AM$48,A517-1,ÉV!$G$2-9)/100000*ÉV!$B$10)</f>
        <v>0</v>
      </c>
      <c r="I517" s="271">
        <f ca="1">INDEX(Pz!$B$2:$AM$48,HÓ!A517,ÉV!$G$2-9)/100000*ÉV!$B$10</f>
        <v>0</v>
      </c>
      <c r="J517" s="273">
        <f ca="1">IF(OR(A517=1,A517=2,AND(C517=ÉV!$I$2,D517&gt;ÉV!$J$2),C517&gt;ÉV!$I$2),0,VLOOKUP(A517-2,ÉV!$A$18:$C$65,3,0))</f>
        <v>0</v>
      </c>
      <c r="K517" s="273">
        <f ca="1">IF(OR(A517=1,AND(C517=ÉV!$I$2,D517&gt;ÉV!$J$2),C517&gt;ÉV!$I$2),0,VLOOKUP(A517-1,ÉV!$A$18:$C$65,3,0))</f>
        <v>0</v>
      </c>
      <c r="L517" s="273">
        <f ca="1">VLOOKUP(A517,ÉV!$A$18:$C$65,3,0)*IF(OR(AND(C517=ÉV!$I$2,D517&gt;ÉV!$J$2),C517&gt;ÉV!$I$2),0,1)</f>
        <v>0</v>
      </c>
      <c r="M517" s="273">
        <f ca="1">(K517*(12-B517)/12+L517*B517/12)*IF(A517&gt;ÉV!$G$2,0,1)+IF(A517&gt;ÉV!$G$2,M516,0)*IF(OR(AND(C517=ÉV!$I$2,D517&gt;ÉV!$J$2),C517&gt;ÉV!$I$2),0,1)</f>
        <v>0</v>
      </c>
      <c r="N517" s="274">
        <f ca="1">IF(AND(C517=1,D517&lt;12),0,1)*IF(D517=12,MAX(0,F517-E517-0.003)*0.9*((K517+I517)*(B517/12)+(J517+H517)*(1-B517/12))+MAX(0,F517-0.003)*0.9*N516+N516,IF(AND(C517=ÉV!$I$2,D517=ÉV!$J$2),(M517+N516)*MAX(0,F517-0.003)*0.9*(D517/12)+N516,N516))*IF(OR(C517&gt;ÉV!$I$2,AND(C517=ÉV!$I$2,D517&gt;ÉV!$J$2)),0,1)</f>
        <v>0</v>
      </c>
      <c r="O517" s="313">
        <f ca="1">IF(MAX(AF$2:AF516)=2,      0,IF(OR(AC517=7, AF517=2),    SUM(AE$2:AE517),    O516)   )</f>
        <v>0</v>
      </c>
      <c r="P517" s="271">
        <f ca="1">IF(D517=12,V517+P516+P516*(F517-0.003)*0.9,IF(AND(C517=ÉV!$I$2,D517=ÉV!$J$2),V517+P516+P516*(F517-0.003)*0.9*D517/12,P516))*IF(OR(C517&gt;ÉV!$I$2,AND(C517=ÉV!$I$2,D517&gt;ÉV!$J$2)),0,1)</f>
        <v>0</v>
      </c>
      <c r="Q517" s="275">
        <f ca="1">(N517+P517)*IF(OR(AND(C517=ÉV!$I$2,D517&gt;ÉV!$J$2),C517&gt;ÉV!$I$2),0,1)</f>
        <v>0</v>
      </c>
      <c r="R517" s="271">
        <f ca="1">(MAX(0,F517-E517-0.003)*0.9*((K517+I517)*(1/12)))*IF(OR(C517&gt;ÉV!$I$2,AND(C517=ÉV!$I$2,D517&gt;ÉV!$J$2)),0,1)</f>
        <v>0</v>
      </c>
      <c r="S517" s="271">
        <f ca="1">(MAX(0,F517-0.003)*0.9*((O517)*(1/12)))*IF(OR(C517&gt;ÉV!$I$2,AND(C517=ÉV!$I$2,D517&gt;ÉV!$J$2)),0,1)</f>
        <v>0</v>
      </c>
      <c r="T517" s="271">
        <f ca="1">(MAX(0,F517-0.003)*0.9*((Q516)*(1/12)))*IF(OR(C517&gt;ÉV!$I$2,AND(C517=ÉV!$I$2,D517&gt;ÉV!$J$2)),0,1)</f>
        <v>0</v>
      </c>
      <c r="U517" s="271">
        <f ca="1">IF($D517=1,R517,R517+U516)*IF(OR(C517&gt;ÉV!$I$2,AND(C517=ÉV!$I$2,D517&gt;ÉV!$J$2)),0,1)</f>
        <v>0</v>
      </c>
      <c r="V517" s="271">
        <f ca="1">IF($D517=1,S517,S517+V516)*IF(OR(C517&gt;ÉV!$I$2,AND(C517=ÉV!$I$2,D517&gt;ÉV!$J$2)),0,1)</f>
        <v>0</v>
      </c>
      <c r="W517" s="271">
        <f ca="1">IF($D517=1,T517,T517+W516)*IF(OR(C517&gt;ÉV!$I$2,AND(C517=ÉV!$I$2,D517&gt;ÉV!$J$2)),0,1)</f>
        <v>0</v>
      </c>
      <c r="X517" s="271">
        <f ca="1">IF(OR(D517=12,AND(C517=ÉV!$I$2,D517=ÉV!$J$2)),SUM(U517:W517)+X516,X516)*IF(OR(C517&gt;ÉV!$I$2,AND(C517=ÉV!$I$2,D517&gt;ÉV!$J$2)),0,1)</f>
        <v>0</v>
      </c>
      <c r="Y517" s="271">
        <f t="shared" ca="1" si="92"/>
        <v>0</v>
      </c>
      <c r="Z517" s="265">
        <f t="shared" si="93"/>
        <v>11</v>
      </c>
      <c r="AA517" s="272">
        <f t="shared" ca="1" si="94"/>
        <v>0</v>
      </c>
      <c r="AB517" s="265">
        <f t="shared" ref="AB517:AB577" ca="1" si="98">IF(AC516=12,AB516+1,AB516)</f>
        <v>2060</v>
      </c>
      <c r="AC517" s="265">
        <f t="shared" ref="AC517:AC577" ca="1" si="99">IF(AC516=12,1,AC516+1)</f>
        <v>2</v>
      </c>
      <c r="AD517" s="276">
        <f ca="1">IF(     OR(               AND(MAX(AF$6:AF517)&lt;2,  AC517=12),                 AF517=2),                   SUMIF(AB:AB,AB517,AA:AA),                       0)</f>
        <v>0</v>
      </c>
      <c r="AE517" s="277">
        <f t="shared" ca="1" si="89"/>
        <v>0</v>
      </c>
      <c r="AF517" s="277">
        <f t="shared" ca="1" si="95"/>
        <v>0</v>
      </c>
      <c r="AG517" s="402">
        <f ca="1">IF(  AND(AC517=AdóHó,   MAX(AF$1:AF516)&lt;2),   SUMIF(AB:AB,AB517-1,AE:AE),0  )
+ IF(AND(AC517&lt;AdóHó,                            AF517=2),   SUMIF(AB:AB,AB517-1,AE:AE),0  )
+ IF(                                                                  AF517=2,    SUMIF(AB:AB,AB517,AE:AE   ),0  )</f>
        <v>0</v>
      </c>
      <c r="AH517" s="272">
        <f ca="1">SUM(AG$2:AG517)</f>
        <v>1139324.2410681627</v>
      </c>
    </row>
    <row r="518" spans="1:34">
      <c r="A518" s="265">
        <f t="shared" si="90"/>
        <v>43</v>
      </c>
      <c r="B518" s="265">
        <f t="shared" si="91"/>
        <v>12</v>
      </c>
      <c r="C518" s="265">
        <f t="shared" ca="1" si="96"/>
        <v>44</v>
      </c>
      <c r="D518" s="265">
        <f t="shared" ca="1" si="97"/>
        <v>3</v>
      </c>
      <c r="E518" s="266">
        <v>5.0000000000000001E-3</v>
      </c>
      <c r="F518" s="267">
        <f>ÉV!$B$12</f>
        <v>0</v>
      </c>
      <c r="G518" s="271">
        <f ca="1">VLOOKUP(A518,ÉV!$A$18:$B$65,2,0)</f>
        <v>0</v>
      </c>
      <c r="H518" s="271">
        <f ca="1">IF(OR(A518=1,AND(C518=ÉV!$I$2,D518&gt;ÉV!$J$2),C518&gt;ÉV!$I$2),0,INDEX(Pz!$B$2:$AM$48,A518-1,ÉV!$G$2-9)/100000*ÉV!$B$10)</f>
        <v>0</v>
      </c>
      <c r="I518" s="271">
        <f ca="1">INDEX(Pz!$B$2:$AM$48,HÓ!A518,ÉV!$G$2-9)/100000*ÉV!$B$10</f>
        <v>0</v>
      </c>
      <c r="J518" s="273">
        <f ca="1">IF(OR(A518=1,A518=2,AND(C518=ÉV!$I$2,D518&gt;ÉV!$J$2),C518&gt;ÉV!$I$2),0,VLOOKUP(A518-2,ÉV!$A$18:$C$65,3,0))</f>
        <v>0</v>
      </c>
      <c r="K518" s="273">
        <f ca="1">IF(OR(A518=1,AND(C518=ÉV!$I$2,D518&gt;ÉV!$J$2),C518&gt;ÉV!$I$2),0,VLOOKUP(A518-1,ÉV!$A$18:$C$65,3,0))</f>
        <v>0</v>
      </c>
      <c r="L518" s="273">
        <f ca="1">VLOOKUP(A518,ÉV!$A$18:$C$65,3,0)*IF(OR(AND(C518=ÉV!$I$2,D518&gt;ÉV!$J$2),C518&gt;ÉV!$I$2),0,1)</f>
        <v>0</v>
      </c>
      <c r="M518" s="273">
        <f ca="1">(K518*(12-B518)/12+L518*B518/12)*IF(A518&gt;ÉV!$G$2,0,1)+IF(A518&gt;ÉV!$G$2,M517,0)*IF(OR(AND(C518=ÉV!$I$2,D518&gt;ÉV!$J$2),C518&gt;ÉV!$I$2),0,1)</f>
        <v>0</v>
      </c>
      <c r="N518" s="274">
        <f ca="1">IF(AND(C518=1,D518&lt;12),0,1)*IF(D518=12,MAX(0,F518-E518-0.003)*0.9*((K518+I518)*(B518/12)+(J518+H518)*(1-B518/12))+MAX(0,F518-0.003)*0.9*N517+N517,IF(AND(C518=ÉV!$I$2,D518=ÉV!$J$2),(M518+N517)*MAX(0,F518-0.003)*0.9*(D518/12)+N517,N517))*IF(OR(C518&gt;ÉV!$I$2,AND(C518=ÉV!$I$2,D518&gt;ÉV!$J$2)),0,1)</f>
        <v>0</v>
      </c>
      <c r="O518" s="313">
        <f ca="1">IF(MAX(AF$2:AF517)=2,      0,IF(OR(AC518=7, AF518=2),    SUM(AE$2:AE518),    O517)   )</f>
        <v>0</v>
      </c>
      <c r="P518" s="271">
        <f ca="1">IF(D518=12,V518+P517+P517*(F518-0.003)*0.9,IF(AND(C518=ÉV!$I$2,D518=ÉV!$J$2),V518+P517+P517*(F518-0.003)*0.9*D518/12,P517))*IF(OR(C518&gt;ÉV!$I$2,AND(C518=ÉV!$I$2,D518&gt;ÉV!$J$2)),0,1)</f>
        <v>0</v>
      </c>
      <c r="Q518" s="275">
        <f ca="1">(N518+P518)*IF(OR(AND(C518=ÉV!$I$2,D518&gt;ÉV!$J$2),C518&gt;ÉV!$I$2),0,1)</f>
        <v>0</v>
      </c>
      <c r="R518" s="271">
        <f ca="1">(MAX(0,F518-E518-0.003)*0.9*((K518+I518)*(1/12)))*IF(OR(C518&gt;ÉV!$I$2,AND(C518=ÉV!$I$2,D518&gt;ÉV!$J$2)),0,1)</f>
        <v>0</v>
      </c>
      <c r="S518" s="271">
        <f ca="1">(MAX(0,F518-0.003)*0.9*((O518)*(1/12)))*IF(OR(C518&gt;ÉV!$I$2,AND(C518=ÉV!$I$2,D518&gt;ÉV!$J$2)),0,1)</f>
        <v>0</v>
      </c>
      <c r="T518" s="271">
        <f ca="1">(MAX(0,F518-0.003)*0.9*((Q517)*(1/12)))*IF(OR(C518&gt;ÉV!$I$2,AND(C518=ÉV!$I$2,D518&gt;ÉV!$J$2)),0,1)</f>
        <v>0</v>
      </c>
      <c r="U518" s="271">
        <f ca="1">IF($D518=1,R518,R518+U517)*IF(OR(C518&gt;ÉV!$I$2,AND(C518=ÉV!$I$2,D518&gt;ÉV!$J$2)),0,1)</f>
        <v>0</v>
      </c>
      <c r="V518" s="271">
        <f ca="1">IF($D518=1,S518,S518+V517)*IF(OR(C518&gt;ÉV!$I$2,AND(C518=ÉV!$I$2,D518&gt;ÉV!$J$2)),0,1)</f>
        <v>0</v>
      </c>
      <c r="W518" s="271">
        <f ca="1">IF($D518=1,T518,T518+W517)*IF(OR(C518&gt;ÉV!$I$2,AND(C518=ÉV!$I$2,D518&gt;ÉV!$J$2)),0,1)</f>
        <v>0</v>
      </c>
      <c r="X518" s="271">
        <f ca="1">IF(OR(D518=12,AND(C518=ÉV!$I$2,D518=ÉV!$J$2)),SUM(U518:W518)+X517,X517)*IF(OR(C518&gt;ÉV!$I$2,AND(C518=ÉV!$I$2,D518&gt;ÉV!$J$2)),0,1)</f>
        <v>0</v>
      </c>
      <c r="Y518" s="271">
        <f t="shared" ca="1" si="92"/>
        <v>0</v>
      </c>
      <c r="Z518" s="265">
        <f t="shared" si="93"/>
        <v>12</v>
      </c>
      <c r="AA518" s="272">
        <f t="shared" ca="1" si="94"/>
        <v>0</v>
      </c>
      <c r="AB518" s="265">
        <f t="shared" ca="1" si="98"/>
        <v>2060</v>
      </c>
      <c r="AC518" s="265">
        <f t="shared" ca="1" si="99"/>
        <v>3</v>
      </c>
      <c r="AD518" s="276">
        <f ca="1">IF(     OR(               AND(MAX(AF$6:AF518)&lt;2,  AC518=12),                 AF518=2),                   SUMIF(AB:AB,AB518,AA:AA),                       0)</f>
        <v>0</v>
      </c>
      <c r="AE518" s="277">
        <f t="shared" ca="1" si="89"/>
        <v>0</v>
      </c>
      <c r="AF518" s="277">
        <f t="shared" ca="1" si="95"/>
        <v>0</v>
      </c>
      <c r="AG518" s="402">
        <f ca="1">IF(  AND(AC518=AdóHó,   MAX(AF$1:AF517)&lt;2),   SUMIF(AB:AB,AB518-1,AE:AE),0  )
+ IF(AND(AC518&lt;AdóHó,                            AF518=2),   SUMIF(AB:AB,AB518-1,AE:AE),0  )
+ IF(                                                                  AF518=2,    SUMIF(AB:AB,AB518,AE:AE   ),0  )</f>
        <v>0</v>
      </c>
      <c r="AH518" s="272">
        <f ca="1">SUM(AG$2:AG518)</f>
        <v>1139324.2410681627</v>
      </c>
    </row>
    <row r="519" spans="1:34">
      <c r="A519" s="265">
        <f t="shared" si="90"/>
        <v>44</v>
      </c>
      <c r="B519" s="265">
        <f t="shared" si="91"/>
        <v>1</v>
      </c>
      <c r="C519" s="265">
        <f t="shared" ca="1" si="96"/>
        <v>44</v>
      </c>
      <c r="D519" s="265">
        <f t="shared" ca="1" si="97"/>
        <v>4</v>
      </c>
      <c r="E519" s="266">
        <v>5.0000000000000001E-3</v>
      </c>
      <c r="F519" s="267">
        <f>ÉV!$B$12</f>
        <v>0</v>
      </c>
      <c r="G519" s="271">
        <f ca="1">VLOOKUP(A519,ÉV!$A$18:$B$65,2,0)</f>
        <v>0</v>
      </c>
      <c r="H519" s="271">
        <f ca="1">IF(OR(A519=1,AND(C519=ÉV!$I$2,D519&gt;ÉV!$J$2),C519&gt;ÉV!$I$2),0,INDEX(Pz!$B$2:$AM$48,A519-1,ÉV!$G$2-9)/100000*ÉV!$B$10)</f>
        <v>0</v>
      </c>
      <c r="I519" s="271">
        <f ca="1">INDEX(Pz!$B$2:$AM$48,HÓ!A519,ÉV!$G$2-9)/100000*ÉV!$B$10</f>
        <v>0</v>
      </c>
      <c r="J519" s="273">
        <f ca="1">IF(OR(A519=1,A519=2,AND(C519=ÉV!$I$2,D519&gt;ÉV!$J$2),C519&gt;ÉV!$I$2),0,VLOOKUP(A519-2,ÉV!$A$18:$C$65,3,0))</f>
        <v>0</v>
      </c>
      <c r="K519" s="273">
        <f ca="1">IF(OR(A519=1,AND(C519=ÉV!$I$2,D519&gt;ÉV!$J$2),C519&gt;ÉV!$I$2),0,VLOOKUP(A519-1,ÉV!$A$18:$C$65,3,0))</f>
        <v>0</v>
      </c>
      <c r="L519" s="273">
        <f ca="1">VLOOKUP(A519,ÉV!$A$18:$C$65,3,0)*IF(OR(AND(C519=ÉV!$I$2,D519&gt;ÉV!$J$2),C519&gt;ÉV!$I$2),0,1)</f>
        <v>0</v>
      </c>
      <c r="M519" s="273">
        <f ca="1">(K519*(12-B519)/12+L519*B519/12)*IF(A519&gt;ÉV!$G$2,0,1)+IF(A519&gt;ÉV!$G$2,M518,0)*IF(OR(AND(C519=ÉV!$I$2,D519&gt;ÉV!$J$2),C519&gt;ÉV!$I$2),0,1)</f>
        <v>0</v>
      </c>
      <c r="N519" s="274">
        <f ca="1">IF(AND(C519=1,D519&lt;12),0,1)*IF(D519=12,MAX(0,F519-E519-0.003)*0.9*((K519+I519)*(B519/12)+(J519+H519)*(1-B519/12))+MAX(0,F519-0.003)*0.9*N518+N518,IF(AND(C519=ÉV!$I$2,D519=ÉV!$J$2),(M519+N518)*MAX(0,F519-0.003)*0.9*(D519/12)+N518,N518))*IF(OR(C519&gt;ÉV!$I$2,AND(C519=ÉV!$I$2,D519&gt;ÉV!$J$2)),0,1)</f>
        <v>0</v>
      </c>
      <c r="O519" s="313">
        <f ca="1">IF(MAX(AF$2:AF518)=2,      0,IF(OR(AC519=7, AF519=2),    SUM(AE$2:AE519),    O518)   )</f>
        <v>0</v>
      </c>
      <c r="P519" s="271">
        <f ca="1">IF(D519=12,V519+P518+P518*(F519-0.003)*0.9,IF(AND(C519=ÉV!$I$2,D519=ÉV!$J$2),V519+P518+P518*(F519-0.003)*0.9*D519/12,P518))*IF(OR(C519&gt;ÉV!$I$2,AND(C519=ÉV!$I$2,D519&gt;ÉV!$J$2)),0,1)</f>
        <v>0</v>
      </c>
      <c r="Q519" s="275">
        <f ca="1">(N519+P519)*IF(OR(AND(C519=ÉV!$I$2,D519&gt;ÉV!$J$2),C519&gt;ÉV!$I$2),0,1)</f>
        <v>0</v>
      </c>
      <c r="R519" s="271">
        <f ca="1">(MAX(0,F519-E519-0.003)*0.9*((K519+I519)*(1/12)))*IF(OR(C519&gt;ÉV!$I$2,AND(C519=ÉV!$I$2,D519&gt;ÉV!$J$2)),0,1)</f>
        <v>0</v>
      </c>
      <c r="S519" s="271">
        <f ca="1">(MAX(0,F519-0.003)*0.9*((O519)*(1/12)))*IF(OR(C519&gt;ÉV!$I$2,AND(C519=ÉV!$I$2,D519&gt;ÉV!$J$2)),0,1)</f>
        <v>0</v>
      </c>
      <c r="T519" s="271">
        <f ca="1">(MAX(0,F519-0.003)*0.9*((Q518)*(1/12)))*IF(OR(C519&gt;ÉV!$I$2,AND(C519=ÉV!$I$2,D519&gt;ÉV!$J$2)),0,1)</f>
        <v>0</v>
      </c>
      <c r="U519" s="271">
        <f ca="1">IF($D519=1,R519,R519+U518)*IF(OR(C519&gt;ÉV!$I$2,AND(C519=ÉV!$I$2,D519&gt;ÉV!$J$2)),0,1)</f>
        <v>0</v>
      </c>
      <c r="V519" s="271">
        <f ca="1">IF($D519=1,S519,S519+V518)*IF(OR(C519&gt;ÉV!$I$2,AND(C519=ÉV!$I$2,D519&gt;ÉV!$J$2)),0,1)</f>
        <v>0</v>
      </c>
      <c r="W519" s="271">
        <f ca="1">IF($D519=1,T519,T519+W518)*IF(OR(C519&gt;ÉV!$I$2,AND(C519=ÉV!$I$2,D519&gt;ÉV!$J$2)),0,1)</f>
        <v>0</v>
      </c>
      <c r="X519" s="271">
        <f ca="1">IF(OR(D519=12,AND(C519=ÉV!$I$2,D519=ÉV!$J$2)),SUM(U519:W519)+X518,X518)*IF(OR(C519&gt;ÉV!$I$2,AND(C519=ÉV!$I$2,D519&gt;ÉV!$J$2)),0,1)</f>
        <v>0</v>
      </c>
      <c r="Y519" s="271">
        <f t="shared" ca="1" si="92"/>
        <v>0</v>
      </c>
      <c r="Z519" s="265">
        <f t="shared" si="93"/>
        <v>1</v>
      </c>
      <c r="AA519" s="272">
        <f t="shared" ca="1" si="94"/>
        <v>0</v>
      </c>
      <c r="AB519" s="265">
        <f t="shared" ca="1" si="98"/>
        <v>2060</v>
      </c>
      <c r="AC519" s="265">
        <f t="shared" ca="1" si="99"/>
        <v>4</v>
      </c>
      <c r="AD519" s="276">
        <f ca="1">IF(     OR(               AND(MAX(AF$6:AF519)&lt;2,  AC519=12),                 AF519=2),                   SUMIF(AB:AB,AB519,AA:AA),                       0)</f>
        <v>0</v>
      </c>
      <c r="AE519" s="277">
        <f t="shared" ca="1" si="89"/>
        <v>0</v>
      </c>
      <c r="AF519" s="277">
        <f t="shared" ca="1" si="95"/>
        <v>0</v>
      </c>
      <c r="AG519" s="402">
        <f ca="1">IF(  AND(AC519=AdóHó,   MAX(AF$1:AF518)&lt;2),   SUMIF(AB:AB,AB519-1,AE:AE),0  )
+ IF(AND(AC519&lt;AdóHó,                            AF519=2),   SUMIF(AB:AB,AB519-1,AE:AE),0  )
+ IF(                                                                  AF519=2,    SUMIF(AB:AB,AB519,AE:AE   ),0  )</f>
        <v>0</v>
      </c>
      <c r="AH519" s="272">
        <f ca="1">SUM(AG$2:AG519)</f>
        <v>1139324.2410681627</v>
      </c>
    </row>
    <row r="520" spans="1:34">
      <c r="A520" s="265">
        <f t="shared" si="90"/>
        <v>44</v>
      </c>
      <c r="B520" s="265">
        <f t="shared" si="91"/>
        <v>2</v>
      </c>
      <c r="C520" s="265">
        <f t="shared" ca="1" si="96"/>
        <v>44</v>
      </c>
      <c r="D520" s="265">
        <f t="shared" ca="1" si="97"/>
        <v>5</v>
      </c>
      <c r="E520" s="266">
        <v>5.0000000000000001E-3</v>
      </c>
      <c r="F520" s="267">
        <f>ÉV!$B$12</f>
        <v>0</v>
      </c>
      <c r="G520" s="271">
        <f ca="1">VLOOKUP(A520,ÉV!$A$18:$B$65,2,0)</f>
        <v>0</v>
      </c>
      <c r="H520" s="271">
        <f ca="1">IF(OR(A520=1,AND(C520=ÉV!$I$2,D520&gt;ÉV!$J$2),C520&gt;ÉV!$I$2),0,INDEX(Pz!$B$2:$AM$48,A520-1,ÉV!$G$2-9)/100000*ÉV!$B$10)</f>
        <v>0</v>
      </c>
      <c r="I520" s="271">
        <f ca="1">INDEX(Pz!$B$2:$AM$48,HÓ!A520,ÉV!$G$2-9)/100000*ÉV!$B$10</f>
        <v>0</v>
      </c>
      <c r="J520" s="273">
        <f ca="1">IF(OR(A520=1,A520=2,AND(C520=ÉV!$I$2,D520&gt;ÉV!$J$2),C520&gt;ÉV!$I$2),0,VLOOKUP(A520-2,ÉV!$A$18:$C$65,3,0))</f>
        <v>0</v>
      </c>
      <c r="K520" s="273">
        <f ca="1">IF(OR(A520=1,AND(C520=ÉV!$I$2,D520&gt;ÉV!$J$2),C520&gt;ÉV!$I$2),0,VLOOKUP(A520-1,ÉV!$A$18:$C$65,3,0))</f>
        <v>0</v>
      </c>
      <c r="L520" s="273">
        <f ca="1">VLOOKUP(A520,ÉV!$A$18:$C$65,3,0)*IF(OR(AND(C520=ÉV!$I$2,D520&gt;ÉV!$J$2),C520&gt;ÉV!$I$2),0,1)</f>
        <v>0</v>
      </c>
      <c r="M520" s="273">
        <f ca="1">(K520*(12-B520)/12+L520*B520/12)*IF(A520&gt;ÉV!$G$2,0,1)+IF(A520&gt;ÉV!$G$2,M519,0)*IF(OR(AND(C520=ÉV!$I$2,D520&gt;ÉV!$J$2),C520&gt;ÉV!$I$2),0,1)</f>
        <v>0</v>
      </c>
      <c r="N520" s="274">
        <f ca="1">IF(AND(C520=1,D520&lt;12),0,1)*IF(D520=12,MAX(0,F520-E520-0.003)*0.9*((K520+I520)*(B520/12)+(J520+H520)*(1-B520/12))+MAX(0,F520-0.003)*0.9*N519+N519,IF(AND(C520=ÉV!$I$2,D520=ÉV!$J$2),(M520+N519)*MAX(0,F520-0.003)*0.9*(D520/12)+N519,N519))*IF(OR(C520&gt;ÉV!$I$2,AND(C520=ÉV!$I$2,D520&gt;ÉV!$J$2)),0,1)</f>
        <v>0</v>
      </c>
      <c r="O520" s="313">
        <f ca="1">IF(MAX(AF$2:AF519)=2,      0,IF(OR(AC520=7, AF520=2),    SUM(AE$2:AE520),    O519)   )</f>
        <v>0</v>
      </c>
      <c r="P520" s="271">
        <f ca="1">IF(D520=12,V520+P519+P519*(F520-0.003)*0.9,IF(AND(C520=ÉV!$I$2,D520=ÉV!$J$2),V520+P519+P519*(F520-0.003)*0.9*D520/12,P519))*IF(OR(C520&gt;ÉV!$I$2,AND(C520=ÉV!$I$2,D520&gt;ÉV!$J$2)),0,1)</f>
        <v>0</v>
      </c>
      <c r="Q520" s="275">
        <f ca="1">(N520+P520)*IF(OR(AND(C520=ÉV!$I$2,D520&gt;ÉV!$J$2),C520&gt;ÉV!$I$2),0,1)</f>
        <v>0</v>
      </c>
      <c r="R520" s="271">
        <f ca="1">(MAX(0,F520-E520-0.003)*0.9*((K520+I520)*(1/12)))*IF(OR(C520&gt;ÉV!$I$2,AND(C520=ÉV!$I$2,D520&gt;ÉV!$J$2)),0,1)</f>
        <v>0</v>
      </c>
      <c r="S520" s="271">
        <f ca="1">(MAX(0,F520-0.003)*0.9*((O520)*(1/12)))*IF(OR(C520&gt;ÉV!$I$2,AND(C520=ÉV!$I$2,D520&gt;ÉV!$J$2)),0,1)</f>
        <v>0</v>
      </c>
      <c r="T520" s="271">
        <f ca="1">(MAX(0,F520-0.003)*0.9*((Q519)*(1/12)))*IF(OR(C520&gt;ÉV!$I$2,AND(C520=ÉV!$I$2,D520&gt;ÉV!$J$2)),0,1)</f>
        <v>0</v>
      </c>
      <c r="U520" s="271">
        <f ca="1">IF($D520=1,R520,R520+U519)*IF(OR(C520&gt;ÉV!$I$2,AND(C520=ÉV!$I$2,D520&gt;ÉV!$J$2)),0,1)</f>
        <v>0</v>
      </c>
      <c r="V520" s="271">
        <f ca="1">IF($D520=1,S520,S520+V519)*IF(OR(C520&gt;ÉV!$I$2,AND(C520=ÉV!$I$2,D520&gt;ÉV!$J$2)),0,1)</f>
        <v>0</v>
      </c>
      <c r="W520" s="271">
        <f ca="1">IF($D520=1,T520,T520+W519)*IF(OR(C520&gt;ÉV!$I$2,AND(C520=ÉV!$I$2,D520&gt;ÉV!$J$2)),0,1)</f>
        <v>0</v>
      </c>
      <c r="X520" s="271">
        <f ca="1">IF(OR(D520=12,AND(C520=ÉV!$I$2,D520=ÉV!$J$2)),SUM(U520:W520)+X519,X519)*IF(OR(C520&gt;ÉV!$I$2,AND(C520=ÉV!$I$2,D520&gt;ÉV!$J$2)),0,1)</f>
        <v>0</v>
      </c>
      <c r="Y520" s="271">
        <f t="shared" ca="1" si="92"/>
        <v>0</v>
      </c>
      <c r="Z520" s="265">
        <f t="shared" si="93"/>
        <v>2</v>
      </c>
      <c r="AA520" s="272">
        <f t="shared" ca="1" si="94"/>
        <v>0</v>
      </c>
      <c r="AB520" s="265">
        <f t="shared" ca="1" si="98"/>
        <v>2060</v>
      </c>
      <c r="AC520" s="265">
        <f t="shared" ca="1" si="99"/>
        <v>5</v>
      </c>
      <c r="AD520" s="276">
        <f ca="1">IF(     OR(               AND(MAX(AF$6:AF520)&lt;2,  AC520=12),                 AF520=2),                   SUMIF(AB:AB,AB520,AA:AA),                       0)</f>
        <v>0</v>
      </c>
      <c r="AE520" s="277">
        <f t="shared" ca="1" si="89"/>
        <v>0</v>
      </c>
      <c r="AF520" s="277">
        <f t="shared" ca="1" si="95"/>
        <v>0</v>
      </c>
      <c r="AG520" s="402">
        <f ca="1">IF(  AND(AC520=AdóHó,   MAX(AF$1:AF519)&lt;2),   SUMIF(AB:AB,AB520-1,AE:AE),0  )
+ IF(AND(AC520&lt;AdóHó,                            AF520=2),   SUMIF(AB:AB,AB520-1,AE:AE),0  )
+ IF(                                                                  AF520=2,    SUMIF(AB:AB,AB520,AE:AE   ),0  )</f>
        <v>0</v>
      </c>
      <c r="AH520" s="272">
        <f ca="1">SUM(AG$2:AG520)</f>
        <v>1139324.2410681627</v>
      </c>
    </row>
    <row r="521" spans="1:34">
      <c r="A521" s="265">
        <f t="shared" si="90"/>
        <v>44</v>
      </c>
      <c r="B521" s="265">
        <f t="shared" si="91"/>
        <v>3</v>
      </c>
      <c r="C521" s="265">
        <f t="shared" ca="1" si="96"/>
        <v>44</v>
      </c>
      <c r="D521" s="265">
        <f t="shared" ca="1" si="97"/>
        <v>6</v>
      </c>
      <c r="E521" s="266">
        <v>5.0000000000000001E-3</v>
      </c>
      <c r="F521" s="267">
        <f>ÉV!$B$12</f>
        <v>0</v>
      </c>
      <c r="G521" s="271">
        <f ca="1">VLOOKUP(A521,ÉV!$A$18:$B$65,2,0)</f>
        <v>0</v>
      </c>
      <c r="H521" s="271">
        <f ca="1">IF(OR(A521=1,AND(C521=ÉV!$I$2,D521&gt;ÉV!$J$2),C521&gt;ÉV!$I$2),0,INDEX(Pz!$B$2:$AM$48,A521-1,ÉV!$G$2-9)/100000*ÉV!$B$10)</f>
        <v>0</v>
      </c>
      <c r="I521" s="271">
        <f ca="1">INDEX(Pz!$B$2:$AM$48,HÓ!A521,ÉV!$G$2-9)/100000*ÉV!$B$10</f>
        <v>0</v>
      </c>
      <c r="J521" s="273">
        <f ca="1">IF(OR(A521=1,A521=2,AND(C521=ÉV!$I$2,D521&gt;ÉV!$J$2),C521&gt;ÉV!$I$2),0,VLOOKUP(A521-2,ÉV!$A$18:$C$65,3,0))</f>
        <v>0</v>
      </c>
      <c r="K521" s="273">
        <f ca="1">IF(OR(A521=1,AND(C521=ÉV!$I$2,D521&gt;ÉV!$J$2),C521&gt;ÉV!$I$2),0,VLOOKUP(A521-1,ÉV!$A$18:$C$65,3,0))</f>
        <v>0</v>
      </c>
      <c r="L521" s="273">
        <f ca="1">VLOOKUP(A521,ÉV!$A$18:$C$65,3,0)*IF(OR(AND(C521=ÉV!$I$2,D521&gt;ÉV!$J$2),C521&gt;ÉV!$I$2),0,1)</f>
        <v>0</v>
      </c>
      <c r="M521" s="273">
        <f ca="1">(K521*(12-B521)/12+L521*B521/12)*IF(A521&gt;ÉV!$G$2,0,1)+IF(A521&gt;ÉV!$G$2,M520,0)*IF(OR(AND(C521=ÉV!$I$2,D521&gt;ÉV!$J$2),C521&gt;ÉV!$I$2),0,1)</f>
        <v>0</v>
      </c>
      <c r="N521" s="274">
        <f ca="1">IF(AND(C521=1,D521&lt;12),0,1)*IF(D521=12,MAX(0,F521-E521-0.003)*0.9*((K521+I521)*(B521/12)+(J521+H521)*(1-B521/12))+MAX(0,F521-0.003)*0.9*N520+N520,IF(AND(C521=ÉV!$I$2,D521=ÉV!$J$2),(M521+N520)*MAX(0,F521-0.003)*0.9*(D521/12)+N520,N520))*IF(OR(C521&gt;ÉV!$I$2,AND(C521=ÉV!$I$2,D521&gt;ÉV!$J$2)),0,1)</f>
        <v>0</v>
      </c>
      <c r="O521" s="313">
        <f ca="1">IF(MAX(AF$2:AF520)=2,      0,IF(OR(AC521=7, AF521=2),    SUM(AE$2:AE521),    O520)   )</f>
        <v>0</v>
      </c>
      <c r="P521" s="271">
        <f ca="1">IF(D521=12,V521+P520+P520*(F521-0.003)*0.9,IF(AND(C521=ÉV!$I$2,D521=ÉV!$J$2),V521+P520+P520*(F521-0.003)*0.9*D521/12,P520))*IF(OR(C521&gt;ÉV!$I$2,AND(C521=ÉV!$I$2,D521&gt;ÉV!$J$2)),0,1)</f>
        <v>0</v>
      </c>
      <c r="Q521" s="275">
        <f ca="1">(N521+P521)*IF(OR(AND(C521=ÉV!$I$2,D521&gt;ÉV!$J$2),C521&gt;ÉV!$I$2),0,1)</f>
        <v>0</v>
      </c>
      <c r="R521" s="271">
        <f ca="1">(MAX(0,F521-E521-0.003)*0.9*((K521+I521)*(1/12)))*IF(OR(C521&gt;ÉV!$I$2,AND(C521=ÉV!$I$2,D521&gt;ÉV!$J$2)),0,1)</f>
        <v>0</v>
      </c>
      <c r="S521" s="271">
        <f ca="1">(MAX(0,F521-0.003)*0.9*((O521)*(1/12)))*IF(OR(C521&gt;ÉV!$I$2,AND(C521=ÉV!$I$2,D521&gt;ÉV!$J$2)),0,1)</f>
        <v>0</v>
      </c>
      <c r="T521" s="271">
        <f ca="1">(MAX(0,F521-0.003)*0.9*((Q520)*(1/12)))*IF(OR(C521&gt;ÉV!$I$2,AND(C521=ÉV!$I$2,D521&gt;ÉV!$J$2)),0,1)</f>
        <v>0</v>
      </c>
      <c r="U521" s="271">
        <f ca="1">IF($D521=1,R521,R521+U520)*IF(OR(C521&gt;ÉV!$I$2,AND(C521=ÉV!$I$2,D521&gt;ÉV!$J$2)),0,1)</f>
        <v>0</v>
      </c>
      <c r="V521" s="271">
        <f ca="1">IF($D521=1,S521,S521+V520)*IF(OR(C521&gt;ÉV!$I$2,AND(C521=ÉV!$I$2,D521&gt;ÉV!$J$2)),0,1)</f>
        <v>0</v>
      </c>
      <c r="W521" s="271">
        <f ca="1">IF($D521=1,T521,T521+W520)*IF(OR(C521&gt;ÉV!$I$2,AND(C521=ÉV!$I$2,D521&gt;ÉV!$J$2)),0,1)</f>
        <v>0</v>
      </c>
      <c r="X521" s="271">
        <f ca="1">IF(OR(D521=12,AND(C521=ÉV!$I$2,D521=ÉV!$J$2)),SUM(U521:W521)+X520,X520)*IF(OR(C521&gt;ÉV!$I$2,AND(C521=ÉV!$I$2,D521&gt;ÉV!$J$2)),0,1)</f>
        <v>0</v>
      </c>
      <c r="Y521" s="271">
        <f t="shared" ca="1" si="92"/>
        <v>0</v>
      </c>
      <c r="Z521" s="265">
        <f t="shared" si="93"/>
        <v>3</v>
      </c>
      <c r="AA521" s="272">
        <f t="shared" ca="1" si="94"/>
        <v>0</v>
      </c>
      <c r="AB521" s="265">
        <f t="shared" ca="1" si="98"/>
        <v>2060</v>
      </c>
      <c r="AC521" s="265">
        <f t="shared" ca="1" si="99"/>
        <v>6</v>
      </c>
      <c r="AD521" s="276">
        <f ca="1">IF(     OR(               AND(MAX(AF$6:AF521)&lt;2,  AC521=12),                 AF521=2),                   SUMIF(AB:AB,AB521,AA:AA),                       0)</f>
        <v>0</v>
      </c>
      <c r="AE521" s="277">
        <f t="shared" ca="1" si="89"/>
        <v>0</v>
      </c>
      <c r="AF521" s="277">
        <f t="shared" ca="1" si="95"/>
        <v>0</v>
      </c>
      <c r="AG521" s="402">
        <f ca="1">IF(  AND(AC521=AdóHó,   MAX(AF$1:AF520)&lt;2),   SUMIF(AB:AB,AB521-1,AE:AE),0  )
+ IF(AND(AC521&lt;AdóHó,                            AF521=2),   SUMIF(AB:AB,AB521-1,AE:AE),0  )
+ IF(                                                                  AF521=2,    SUMIF(AB:AB,AB521,AE:AE   ),0  )</f>
        <v>0</v>
      </c>
      <c r="AH521" s="272">
        <f ca="1">SUM(AG$2:AG521)</f>
        <v>1139324.2410681627</v>
      </c>
    </row>
    <row r="522" spans="1:34">
      <c r="A522" s="265">
        <f t="shared" si="90"/>
        <v>44</v>
      </c>
      <c r="B522" s="265">
        <f t="shared" si="91"/>
        <v>4</v>
      </c>
      <c r="C522" s="265">
        <f t="shared" ca="1" si="96"/>
        <v>44</v>
      </c>
      <c r="D522" s="265">
        <f t="shared" ca="1" si="97"/>
        <v>7</v>
      </c>
      <c r="E522" s="266">
        <v>5.0000000000000001E-3</v>
      </c>
      <c r="F522" s="267">
        <f>ÉV!$B$12</f>
        <v>0</v>
      </c>
      <c r="G522" s="271">
        <f ca="1">VLOOKUP(A522,ÉV!$A$18:$B$65,2,0)</f>
        <v>0</v>
      </c>
      <c r="H522" s="271">
        <f ca="1">IF(OR(A522=1,AND(C522=ÉV!$I$2,D522&gt;ÉV!$J$2),C522&gt;ÉV!$I$2),0,INDEX(Pz!$B$2:$AM$48,A522-1,ÉV!$G$2-9)/100000*ÉV!$B$10)</f>
        <v>0</v>
      </c>
      <c r="I522" s="271">
        <f ca="1">INDEX(Pz!$B$2:$AM$48,HÓ!A522,ÉV!$G$2-9)/100000*ÉV!$B$10</f>
        <v>0</v>
      </c>
      <c r="J522" s="273">
        <f ca="1">IF(OR(A522=1,A522=2,AND(C522=ÉV!$I$2,D522&gt;ÉV!$J$2),C522&gt;ÉV!$I$2),0,VLOOKUP(A522-2,ÉV!$A$18:$C$65,3,0))</f>
        <v>0</v>
      </c>
      <c r="K522" s="273">
        <f ca="1">IF(OR(A522=1,AND(C522=ÉV!$I$2,D522&gt;ÉV!$J$2),C522&gt;ÉV!$I$2),0,VLOOKUP(A522-1,ÉV!$A$18:$C$65,3,0))</f>
        <v>0</v>
      </c>
      <c r="L522" s="273">
        <f ca="1">VLOOKUP(A522,ÉV!$A$18:$C$65,3,0)*IF(OR(AND(C522=ÉV!$I$2,D522&gt;ÉV!$J$2),C522&gt;ÉV!$I$2),0,1)</f>
        <v>0</v>
      </c>
      <c r="M522" s="273">
        <f ca="1">(K522*(12-B522)/12+L522*B522/12)*IF(A522&gt;ÉV!$G$2,0,1)+IF(A522&gt;ÉV!$G$2,M521,0)*IF(OR(AND(C522=ÉV!$I$2,D522&gt;ÉV!$J$2),C522&gt;ÉV!$I$2),0,1)</f>
        <v>0</v>
      </c>
      <c r="N522" s="274">
        <f ca="1">IF(AND(C522=1,D522&lt;12),0,1)*IF(D522=12,MAX(0,F522-E522-0.003)*0.9*((K522+I522)*(B522/12)+(J522+H522)*(1-B522/12))+MAX(0,F522-0.003)*0.9*N521+N521,IF(AND(C522=ÉV!$I$2,D522=ÉV!$J$2),(M522+N521)*MAX(0,F522-0.003)*0.9*(D522/12)+N521,N521))*IF(OR(C522&gt;ÉV!$I$2,AND(C522=ÉV!$I$2,D522&gt;ÉV!$J$2)),0,1)</f>
        <v>0</v>
      </c>
      <c r="O522" s="313">
        <f ca="1">IF(MAX(AF$2:AF521)=2,      0,IF(OR(AC522=7, AF522=2),    SUM(AE$2:AE522),    O521)   )</f>
        <v>0</v>
      </c>
      <c r="P522" s="271">
        <f ca="1">IF(D522=12,V522+P521+P521*(F522-0.003)*0.9,IF(AND(C522=ÉV!$I$2,D522=ÉV!$J$2),V522+P521+P521*(F522-0.003)*0.9*D522/12,P521))*IF(OR(C522&gt;ÉV!$I$2,AND(C522=ÉV!$I$2,D522&gt;ÉV!$J$2)),0,1)</f>
        <v>0</v>
      </c>
      <c r="Q522" s="275">
        <f ca="1">(N522+P522)*IF(OR(AND(C522=ÉV!$I$2,D522&gt;ÉV!$J$2),C522&gt;ÉV!$I$2),0,1)</f>
        <v>0</v>
      </c>
      <c r="R522" s="271">
        <f ca="1">(MAX(0,F522-E522-0.003)*0.9*((K522+I522)*(1/12)))*IF(OR(C522&gt;ÉV!$I$2,AND(C522=ÉV!$I$2,D522&gt;ÉV!$J$2)),0,1)</f>
        <v>0</v>
      </c>
      <c r="S522" s="271">
        <f ca="1">(MAX(0,F522-0.003)*0.9*((O522)*(1/12)))*IF(OR(C522&gt;ÉV!$I$2,AND(C522=ÉV!$I$2,D522&gt;ÉV!$J$2)),0,1)</f>
        <v>0</v>
      </c>
      <c r="T522" s="271">
        <f ca="1">(MAX(0,F522-0.003)*0.9*((Q521)*(1/12)))*IF(OR(C522&gt;ÉV!$I$2,AND(C522=ÉV!$I$2,D522&gt;ÉV!$J$2)),0,1)</f>
        <v>0</v>
      </c>
      <c r="U522" s="271">
        <f ca="1">IF($D522=1,R522,R522+U521)*IF(OR(C522&gt;ÉV!$I$2,AND(C522=ÉV!$I$2,D522&gt;ÉV!$J$2)),0,1)</f>
        <v>0</v>
      </c>
      <c r="V522" s="271">
        <f ca="1">IF($D522=1,S522,S522+V521)*IF(OR(C522&gt;ÉV!$I$2,AND(C522=ÉV!$I$2,D522&gt;ÉV!$J$2)),0,1)</f>
        <v>0</v>
      </c>
      <c r="W522" s="271">
        <f ca="1">IF($D522=1,T522,T522+W521)*IF(OR(C522&gt;ÉV!$I$2,AND(C522=ÉV!$I$2,D522&gt;ÉV!$J$2)),0,1)</f>
        <v>0</v>
      </c>
      <c r="X522" s="271">
        <f ca="1">IF(OR(D522=12,AND(C522=ÉV!$I$2,D522=ÉV!$J$2)),SUM(U522:W522)+X521,X521)*IF(OR(C522&gt;ÉV!$I$2,AND(C522=ÉV!$I$2,D522&gt;ÉV!$J$2)),0,1)</f>
        <v>0</v>
      </c>
      <c r="Y522" s="271">
        <f t="shared" ca="1" si="92"/>
        <v>0</v>
      </c>
      <c r="Z522" s="265">
        <f t="shared" si="93"/>
        <v>4</v>
      </c>
      <c r="AA522" s="272">
        <f t="shared" ca="1" si="94"/>
        <v>0</v>
      </c>
      <c r="AB522" s="265">
        <f t="shared" ca="1" si="98"/>
        <v>2060</v>
      </c>
      <c r="AC522" s="265">
        <f t="shared" ca="1" si="99"/>
        <v>7</v>
      </c>
      <c r="AD522" s="276">
        <f ca="1">IF(     OR(               AND(MAX(AF$6:AF522)&lt;2,  AC522=12),                 AF522=2),                   SUMIF(AB:AB,AB522,AA:AA),                       0)</f>
        <v>0</v>
      </c>
      <c r="AE522" s="277">
        <f t="shared" ca="1" si="89"/>
        <v>0</v>
      </c>
      <c r="AF522" s="277">
        <f t="shared" ca="1" si="95"/>
        <v>0</v>
      </c>
      <c r="AG522" s="402">
        <f ca="1">IF(  AND(AC522=AdóHó,   MAX(AF$1:AF521)&lt;2),   SUMIF(AB:AB,AB522-1,AE:AE),0  )
+ IF(AND(AC522&lt;AdóHó,                            AF522=2),   SUMIF(AB:AB,AB522-1,AE:AE),0  )
+ IF(                                                                  AF522=2,    SUMIF(AB:AB,AB522,AE:AE   ),0  )</f>
        <v>0</v>
      </c>
      <c r="AH522" s="272">
        <f ca="1">SUM(AG$2:AG522)</f>
        <v>1139324.2410681627</v>
      </c>
    </row>
    <row r="523" spans="1:34">
      <c r="A523" s="265">
        <f t="shared" si="90"/>
        <v>44</v>
      </c>
      <c r="B523" s="265">
        <f t="shared" si="91"/>
        <v>5</v>
      </c>
      <c r="C523" s="265">
        <f t="shared" ca="1" si="96"/>
        <v>44</v>
      </c>
      <c r="D523" s="265">
        <f t="shared" ca="1" si="97"/>
        <v>8</v>
      </c>
      <c r="E523" s="266">
        <v>5.0000000000000001E-3</v>
      </c>
      <c r="F523" s="267">
        <f>ÉV!$B$12</f>
        <v>0</v>
      </c>
      <c r="G523" s="271">
        <f ca="1">VLOOKUP(A523,ÉV!$A$18:$B$65,2,0)</f>
        <v>0</v>
      </c>
      <c r="H523" s="271">
        <f ca="1">IF(OR(A523=1,AND(C523=ÉV!$I$2,D523&gt;ÉV!$J$2),C523&gt;ÉV!$I$2),0,INDEX(Pz!$B$2:$AM$48,A523-1,ÉV!$G$2-9)/100000*ÉV!$B$10)</f>
        <v>0</v>
      </c>
      <c r="I523" s="271">
        <f ca="1">INDEX(Pz!$B$2:$AM$48,HÓ!A523,ÉV!$G$2-9)/100000*ÉV!$B$10</f>
        <v>0</v>
      </c>
      <c r="J523" s="273">
        <f ca="1">IF(OR(A523=1,A523=2,AND(C523=ÉV!$I$2,D523&gt;ÉV!$J$2),C523&gt;ÉV!$I$2),0,VLOOKUP(A523-2,ÉV!$A$18:$C$65,3,0))</f>
        <v>0</v>
      </c>
      <c r="K523" s="273">
        <f ca="1">IF(OR(A523=1,AND(C523=ÉV!$I$2,D523&gt;ÉV!$J$2),C523&gt;ÉV!$I$2),0,VLOOKUP(A523-1,ÉV!$A$18:$C$65,3,0))</f>
        <v>0</v>
      </c>
      <c r="L523" s="273">
        <f ca="1">VLOOKUP(A523,ÉV!$A$18:$C$65,3,0)*IF(OR(AND(C523=ÉV!$I$2,D523&gt;ÉV!$J$2),C523&gt;ÉV!$I$2),0,1)</f>
        <v>0</v>
      </c>
      <c r="M523" s="273">
        <f ca="1">(K523*(12-B523)/12+L523*B523/12)*IF(A523&gt;ÉV!$G$2,0,1)+IF(A523&gt;ÉV!$G$2,M522,0)*IF(OR(AND(C523=ÉV!$I$2,D523&gt;ÉV!$J$2),C523&gt;ÉV!$I$2),0,1)</f>
        <v>0</v>
      </c>
      <c r="N523" s="274">
        <f ca="1">IF(AND(C523=1,D523&lt;12),0,1)*IF(D523=12,MAX(0,F523-E523-0.003)*0.9*((K523+I523)*(B523/12)+(J523+H523)*(1-B523/12))+MAX(0,F523-0.003)*0.9*N522+N522,IF(AND(C523=ÉV!$I$2,D523=ÉV!$J$2),(M523+N522)*MAX(0,F523-0.003)*0.9*(D523/12)+N522,N522))*IF(OR(C523&gt;ÉV!$I$2,AND(C523=ÉV!$I$2,D523&gt;ÉV!$J$2)),0,1)</f>
        <v>0</v>
      </c>
      <c r="O523" s="313">
        <f ca="1">IF(MAX(AF$2:AF522)=2,      0,IF(OR(AC523=7, AF523=2),    SUM(AE$2:AE523),    O522)   )</f>
        <v>0</v>
      </c>
      <c r="P523" s="271">
        <f ca="1">IF(D523=12,V523+P522+P522*(F523-0.003)*0.9,IF(AND(C523=ÉV!$I$2,D523=ÉV!$J$2),V523+P522+P522*(F523-0.003)*0.9*D523/12,P522))*IF(OR(C523&gt;ÉV!$I$2,AND(C523=ÉV!$I$2,D523&gt;ÉV!$J$2)),0,1)</f>
        <v>0</v>
      </c>
      <c r="Q523" s="275">
        <f ca="1">(N523+P523)*IF(OR(AND(C523=ÉV!$I$2,D523&gt;ÉV!$J$2),C523&gt;ÉV!$I$2),0,1)</f>
        <v>0</v>
      </c>
      <c r="R523" s="271">
        <f ca="1">(MAX(0,F523-E523-0.003)*0.9*((K523+I523)*(1/12)))*IF(OR(C523&gt;ÉV!$I$2,AND(C523=ÉV!$I$2,D523&gt;ÉV!$J$2)),0,1)</f>
        <v>0</v>
      </c>
      <c r="S523" s="271">
        <f ca="1">(MAX(0,F523-0.003)*0.9*((O523)*(1/12)))*IF(OR(C523&gt;ÉV!$I$2,AND(C523=ÉV!$I$2,D523&gt;ÉV!$J$2)),0,1)</f>
        <v>0</v>
      </c>
      <c r="T523" s="271">
        <f ca="1">(MAX(0,F523-0.003)*0.9*((Q522)*(1/12)))*IF(OR(C523&gt;ÉV!$I$2,AND(C523=ÉV!$I$2,D523&gt;ÉV!$J$2)),0,1)</f>
        <v>0</v>
      </c>
      <c r="U523" s="271">
        <f ca="1">IF($D523=1,R523,R523+U522)*IF(OR(C523&gt;ÉV!$I$2,AND(C523=ÉV!$I$2,D523&gt;ÉV!$J$2)),0,1)</f>
        <v>0</v>
      </c>
      <c r="V523" s="271">
        <f ca="1">IF($D523=1,S523,S523+V522)*IF(OR(C523&gt;ÉV!$I$2,AND(C523=ÉV!$I$2,D523&gt;ÉV!$J$2)),0,1)</f>
        <v>0</v>
      </c>
      <c r="W523" s="271">
        <f ca="1">IF($D523=1,T523,T523+W522)*IF(OR(C523&gt;ÉV!$I$2,AND(C523=ÉV!$I$2,D523&gt;ÉV!$J$2)),0,1)</f>
        <v>0</v>
      </c>
      <c r="X523" s="271">
        <f ca="1">IF(OR(D523=12,AND(C523=ÉV!$I$2,D523=ÉV!$J$2)),SUM(U523:W523)+X522,X522)*IF(OR(C523&gt;ÉV!$I$2,AND(C523=ÉV!$I$2,D523&gt;ÉV!$J$2)),0,1)</f>
        <v>0</v>
      </c>
      <c r="Y523" s="271">
        <f t="shared" ca="1" si="92"/>
        <v>0</v>
      </c>
      <c r="Z523" s="265">
        <f t="shared" si="93"/>
        <v>5</v>
      </c>
      <c r="AA523" s="272">
        <f t="shared" ca="1" si="94"/>
        <v>0</v>
      </c>
      <c r="AB523" s="265">
        <f t="shared" ca="1" si="98"/>
        <v>2060</v>
      </c>
      <c r="AC523" s="265">
        <f t="shared" ca="1" si="99"/>
        <v>8</v>
      </c>
      <c r="AD523" s="276">
        <f ca="1">IF(     OR(               AND(MAX(AF$6:AF523)&lt;2,  AC523=12),                 AF523=2),                   SUMIF(AB:AB,AB523,AA:AA),                       0)</f>
        <v>0</v>
      </c>
      <c r="AE523" s="277">
        <f t="shared" ca="1" si="89"/>
        <v>0</v>
      </c>
      <c r="AF523" s="277">
        <f t="shared" ca="1" si="95"/>
        <v>0</v>
      </c>
      <c r="AG523" s="402">
        <f ca="1">IF(  AND(AC523=AdóHó,   MAX(AF$1:AF522)&lt;2),   SUMIF(AB:AB,AB523-1,AE:AE),0  )
+ IF(AND(AC523&lt;AdóHó,                            AF523=2),   SUMIF(AB:AB,AB523-1,AE:AE),0  )
+ IF(                                                                  AF523=2,    SUMIF(AB:AB,AB523,AE:AE   ),0  )</f>
        <v>0</v>
      </c>
      <c r="AH523" s="272">
        <f ca="1">SUM(AG$2:AG523)</f>
        <v>1139324.2410681627</v>
      </c>
    </row>
    <row r="524" spans="1:34">
      <c r="A524" s="265">
        <f t="shared" si="90"/>
        <v>44</v>
      </c>
      <c r="B524" s="265">
        <f t="shared" si="91"/>
        <v>6</v>
      </c>
      <c r="C524" s="265">
        <f t="shared" ca="1" si="96"/>
        <v>44</v>
      </c>
      <c r="D524" s="265">
        <f t="shared" ca="1" si="97"/>
        <v>9</v>
      </c>
      <c r="E524" s="266">
        <v>5.0000000000000001E-3</v>
      </c>
      <c r="F524" s="267">
        <f>ÉV!$B$12</f>
        <v>0</v>
      </c>
      <c r="G524" s="271">
        <f ca="1">VLOOKUP(A524,ÉV!$A$18:$B$65,2,0)</f>
        <v>0</v>
      </c>
      <c r="H524" s="271">
        <f ca="1">IF(OR(A524=1,AND(C524=ÉV!$I$2,D524&gt;ÉV!$J$2),C524&gt;ÉV!$I$2),0,INDEX(Pz!$B$2:$AM$48,A524-1,ÉV!$G$2-9)/100000*ÉV!$B$10)</f>
        <v>0</v>
      </c>
      <c r="I524" s="271">
        <f ca="1">INDEX(Pz!$B$2:$AM$48,HÓ!A524,ÉV!$G$2-9)/100000*ÉV!$B$10</f>
        <v>0</v>
      </c>
      <c r="J524" s="273">
        <f ca="1">IF(OR(A524=1,A524=2,AND(C524=ÉV!$I$2,D524&gt;ÉV!$J$2),C524&gt;ÉV!$I$2),0,VLOOKUP(A524-2,ÉV!$A$18:$C$65,3,0))</f>
        <v>0</v>
      </c>
      <c r="K524" s="273">
        <f ca="1">IF(OR(A524=1,AND(C524=ÉV!$I$2,D524&gt;ÉV!$J$2),C524&gt;ÉV!$I$2),0,VLOOKUP(A524-1,ÉV!$A$18:$C$65,3,0))</f>
        <v>0</v>
      </c>
      <c r="L524" s="273">
        <f ca="1">VLOOKUP(A524,ÉV!$A$18:$C$65,3,0)*IF(OR(AND(C524=ÉV!$I$2,D524&gt;ÉV!$J$2),C524&gt;ÉV!$I$2),0,1)</f>
        <v>0</v>
      </c>
      <c r="M524" s="273">
        <f ca="1">(K524*(12-B524)/12+L524*B524/12)*IF(A524&gt;ÉV!$G$2,0,1)+IF(A524&gt;ÉV!$G$2,M523,0)*IF(OR(AND(C524=ÉV!$I$2,D524&gt;ÉV!$J$2),C524&gt;ÉV!$I$2),0,1)</f>
        <v>0</v>
      </c>
      <c r="N524" s="274">
        <f ca="1">IF(AND(C524=1,D524&lt;12),0,1)*IF(D524=12,MAX(0,F524-E524-0.003)*0.9*((K524+I524)*(B524/12)+(J524+H524)*(1-B524/12))+MAX(0,F524-0.003)*0.9*N523+N523,IF(AND(C524=ÉV!$I$2,D524=ÉV!$J$2),(M524+N523)*MAX(0,F524-0.003)*0.9*(D524/12)+N523,N523))*IF(OR(C524&gt;ÉV!$I$2,AND(C524=ÉV!$I$2,D524&gt;ÉV!$J$2)),0,1)</f>
        <v>0</v>
      </c>
      <c r="O524" s="313">
        <f ca="1">IF(MAX(AF$2:AF523)=2,      0,IF(OR(AC524=7, AF524=2),    SUM(AE$2:AE524),    O523)   )</f>
        <v>0</v>
      </c>
      <c r="P524" s="271">
        <f ca="1">IF(D524=12,V524+P523+P523*(F524-0.003)*0.9,IF(AND(C524=ÉV!$I$2,D524=ÉV!$J$2),V524+P523+P523*(F524-0.003)*0.9*D524/12,P523))*IF(OR(C524&gt;ÉV!$I$2,AND(C524=ÉV!$I$2,D524&gt;ÉV!$J$2)),0,1)</f>
        <v>0</v>
      </c>
      <c r="Q524" s="275">
        <f ca="1">(N524+P524)*IF(OR(AND(C524=ÉV!$I$2,D524&gt;ÉV!$J$2),C524&gt;ÉV!$I$2),0,1)</f>
        <v>0</v>
      </c>
      <c r="R524" s="271">
        <f ca="1">(MAX(0,F524-E524-0.003)*0.9*((K524+I524)*(1/12)))*IF(OR(C524&gt;ÉV!$I$2,AND(C524=ÉV!$I$2,D524&gt;ÉV!$J$2)),0,1)</f>
        <v>0</v>
      </c>
      <c r="S524" s="271">
        <f ca="1">(MAX(0,F524-0.003)*0.9*((O524)*(1/12)))*IF(OR(C524&gt;ÉV!$I$2,AND(C524=ÉV!$I$2,D524&gt;ÉV!$J$2)),0,1)</f>
        <v>0</v>
      </c>
      <c r="T524" s="271">
        <f ca="1">(MAX(0,F524-0.003)*0.9*((Q523)*(1/12)))*IF(OR(C524&gt;ÉV!$I$2,AND(C524=ÉV!$I$2,D524&gt;ÉV!$J$2)),0,1)</f>
        <v>0</v>
      </c>
      <c r="U524" s="271">
        <f ca="1">IF($D524=1,R524,R524+U523)*IF(OR(C524&gt;ÉV!$I$2,AND(C524=ÉV!$I$2,D524&gt;ÉV!$J$2)),0,1)</f>
        <v>0</v>
      </c>
      <c r="V524" s="271">
        <f ca="1">IF($D524=1,S524,S524+V523)*IF(OR(C524&gt;ÉV!$I$2,AND(C524=ÉV!$I$2,D524&gt;ÉV!$J$2)),0,1)</f>
        <v>0</v>
      </c>
      <c r="W524" s="271">
        <f ca="1">IF($D524=1,T524,T524+W523)*IF(OR(C524&gt;ÉV!$I$2,AND(C524=ÉV!$I$2,D524&gt;ÉV!$J$2)),0,1)</f>
        <v>0</v>
      </c>
      <c r="X524" s="271">
        <f ca="1">IF(OR(D524=12,AND(C524=ÉV!$I$2,D524=ÉV!$J$2)),SUM(U524:W524)+X523,X523)*IF(OR(C524&gt;ÉV!$I$2,AND(C524=ÉV!$I$2,D524&gt;ÉV!$J$2)),0,1)</f>
        <v>0</v>
      </c>
      <c r="Y524" s="271">
        <f t="shared" ca="1" si="92"/>
        <v>0</v>
      </c>
      <c r="Z524" s="265">
        <f t="shared" si="93"/>
        <v>6</v>
      </c>
      <c r="AA524" s="272">
        <f t="shared" ca="1" si="94"/>
        <v>0</v>
      </c>
      <c r="AB524" s="265">
        <f t="shared" ca="1" si="98"/>
        <v>2060</v>
      </c>
      <c r="AC524" s="265">
        <f t="shared" ca="1" si="99"/>
        <v>9</v>
      </c>
      <c r="AD524" s="276">
        <f ca="1">IF(     OR(               AND(MAX(AF$6:AF524)&lt;2,  AC524=12),                 AF524=2),                   SUMIF(AB:AB,AB524,AA:AA),                       0)</f>
        <v>0</v>
      </c>
      <c r="AE524" s="277">
        <f t="shared" ca="1" si="89"/>
        <v>0</v>
      </c>
      <c r="AF524" s="277">
        <f t="shared" ca="1" si="95"/>
        <v>0</v>
      </c>
      <c r="AG524" s="402">
        <f ca="1">IF(  AND(AC524=AdóHó,   MAX(AF$1:AF523)&lt;2),   SUMIF(AB:AB,AB524-1,AE:AE),0  )
+ IF(AND(AC524&lt;AdóHó,                            AF524=2),   SUMIF(AB:AB,AB524-1,AE:AE),0  )
+ IF(                                                                  AF524=2,    SUMIF(AB:AB,AB524,AE:AE   ),0  )</f>
        <v>0</v>
      </c>
      <c r="AH524" s="272">
        <f ca="1">SUM(AG$2:AG524)</f>
        <v>1139324.2410681627</v>
      </c>
    </row>
    <row r="525" spans="1:34">
      <c r="A525" s="265">
        <f t="shared" si="90"/>
        <v>44</v>
      </c>
      <c r="B525" s="265">
        <f t="shared" si="91"/>
        <v>7</v>
      </c>
      <c r="C525" s="265">
        <f t="shared" ca="1" si="96"/>
        <v>44</v>
      </c>
      <c r="D525" s="265">
        <f t="shared" ca="1" si="97"/>
        <v>10</v>
      </c>
      <c r="E525" s="266">
        <v>5.0000000000000001E-3</v>
      </c>
      <c r="F525" s="267">
        <f>ÉV!$B$12</f>
        <v>0</v>
      </c>
      <c r="G525" s="271">
        <f ca="1">VLOOKUP(A525,ÉV!$A$18:$B$65,2,0)</f>
        <v>0</v>
      </c>
      <c r="H525" s="271">
        <f ca="1">IF(OR(A525=1,AND(C525=ÉV!$I$2,D525&gt;ÉV!$J$2),C525&gt;ÉV!$I$2),0,INDEX(Pz!$B$2:$AM$48,A525-1,ÉV!$G$2-9)/100000*ÉV!$B$10)</f>
        <v>0</v>
      </c>
      <c r="I525" s="271">
        <f ca="1">INDEX(Pz!$B$2:$AM$48,HÓ!A525,ÉV!$G$2-9)/100000*ÉV!$B$10</f>
        <v>0</v>
      </c>
      <c r="J525" s="273">
        <f ca="1">IF(OR(A525=1,A525=2,AND(C525=ÉV!$I$2,D525&gt;ÉV!$J$2),C525&gt;ÉV!$I$2),0,VLOOKUP(A525-2,ÉV!$A$18:$C$65,3,0))</f>
        <v>0</v>
      </c>
      <c r="K525" s="273">
        <f ca="1">IF(OR(A525=1,AND(C525=ÉV!$I$2,D525&gt;ÉV!$J$2),C525&gt;ÉV!$I$2),0,VLOOKUP(A525-1,ÉV!$A$18:$C$65,3,0))</f>
        <v>0</v>
      </c>
      <c r="L525" s="273">
        <f ca="1">VLOOKUP(A525,ÉV!$A$18:$C$65,3,0)*IF(OR(AND(C525=ÉV!$I$2,D525&gt;ÉV!$J$2),C525&gt;ÉV!$I$2),0,1)</f>
        <v>0</v>
      </c>
      <c r="M525" s="273">
        <f ca="1">(K525*(12-B525)/12+L525*B525/12)*IF(A525&gt;ÉV!$G$2,0,1)+IF(A525&gt;ÉV!$G$2,M524,0)*IF(OR(AND(C525=ÉV!$I$2,D525&gt;ÉV!$J$2),C525&gt;ÉV!$I$2),0,1)</f>
        <v>0</v>
      </c>
      <c r="N525" s="274">
        <f ca="1">IF(AND(C525=1,D525&lt;12),0,1)*IF(D525=12,MAX(0,F525-E525-0.003)*0.9*((K525+I525)*(B525/12)+(J525+H525)*(1-B525/12))+MAX(0,F525-0.003)*0.9*N524+N524,IF(AND(C525=ÉV!$I$2,D525=ÉV!$J$2),(M525+N524)*MAX(0,F525-0.003)*0.9*(D525/12)+N524,N524))*IF(OR(C525&gt;ÉV!$I$2,AND(C525=ÉV!$I$2,D525&gt;ÉV!$J$2)),0,1)</f>
        <v>0</v>
      </c>
      <c r="O525" s="313">
        <f ca="1">IF(MAX(AF$2:AF524)=2,      0,IF(OR(AC525=7, AF525=2),    SUM(AE$2:AE525),    O524)   )</f>
        <v>0</v>
      </c>
      <c r="P525" s="271">
        <f ca="1">IF(D525=12,V525+P524+P524*(F525-0.003)*0.9,IF(AND(C525=ÉV!$I$2,D525=ÉV!$J$2),V525+P524+P524*(F525-0.003)*0.9*D525/12,P524))*IF(OR(C525&gt;ÉV!$I$2,AND(C525=ÉV!$I$2,D525&gt;ÉV!$J$2)),0,1)</f>
        <v>0</v>
      </c>
      <c r="Q525" s="275">
        <f ca="1">(N525+P525)*IF(OR(AND(C525=ÉV!$I$2,D525&gt;ÉV!$J$2),C525&gt;ÉV!$I$2),0,1)</f>
        <v>0</v>
      </c>
      <c r="R525" s="271">
        <f ca="1">(MAX(0,F525-E525-0.003)*0.9*((K525+I525)*(1/12)))*IF(OR(C525&gt;ÉV!$I$2,AND(C525=ÉV!$I$2,D525&gt;ÉV!$J$2)),0,1)</f>
        <v>0</v>
      </c>
      <c r="S525" s="271">
        <f ca="1">(MAX(0,F525-0.003)*0.9*((O525)*(1/12)))*IF(OR(C525&gt;ÉV!$I$2,AND(C525=ÉV!$I$2,D525&gt;ÉV!$J$2)),0,1)</f>
        <v>0</v>
      </c>
      <c r="T525" s="271">
        <f ca="1">(MAX(0,F525-0.003)*0.9*((Q524)*(1/12)))*IF(OR(C525&gt;ÉV!$I$2,AND(C525=ÉV!$I$2,D525&gt;ÉV!$J$2)),0,1)</f>
        <v>0</v>
      </c>
      <c r="U525" s="271">
        <f ca="1">IF($D525=1,R525,R525+U524)*IF(OR(C525&gt;ÉV!$I$2,AND(C525=ÉV!$I$2,D525&gt;ÉV!$J$2)),0,1)</f>
        <v>0</v>
      </c>
      <c r="V525" s="271">
        <f ca="1">IF($D525=1,S525,S525+V524)*IF(OR(C525&gt;ÉV!$I$2,AND(C525=ÉV!$I$2,D525&gt;ÉV!$J$2)),0,1)</f>
        <v>0</v>
      </c>
      <c r="W525" s="271">
        <f ca="1">IF($D525=1,T525,T525+W524)*IF(OR(C525&gt;ÉV!$I$2,AND(C525=ÉV!$I$2,D525&gt;ÉV!$J$2)),0,1)</f>
        <v>0</v>
      </c>
      <c r="X525" s="271">
        <f ca="1">IF(OR(D525=12,AND(C525=ÉV!$I$2,D525=ÉV!$J$2)),SUM(U525:W525)+X524,X524)*IF(OR(C525&gt;ÉV!$I$2,AND(C525=ÉV!$I$2,D525&gt;ÉV!$J$2)),0,1)</f>
        <v>0</v>
      </c>
      <c r="Y525" s="271">
        <f t="shared" ca="1" si="92"/>
        <v>0</v>
      </c>
      <c r="Z525" s="265">
        <f t="shared" si="93"/>
        <v>7</v>
      </c>
      <c r="AA525" s="272">
        <f t="shared" ca="1" si="94"/>
        <v>0</v>
      </c>
      <c r="AB525" s="265">
        <f t="shared" ca="1" si="98"/>
        <v>2060</v>
      </c>
      <c r="AC525" s="265">
        <f t="shared" ca="1" si="99"/>
        <v>10</v>
      </c>
      <c r="AD525" s="276">
        <f ca="1">IF(     OR(               AND(MAX(AF$6:AF525)&lt;2,  AC525=12),                 AF525=2),                   SUMIF(AB:AB,AB525,AA:AA),                       0)</f>
        <v>0</v>
      </c>
      <c r="AE525" s="277">
        <f t="shared" ca="1" si="89"/>
        <v>0</v>
      </c>
      <c r="AF525" s="277">
        <f t="shared" ca="1" si="95"/>
        <v>0</v>
      </c>
      <c r="AG525" s="402">
        <f ca="1">IF(  AND(AC525=AdóHó,   MAX(AF$1:AF524)&lt;2),   SUMIF(AB:AB,AB525-1,AE:AE),0  )
+ IF(AND(AC525&lt;AdóHó,                            AF525=2),   SUMIF(AB:AB,AB525-1,AE:AE),0  )
+ IF(                                                                  AF525=2,    SUMIF(AB:AB,AB525,AE:AE   ),0  )</f>
        <v>0</v>
      </c>
      <c r="AH525" s="272">
        <f ca="1">SUM(AG$2:AG525)</f>
        <v>1139324.2410681627</v>
      </c>
    </row>
    <row r="526" spans="1:34">
      <c r="A526" s="265">
        <f t="shared" si="90"/>
        <v>44</v>
      </c>
      <c r="B526" s="265">
        <f t="shared" si="91"/>
        <v>8</v>
      </c>
      <c r="C526" s="265">
        <f t="shared" ca="1" si="96"/>
        <v>44</v>
      </c>
      <c r="D526" s="265">
        <f t="shared" ca="1" si="97"/>
        <v>11</v>
      </c>
      <c r="E526" s="266">
        <v>5.0000000000000001E-3</v>
      </c>
      <c r="F526" s="267">
        <f>ÉV!$B$12</f>
        <v>0</v>
      </c>
      <c r="G526" s="271">
        <f ca="1">VLOOKUP(A526,ÉV!$A$18:$B$65,2,0)</f>
        <v>0</v>
      </c>
      <c r="H526" s="271">
        <f ca="1">IF(OR(A526=1,AND(C526=ÉV!$I$2,D526&gt;ÉV!$J$2),C526&gt;ÉV!$I$2),0,INDEX(Pz!$B$2:$AM$48,A526-1,ÉV!$G$2-9)/100000*ÉV!$B$10)</f>
        <v>0</v>
      </c>
      <c r="I526" s="271">
        <f ca="1">INDEX(Pz!$B$2:$AM$48,HÓ!A526,ÉV!$G$2-9)/100000*ÉV!$B$10</f>
        <v>0</v>
      </c>
      <c r="J526" s="273">
        <f ca="1">IF(OR(A526=1,A526=2,AND(C526=ÉV!$I$2,D526&gt;ÉV!$J$2),C526&gt;ÉV!$I$2),0,VLOOKUP(A526-2,ÉV!$A$18:$C$65,3,0))</f>
        <v>0</v>
      </c>
      <c r="K526" s="273">
        <f ca="1">IF(OR(A526=1,AND(C526=ÉV!$I$2,D526&gt;ÉV!$J$2),C526&gt;ÉV!$I$2),0,VLOOKUP(A526-1,ÉV!$A$18:$C$65,3,0))</f>
        <v>0</v>
      </c>
      <c r="L526" s="273">
        <f ca="1">VLOOKUP(A526,ÉV!$A$18:$C$65,3,0)*IF(OR(AND(C526=ÉV!$I$2,D526&gt;ÉV!$J$2),C526&gt;ÉV!$I$2),0,1)</f>
        <v>0</v>
      </c>
      <c r="M526" s="273">
        <f ca="1">(K526*(12-B526)/12+L526*B526/12)*IF(A526&gt;ÉV!$G$2,0,1)+IF(A526&gt;ÉV!$G$2,M525,0)*IF(OR(AND(C526=ÉV!$I$2,D526&gt;ÉV!$J$2),C526&gt;ÉV!$I$2),0,1)</f>
        <v>0</v>
      </c>
      <c r="N526" s="274">
        <f ca="1">IF(AND(C526=1,D526&lt;12),0,1)*IF(D526=12,MAX(0,F526-E526-0.003)*0.9*((K526+I526)*(B526/12)+(J526+H526)*(1-B526/12))+MAX(0,F526-0.003)*0.9*N525+N525,IF(AND(C526=ÉV!$I$2,D526=ÉV!$J$2),(M526+N525)*MAX(0,F526-0.003)*0.9*(D526/12)+N525,N525))*IF(OR(C526&gt;ÉV!$I$2,AND(C526=ÉV!$I$2,D526&gt;ÉV!$J$2)),0,1)</f>
        <v>0</v>
      </c>
      <c r="O526" s="313">
        <f ca="1">IF(MAX(AF$2:AF525)=2,      0,IF(OR(AC526=7, AF526=2),    SUM(AE$2:AE526),    O525)   )</f>
        <v>0</v>
      </c>
      <c r="P526" s="271">
        <f ca="1">IF(D526=12,V526+P525+P525*(F526-0.003)*0.9,IF(AND(C526=ÉV!$I$2,D526=ÉV!$J$2),V526+P525+P525*(F526-0.003)*0.9*D526/12,P525))*IF(OR(C526&gt;ÉV!$I$2,AND(C526=ÉV!$I$2,D526&gt;ÉV!$J$2)),0,1)</f>
        <v>0</v>
      </c>
      <c r="Q526" s="275">
        <f ca="1">(N526+P526)*IF(OR(AND(C526=ÉV!$I$2,D526&gt;ÉV!$J$2),C526&gt;ÉV!$I$2),0,1)</f>
        <v>0</v>
      </c>
      <c r="R526" s="271">
        <f ca="1">(MAX(0,F526-E526-0.003)*0.9*((K526+I526)*(1/12)))*IF(OR(C526&gt;ÉV!$I$2,AND(C526=ÉV!$I$2,D526&gt;ÉV!$J$2)),0,1)</f>
        <v>0</v>
      </c>
      <c r="S526" s="271">
        <f ca="1">(MAX(0,F526-0.003)*0.9*((O526)*(1/12)))*IF(OR(C526&gt;ÉV!$I$2,AND(C526=ÉV!$I$2,D526&gt;ÉV!$J$2)),0,1)</f>
        <v>0</v>
      </c>
      <c r="T526" s="271">
        <f ca="1">(MAX(0,F526-0.003)*0.9*((Q525)*(1/12)))*IF(OR(C526&gt;ÉV!$I$2,AND(C526=ÉV!$I$2,D526&gt;ÉV!$J$2)),0,1)</f>
        <v>0</v>
      </c>
      <c r="U526" s="271">
        <f ca="1">IF($D526=1,R526,R526+U525)*IF(OR(C526&gt;ÉV!$I$2,AND(C526=ÉV!$I$2,D526&gt;ÉV!$J$2)),0,1)</f>
        <v>0</v>
      </c>
      <c r="V526" s="271">
        <f ca="1">IF($D526=1,S526,S526+V525)*IF(OR(C526&gt;ÉV!$I$2,AND(C526=ÉV!$I$2,D526&gt;ÉV!$J$2)),0,1)</f>
        <v>0</v>
      </c>
      <c r="W526" s="271">
        <f ca="1">IF($D526=1,T526,T526+W525)*IF(OR(C526&gt;ÉV!$I$2,AND(C526=ÉV!$I$2,D526&gt;ÉV!$J$2)),0,1)</f>
        <v>0</v>
      </c>
      <c r="X526" s="271">
        <f ca="1">IF(OR(D526=12,AND(C526=ÉV!$I$2,D526=ÉV!$J$2)),SUM(U526:W526)+X525,X525)*IF(OR(C526&gt;ÉV!$I$2,AND(C526=ÉV!$I$2,D526&gt;ÉV!$J$2)),0,1)</f>
        <v>0</v>
      </c>
      <c r="Y526" s="271">
        <f t="shared" ca="1" si="92"/>
        <v>0</v>
      </c>
      <c r="Z526" s="265">
        <f t="shared" si="93"/>
        <v>8</v>
      </c>
      <c r="AA526" s="272">
        <f t="shared" ca="1" si="94"/>
        <v>0</v>
      </c>
      <c r="AB526" s="265">
        <f t="shared" ca="1" si="98"/>
        <v>2060</v>
      </c>
      <c r="AC526" s="265">
        <f t="shared" ca="1" si="99"/>
        <v>11</v>
      </c>
      <c r="AD526" s="276">
        <f ca="1">IF(     OR(               AND(MAX(AF$6:AF526)&lt;2,  AC526=12),                 AF526=2),                   SUMIF(AB:AB,AB526,AA:AA),                       0)</f>
        <v>0</v>
      </c>
      <c r="AE526" s="277">
        <f t="shared" ref="AE526:AE577" ca="1" si="100">MIN(AD526*0.2,130000)</f>
        <v>0</v>
      </c>
      <c r="AF526" s="277">
        <f t="shared" ca="1" si="95"/>
        <v>0</v>
      </c>
      <c r="AG526" s="402">
        <f ca="1">IF(  AND(AC526=AdóHó,   MAX(AF$1:AF525)&lt;2),   SUMIF(AB:AB,AB526-1,AE:AE),0  )
+ IF(AND(AC526&lt;AdóHó,                            AF526=2),   SUMIF(AB:AB,AB526-1,AE:AE),0  )
+ IF(                                                                  AF526=2,    SUMIF(AB:AB,AB526,AE:AE   ),0  )</f>
        <v>0</v>
      </c>
      <c r="AH526" s="272">
        <f ca="1">SUM(AG$2:AG526)</f>
        <v>1139324.2410681627</v>
      </c>
    </row>
    <row r="527" spans="1:34">
      <c r="A527" s="265">
        <f t="shared" si="90"/>
        <v>44</v>
      </c>
      <c r="B527" s="265">
        <f t="shared" si="91"/>
        <v>9</v>
      </c>
      <c r="C527" s="265">
        <f t="shared" ca="1" si="96"/>
        <v>44</v>
      </c>
      <c r="D527" s="265">
        <f t="shared" ca="1" si="97"/>
        <v>12</v>
      </c>
      <c r="E527" s="266">
        <v>5.0000000000000001E-3</v>
      </c>
      <c r="F527" s="267">
        <f>ÉV!$B$12</f>
        <v>0</v>
      </c>
      <c r="G527" s="271">
        <f ca="1">VLOOKUP(A527,ÉV!$A$18:$B$65,2,0)</f>
        <v>0</v>
      </c>
      <c r="H527" s="271">
        <f ca="1">IF(OR(A527=1,AND(C527=ÉV!$I$2,D527&gt;ÉV!$J$2),C527&gt;ÉV!$I$2),0,INDEX(Pz!$B$2:$AM$48,A527-1,ÉV!$G$2-9)/100000*ÉV!$B$10)</f>
        <v>0</v>
      </c>
      <c r="I527" s="271">
        <f ca="1">INDEX(Pz!$B$2:$AM$48,HÓ!A527,ÉV!$G$2-9)/100000*ÉV!$B$10</f>
        <v>0</v>
      </c>
      <c r="J527" s="273">
        <f ca="1">IF(OR(A527=1,A527=2,AND(C527=ÉV!$I$2,D527&gt;ÉV!$J$2),C527&gt;ÉV!$I$2),0,VLOOKUP(A527-2,ÉV!$A$18:$C$65,3,0))</f>
        <v>0</v>
      </c>
      <c r="K527" s="273">
        <f ca="1">IF(OR(A527=1,AND(C527=ÉV!$I$2,D527&gt;ÉV!$J$2),C527&gt;ÉV!$I$2),0,VLOOKUP(A527-1,ÉV!$A$18:$C$65,3,0))</f>
        <v>0</v>
      </c>
      <c r="L527" s="273">
        <f ca="1">VLOOKUP(A527,ÉV!$A$18:$C$65,3,0)*IF(OR(AND(C527=ÉV!$I$2,D527&gt;ÉV!$J$2),C527&gt;ÉV!$I$2),0,1)</f>
        <v>0</v>
      </c>
      <c r="M527" s="273">
        <f ca="1">(K527*(12-B527)/12+L527*B527/12)*IF(A527&gt;ÉV!$G$2,0,1)+IF(A527&gt;ÉV!$G$2,M526,0)*IF(OR(AND(C527=ÉV!$I$2,D527&gt;ÉV!$J$2),C527&gt;ÉV!$I$2),0,1)</f>
        <v>0</v>
      </c>
      <c r="N527" s="274">
        <f ca="1">IF(AND(C527=1,D527&lt;12),0,1)*IF(D527=12,MAX(0,F527-E527-0.003)*0.9*((K527+I527)*(B527/12)+(J527+H527)*(1-B527/12))+MAX(0,F527-0.003)*0.9*N526+N526,IF(AND(C527=ÉV!$I$2,D527=ÉV!$J$2),(M527+N526)*MAX(0,F527-0.003)*0.9*(D527/12)+N526,N526))*IF(OR(C527&gt;ÉV!$I$2,AND(C527=ÉV!$I$2,D527&gt;ÉV!$J$2)),0,1)</f>
        <v>0</v>
      </c>
      <c r="O527" s="313">
        <f ca="1">IF(MAX(AF$2:AF526)=2,      0,IF(OR(AC527=7, AF527=2),    SUM(AE$2:AE527),    O526)   )</f>
        <v>0</v>
      </c>
      <c r="P527" s="271">
        <f ca="1">IF(D527=12,V527+P526+P526*(F527-0.003)*0.9,IF(AND(C527=ÉV!$I$2,D527=ÉV!$J$2),V527+P526+P526*(F527-0.003)*0.9*D527/12,P526))*IF(OR(C527&gt;ÉV!$I$2,AND(C527=ÉV!$I$2,D527&gt;ÉV!$J$2)),0,1)</f>
        <v>0</v>
      </c>
      <c r="Q527" s="275">
        <f ca="1">(N527+P527)*IF(OR(AND(C527=ÉV!$I$2,D527&gt;ÉV!$J$2),C527&gt;ÉV!$I$2),0,1)</f>
        <v>0</v>
      </c>
      <c r="R527" s="271">
        <f ca="1">(MAX(0,F527-E527-0.003)*0.9*((K527+I527)*(1/12)))*IF(OR(C527&gt;ÉV!$I$2,AND(C527=ÉV!$I$2,D527&gt;ÉV!$J$2)),0,1)</f>
        <v>0</v>
      </c>
      <c r="S527" s="271">
        <f ca="1">(MAX(0,F527-0.003)*0.9*((O527)*(1/12)))*IF(OR(C527&gt;ÉV!$I$2,AND(C527=ÉV!$I$2,D527&gt;ÉV!$J$2)),0,1)</f>
        <v>0</v>
      </c>
      <c r="T527" s="271">
        <f ca="1">(MAX(0,F527-0.003)*0.9*((Q526)*(1/12)))*IF(OR(C527&gt;ÉV!$I$2,AND(C527=ÉV!$I$2,D527&gt;ÉV!$J$2)),0,1)</f>
        <v>0</v>
      </c>
      <c r="U527" s="271">
        <f ca="1">IF($D527=1,R527,R527+U526)*IF(OR(C527&gt;ÉV!$I$2,AND(C527=ÉV!$I$2,D527&gt;ÉV!$J$2)),0,1)</f>
        <v>0</v>
      </c>
      <c r="V527" s="271">
        <f ca="1">IF($D527=1,S527,S527+V526)*IF(OR(C527&gt;ÉV!$I$2,AND(C527=ÉV!$I$2,D527&gt;ÉV!$J$2)),0,1)</f>
        <v>0</v>
      </c>
      <c r="W527" s="271">
        <f ca="1">IF($D527=1,T527,T527+W526)*IF(OR(C527&gt;ÉV!$I$2,AND(C527=ÉV!$I$2,D527&gt;ÉV!$J$2)),0,1)</f>
        <v>0</v>
      </c>
      <c r="X527" s="271">
        <f ca="1">IF(OR(D527=12,AND(C527=ÉV!$I$2,D527=ÉV!$J$2)),SUM(U527:W527)+X526,X526)*IF(OR(C527&gt;ÉV!$I$2,AND(C527=ÉV!$I$2,D527&gt;ÉV!$J$2)),0,1)</f>
        <v>0</v>
      </c>
      <c r="Y527" s="271">
        <f t="shared" ca="1" si="92"/>
        <v>0</v>
      </c>
      <c r="Z527" s="265">
        <f t="shared" si="93"/>
        <v>9</v>
      </c>
      <c r="AA527" s="272">
        <f t="shared" ca="1" si="94"/>
        <v>0</v>
      </c>
      <c r="AB527" s="265">
        <f t="shared" ca="1" si="98"/>
        <v>2060</v>
      </c>
      <c r="AC527" s="265">
        <f t="shared" ca="1" si="99"/>
        <v>12</v>
      </c>
      <c r="AD527" s="276">
        <f ca="1">IF(     OR(               AND(MAX(AF$6:AF527)&lt;2,  AC527=12),                 AF527=2),                   SUMIF(AB:AB,AB527,AA:AA),                       0)</f>
        <v>0</v>
      </c>
      <c r="AE527" s="277">
        <f t="shared" ca="1" si="100"/>
        <v>0</v>
      </c>
      <c r="AF527" s="277">
        <f t="shared" ca="1" si="95"/>
        <v>0</v>
      </c>
      <c r="AG527" s="402">
        <f ca="1">IF(  AND(AC527=AdóHó,   MAX(AF$1:AF526)&lt;2),   SUMIF(AB:AB,AB527-1,AE:AE),0  )
+ IF(AND(AC527&lt;AdóHó,                            AF527=2),   SUMIF(AB:AB,AB527-1,AE:AE),0  )
+ IF(                                                                  AF527=2,    SUMIF(AB:AB,AB527,AE:AE   ),0  )</f>
        <v>0</v>
      </c>
      <c r="AH527" s="272">
        <f ca="1">SUM(AG$2:AG527)</f>
        <v>1139324.2410681627</v>
      </c>
    </row>
    <row r="528" spans="1:34">
      <c r="A528" s="265">
        <f t="shared" si="90"/>
        <v>44</v>
      </c>
      <c r="B528" s="265">
        <f t="shared" si="91"/>
        <v>10</v>
      </c>
      <c r="C528" s="265">
        <f t="shared" ca="1" si="96"/>
        <v>45</v>
      </c>
      <c r="D528" s="265">
        <f t="shared" ca="1" si="97"/>
        <v>1</v>
      </c>
      <c r="E528" s="266">
        <v>5.0000000000000001E-3</v>
      </c>
      <c r="F528" s="267">
        <f>ÉV!$B$12</f>
        <v>0</v>
      </c>
      <c r="G528" s="271">
        <f ca="1">VLOOKUP(A528,ÉV!$A$18:$B$65,2,0)</f>
        <v>0</v>
      </c>
      <c r="H528" s="271">
        <f ca="1">IF(OR(A528=1,AND(C528=ÉV!$I$2,D528&gt;ÉV!$J$2),C528&gt;ÉV!$I$2),0,INDEX(Pz!$B$2:$AM$48,A528-1,ÉV!$G$2-9)/100000*ÉV!$B$10)</f>
        <v>0</v>
      </c>
      <c r="I528" s="271">
        <f ca="1">INDEX(Pz!$B$2:$AM$48,HÓ!A528,ÉV!$G$2-9)/100000*ÉV!$B$10</f>
        <v>0</v>
      </c>
      <c r="J528" s="273">
        <f ca="1">IF(OR(A528=1,A528=2,AND(C528=ÉV!$I$2,D528&gt;ÉV!$J$2),C528&gt;ÉV!$I$2),0,VLOOKUP(A528-2,ÉV!$A$18:$C$65,3,0))</f>
        <v>0</v>
      </c>
      <c r="K528" s="273">
        <f ca="1">IF(OR(A528=1,AND(C528=ÉV!$I$2,D528&gt;ÉV!$J$2),C528&gt;ÉV!$I$2),0,VLOOKUP(A528-1,ÉV!$A$18:$C$65,3,0))</f>
        <v>0</v>
      </c>
      <c r="L528" s="273">
        <f ca="1">VLOOKUP(A528,ÉV!$A$18:$C$65,3,0)*IF(OR(AND(C528=ÉV!$I$2,D528&gt;ÉV!$J$2),C528&gt;ÉV!$I$2),0,1)</f>
        <v>0</v>
      </c>
      <c r="M528" s="273">
        <f ca="1">(K528*(12-B528)/12+L528*B528/12)*IF(A528&gt;ÉV!$G$2,0,1)+IF(A528&gt;ÉV!$G$2,M527,0)*IF(OR(AND(C528=ÉV!$I$2,D528&gt;ÉV!$J$2),C528&gt;ÉV!$I$2),0,1)</f>
        <v>0</v>
      </c>
      <c r="N528" s="274">
        <f ca="1">IF(AND(C528=1,D528&lt;12),0,1)*IF(D528=12,MAX(0,F528-E528-0.003)*0.9*((K528+I528)*(B528/12)+(J528+H528)*(1-B528/12))+MAX(0,F528-0.003)*0.9*N527+N527,IF(AND(C528=ÉV!$I$2,D528=ÉV!$J$2),(M528+N527)*MAX(0,F528-0.003)*0.9*(D528/12)+N527,N527))*IF(OR(C528&gt;ÉV!$I$2,AND(C528=ÉV!$I$2,D528&gt;ÉV!$J$2)),0,1)</f>
        <v>0</v>
      </c>
      <c r="O528" s="313">
        <f ca="1">IF(MAX(AF$2:AF527)=2,      0,IF(OR(AC528=7, AF528=2),    SUM(AE$2:AE528),    O527)   )</f>
        <v>0</v>
      </c>
      <c r="P528" s="271">
        <f ca="1">IF(D528=12,V528+P527+P527*(F528-0.003)*0.9,IF(AND(C528=ÉV!$I$2,D528=ÉV!$J$2),V528+P527+P527*(F528-0.003)*0.9*D528/12,P527))*IF(OR(C528&gt;ÉV!$I$2,AND(C528=ÉV!$I$2,D528&gt;ÉV!$J$2)),0,1)</f>
        <v>0</v>
      </c>
      <c r="Q528" s="275">
        <f ca="1">(N528+P528)*IF(OR(AND(C528=ÉV!$I$2,D528&gt;ÉV!$J$2),C528&gt;ÉV!$I$2),0,1)</f>
        <v>0</v>
      </c>
      <c r="R528" s="271">
        <f ca="1">(MAX(0,F528-E528-0.003)*0.9*((K528+I528)*(1/12)))*IF(OR(C528&gt;ÉV!$I$2,AND(C528=ÉV!$I$2,D528&gt;ÉV!$J$2)),0,1)</f>
        <v>0</v>
      </c>
      <c r="S528" s="271">
        <f ca="1">(MAX(0,F528-0.003)*0.9*((O528)*(1/12)))*IF(OR(C528&gt;ÉV!$I$2,AND(C528=ÉV!$I$2,D528&gt;ÉV!$J$2)),0,1)</f>
        <v>0</v>
      </c>
      <c r="T528" s="271">
        <f ca="1">(MAX(0,F528-0.003)*0.9*((Q527)*(1/12)))*IF(OR(C528&gt;ÉV!$I$2,AND(C528=ÉV!$I$2,D528&gt;ÉV!$J$2)),0,1)</f>
        <v>0</v>
      </c>
      <c r="U528" s="271">
        <f ca="1">IF($D528=1,R528,R528+U527)*IF(OR(C528&gt;ÉV!$I$2,AND(C528=ÉV!$I$2,D528&gt;ÉV!$J$2)),0,1)</f>
        <v>0</v>
      </c>
      <c r="V528" s="271">
        <f ca="1">IF($D528=1,S528,S528+V527)*IF(OR(C528&gt;ÉV!$I$2,AND(C528=ÉV!$I$2,D528&gt;ÉV!$J$2)),0,1)</f>
        <v>0</v>
      </c>
      <c r="W528" s="271">
        <f ca="1">IF($D528=1,T528,T528+W527)*IF(OR(C528&gt;ÉV!$I$2,AND(C528=ÉV!$I$2,D528&gt;ÉV!$J$2)),0,1)</f>
        <v>0</v>
      </c>
      <c r="X528" s="271">
        <f ca="1">IF(OR(D528=12,AND(C528=ÉV!$I$2,D528=ÉV!$J$2)),SUM(U528:W528)+X527,X527)*IF(OR(C528&gt;ÉV!$I$2,AND(C528=ÉV!$I$2,D528&gt;ÉV!$J$2)),0,1)</f>
        <v>0</v>
      </c>
      <c r="Y528" s="271">
        <f t="shared" ca="1" si="92"/>
        <v>0</v>
      </c>
      <c r="Z528" s="265">
        <f t="shared" si="93"/>
        <v>10</v>
      </c>
      <c r="AA528" s="272">
        <f t="shared" ca="1" si="94"/>
        <v>0</v>
      </c>
      <c r="AB528" s="265">
        <f t="shared" ca="1" si="98"/>
        <v>2061</v>
      </c>
      <c r="AC528" s="265">
        <f t="shared" ca="1" si="99"/>
        <v>1</v>
      </c>
      <c r="AD528" s="276">
        <f ca="1">IF(     OR(               AND(MAX(AF$6:AF528)&lt;2,  AC528=12),                 AF528=2),                   SUMIF(AB:AB,AB528,AA:AA),                       0)</f>
        <v>0</v>
      </c>
      <c r="AE528" s="277">
        <f t="shared" ca="1" si="100"/>
        <v>0</v>
      </c>
      <c r="AF528" s="277">
        <f t="shared" ca="1" si="95"/>
        <v>0</v>
      </c>
      <c r="AG528" s="402">
        <f ca="1">IF(  AND(AC528=AdóHó,   MAX(AF$1:AF527)&lt;2),   SUMIF(AB:AB,AB528-1,AE:AE),0  )
+ IF(AND(AC528&lt;AdóHó,                            AF528=2),   SUMIF(AB:AB,AB528-1,AE:AE),0  )
+ IF(                                                                  AF528=2,    SUMIF(AB:AB,AB528,AE:AE   ),0  )</f>
        <v>0</v>
      </c>
      <c r="AH528" s="272">
        <f ca="1">SUM(AG$2:AG528)</f>
        <v>1139324.2410681627</v>
      </c>
    </row>
    <row r="529" spans="1:34">
      <c r="A529" s="265">
        <f t="shared" si="90"/>
        <v>44</v>
      </c>
      <c r="B529" s="265">
        <f t="shared" si="91"/>
        <v>11</v>
      </c>
      <c r="C529" s="265">
        <f t="shared" ca="1" si="96"/>
        <v>45</v>
      </c>
      <c r="D529" s="265">
        <f t="shared" ca="1" si="97"/>
        <v>2</v>
      </c>
      <c r="E529" s="266">
        <v>5.0000000000000001E-3</v>
      </c>
      <c r="F529" s="267">
        <f>ÉV!$B$12</f>
        <v>0</v>
      </c>
      <c r="G529" s="271">
        <f ca="1">VLOOKUP(A529,ÉV!$A$18:$B$65,2,0)</f>
        <v>0</v>
      </c>
      <c r="H529" s="271">
        <f ca="1">IF(OR(A529=1,AND(C529=ÉV!$I$2,D529&gt;ÉV!$J$2),C529&gt;ÉV!$I$2),0,INDEX(Pz!$B$2:$AM$48,A529-1,ÉV!$G$2-9)/100000*ÉV!$B$10)</f>
        <v>0</v>
      </c>
      <c r="I529" s="271">
        <f ca="1">INDEX(Pz!$B$2:$AM$48,HÓ!A529,ÉV!$G$2-9)/100000*ÉV!$B$10</f>
        <v>0</v>
      </c>
      <c r="J529" s="273">
        <f ca="1">IF(OR(A529=1,A529=2,AND(C529=ÉV!$I$2,D529&gt;ÉV!$J$2),C529&gt;ÉV!$I$2),0,VLOOKUP(A529-2,ÉV!$A$18:$C$65,3,0))</f>
        <v>0</v>
      </c>
      <c r="K529" s="273">
        <f ca="1">IF(OR(A529=1,AND(C529=ÉV!$I$2,D529&gt;ÉV!$J$2),C529&gt;ÉV!$I$2),0,VLOOKUP(A529-1,ÉV!$A$18:$C$65,3,0))</f>
        <v>0</v>
      </c>
      <c r="L529" s="273">
        <f ca="1">VLOOKUP(A529,ÉV!$A$18:$C$65,3,0)*IF(OR(AND(C529=ÉV!$I$2,D529&gt;ÉV!$J$2),C529&gt;ÉV!$I$2),0,1)</f>
        <v>0</v>
      </c>
      <c r="M529" s="273">
        <f ca="1">(K529*(12-B529)/12+L529*B529/12)*IF(A529&gt;ÉV!$G$2,0,1)+IF(A529&gt;ÉV!$G$2,M528,0)*IF(OR(AND(C529=ÉV!$I$2,D529&gt;ÉV!$J$2),C529&gt;ÉV!$I$2),0,1)</f>
        <v>0</v>
      </c>
      <c r="N529" s="274">
        <f ca="1">IF(AND(C529=1,D529&lt;12),0,1)*IF(D529=12,MAX(0,F529-E529-0.003)*0.9*((K529+I529)*(B529/12)+(J529+H529)*(1-B529/12))+MAX(0,F529-0.003)*0.9*N528+N528,IF(AND(C529=ÉV!$I$2,D529=ÉV!$J$2),(M529+N528)*MAX(0,F529-0.003)*0.9*(D529/12)+N528,N528))*IF(OR(C529&gt;ÉV!$I$2,AND(C529=ÉV!$I$2,D529&gt;ÉV!$J$2)),0,1)</f>
        <v>0</v>
      </c>
      <c r="O529" s="313">
        <f ca="1">IF(MAX(AF$2:AF528)=2,      0,IF(OR(AC529=7, AF529=2),    SUM(AE$2:AE529),    O528)   )</f>
        <v>0</v>
      </c>
      <c r="P529" s="271">
        <f ca="1">IF(D529=12,V529+P528+P528*(F529-0.003)*0.9,IF(AND(C529=ÉV!$I$2,D529=ÉV!$J$2),V529+P528+P528*(F529-0.003)*0.9*D529/12,P528))*IF(OR(C529&gt;ÉV!$I$2,AND(C529=ÉV!$I$2,D529&gt;ÉV!$J$2)),0,1)</f>
        <v>0</v>
      </c>
      <c r="Q529" s="275">
        <f ca="1">(N529+P529)*IF(OR(AND(C529=ÉV!$I$2,D529&gt;ÉV!$J$2),C529&gt;ÉV!$I$2),0,1)</f>
        <v>0</v>
      </c>
      <c r="R529" s="271">
        <f ca="1">(MAX(0,F529-E529-0.003)*0.9*((K529+I529)*(1/12)))*IF(OR(C529&gt;ÉV!$I$2,AND(C529=ÉV!$I$2,D529&gt;ÉV!$J$2)),0,1)</f>
        <v>0</v>
      </c>
      <c r="S529" s="271">
        <f ca="1">(MAX(0,F529-0.003)*0.9*((O529)*(1/12)))*IF(OR(C529&gt;ÉV!$I$2,AND(C529=ÉV!$I$2,D529&gt;ÉV!$J$2)),0,1)</f>
        <v>0</v>
      </c>
      <c r="T529" s="271">
        <f ca="1">(MAX(0,F529-0.003)*0.9*((Q528)*(1/12)))*IF(OR(C529&gt;ÉV!$I$2,AND(C529=ÉV!$I$2,D529&gt;ÉV!$J$2)),0,1)</f>
        <v>0</v>
      </c>
      <c r="U529" s="271">
        <f ca="1">IF($D529=1,R529,R529+U528)*IF(OR(C529&gt;ÉV!$I$2,AND(C529=ÉV!$I$2,D529&gt;ÉV!$J$2)),0,1)</f>
        <v>0</v>
      </c>
      <c r="V529" s="271">
        <f ca="1">IF($D529=1,S529,S529+V528)*IF(OR(C529&gt;ÉV!$I$2,AND(C529=ÉV!$I$2,D529&gt;ÉV!$J$2)),0,1)</f>
        <v>0</v>
      </c>
      <c r="W529" s="271">
        <f ca="1">IF($D529=1,T529,T529+W528)*IF(OR(C529&gt;ÉV!$I$2,AND(C529=ÉV!$I$2,D529&gt;ÉV!$J$2)),0,1)</f>
        <v>0</v>
      </c>
      <c r="X529" s="271">
        <f ca="1">IF(OR(D529=12,AND(C529=ÉV!$I$2,D529=ÉV!$J$2)),SUM(U529:W529)+X528,X528)*IF(OR(C529&gt;ÉV!$I$2,AND(C529=ÉV!$I$2,D529&gt;ÉV!$J$2)),0,1)</f>
        <v>0</v>
      </c>
      <c r="Y529" s="271">
        <f t="shared" ca="1" si="92"/>
        <v>0</v>
      </c>
      <c r="Z529" s="265">
        <f t="shared" si="93"/>
        <v>11</v>
      </c>
      <c r="AA529" s="272">
        <f t="shared" ca="1" si="94"/>
        <v>0</v>
      </c>
      <c r="AB529" s="265">
        <f t="shared" ca="1" si="98"/>
        <v>2061</v>
      </c>
      <c r="AC529" s="265">
        <f t="shared" ca="1" si="99"/>
        <v>2</v>
      </c>
      <c r="AD529" s="276">
        <f ca="1">IF(     OR(               AND(MAX(AF$6:AF529)&lt;2,  AC529=12),                 AF529=2),                   SUMIF(AB:AB,AB529,AA:AA),                       0)</f>
        <v>0</v>
      </c>
      <c r="AE529" s="277">
        <f t="shared" ca="1" si="100"/>
        <v>0</v>
      </c>
      <c r="AF529" s="277">
        <f t="shared" ca="1" si="95"/>
        <v>0</v>
      </c>
      <c r="AG529" s="402">
        <f ca="1">IF(  AND(AC529=AdóHó,   MAX(AF$1:AF528)&lt;2),   SUMIF(AB:AB,AB529-1,AE:AE),0  )
+ IF(AND(AC529&lt;AdóHó,                            AF529=2),   SUMIF(AB:AB,AB529-1,AE:AE),0  )
+ IF(                                                                  AF529=2,    SUMIF(AB:AB,AB529,AE:AE   ),0  )</f>
        <v>0</v>
      </c>
      <c r="AH529" s="272">
        <f ca="1">SUM(AG$2:AG529)</f>
        <v>1139324.2410681627</v>
      </c>
    </row>
    <row r="530" spans="1:34">
      <c r="A530" s="265">
        <f t="shared" si="90"/>
        <v>44</v>
      </c>
      <c r="B530" s="265">
        <f t="shared" si="91"/>
        <v>12</v>
      </c>
      <c r="C530" s="265">
        <f t="shared" ca="1" si="96"/>
        <v>45</v>
      </c>
      <c r="D530" s="265">
        <f t="shared" ca="1" si="97"/>
        <v>3</v>
      </c>
      <c r="E530" s="266">
        <v>5.0000000000000001E-3</v>
      </c>
      <c r="F530" s="267">
        <f>ÉV!$B$12</f>
        <v>0</v>
      </c>
      <c r="G530" s="271">
        <f ca="1">VLOOKUP(A530,ÉV!$A$18:$B$65,2,0)</f>
        <v>0</v>
      </c>
      <c r="H530" s="271">
        <f ca="1">IF(OR(A530=1,AND(C530=ÉV!$I$2,D530&gt;ÉV!$J$2),C530&gt;ÉV!$I$2),0,INDEX(Pz!$B$2:$AM$48,A530-1,ÉV!$G$2-9)/100000*ÉV!$B$10)</f>
        <v>0</v>
      </c>
      <c r="I530" s="271">
        <f ca="1">INDEX(Pz!$B$2:$AM$48,HÓ!A530,ÉV!$G$2-9)/100000*ÉV!$B$10</f>
        <v>0</v>
      </c>
      <c r="J530" s="273">
        <f ca="1">IF(OR(A530=1,A530=2,AND(C530=ÉV!$I$2,D530&gt;ÉV!$J$2),C530&gt;ÉV!$I$2),0,VLOOKUP(A530-2,ÉV!$A$18:$C$65,3,0))</f>
        <v>0</v>
      </c>
      <c r="K530" s="273">
        <f ca="1">IF(OR(A530=1,AND(C530=ÉV!$I$2,D530&gt;ÉV!$J$2),C530&gt;ÉV!$I$2),0,VLOOKUP(A530-1,ÉV!$A$18:$C$65,3,0))</f>
        <v>0</v>
      </c>
      <c r="L530" s="273">
        <f ca="1">VLOOKUP(A530,ÉV!$A$18:$C$65,3,0)*IF(OR(AND(C530=ÉV!$I$2,D530&gt;ÉV!$J$2),C530&gt;ÉV!$I$2),0,1)</f>
        <v>0</v>
      </c>
      <c r="M530" s="273">
        <f ca="1">(K530*(12-B530)/12+L530*B530/12)*IF(A530&gt;ÉV!$G$2,0,1)+IF(A530&gt;ÉV!$G$2,M529,0)*IF(OR(AND(C530=ÉV!$I$2,D530&gt;ÉV!$J$2),C530&gt;ÉV!$I$2),0,1)</f>
        <v>0</v>
      </c>
      <c r="N530" s="274">
        <f ca="1">IF(AND(C530=1,D530&lt;12),0,1)*IF(D530=12,MAX(0,F530-E530-0.003)*0.9*((K530+I530)*(B530/12)+(J530+H530)*(1-B530/12))+MAX(0,F530-0.003)*0.9*N529+N529,IF(AND(C530=ÉV!$I$2,D530=ÉV!$J$2),(M530+N529)*MAX(0,F530-0.003)*0.9*(D530/12)+N529,N529))*IF(OR(C530&gt;ÉV!$I$2,AND(C530=ÉV!$I$2,D530&gt;ÉV!$J$2)),0,1)</f>
        <v>0</v>
      </c>
      <c r="O530" s="313">
        <f ca="1">IF(MAX(AF$2:AF529)=2,      0,IF(OR(AC530=7, AF530=2),    SUM(AE$2:AE530),    O529)   )</f>
        <v>0</v>
      </c>
      <c r="P530" s="271">
        <f ca="1">IF(D530=12,V530+P529+P529*(F530-0.003)*0.9,IF(AND(C530=ÉV!$I$2,D530=ÉV!$J$2),V530+P529+P529*(F530-0.003)*0.9*D530/12,P529))*IF(OR(C530&gt;ÉV!$I$2,AND(C530=ÉV!$I$2,D530&gt;ÉV!$J$2)),0,1)</f>
        <v>0</v>
      </c>
      <c r="Q530" s="275">
        <f ca="1">(N530+P530)*IF(OR(AND(C530=ÉV!$I$2,D530&gt;ÉV!$J$2),C530&gt;ÉV!$I$2),0,1)</f>
        <v>0</v>
      </c>
      <c r="R530" s="271">
        <f ca="1">(MAX(0,F530-E530-0.003)*0.9*((K530+I530)*(1/12)))*IF(OR(C530&gt;ÉV!$I$2,AND(C530=ÉV!$I$2,D530&gt;ÉV!$J$2)),0,1)</f>
        <v>0</v>
      </c>
      <c r="S530" s="271">
        <f ca="1">(MAX(0,F530-0.003)*0.9*((O530)*(1/12)))*IF(OR(C530&gt;ÉV!$I$2,AND(C530=ÉV!$I$2,D530&gt;ÉV!$J$2)),0,1)</f>
        <v>0</v>
      </c>
      <c r="T530" s="271">
        <f ca="1">(MAX(0,F530-0.003)*0.9*((Q529)*(1/12)))*IF(OR(C530&gt;ÉV!$I$2,AND(C530=ÉV!$I$2,D530&gt;ÉV!$J$2)),0,1)</f>
        <v>0</v>
      </c>
      <c r="U530" s="271">
        <f ca="1">IF($D530=1,R530,R530+U529)*IF(OR(C530&gt;ÉV!$I$2,AND(C530=ÉV!$I$2,D530&gt;ÉV!$J$2)),0,1)</f>
        <v>0</v>
      </c>
      <c r="V530" s="271">
        <f ca="1">IF($D530=1,S530,S530+V529)*IF(OR(C530&gt;ÉV!$I$2,AND(C530=ÉV!$I$2,D530&gt;ÉV!$J$2)),0,1)</f>
        <v>0</v>
      </c>
      <c r="W530" s="271">
        <f ca="1">IF($D530=1,T530,T530+W529)*IF(OR(C530&gt;ÉV!$I$2,AND(C530=ÉV!$I$2,D530&gt;ÉV!$J$2)),0,1)</f>
        <v>0</v>
      </c>
      <c r="X530" s="271">
        <f ca="1">IF(OR(D530=12,AND(C530=ÉV!$I$2,D530=ÉV!$J$2)),SUM(U530:W530)+X529,X529)*IF(OR(C530&gt;ÉV!$I$2,AND(C530=ÉV!$I$2,D530&gt;ÉV!$J$2)),0,1)</f>
        <v>0</v>
      </c>
      <c r="Y530" s="271">
        <f t="shared" ca="1" si="92"/>
        <v>0</v>
      </c>
      <c r="Z530" s="265">
        <f t="shared" si="93"/>
        <v>12</v>
      </c>
      <c r="AA530" s="272">
        <f t="shared" ca="1" si="94"/>
        <v>0</v>
      </c>
      <c r="AB530" s="265">
        <f t="shared" ca="1" si="98"/>
        <v>2061</v>
      </c>
      <c r="AC530" s="265">
        <f t="shared" ca="1" si="99"/>
        <v>3</v>
      </c>
      <c r="AD530" s="276">
        <f ca="1">IF(     OR(               AND(MAX(AF$6:AF530)&lt;2,  AC530=12),                 AF530=2),                   SUMIF(AB:AB,AB530,AA:AA),                       0)</f>
        <v>0</v>
      </c>
      <c r="AE530" s="277">
        <f t="shared" ca="1" si="100"/>
        <v>0</v>
      </c>
      <c r="AF530" s="277">
        <f t="shared" ca="1" si="95"/>
        <v>0</v>
      </c>
      <c r="AG530" s="402">
        <f ca="1">IF(  AND(AC530=AdóHó,   MAX(AF$1:AF529)&lt;2),   SUMIF(AB:AB,AB530-1,AE:AE),0  )
+ IF(AND(AC530&lt;AdóHó,                            AF530=2),   SUMIF(AB:AB,AB530-1,AE:AE),0  )
+ IF(                                                                  AF530=2,    SUMIF(AB:AB,AB530,AE:AE   ),0  )</f>
        <v>0</v>
      </c>
      <c r="AH530" s="272">
        <f ca="1">SUM(AG$2:AG530)</f>
        <v>1139324.2410681627</v>
      </c>
    </row>
    <row r="531" spans="1:34">
      <c r="A531" s="265">
        <f t="shared" si="90"/>
        <v>45</v>
      </c>
      <c r="B531" s="265">
        <f t="shared" si="91"/>
        <v>1</v>
      </c>
      <c r="C531" s="265">
        <f t="shared" ca="1" si="96"/>
        <v>45</v>
      </c>
      <c r="D531" s="265">
        <f t="shared" ca="1" si="97"/>
        <v>4</v>
      </c>
      <c r="E531" s="266">
        <v>5.0000000000000001E-3</v>
      </c>
      <c r="F531" s="267">
        <f>ÉV!$B$12</f>
        <v>0</v>
      </c>
      <c r="G531" s="271">
        <f ca="1">VLOOKUP(A531,ÉV!$A$18:$B$65,2,0)</f>
        <v>0</v>
      </c>
      <c r="H531" s="271">
        <f ca="1">IF(OR(A531=1,AND(C531=ÉV!$I$2,D531&gt;ÉV!$J$2),C531&gt;ÉV!$I$2),0,INDEX(Pz!$B$2:$AM$48,A531-1,ÉV!$G$2-9)/100000*ÉV!$B$10)</f>
        <v>0</v>
      </c>
      <c r="I531" s="271">
        <f ca="1">INDEX(Pz!$B$2:$AM$48,HÓ!A531,ÉV!$G$2-9)/100000*ÉV!$B$10</f>
        <v>0</v>
      </c>
      <c r="J531" s="273">
        <f ca="1">IF(OR(A531=1,A531=2,AND(C531=ÉV!$I$2,D531&gt;ÉV!$J$2),C531&gt;ÉV!$I$2),0,VLOOKUP(A531-2,ÉV!$A$18:$C$65,3,0))</f>
        <v>0</v>
      </c>
      <c r="K531" s="273">
        <f ca="1">IF(OR(A531=1,AND(C531=ÉV!$I$2,D531&gt;ÉV!$J$2),C531&gt;ÉV!$I$2),0,VLOOKUP(A531-1,ÉV!$A$18:$C$65,3,0))</f>
        <v>0</v>
      </c>
      <c r="L531" s="273">
        <f ca="1">VLOOKUP(A531,ÉV!$A$18:$C$65,3,0)*IF(OR(AND(C531=ÉV!$I$2,D531&gt;ÉV!$J$2),C531&gt;ÉV!$I$2),0,1)</f>
        <v>0</v>
      </c>
      <c r="M531" s="273">
        <f ca="1">(K531*(12-B531)/12+L531*B531/12)*IF(A531&gt;ÉV!$G$2,0,1)+IF(A531&gt;ÉV!$G$2,M530,0)*IF(OR(AND(C531=ÉV!$I$2,D531&gt;ÉV!$J$2),C531&gt;ÉV!$I$2),0,1)</f>
        <v>0</v>
      </c>
      <c r="N531" s="274">
        <f ca="1">IF(AND(C531=1,D531&lt;12),0,1)*IF(D531=12,MAX(0,F531-E531-0.003)*0.9*((K531+I531)*(B531/12)+(J531+H531)*(1-B531/12))+MAX(0,F531-0.003)*0.9*N530+N530,IF(AND(C531=ÉV!$I$2,D531=ÉV!$J$2),(M531+N530)*MAX(0,F531-0.003)*0.9*(D531/12)+N530,N530))*IF(OR(C531&gt;ÉV!$I$2,AND(C531=ÉV!$I$2,D531&gt;ÉV!$J$2)),0,1)</f>
        <v>0</v>
      </c>
      <c r="O531" s="313">
        <f ca="1">IF(MAX(AF$2:AF530)=2,      0,IF(OR(AC531=7, AF531=2),    SUM(AE$2:AE531),    O530)   )</f>
        <v>0</v>
      </c>
      <c r="P531" s="271">
        <f ca="1">IF(D531=12,V531+P530+P530*(F531-0.003)*0.9,IF(AND(C531=ÉV!$I$2,D531=ÉV!$J$2),V531+P530+P530*(F531-0.003)*0.9*D531/12,P530))*IF(OR(C531&gt;ÉV!$I$2,AND(C531=ÉV!$I$2,D531&gt;ÉV!$J$2)),0,1)</f>
        <v>0</v>
      </c>
      <c r="Q531" s="275">
        <f ca="1">(N531+P531)*IF(OR(AND(C531=ÉV!$I$2,D531&gt;ÉV!$J$2),C531&gt;ÉV!$I$2),0,1)</f>
        <v>0</v>
      </c>
      <c r="R531" s="271">
        <f ca="1">(MAX(0,F531-E531-0.003)*0.9*((K531+I531)*(1/12)))*IF(OR(C531&gt;ÉV!$I$2,AND(C531=ÉV!$I$2,D531&gt;ÉV!$J$2)),0,1)</f>
        <v>0</v>
      </c>
      <c r="S531" s="271">
        <f ca="1">(MAX(0,F531-0.003)*0.9*((O531)*(1/12)))*IF(OR(C531&gt;ÉV!$I$2,AND(C531=ÉV!$I$2,D531&gt;ÉV!$J$2)),0,1)</f>
        <v>0</v>
      </c>
      <c r="T531" s="271">
        <f ca="1">(MAX(0,F531-0.003)*0.9*((Q530)*(1/12)))*IF(OR(C531&gt;ÉV!$I$2,AND(C531=ÉV!$I$2,D531&gt;ÉV!$J$2)),0,1)</f>
        <v>0</v>
      </c>
      <c r="U531" s="271">
        <f ca="1">IF($D531=1,R531,R531+U530)*IF(OR(C531&gt;ÉV!$I$2,AND(C531=ÉV!$I$2,D531&gt;ÉV!$J$2)),0,1)</f>
        <v>0</v>
      </c>
      <c r="V531" s="271">
        <f ca="1">IF($D531=1,S531,S531+V530)*IF(OR(C531&gt;ÉV!$I$2,AND(C531=ÉV!$I$2,D531&gt;ÉV!$J$2)),0,1)</f>
        <v>0</v>
      </c>
      <c r="W531" s="271">
        <f ca="1">IF($D531=1,T531,T531+W530)*IF(OR(C531&gt;ÉV!$I$2,AND(C531=ÉV!$I$2,D531&gt;ÉV!$J$2)),0,1)</f>
        <v>0</v>
      </c>
      <c r="X531" s="271">
        <f ca="1">IF(OR(D531=12,AND(C531=ÉV!$I$2,D531=ÉV!$J$2)),SUM(U531:W531)+X530,X530)*IF(OR(C531&gt;ÉV!$I$2,AND(C531=ÉV!$I$2,D531&gt;ÉV!$J$2)),0,1)</f>
        <v>0</v>
      </c>
      <c r="Y531" s="271">
        <f t="shared" ca="1" si="92"/>
        <v>0</v>
      </c>
      <c r="Z531" s="265">
        <f t="shared" si="93"/>
        <v>1</v>
      </c>
      <c r="AA531" s="272">
        <f t="shared" ca="1" si="94"/>
        <v>0</v>
      </c>
      <c r="AB531" s="265">
        <f t="shared" ca="1" si="98"/>
        <v>2061</v>
      </c>
      <c r="AC531" s="265">
        <f t="shared" ca="1" si="99"/>
        <v>4</v>
      </c>
      <c r="AD531" s="276">
        <f ca="1">IF(     OR(               AND(MAX(AF$6:AF531)&lt;2,  AC531=12),                 AF531=2),                   SUMIF(AB:AB,AB531,AA:AA),                       0)</f>
        <v>0</v>
      </c>
      <c r="AE531" s="277">
        <f t="shared" ca="1" si="100"/>
        <v>0</v>
      </c>
      <c r="AF531" s="277">
        <f t="shared" ca="1" si="95"/>
        <v>0</v>
      </c>
      <c r="AG531" s="402">
        <f ca="1">IF(  AND(AC531=AdóHó,   MAX(AF$1:AF530)&lt;2),   SUMIF(AB:AB,AB531-1,AE:AE),0  )
+ IF(AND(AC531&lt;AdóHó,                            AF531=2),   SUMIF(AB:AB,AB531-1,AE:AE),0  )
+ IF(                                                                  AF531=2,    SUMIF(AB:AB,AB531,AE:AE   ),0  )</f>
        <v>0</v>
      </c>
      <c r="AH531" s="272">
        <f ca="1">SUM(AG$2:AG531)</f>
        <v>1139324.2410681627</v>
      </c>
    </row>
    <row r="532" spans="1:34">
      <c r="A532" s="265">
        <f t="shared" si="90"/>
        <v>45</v>
      </c>
      <c r="B532" s="265">
        <f t="shared" si="91"/>
        <v>2</v>
      </c>
      <c r="C532" s="265">
        <f t="shared" ca="1" si="96"/>
        <v>45</v>
      </c>
      <c r="D532" s="265">
        <f t="shared" ca="1" si="97"/>
        <v>5</v>
      </c>
      <c r="E532" s="266">
        <v>5.0000000000000001E-3</v>
      </c>
      <c r="F532" s="267">
        <f>ÉV!$B$12</f>
        <v>0</v>
      </c>
      <c r="G532" s="271">
        <f ca="1">VLOOKUP(A532,ÉV!$A$18:$B$65,2,0)</f>
        <v>0</v>
      </c>
      <c r="H532" s="271">
        <f ca="1">IF(OR(A532=1,AND(C532=ÉV!$I$2,D532&gt;ÉV!$J$2),C532&gt;ÉV!$I$2),0,INDEX(Pz!$B$2:$AM$48,A532-1,ÉV!$G$2-9)/100000*ÉV!$B$10)</f>
        <v>0</v>
      </c>
      <c r="I532" s="271">
        <f ca="1">INDEX(Pz!$B$2:$AM$48,HÓ!A532,ÉV!$G$2-9)/100000*ÉV!$B$10</f>
        <v>0</v>
      </c>
      <c r="J532" s="273">
        <f ca="1">IF(OR(A532=1,A532=2,AND(C532=ÉV!$I$2,D532&gt;ÉV!$J$2),C532&gt;ÉV!$I$2),0,VLOOKUP(A532-2,ÉV!$A$18:$C$65,3,0))</f>
        <v>0</v>
      </c>
      <c r="K532" s="273">
        <f ca="1">IF(OR(A532=1,AND(C532=ÉV!$I$2,D532&gt;ÉV!$J$2),C532&gt;ÉV!$I$2),0,VLOOKUP(A532-1,ÉV!$A$18:$C$65,3,0))</f>
        <v>0</v>
      </c>
      <c r="L532" s="273">
        <f ca="1">VLOOKUP(A532,ÉV!$A$18:$C$65,3,0)*IF(OR(AND(C532=ÉV!$I$2,D532&gt;ÉV!$J$2),C532&gt;ÉV!$I$2),0,1)</f>
        <v>0</v>
      </c>
      <c r="M532" s="273">
        <f ca="1">(K532*(12-B532)/12+L532*B532/12)*IF(A532&gt;ÉV!$G$2,0,1)+IF(A532&gt;ÉV!$G$2,M531,0)*IF(OR(AND(C532=ÉV!$I$2,D532&gt;ÉV!$J$2),C532&gt;ÉV!$I$2),0,1)</f>
        <v>0</v>
      </c>
      <c r="N532" s="274">
        <f ca="1">IF(AND(C532=1,D532&lt;12),0,1)*IF(D532=12,MAX(0,F532-E532-0.003)*0.9*((K532+I532)*(B532/12)+(J532+H532)*(1-B532/12))+MAX(0,F532-0.003)*0.9*N531+N531,IF(AND(C532=ÉV!$I$2,D532=ÉV!$J$2),(M532+N531)*MAX(0,F532-0.003)*0.9*(D532/12)+N531,N531))*IF(OR(C532&gt;ÉV!$I$2,AND(C532=ÉV!$I$2,D532&gt;ÉV!$J$2)),0,1)</f>
        <v>0</v>
      </c>
      <c r="O532" s="313">
        <f ca="1">IF(MAX(AF$2:AF531)=2,      0,IF(OR(AC532=7, AF532=2),    SUM(AE$2:AE532),    O531)   )</f>
        <v>0</v>
      </c>
      <c r="P532" s="271">
        <f ca="1">IF(D532=12,V532+P531+P531*(F532-0.003)*0.9,IF(AND(C532=ÉV!$I$2,D532=ÉV!$J$2),V532+P531+P531*(F532-0.003)*0.9*D532/12,P531))*IF(OR(C532&gt;ÉV!$I$2,AND(C532=ÉV!$I$2,D532&gt;ÉV!$J$2)),0,1)</f>
        <v>0</v>
      </c>
      <c r="Q532" s="275">
        <f ca="1">(N532+P532)*IF(OR(AND(C532=ÉV!$I$2,D532&gt;ÉV!$J$2),C532&gt;ÉV!$I$2),0,1)</f>
        <v>0</v>
      </c>
      <c r="R532" s="271">
        <f ca="1">(MAX(0,F532-E532-0.003)*0.9*((K532+I532)*(1/12)))*IF(OR(C532&gt;ÉV!$I$2,AND(C532=ÉV!$I$2,D532&gt;ÉV!$J$2)),0,1)</f>
        <v>0</v>
      </c>
      <c r="S532" s="271">
        <f ca="1">(MAX(0,F532-0.003)*0.9*((O532)*(1/12)))*IF(OR(C532&gt;ÉV!$I$2,AND(C532=ÉV!$I$2,D532&gt;ÉV!$J$2)),0,1)</f>
        <v>0</v>
      </c>
      <c r="T532" s="271">
        <f ca="1">(MAX(0,F532-0.003)*0.9*((Q531)*(1/12)))*IF(OR(C532&gt;ÉV!$I$2,AND(C532=ÉV!$I$2,D532&gt;ÉV!$J$2)),0,1)</f>
        <v>0</v>
      </c>
      <c r="U532" s="271">
        <f ca="1">IF($D532=1,R532,R532+U531)*IF(OR(C532&gt;ÉV!$I$2,AND(C532=ÉV!$I$2,D532&gt;ÉV!$J$2)),0,1)</f>
        <v>0</v>
      </c>
      <c r="V532" s="271">
        <f ca="1">IF($D532=1,S532,S532+V531)*IF(OR(C532&gt;ÉV!$I$2,AND(C532=ÉV!$I$2,D532&gt;ÉV!$J$2)),0,1)</f>
        <v>0</v>
      </c>
      <c r="W532" s="271">
        <f ca="1">IF($D532=1,T532,T532+W531)*IF(OR(C532&gt;ÉV!$I$2,AND(C532=ÉV!$I$2,D532&gt;ÉV!$J$2)),0,1)</f>
        <v>0</v>
      </c>
      <c r="X532" s="271">
        <f ca="1">IF(OR(D532=12,AND(C532=ÉV!$I$2,D532=ÉV!$J$2)),SUM(U532:W532)+X531,X531)*IF(OR(C532&gt;ÉV!$I$2,AND(C532=ÉV!$I$2,D532&gt;ÉV!$J$2)),0,1)</f>
        <v>0</v>
      </c>
      <c r="Y532" s="271">
        <f t="shared" ca="1" si="92"/>
        <v>0</v>
      </c>
      <c r="Z532" s="265">
        <f t="shared" si="93"/>
        <v>2</v>
      </c>
      <c r="AA532" s="272">
        <f t="shared" ca="1" si="94"/>
        <v>0</v>
      </c>
      <c r="AB532" s="265">
        <f t="shared" ca="1" si="98"/>
        <v>2061</v>
      </c>
      <c r="AC532" s="265">
        <f t="shared" ca="1" si="99"/>
        <v>5</v>
      </c>
      <c r="AD532" s="276">
        <f ca="1">IF(     OR(               AND(MAX(AF$6:AF532)&lt;2,  AC532=12),                 AF532=2),                   SUMIF(AB:AB,AB532,AA:AA),                       0)</f>
        <v>0</v>
      </c>
      <c r="AE532" s="277">
        <f t="shared" ca="1" si="100"/>
        <v>0</v>
      </c>
      <c r="AF532" s="277">
        <f t="shared" ca="1" si="95"/>
        <v>0</v>
      </c>
      <c r="AG532" s="402">
        <f ca="1">IF(  AND(AC532=AdóHó,   MAX(AF$1:AF531)&lt;2),   SUMIF(AB:AB,AB532-1,AE:AE),0  )
+ IF(AND(AC532&lt;AdóHó,                            AF532=2),   SUMIF(AB:AB,AB532-1,AE:AE),0  )
+ IF(                                                                  AF532=2,    SUMIF(AB:AB,AB532,AE:AE   ),0  )</f>
        <v>0</v>
      </c>
      <c r="AH532" s="272">
        <f ca="1">SUM(AG$2:AG532)</f>
        <v>1139324.2410681627</v>
      </c>
    </row>
    <row r="533" spans="1:34">
      <c r="A533" s="265">
        <f t="shared" si="90"/>
        <v>45</v>
      </c>
      <c r="B533" s="265">
        <f t="shared" si="91"/>
        <v>3</v>
      </c>
      <c r="C533" s="265">
        <f t="shared" ca="1" si="96"/>
        <v>45</v>
      </c>
      <c r="D533" s="265">
        <f t="shared" ca="1" si="97"/>
        <v>6</v>
      </c>
      <c r="E533" s="266">
        <v>5.0000000000000001E-3</v>
      </c>
      <c r="F533" s="267">
        <f>ÉV!$B$12</f>
        <v>0</v>
      </c>
      <c r="G533" s="271">
        <f ca="1">VLOOKUP(A533,ÉV!$A$18:$B$65,2,0)</f>
        <v>0</v>
      </c>
      <c r="H533" s="271">
        <f ca="1">IF(OR(A533=1,AND(C533=ÉV!$I$2,D533&gt;ÉV!$J$2),C533&gt;ÉV!$I$2),0,INDEX(Pz!$B$2:$AM$48,A533-1,ÉV!$G$2-9)/100000*ÉV!$B$10)</f>
        <v>0</v>
      </c>
      <c r="I533" s="271">
        <f ca="1">INDEX(Pz!$B$2:$AM$48,HÓ!A533,ÉV!$G$2-9)/100000*ÉV!$B$10</f>
        <v>0</v>
      </c>
      <c r="J533" s="273">
        <f ca="1">IF(OR(A533=1,A533=2,AND(C533=ÉV!$I$2,D533&gt;ÉV!$J$2),C533&gt;ÉV!$I$2),0,VLOOKUP(A533-2,ÉV!$A$18:$C$65,3,0))</f>
        <v>0</v>
      </c>
      <c r="K533" s="273">
        <f ca="1">IF(OR(A533=1,AND(C533=ÉV!$I$2,D533&gt;ÉV!$J$2),C533&gt;ÉV!$I$2),0,VLOOKUP(A533-1,ÉV!$A$18:$C$65,3,0))</f>
        <v>0</v>
      </c>
      <c r="L533" s="273">
        <f ca="1">VLOOKUP(A533,ÉV!$A$18:$C$65,3,0)*IF(OR(AND(C533=ÉV!$I$2,D533&gt;ÉV!$J$2),C533&gt;ÉV!$I$2),0,1)</f>
        <v>0</v>
      </c>
      <c r="M533" s="273">
        <f ca="1">(K533*(12-B533)/12+L533*B533/12)*IF(A533&gt;ÉV!$G$2,0,1)+IF(A533&gt;ÉV!$G$2,M532,0)*IF(OR(AND(C533=ÉV!$I$2,D533&gt;ÉV!$J$2),C533&gt;ÉV!$I$2),0,1)</f>
        <v>0</v>
      </c>
      <c r="N533" s="274">
        <f ca="1">IF(AND(C533=1,D533&lt;12),0,1)*IF(D533=12,MAX(0,F533-E533-0.003)*0.9*((K533+I533)*(B533/12)+(J533+H533)*(1-B533/12))+MAX(0,F533-0.003)*0.9*N532+N532,IF(AND(C533=ÉV!$I$2,D533=ÉV!$J$2),(M533+N532)*MAX(0,F533-0.003)*0.9*(D533/12)+N532,N532))*IF(OR(C533&gt;ÉV!$I$2,AND(C533=ÉV!$I$2,D533&gt;ÉV!$J$2)),0,1)</f>
        <v>0</v>
      </c>
      <c r="O533" s="313">
        <f ca="1">IF(MAX(AF$2:AF532)=2,      0,IF(OR(AC533=7, AF533=2),    SUM(AE$2:AE533),    O532)   )</f>
        <v>0</v>
      </c>
      <c r="P533" s="271">
        <f ca="1">IF(D533=12,V533+P532+P532*(F533-0.003)*0.9,IF(AND(C533=ÉV!$I$2,D533=ÉV!$J$2),V533+P532+P532*(F533-0.003)*0.9*D533/12,P532))*IF(OR(C533&gt;ÉV!$I$2,AND(C533=ÉV!$I$2,D533&gt;ÉV!$J$2)),0,1)</f>
        <v>0</v>
      </c>
      <c r="Q533" s="275">
        <f ca="1">(N533+P533)*IF(OR(AND(C533=ÉV!$I$2,D533&gt;ÉV!$J$2),C533&gt;ÉV!$I$2),0,1)</f>
        <v>0</v>
      </c>
      <c r="R533" s="271">
        <f ca="1">(MAX(0,F533-E533-0.003)*0.9*((K533+I533)*(1/12)))*IF(OR(C533&gt;ÉV!$I$2,AND(C533=ÉV!$I$2,D533&gt;ÉV!$J$2)),0,1)</f>
        <v>0</v>
      </c>
      <c r="S533" s="271">
        <f ca="1">(MAX(0,F533-0.003)*0.9*((O533)*(1/12)))*IF(OR(C533&gt;ÉV!$I$2,AND(C533=ÉV!$I$2,D533&gt;ÉV!$J$2)),0,1)</f>
        <v>0</v>
      </c>
      <c r="T533" s="271">
        <f ca="1">(MAX(0,F533-0.003)*0.9*((Q532)*(1/12)))*IF(OR(C533&gt;ÉV!$I$2,AND(C533=ÉV!$I$2,D533&gt;ÉV!$J$2)),0,1)</f>
        <v>0</v>
      </c>
      <c r="U533" s="271">
        <f ca="1">IF($D533=1,R533,R533+U532)*IF(OR(C533&gt;ÉV!$I$2,AND(C533=ÉV!$I$2,D533&gt;ÉV!$J$2)),0,1)</f>
        <v>0</v>
      </c>
      <c r="V533" s="271">
        <f ca="1">IF($D533=1,S533,S533+V532)*IF(OR(C533&gt;ÉV!$I$2,AND(C533=ÉV!$I$2,D533&gt;ÉV!$J$2)),0,1)</f>
        <v>0</v>
      </c>
      <c r="W533" s="271">
        <f ca="1">IF($D533=1,T533,T533+W532)*IF(OR(C533&gt;ÉV!$I$2,AND(C533=ÉV!$I$2,D533&gt;ÉV!$J$2)),0,1)</f>
        <v>0</v>
      </c>
      <c r="X533" s="271">
        <f ca="1">IF(OR(D533=12,AND(C533=ÉV!$I$2,D533=ÉV!$J$2)),SUM(U533:W533)+X532,X532)*IF(OR(C533&gt;ÉV!$I$2,AND(C533=ÉV!$I$2,D533&gt;ÉV!$J$2)),0,1)</f>
        <v>0</v>
      </c>
      <c r="Y533" s="271">
        <f t="shared" ca="1" si="92"/>
        <v>0</v>
      </c>
      <c r="Z533" s="265">
        <f t="shared" si="93"/>
        <v>3</v>
      </c>
      <c r="AA533" s="272">
        <f t="shared" ca="1" si="94"/>
        <v>0</v>
      </c>
      <c r="AB533" s="265">
        <f t="shared" ca="1" si="98"/>
        <v>2061</v>
      </c>
      <c r="AC533" s="265">
        <f t="shared" ca="1" si="99"/>
        <v>6</v>
      </c>
      <c r="AD533" s="276">
        <f ca="1">IF(     OR(               AND(MAX(AF$6:AF533)&lt;2,  AC533=12),                 AF533=2),                   SUMIF(AB:AB,AB533,AA:AA),                       0)</f>
        <v>0</v>
      </c>
      <c r="AE533" s="277">
        <f t="shared" ca="1" si="100"/>
        <v>0</v>
      </c>
      <c r="AF533" s="277">
        <f t="shared" ca="1" si="95"/>
        <v>0</v>
      </c>
      <c r="AG533" s="402">
        <f ca="1">IF(  AND(AC533=AdóHó,   MAX(AF$1:AF532)&lt;2),   SUMIF(AB:AB,AB533-1,AE:AE),0  )
+ IF(AND(AC533&lt;AdóHó,                            AF533=2),   SUMIF(AB:AB,AB533-1,AE:AE),0  )
+ IF(                                                                  AF533=2,    SUMIF(AB:AB,AB533,AE:AE   ),0  )</f>
        <v>0</v>
      </c>
      <c r="AH533" s="272">
        <f ca="1">SUM(AG$2:AG533)</f>
        <v>1139324.2410681627</v>
      </c>
    </row>
    <row r="534" spans="1:34">
      <c r="A534" s="265">
        <f t="shared" si="90"/>
        <v>45</v>
      </c>
      <c r="B534" s="265">
        <f t="shared" si="91"/>
        <v>4</v>
      </c>
      <c r="C534" s="265">
        <f t="shared" ca="1" si="96"/>
        <v>45</v>
      </c>
      <c r="D534" s="265">
        <f t="shared" ca="1" si="97"/>
        <v>7</v>
      </c>
      <c r="E534" s="266">
        <v>5.0000000000000001E-3</v>
      </c>
      <c r="F534" s="267">
        <f>ÉV!$B$12</f>
        <v>0</v>
      </c>
      <c r="G534" s="271">
        <f ca="1">VLOOKUP(A534,ÉV!$A$18:$B$65,2,0)</f>
        <v>0</v>
      </c>
      <c r="H534" s="271">
        <f ca="1">IF(OR(A534=1,AND(C534=ÉV!$I$2,D534&gt;ÉV!$J$2),C534&gt;ÉV!$I$2),0,INDEX(Pz!$B$2:$AM$48,A534-1,ÉV!$G$2-9)/100000*ÉV!$B$10)</f>
        <v>0</v>
      </c>
      <c r="I534" s="271">
        <f ca="1">INDEX(Pz!$B$2:$AM$48,HÓ!A534,ÉV!$G$2-9)/100000*ÉV!$B$10</f>
        <v>0</v>
      </c>
      <c r="J534" s="273">
        <f ca="1">IF(OR(A534=1,A534=2,AND(C534=ÉV!$I$2,D534&gt;ÉV!$J$2),C534&gt;ÉV!$I$2),0,VLOOKUP(A534-2,ÉV!$A$18:$C$65,3,0))</f>
        <v>0</v>
      </c>
      <c r="K534" s="273">
        <f ca="1">IF(OR(A534=1,AND(C534=ÉV!$I$2,D534&gt;ÉV!$J$2),C534&gt;ÉV!$I$2),0,VLOOKUP(A534-1,ÉV!$A$18:$C$65,3,0))</f>
        <v>0</v>
      </c>
      <c r="L534" s="273">
        <f ca="1">VLOOKUP(A534,ÉV!$A$18:$C$65,3,0)*IF(OR(AND(C534=ÉV!$I$2,D534&gt;ÉV!$J$2),C534&gt;ÉV!$I$2),0,1)</f>
        <v>0</v>
      </c>
      <c r="M534" s="273">
        <f ca="1">(K534*(12-B534)/12+L534*B534/12)*IF(A534&gt;ÉV!$G$2,0,1)+IF(A534&gt;ÉV!$G$2,M533,0)*IF(OR(AND(C534=ÉV!$I$2,D534&gt;ÉV!$J$2),C534&gt;ÉV!$I$2),0,1)</f>
        <v>0</v>
      </c>
      <c r="N534" s="274">
        <f ca="1">IF(AND(C534=1,D534&lt;12),0,1)*IF(D534=12,MAX(0,F534-E534-0.003)*0.9*((K534+I534)*(B534/12)+(J534+H534)*(1-B534/12))+MAX(0,F534-0.003)*0.9*N533+N533,IF(AND(C534=ÉV!$I$2,D534=ÉV!$J$2),(M534+N533)*MAX(0,F534-0.003)*0.9*(D534/12)+N533,N533))*IF(OR(C534&gt;ÉV!$I$2,AND(C534=ÉV!$I$2,D534&gt;ÉV!$J$2)),0,1)</f>
        <v>0</v>
      </c>
      <c r="O534" s="313">
        <f ca="1">IF(MAX(AF$2:AF533)=2,      0,IF(OR(AC534=7, AF534=2),    SUM(AE$2:AE534),    O533)   )</f>
        <v>0</v>
      </c>
      <c r="P534" s="271">
        <f ca="1">IF(D534=12,V534+P533+P533*(F534-0.003)*0.9,IF(AND(C534=ÉV!$I$2,D534=ÉV!$J$2),V534+P533+P533*(F534-0.003)*0.9*D534/12,P533))*IF(OR(C534&gt;ÉV!$I$2,AND(C534=ÉV!$I$2,D534&gt;ÉV!$J$2)),0,1)</f>
        <v>0</v>
      </c>
      <c r="Q534" s="275">
        <f ca="1">(N534+P534)*IF(OR(AND(C534=ÉV!$I$2,D534&gt;ÉV!$J$2),C534&gt;ÉV!$I$2),0,1)</f>
        <v>0</v>
      </c>
      <c r="R534" s="271">
        <f ca="1">(MAX(0,F534-E534-0.003)*0.9*((K534+I534)*(1/12)))*IF(OR(C534&gt;ÉV!$I$2,AND(C534=ÉV!$I$2,D534&gt;ÉV!$J$2)),0,1)</f>
        <v>0</v>
      </c>
      <c r="S534" s="271">
        <f ca="1">(MAX(0,F534-0.003)*0.9*((O534)*(1/12)))*IF(OR(C534&gt;ÉV!$I$2,AND(C534=ÉV!$I$2,D534&gt;ÉV!$J$2)),0,1)</f>
        <v>0</v>
      </c>
      <c r="T534" s="271">
        <f ca="1">(MAX(0,F534-0.003)*0.9*((Q533)*(1/12)))*IF(OR(C534&gt;ÉV!$I$2,AND(C534=ÉV!$I$2,D534&gt;ÉV!$J$2)),0,1)</f>
        <v>0</v>
      </c>
      <c r="U534" s="271">
        <f ca="1">IF($D534=1,R534,R534+U533)*IF(OR(C534&gt;ÉV!$I$2,AND(C534=ÉV!$I$2,D534&gt;ÉV!$J$2)),0,1)</f>
        <v>0</v>
      </c>
      <c r="V534" s="271">
        <f ca="1">IF($D534=1,S534,S534+V533)*IF(OR(C534&gt;ÉV!$I$2,AND(C534=ÉV!$I$2,D534&gt;ÉV!$J$2)),0,1)</f>
        <v>0</v>
      </c>
      <c r="W534" s="271">
        <f ca="1">IF($D534=1,T534,T534+W533)*IF(OR(C534&gt;ÉV!$I$2,AND(C534=ÉV!$I$2,D534&gt;ÉV!$J$2)),0,1)</f>
        <v>0</v>
      </c>
      <c r="X534" s="271">
        <f ca="1">IF(OR(D534=12,AND(C534=ÉV!$I$2,D534=ÉV!$J$2)),SUM(U534:W534)+X533,X533)*IF(OR(C534&gt;ÉV!$I$2,AND(C534=ÉV!$I$2,D534&gt;ÉV!$J$2)),0,1)</f>
        <v>0</v>
      </c>
      <c r="Y534" s="271">
        <f t="shared" ca="1" si="92"/>
        <v>0</v>
      </c>
      <c r="Z534" s="265">
        <f t="shared" si="93"/>
        <v>4</v>
      </c>
      <c r="AA534" s="272">
        <f t="shared" ca="1" si="94"/>
        <v>0</v>
      </c>
      <c r="AB534" s="265">
        <f t="shared" ca="1" si="98"/>
        <v>2061</v>
      </c>
      <c r="AC534" s="265">
        <f t="shared" ca="1" si="99"/>
        <v>7</v>
      </c>
      <c r="AD534" s="276">
        <f ca="1">IF(     OR(               AND(MAX(AF$6:AF534)&lt;2,  AC534=12),                 AF534=2),                   SUMIF(AB:AB,AB534,AA:AA),                       0)</f>
        <v>0</v>
      </c>
      <c r="AE534" s="277">
        <f t="shared" ca="1" si="100"/>
        <v>0</v>
      </c>
      <c r="AF534" s="277">
        <f t="shared" ca="1" si="95"/>
        <v>0</v>
      </c>
      <c r="AG534" s="402">
        <f ca="1">IF(  AND(AC534=AdóHó,   MAX(AF$1:AF533)&lt;2),   SUMIF(AB:AB,AB534-1,AE:AE),0  )
+ IF(AND(AC534&lt;AdóHó,                            AF534=2),   SUMIF(AB:AB,AB534-1,AE:AE),0  )
+ IF(                                                                  AF534=2,    SUMIF(AB:AB,AB534,AE:AE   ),0  )</f>
        <v>0</v>
      </c>
      <c r="AH534" s="272">
        <f ca="1">SUM(AG$2:AG534)</f>
        <v>1139324.2410681627</v>
      </c>
    </row>
    <row r="535" spans="1:34">
      <c r="A535" s="265">
        <f t="shared" si="90"/>
        <v>45</v>
      </c>
      <c r="B535" s="265">
        <f t="shared" si="91"/>
        <v>5</v>
      </c>
      <c r="C535" s="265">
        <f t="shared" ca="1" si="96"/>
        <v>45</v>
      </c>
      <c r="D535" s="265">
        <f t="shared" ca="1" si="97"/>
        <v>8</v>
      </c>
      <c r="E535" s="266">
        <v>5.0000000000000001E-3</v>
      </c>
      <c r="F535" s="267">
        <f>ÉV!$B$12</f>
        <v>0</v>
      </c>
      <c r="G535" s="271">
        <f ca="1">VLOOKUP(A535,ÉV!$A$18:$B$65,2,0)</f>
        <v>0</v>
      </c>
      <c r="H535" s="271">
        <f ca="1">IF(OR(A535=1,AND(C535=ÉV!$I$2,D535&gt;ÉV!$J$2),C535&gt;ÉV!$I$2),0,INDEX(Pz!$B$2:$AM$48,A535-1,ÉV!$G$2-9)/100000*ÉV!$B$10)</f>
        <v>0</v>
      </c>
      <c r="I535" s="271">
        <f ca="1">INDEX(Pz!$B$2:$AM$48,HÓ!A535,ÉV!$G$2-9)/100000*ÉV!$B$10</f>
        <v>0</v>
      </c>
      <c r="J535" s="273">
        <f ca="1">IF(OR(A535=1,A535=2,AND(C535=ÉV!$I$2,D535&gt;ÉV!$J$2),C535&gt;ÉV!$I$2),0,VLOOKUP(A535-2,ÉV!$A$18:$C$65,3,0))</f>
        <v>0</v>
      </c>
      <c r="K535" s="273">
        <f ca="1">IF(OR(A535=1,AND(C535=ÉV!$I$2,D535&gt;ÉV!$J$2),C535&gt;ÉV!$I$2),0,VLOOKUP(A535-1,ÉV!$A$18:$C$65,3,0))</f>
        <v>0</v>
      </c>
      <c r="L535" s="273">
        <f ca="1">VLOOKUP(A535,ÉV!$A$18:$C$65,3,0)*IF(OR(AND(C535=ÉV!$I$2,D535&gt;ÉV!$J$2),C535&gt;ÉV!$I$2),0,1)</f>
        <v>0</v>
      </c>
      <c r="M535" s="273">
        <f ca="1">(K535*(12-B535)/12+L535*B535/12)*IF(A535&gt;ÉV!$G$2,0,1)+IF(A535&gt;ÉV!$G$2,M534,0)*IF(OR(AND(C535=ÉV!$I$2,D535&gt;ÉV!$J$2),C535&gt;ÉV!$I$2),0,1)</f>
        <v>0</v>
      </c>
      <c r="N535" s="274">
        <f ca="1">IF(AND(C535=1,D535&lt;12),0,1)*IF(D535=12,MAX(0,F535-E535-0.003)*0.9*((K535+I535)*(B535/12)+(J535+H535)*(1-B535/12))+MAX(0,F535-0.003)*0.9*N534+N534,IF(AND(C535=ÉV!$I$2,D535=ÉV!$J$2),(M535+N534)*MAX(0,F535-0.003)*0.9*(D535/12)+N534,N534))*IF(OR(C535&gt;ÉV!$I$2,AND(C535=ÉV!$I$2,D535&gt;ÉV!$J$2)),0,1)</f>
        <v>0</v>
      </c>
      <c r="O535" s="313">
        <f ca="1">IF(MAX(AF$2:AF534)=2,      0,IF(OR(AC535=7, AF535=2),    SUM(AE$2:AE535),    O534)   )</f>
        <v>0</v>
      </c>
      <c r="P535" s="271">
        <f ca="1">IF(D535=12,V535+P534+P534*(F535-0.003)*0.9,IF(AND(C535=ÉV!$I$2,D535=ÉV!$J$2),V535+P534+P534*(F535-0.003)*0.9*D535/12,P534))*IF(OR(C535&gt;ÉV!$I$2,AND(C535=ÉV!$I$2,D535&gt;ÉV!$J$2)),0,1)</f>
        <v>0</v>
      </c>
      <c r="Q535" s="275">
        <f ca="1">(N535+P535)*IF(OR(AND(C535=ÉV!$I$2,D535&gt;ÉV!$J$2),C535&gt;ÉV!$I$2),0,1)</f>
        <v>0</v>
      </c>
      <c r="R535" s="271">
        <f ca="1">(MAX(0,F535-E535-0.003)*0.9*((K535+I535)*(1/12)))*IF(OR(C535&gt;ÉV!$I$2,AND(C535=ÉV!$I$2,D535&gt;ÉV!$J$2)),0,1)</f>
        <v>0</v>
      </c>
      <c r="S535" s="271">
        <f ca="1">(MAX(0,F535-0.003)*0.9*((O535)*(1/12)))*IF(OR(C535&gt;ÉV!$I$2,AND(C535=ÉV!$I$2,D535&gt;ÉV!$J$2)),0,1)</f>
        <v>0</v>
      </c>
      <c r="T535" s="271">
        <f ca="1">(MAX(0,F535-0.003)*0.9*((Q534)*(1/12)))*IF(OR(C535&gt;ÉV!$I$2,AND(C535=ÉV!$I$2,D535&gt;ÉV!$J$2)),0,1)</f>
        <v>0</v>
      </c>
      <c r="U535" s="271">
        <f ca="1">IF($D535=1,R535,R535+U534)*IF(OR(C535&gt;ÉV!$I$2,AND(C535=ÉV!$I$2,D535&gt;ÉV!$J$2)),0,1)</f>
        <v>0</v>
      </c>
      <c r="V535" s="271">
        <f ca="1">IF($D535=1,S535,S535+V534)*IF(OR(C535&gt;ÉV!$I$2,AND(C535=ÉV!$I$2,D535&gt;ÉV!$J$2)),0,1)</f>
        <v>0</v>
      </c>
      <c r="W535" s="271">
        <f ca="1">IF($D535=1,T535,T535+W534)*IF(OR(C535&gt;ÉV!$I$2,AND(C535=ÉV!$I$2,D535&gt;ÉV!$J$2)),0,1)</f>
        <v>0</v>
      </c>
      <c r="X535" s="271">
        <f ca="1">IF(OR(D535=12,AND(C535=ÉV!$I$2,D535=ÉV!$J$2)),SUM(U535:W535)+X534,X534)*IF(OR(C535&gt;ÉV!$I$2,AND(C535=ÉV!$I$2,D535&gt;ÉV!$J$2)),0,1)</f>
        <v>0</v>
      </c>
      <c r="Y535" s="271">
        <f t="shared" ca="1" si="92"/>
        <v>0</v>
      </c>
      <c r="Z535" s="265">
        <f t="shared" si="93"/>
        <v>5</v>
      </c>
      <c r="AA535" s="272">
        <f t="shared" ca="1" si="94"/>
        <v>0</v>
      </c>
      <c r="AB535" s="265">
        <f t="shared" ca="1" si="98"/>
        <v>2061</v>
      </c>
      <c r="AC535" s="265">
        <f t="shared" ca="1" si="99"/>
        <v>8</v>
      </c>
      <c r="AD535" s="276">
        <f ca="1">IF(     OR(               AND(MAX(AF$6:AF535)&lt;2,  AC535=12),                 AF535=2),                   SUMIF(AB:AB,AB535,AA:AA),                       0)</f>
        <v>0</v>
      </c>
      <c r="AE535" s="277">
        <f t="shared" ca="1" si="100"/>
        <v>0</v>
      </c>
      <c r="AF535" s="277">
        <f t="shared" ca="1" si="95"/>
        <v>0</v>
      </c>
      <c r="AG535" s="402">
        <f ca="1">IF(  AND(AC535=AdóHó,   MAX(AF$1:AF534)&lt;2),   SUMIF(AB:AB,AB535-1,AE:AE),0  )
+ IF(AND(AC535&lt;AdóHó,                            AF535=2),   SUMIF(AB:AB,AB535-1,AE:AE),0  )
+ IF(                                                                  AF535=2,    SUMIF(AB:AB,AB535,AE:AE   ),0  )</f>
        <v>0</v>
      </c>
      <c r="AH535" s="272">
        <f ca="1">SUM(AG$2:AG535)</f>
        <v>1139324.2410681627</v>
      </c>
    </row>
    <row r="536" spans="1:34">
      <c r="A536" s="265">
        <f t="shared" si="90"/>
        <v>45</v>
      </c>
      <c r="B536" s="265">
        <f t="shared" si="91"/>
        <v>6</v>
      </c>
      <c r="C536" s="265">
        <f t="shared" ca="1" si="96"/>
        <v>45</v>
      </c>
      <c r="D536" s="265">
        <f t="shared" ca="1" si="97"/>
        <v>9</v>
      </c>
      <c r="E536" s="266">
        <v>5.0000000000000001E-3</v>
      </c>
      <c r="F536" s="267">
        <f>ÉV!$B$12</f>
        <v>0</v>
      </c>
      <c r="G536" s="271">
        <f ca="1">VLOOKUP(A536,ÉV!$A$18:$B$65,2,0)</f>
        <v>0</v>
      </c>
      <c r="H536" s="271">
        <f ca="1">IF(OR(A536=1,AND(C536=ÉV!$I$2,D536&gt;ÉV!$J$2),C536&gt;ÉV!$I$2),0,INDEX(Pz!$B$2:$AM$48,A536-1,ÉV!$G$2-9)/100000*ÉV!$B$10)</f>
        <v>0</v>
      </c>
      <c r="I536" s="271">
        <f ca="1">INDEX(Pz!$B$2:$AM$48,HÓ!A536,ÉV!$G$2-9)/100000*ÉV!$B$10</f>
        <v>0</v>
      </c>
      <c r="J536" s="273">
        <f ca="1">IF(OR(A536=1,A536=2,AND(C536=ÉV!$I$2,D536&gt;ÉV!$J$2),C536&gt;ÉV!$I$2),0,VLOOKUP(A536-2,ÉV!$A$18:$C$65,3,0))</f>
        <v>0</v>
      </c>
      <c r="K536" s="273">
        <f ca="1">IF(OR(A536=1,AND(C536=ÉV!$I$2,D536&gt;ÉV!$J$2),C536&gt;ÉV!$I$2),0,VLOOKUP(A536-1,ÉV!$A$18:$C$65,3,0))</f>
        <v>0</v>
      </c>
      <c r="L536" s="273">
        <f ca="1">VLOOKUP(A536,ÉV!$A$18:$C$65,3,0)*IF(OR(AND(C536=ÉV!$I$2,D536&gt;ÉV!$J$2),C536&gt;ÉV!$I$2),0,1)</f>
        <v>0</v>
      </c>
      <c r="M536" s="273">
        <f ca="1">(K536*(12-B536)/12+L536*B536/12)*IF(A536&gt;ÉV!$G$2,0,1)+IF(A536&gt;ÉV!$G$2,M535,0)*IF(OR(AND(C536=ÉV!$I$2,D536&gt;ÉV!$J$2),C536&gt;ÉV!$I$2),0,1)</f>
        <v>0</v>
      </c>
      <c r="N536" s="274">
        <f ca="1">IF(AND(C536=1,D536&lt;12),0,1)*IF(D536=12,MAX(0,F536-E536-0.003)*0.9*((K536+I536)*(B536/12)+(J536+H536)*(1-B536/12))+MAX(0,F536-0.003)*0.9*N535+N535,IF(AND(C536=ÉV!$I$2,D536=ÉV!$J$2),(M536+N535)*MAX(0,F536-0.003)*0.9*(D536/12)+N535,N535))*IF(OR(C536&gt;ÉV!$I$2,AND(C536=ÉV!$I$2,D536&gt;ÉV!$J$2)),0,1)</f>
        <v>0</v>
      </c>
      <c r="O536" s="313">
        <f ca="1">IF(MAX(AF$2:AF535)=2,      0,IF(OR(AC536=7, AF536=2),    SUM(AE$2:AE536),    O535)   )</f>
        <v>0</v>
      </c>
      <c r="P536" s="271">
        <f ca="1">IF(D536=12,V536+P535+P535*(F536-0.003)*0.9,IF(AND(C536=ÉV!$I$2,D536=ÉV!$J$2),V536+P535+P535*(F536-0.003)*0.9*D536/12,P535))*IF(OR(C536&gt;ÉV!$I$2,AND(C536=ÉV!$I$2,D536&gt;ÉV!$J$2)),0,1)</f>
        <v>0</v>
      </c>
      <c r="Q536" s="275">
        <f ca="1">(N536+P536)*IF(OR(AND(C536=ÉV!$I$2,D536&gt;ÉV!$J$2),C536&gt;ÉV!$I$2),0,1)</f>
        <v>0</v>
      </c>
      <c r="R536" s="271">
        <f ca="1">(MAX(0,F536-E536-0.003)*0.9*((K536+I536)*(1/12)))*IF(OR(C536&gt;ÉV!$I$2,AND(C536=ÉV!$I$2,D536&gt;ÉV!$J$2)),0,1)</f>
        <v>0</v>
      </c>
      <c r="S536" s="271">
        <f ca="1">(MAX(0,F536-0.003)*0.9*((O536)*(1/12)))*IF(OR(C536&gt;ÉV!$I$2,AND(C536=ÉV!$I$2,D536&gt;ÉV!$J$2)),0,1)</f>
        <v>0</v>
      </c>
      <c r="T536" s="271">
        <f ca="1">(MAX(0,F536-0.003)*0.9*((Q535)*(1/12)))*IF(OR(C536&gt;ÉV!$I$2,AND(C536=ÉV!$I$2,D536&gt;ÉV!$J$2)),0,1)</f>
        <v>0</v>
      </c>
      <c r="U536" s="271">
        <f ca="1">IF($D536=1,R536,R536+U535)*IF(OR(C536&gt;ÉV!$I$2,AND(C536=ÉV!$I$2,D536&gt;ÉV!$J$2)),0,1)</f>
        <v>0</v>
      </c>
      <c r="V536" s="271">
        <f ca="1">IF($D536=1,S536,S536+V535)*IF(OR(C536&gt;ÉV!$I$2,AND(C536=ÉV!$I$2,D536&gt;ÉV!$J$2)),0,1)</f>
        <v>0</v>
      </c>
      <c r="W536" s="271">
        <f ca="1">IF($D536=1,T536,T536+W535)*IF(OR(C536&gt;ÉV!$I$2,AND(C536=ÉV!$I$2,D536&gt;ÉV!$J$2)),0,1)</f>
        <v>0</v>
      </c>
      <c r="X536" s="271">
        <f ca="1">IF(OR(D536=12,AND(C536=ÉV!$I$2,D536=ÉV!$J$2)),SUM(U536:W536)+X535,X535)*IF(OR(C536&gt;ÉV!$I$2,AND(C536=ÉV!$I$2,D536&gt;ÉV!$J$2)),0,1)</f>
        <v>0</v>
      </c>
      <c r="Y536" s="271">
        <f t="shared" ca="1" si="92"/>
        <v>0</v>
      </c>
      <c r="Z536" s="265">
        <f t="shared" si="93"/>
        <v>6</v>
      </c>
      <c r="AA536" s="272">
        <f t="shared" ca="1" si="94"/>
        <v>0</v>
      </c>
      <c r="AB536" s="265">
        <f t="shared" ca="1" si="98"/>
        <v>2061</v>
      </c>
      <c r="AC536" s="265">
        <f t="shared" ca="1" si="99"/>
        <v>9</v>
      </c>
      <c r="AD536" s="276">
        <f ca="1">IF(     OR(               AND(MAX(AF$6:AF536)&lt;2,  AC536=12),                 AF536=2),                   SUMIF(AB:AB,AB536,AA:AA),                       0)</f>
        <v>0</v>
      </c>
      <c r="AE536" s="277">
        <f t="shared" ca="1" si="100"/>
        <v>0</v>
      </c>
      <c r="AF536" s="277">
        <f t="shared" ca="1" si="95"/>
        <v>0</v>
      </c>
      <c r="AG536" s="402">
        <f ca="1">IF(  AND(AC536=AdóHó,   MAX(AF$1:AF535)&lt;2),   SUMIF(AB:AB,AB536-1,AE:AE),0  )
+ IF(AND(AC536&lt;AdóHó,                            AF536=2),   SUMIF(AB:AB,AB536-1,AE:AE),0  )
+ IF(                                                                  AF536=2,    SUMIF(AB:AB,AB536,AE:AE   ),0  )</f>
        <v>0</v>
      </c>
      <c r="AH536" s="272">
        <f ca="1">SUM(AG$2:AG536)</f>
        <v>1139324.2410681627</v>
      </c>
    </row>
    <row r="537" spans="1:34">
      <c r="A537" s="265">
        <f t="shared" si="90"/>
        <v>45</v>
      </c>
      <c r="B537" s="265">
        <f t="shared" si="91"/>
        <v>7</v>
      </c>
      <c r="C537" s="265">
        <f t="shared" ca="1" si="96"/>
        <v>45</v>
      </c>
      <c r="D537" s="265">
        <f t="shared" ca="1" si="97"/>
        <v>10</v>
      </c>
      <c r="E537" s="266">
        <v>5.0000000000000001E-3</v>
      </c>
      <c r="F537" s="267">
        <f>ÉV!$B$12</f>
        <v>0</v>
      </c>
      <c r="G537" s="271">
        <f ca="1">VLOOKUP(A537,ÉV!$A$18:$B$65,2,0)</f>
        <v>0</v>
      </c>
      <c r="H537" s="271">
        <f ca="1">IF(OR(A537=1,AND(C537=ÉV!$I$2,D537&gt;ÉV!$J$2),C537&gt;ÉV!$I$2),0,INDEX(Pz!$B$2:$AM$48,A537-1,ÉV!$G$2-9)/100000*ÉV!$B$10)</f>
        <v>0</v>
      </c>
      <c r="I537" s="271">
        <f ca="1">INDEX(Pz!$B$2:$AM$48,HÓ!A537,ÉV!$G$2-9)/100000*ÉV!$B$10</f>
        <v>0</v>
      </c>
      <c r="J537" s="273">
        <f ca="1">IF(OR(A537=1,A537=2,AND(C537=ÉV!$I$2,D537&gt;ÉV!$J$2),C537&gt;ÉV!$I$2),0,VLOOKUP(A537-2,ÉV!$A$18:$C$65,3,0))</f>
        <v>0</v>
      </c>
      <c r="K537" s="273">
        <f ca="1">IF(OR(A537=1,AND(C537=ÉV!$I$2,D537&gt;ÉV!$J$2),C537&gt;ÉV!$I$2),0,VLOOKUP(A537-1,ÉV!$A$18:$C$65,3,0))</f>
        <v>0</v>
      </c>
      <c r="L537" s="273">
        <f ca="1">VLOOKUP(A537,ÉV!$A$18:$C$65,3,0)*IF(OR(AND(C537=ÉV!$I$2,D537&gt;ÉV!$J$2),C537&gt;ÉV!$I$2),0,1)</f>
        <v>0</v>
      </c>
      <c r="M537" s="273">
        <f ca="1">(K537*(12-B537)/12+L537*B537/12)*IF(A537&gt;ÉV!$G$2,0,1)+IF(A537&gt;ÉV!$G$2,M536,0)*IF(OR(AND(C537=ÉV!$I$2,D537&gt;ÉV!$J$2),C537&gt;ÉV!$I$2),0,1)</f>
        <v>0</v>
      </c>
      <c r="N537" s="274">
        <f ca="1">IF(AND(C537=1,D537&lt;12),0,1)*IF(D537=12,MAX(0,F537-E537-0.003)*0.9*((K537+I537)*(B537/12)+(J537+H537)*(1-B537/12))+MAX(0,F537-0.003)*0.9*N536+N536,IF(AND(C537=ÉV!$I$2,D537=ÉV!$J$2),(M537+N536)*MAX(0,F537-0.003)*0.9*(D537/12)+N536,N536))*IF(OR(C537&gt;ÉV!$I$2,AND(C537=ÉV!$I$2,D537&gt;ÉV!$J$2)),0,1)</f>
        <v>0</v>
      </c>
      <c r="O537" s="313">
        <f ca="1">IF(MAX(AF$2:AF536)=2,      0,IF(OR(AC537=7, AF537=2),    SUM(AE$2:AE537),    O536)   )</f>
        <v>0</v>
      </c>
      <c r="P537" s="271">
        <f ca="1">IF(D537=12,V537+P536+P536*(F537-0.003)*0.9,IF(AND(C537=ÉV!$I$2,D537=ÉV!$J$2),V537+P536+P536*(F537-0.003)*0.9*D537/12,P536))*IF(OR(C537&gt;ÉV!$I$2,AND(C537=ÉV!$I$2,D537&gt;ÉV!$J$2)),0,1)</f>
        <v>0</v>
      </c>
      <c r="Q537" s="275">
        <f ca="1">(N537+P537)*IF(OR(AND(C537=ÉV!$I$2,D537&gt;ÉV!$J$2),C537&gt;ÉV!$I$2),0,1)</f>
        <v>0</v>
      </c>
      <c r="R537" s="271">
        <f ca="1">(MAX(0,F537-E537-0.003)*0.9*((K537+I537)*(1/12)))*IF(OR(C537&gt;ÉV!$I$2,AND(C537=ÉV!$I$2,D537&gt;ÉV!$J$2)),0,1)</f>
        <v>0</v>
      </c>
      <c r="S537" s="271">
        <f ca="1">(MAX(0,F537-0.003)*0.9*((O537)*(1/12)))*IF(OR(C537&gt;ÉV!$I$2,AND(C537=ÉV!$I$2,D537&gt;ÉV!$J$2)),0,1)</f>
        <v>0</v>
      </c>
      <c r="T537" s="271">
        <f ca="1">(MAX(0,F537-0.003)*0.9*((Q536)*(1/12)))*IF(OR(C537&gt;ÉV!$I$2,AND(C537=ÉV!$I$2,D537&gt;ÉV!$J$2)),0,1)</f>
        <v>0</v>
      </c>
      <c r="U537" s="271">
        <f ca="1">IF($D537=1,R537,R537+U536)*IF(OR(C537&gt;ÉV!$I$2,AND(C537=ÉV!$I$2,D537&gt;ÉV!$J$2)),0,1)</f>
        <v>0</v>
      </c>
      <c r="V537" s="271">
        <f ca="1">IF($D537=1,S537,S537+V536)*IF(OR(C537&gt;ÉV!$I$2,AND(C537=ÉV!$I$2,D537&gt;ÉV!$J$2)),0,1)</f>
        <v>0</v>
      </c>
      <c r="W537" s="271">
        <f ca="1">IF($D537=1,T537,T537+W536)*IF(OR(C537&gt;ÉV!$I$2,AND(C537=ÉV!$I$2,D537&gt;ÉV!$J$2)),0,1)</f>
        <v>0</v>
      </c>
      <c r="X537" s="271">
        <f ca="1">IF(OR(D537=12,AND(C537=ÉV!$I$2,D537=ÉV!$J$2)),SUM(U537:W537)+X536,X536)*IF(OR(C537&gt;ÉV!$I$2,AND(C537=ÉV!$I$2,D537&gt;ÉV!$J$2)),0,1)</f>
        <v>0</v>
      </c>
      <c r="Y537" s="271">
        <f t="shared" ca="1" si="92"/>
        <v>0</v>
      </c>
      <c r="Z537" s="265">
        <f t="shared" si="93"/>
        <v>7</v>
      </c>
      <c r="AA537" s="272">
        <f t="shared" ca="1" si="94"/>
        <v>0</v>
      </c>
      <c r="AB537" s="265">
        <f t="shared" ca="1" si="98"/>
        <v>2061</v>
      </c>
      <c r="AC537" s="265">
        <f t="shared" ca="1" si="99"/>
        <v>10</v>
      </c>
      <c r="AD537" s="276">
        <f ca="1">IF(     OR(               AND(MAX(AF$6:AF537)&lt;2,  AC537=12),                 AF537=2),                   SUMIF(AB:AB,AB537,AA:AA),                       0)</f>
        <v>0</v>
      </c>
      <c r="AE537" s="277">
        <f t="shared" ca="1" si="100"/>
        <v>0</v>
      </c>
      <c r="AF537" s="277">
        <f t="shared" ca="1" si="95"/>
        <v>0</v>
      </c>
      <c r="AG537" s="402">
        <f ca="1">IF(  AND(AC537=AdóHó,   MAX(AF$1:AF536)&lt;2),   SUMIF(AB:AB,AB537-1,AE:AE),0  )
+ IF(AND(AC537&lt;AdóHó,                            AF537=2),   SUMIF(AB:AB,AB537-1,AE:AE),0  )
+ IF(                                                                  AF537=2,    SUMIF(AB:AB,AB537,AE:AE   ),0  )</f>
        <v>0</v>
      </c>
      <c r="AH537" s="272">
        <f ca="1">SUM(AG$2:AG537)</f>
        <v>1139324.2410681627</v>
      </c>
    </row>
    <row r="538" spans="1:34">
      <c r="A538" s="265">
        <f t="shared" si="90"/>
        <v>45</v>
      </c>
      <c r="B538" s="265">
        <f t="shared" si="91"/>
        <v>8</v>
      </c>
      <c r="C538" s="265">
        <f t="shared" ca="1" si="96"/>
        <v>45</v>
      </c>
      <c r="D538" s="265">
        <f t="shared" ca="1" si="97"/>
        <v>11</v>
      </c>
      <c r="E538" s="266">
        <v>5.0000000000000001E-3</v>
      </c>
      <c r="F538" s="267">
        <f>ÉV!$B$12</f>
        <v>0</v>
      </c>
      <c r="G538" s="271">
        <f ca="1">VLOOKUP(A538,ÉV!$A$18:$B$65,2,0)</f>
        <v>0</v>
      </c>
      <c r="H538" s="271">
        <f ca="1">IF(OR(A538=1,AND(C538=ÉV!$I$2,D538&gt;ÉV!$J$2),C538&gt;ÉV!$I$2),0,INDEX(Pz!$B$2:$AM$48,A538-1,ÉV!$G$2-9)/100000*ÉV!$B$10)</f>
        <v>0</v>
      </c>
      <c r="I538" s="271">
        <f ca="1">INDEX(Pz!$B$2:$AM$48,HÓ!A538,ÉV!$G$2-9)/100000*ÉV!$B$10</f>
        <v>0</v>
      </c>
      <c r="J538" s="273">
        <f ca="1">IF(OR(A538=1,A538=2,AND(C538=ÉV!$I$2,D538&gt;ÉV!$J$2),C538&gt;ÉV!$I$2),0,VLOOKUP(A538-2,ÉV!$A$18:$C$65,3,0))</f>
        <v>0</v>
      </c>
      <c r="K538" s="273">
        <f ca="1">IF(OR(A538=1,AND(C538=ÉV!$I$2,D538&gt;ÉV!$J$2),C538&gt;ÉV!$I$2),0,VLOOKUP(A538-1,ÉV!$A$18:$C$65,3,0))</f>
        <v>0</v>
      </c>
      <c r="L538" s="273">
        <f ca="1">VLOOKUP(A538,ÉV!$A$18:$C$65,3,0)*IF(OR(AND(C538=ÉV!$I$2,D538&gt;ÉV!$J$2),C538&gt;ÉV!$I$2),0,1)</f>
        <v>0</v>
      </c>
      <c r="M538" s="273">
        <f ca="1">(K538*(12-B538)/12+L538*B538/12)*IF(A538&gt;ÉV!$G$2,0,1)+IF(A538&gt;ÉV!$G$2,M537,0)*IF(OR(AND(C538=ÉV!$I$2,D538&gt;ÉV!$J$2),C538&gt;ÉV!$I$2),0,1)</f>
        <v>0</v>
      </c>
      <c r="N538" s="274">
        <f ca="1">IF(AND(C538=1,D538&lt;12),0,1)*IF(D538=12,MAX(0,F538-E538-0.003)*0.9*((K538+I538)*(B538/12)+(J538+H538)*(1-B538/12))+MAX(0,F538-0.003)*0.9*N537+N537,IF(AND(C538=ÉV!$I$2,D538=ÉV!$J$2),(M538+N537)*MAX(0,F538-0.003)*0.9*(D538/12)+N537,N537))*IF(OR(C538&gt;ÉV!$I$2,AND(C538=ÉV!$I$2,D538&gt;ÉV!$J$2)),0,1)</f>
        <v>0</v>
      </c>
      <c r="O538" s="313">
        <f ca="1">IF(MAX(AF$2:AF537)=2,      0,IF(OR(AC538=7, AF538=2),    SUM(AE$2:AE538),    O537)   )</f>
        <v>0</v>
      </c>
      <c r="P538" s="271">
        <f ca="1">IF(D538=12,V538+P537+P537*(F538-0.003)*0.9,IF(AND(C538=ÉV!$I$2,D538=ÉV!$J$2),V538+P537+P537*(F538-0.003)*0.9*D538/12,P537))*IF(OR(C538&gt;ÉV!$I$2,AND(C538=ÉV!$I$2,D538&gt;ÉV!$J$2)),0,1)</f>
        <v>0</v>
      </c>
      <c r="Q538" s="275">
        <f ca="1">(N538+P538)*IF(OR(AND(C538=ÉV!$I$2,D538&gt;ÉV!$J$2),C538&gt;ÉV!$I$2),0,1)</f>
        <v>0</v>
      </c>
      <c r="R538" s="271">
        <f ca="1">(MAX(0,F538-E538-0.003)*0.9*((K538+I538)*(1/12)))*IF(OR(C538&gt;ÉV!$I$2,AND(C538=ÉV!$I$2,D538&gt;ÉV!$J$2)),0,1)</f>
        <v>0</v>
      </c>
      <c r="S538" s="271">
        <f ca="1">(MAX(0,F538-0.003)*0.9*((O538)*(1/12)))*IF(OR(C538&gt;ÉV!$I$2,AND(C538=ÉV!$I$2,D538&gt;ÉV!$J$2)),0,1)</f>
        <v>0</v>
      </c>
      <c r="T538" s="271">
        <f ca="1">(MAX(0,F538-0.003)*0.9*((Q537)*(1/12)))*IF(OR(C538&gt;ÉV!$I$2,AND(C538=ÉV!$I$2,D538&gt;ÉV!$J$2)),0,1)</f>
        <v>0</v>
      </c>
      <c r="U538" s="271">
        <f ca="1">IF($D538=1,R538,R538+U537)*IF(OR(C538&gt;ÉV!$I$2,AND(C538=ÉV!$I$2,D538&gt;ÉV!$J$2)),0,1)</f>
        <v>0</v>
      </c>
      <c r="V538" s="271">
        <f ca="1">IF($D538=1,S538,S538+V537)*IF(OR(C538&gt;ÉV!$I$2,AND(C538=ÉV!$I$2,D538&gt;ÉV!$J$2)),0,1)</f>
        <v>0</v>
      </c>
      <c r="W538" s="271">
        <f ca="1">IF($D538=1,T538,T538+W537)*IF(OR(C538&gt;ÉV!$I$2,AND(C538=ÉV!$I$2,D538&gt;ÉV!$J$2)),0,1)</f>
        <v>0</v>
      </c>
      <c r="X538" s="271">
        <f ca="1">IF(OR(D538=12,AND(C538=ÉV!$I$2,D538=ÉV!$J$2)),SUM(U538:W538)+X537,X537)*IF(OR(C538&gt;ÉV!$I$2,AND(C538=ÉV!$I$2,D538&gt;ÉV!$J$2)),0,1)</f>
        <v>0</v>
      </c>
      <c r="Y538" s="271">
        <f t="shared" ca="1" si="92"/>
        <v>0</v>
      </c>
      <c r="Z538" s="265">
        <f t="shared" si="93"/>
        <v>8</v>
      </c>
      <c r="AA538" s="272">
        <f t="shared" ca="1" si="94"/>
        <v>0</v>
      </c>
      <c r="AB538" s="265">
        <f t="shared" ca="1" si="98"/>
        <v>2061</v>
      </c>
      <c r="AC538" s="265">
        <f t="shared" ca="1" si="99"/>
        <v>11</v>
      </c>
      <c r="AD538" s="276">
        <f ca="1">IF(     OR(               AND(MAX(AF$6:AF538)&lt;2,  AC538=12),                 AF538=2),                   SUMIF(AB:AB,AB538,AA:AA),                       0)</f>
        <v>0</v>
      </c>
      <c r="AE538" s="277">
        <f t="shared" ca="1" si="100"/>
        <v>0</v>
      </c>
      <c r="AF538" s="277">
        <f t="shared" ca="1" si="95"/>
        <v>0</v>
      </c>
      <c r="AG538" s="402">
        <f ca="1">IF(  AND(AC538=AdóHó,   MAX(AF$1:AF537)&lt;2),   SUMIF(AB:AB,AB538-1,AE:AE),0  )
+ IF(AND(AC538&lt;AdóHó,                            AF538=2),   SUMIF(AB:AB,AB538-1,AE:AE),0  )
+ IF(                                                                  AF538=2,    SUMIF(AB:AB,AB538,AE:AE   ),0  )</f>
        <v>0</v>
      </c>
      <c r="AH538" s="272">
        <f ca="1">SUM(AG$2:AG538)</f>
        <v>1139324.2410681627</v>
      </c>
    </row>
    <row r="539" spans="1:34">
      <c r="A539" s="265">
        <f t="shared" si="90"/>
        <v>45</v>
      </c>
      <c r="B539" s="265">
        <f t="shared" si="91"/>
        <v>9</v>
      </c>
      <c r="C539" s="265">
        <f t="shared" ca="1" si="96"/>
        <v>45</v>
      </c>
      <c r="D539" s="265">
        <f t="shared" ca="1" si="97"/>
        <v>12</v>
      </c>
      <c r="E539" s="266">
        <v>5.0000000000000001E-3</v>
      </c>
      <c r="F539" s="267">
        <f>ÉV!$B$12</f>
        <v>0</v>
      </c>
      <c r="G539" s="271">
        <f ca="1">VLOOKUP(A539,ÉV!$A$18:$B$65,2,0)</f>
        <v>0</v>
      </c>
      <c r="H539" s="271">
        <f ca="1">IF(OR(A539=1,AND(C539=ÉV!$I$2,D539&gt;ÉV!$J$2),C539&gt;ÉV!$I$2),0,INDEX(Pz!$B$2:$AM$48,A539-1,ÉV!$G$2-9)/100000*ÉV!$B$10)</f>
        <v>0</v>
      </c>
      <c r="I539" s="271">
        <f ca="1">INDEX(Pz!$B$2:$AM$48,HÓ!A539,ÉV!$G$2-9)/100000*ÉV!$B$10</f>
        <v>0</v>
      </c>
      <c r="J539" s="273">
        <f ca="1">IF(OR(A539=1,A539=2,AND(C539=ÉV!$I$2,D539&gt;ÉV!$J$2),C539&gt;ÉV!$I$2),0,VLOOKUP(A539-2,ÉV!$A$18:$C$65,3,0))</f>
        <v>0</v>
      </c>
      <c r="K539" s="273">
        <f ca="1">IF(OR(A539=1,AND(C539=ÉV!$I$2,D539&gt;ÉV!$J$2),C539&gt;ÉV!$I$2),0,VLOOKUP(A539-1,ÉV!$A$18:$C$65,3,0))</f>
        <v>0</v>
      </c>
      <c r="L539" s="273">
        <f ca="1">VLOOKUP(A539,ÉV!$A$18:$C$65,3,0)*IF(OR(AND(C539=ÉV!$I$2,D539&gt;ÉV!$J$2),C539&gt;ÉV!$I$2),0,1)</f>
        <v>0</v>
      </c>
      <c r="M539" s="273">
        <f ca="1">(K539*(12-B539)/12+L539*B539/12)*IF(A539&gt;ÉV!$G$2,0,1)+IF(A539&gt;ÉV!$G$2,M538,0)*IF(OR(AND(C539=ÉV!$I$2,D539&gt;ÉV!$J$2),C539&gt;ÉV!$I$2),0,1)</f>
        <v>0</v>
      </c>
      <c r="N539" s="274">
        <f ca="1">IF(AND(C539=1,D539&lt;12),0,1)*IF(D539=12,MAX(0,F539-E539-0.003)*0.9*((K539+I539)*(B539/12)+(J539+H539)*(1-B539/12))+MAX(0,F539-0.003)*0.9*N538+N538,IF(AND(C539=ÉV!$I$2,D539=ÉV!$J$2),(M539+N538)*MAX(0,F539-0.003)*0.9*(D539/12)+N538,N538))*IF(OR(C539&gt;ÉV!$I$2,AND(C539=ÉV!$I$2,D539&gt;ÉV!$J$2)),0,1)</f>
        <v>0</v>
      </c>
      <c r="O539" s="313">
        <f ca="1">IF(MAX(AF$2:AF538)=2,      0,IF(OR(AC539=7, AF539=2),    SUM(AE$2:AE539),    O538)   )</f>
        <v>0</v>
      </c>
      <c r="P539" s="271">
        <f ca="1">IF(D539=12,V539+P538+P538*(F539-0.003)*0.9,IF(AND(C539=ÉV!$I$2,D539=ÉV!$J$2),V539+P538+P538*(F539-0.003)*0.9*D539/12,P538))*IF(OR(C539&gt;ÉV!$I$2,AND(C539=ÉV!$I$2,D539&gt;ÉV!$J$2)),0,1)</f>
        <v>0</v>
      </c>
      <c r="Q539" s="275">
        <f ca="1">(N539+P539)*IF(OR(AND(C539=ÉV!$I$2,D539&gt;ÉV!$J$2),C539&gt;ÉV!$I$2),0,1)</f>
        <v>0</v>
      </c>
      <c r="R539" s="271">
        <f ca="1">(MAX(0,F539-E539-0.003)*0.9*((K539+I539)*(1/12)))*IF(OR(C539&gt;ÉV!$I$2,AND(C539=ÉV!$I$2,D539&gt;ÉV!$J$2)),0,1)</f>
        <v>0</v>
      </c>
      <c r="S539" s="271">
        <f ca="1">(MAX(0,F539-0.003)*0.9*((O539)*(1/12)))*IF(OR(C539&gt;ÉV!$I$2,AND(C539=ÉV!$I$2,D539&gt;ÉV!$J$2)),0,1)</f>
        <v>0</v>
      </c>
      <c r="T539" s="271">
        <f ca="1">(MAX(0,F539-0.003)*0.9*((Q538)*(1/12)))*IF(OR(C539&gt;ÉV!$I$2,AND(C539=ÉV!$I$2,D539&gt;ÉV!$J$2)),0,1)</f>
        <v>0</v>
      </c>
      <c r="U539" s="271">
        <f ca="1">IF($D539=1,R539,R539+U538)*IF(OR(C539&gt;ÉV!$I$2,AND(C539=ÉV!$I$2,D539&gt;ÉV!$J$2)),0,1)</f>
        <v>0</v>
      </c>
      <c r="V539" s="271">
        <f ca="1">IF($D539=1,S539,S539+V538)*IF(OR(C539&gt;ÉV!$I$2,AND(C539=ÉV!$I$2,D539&gt;ÉV!$J$2)),0,1)</f>
        <v>0</v>
      </c>
      <c r="W539" s="271">
        <f ca="1">IF($D539=1,T539,T539+W538)*IF(OR(C539&gt;ÉV!$I$2,AND(C539=ÉV!$I$2,D539&gt;ÉV!$J$2)),0,1)</f>
        <v>0</v>
      </c>
      <c r="X539" s="271">
        <f ca="1">IF(OR(D539=12,AND(C539=ÉV!$I$2,D539=ÉV!$J$2)),SUM(U539:W539)+X538,X538)*IF(OR(C539&gt;ÉV!$I$2,AND(C539=ÉV!$I$2,D539&gt;ÉV!$J$2)),0,1)</f>
        <v>0</v>
      </c>
      <c r="Y539" s="271">
        <f t="shared" ca="1" si="92"/>
        <v>0</v>
      </c>
      <c r="Z539" s="265">
        <f t="shared" si="93"/>
        <v>9</v>
      </c>
      <c r="AA539" s="272">
        <f t="shared" ca="1" si="94"/>
        <v>0</v>
      </c>
      <c r="AB539" s="265">
        <f t="shared" ca="1" si="98"/>
        <v>2061</v>
      </c>
      <c r="AC539" s="265">
        <f t="shared" ca="1" si="99"/>
        <v>12</v>
      </c>
      <c r="AD539" s="276">
        <f ca="1">IF(     OR(               AND(MAX(AF$6:AF539)&lt;2,  AC539=12),                 AF539=2),                   SUMIF(AB:AB,AB539,AA:AA),                       0)</f>
        <v>0</v>
      </c>
      <c r="AE539" s="277">
        <f t="shared" ca="1" si="100"/>
        <v>0</v>
      </c>
      <c r="AF539" s="277">
        <f t="shared" ca="1" si="95"/>
        <v>0</v>
      </c>
      <c r="AG539" s="402">
        <f ca="1">IF(  AND(AC539=AdóHó,   MAX(AF$1:AF538)&lt;2),   SUMIF(AB:AB,AB539-1,AE:AE),0  )
+ IF(AND(AC539&lt;AdóHó,                            AF539=2),   SUMIF(AB:AB,AB539-1,AE:AE),0  )
+ IF(                                                                  AF539=2,    SUMIF(AB:AB,AB539,AE:AE   ),0  )</f>
        <v>0</v>
      </c>
      <c r="AH539" s="272">
        <f ca="1">SUM(AG$2:AG539)</f>
        <v>1139324.2410681627</v>
      </c>
    </row>
    <row r="540" spans="1:34">
      <c r="A540" s="265">
        <f t="shared" si="90"/>
        <v>45</v>
      </c>
      <c r="B540" s="265">
        <f t="shared" si="91"/>
        <v>10</v>
      </c>
      <c r="C540" s="265">
        <f t="shared" ca="1" si="96"/>
        <v>46</v>
      </c>
      <c r="D540" s="265">
        <f t="shared" ca="1" si="97"/>
        <v>1</v>
      </c>
      <c r="E540" s="266">
        <v>5.0000000000000001E-3</v>
      </c>
      <c r="F540" s="267">
        <f>ÉV!$B$12</f>
        <v>0</v>
      </c>
      <c r="G540" s="271">
        <f ca="1">VLOOKUP(A540,ÉV!$A$18:$B$65,2,0)</f>
        <v>0</v>
      </c>
      <c r="H540" s="271">
        <f ca="1">IF(OR(A540=1,AND(C540=ÉV!$I$2,D540&gt;ÉV!$J$2),C540&gt;ÉV!$I$2),0,INDEX(Pz!$B$2:$AM$48,A540-1,ÉV!$G$2-9)/100000*ÉV!$B$10)</f>
        <v>0</v>
      </c>
      <c r="I540" s="271">
        <f ca="1">INDEX(Pz!$B$2:$AM$48,HÓ!A540,ÉV!$G$2-9)/100000*ÉV!$B$10</f>
        <v>0</v>
      </c>
      <c r="J540" s="273">
        <f ca="1">IF(OR(A540=1,A540=2,AND(C540=ÉV!$I$2,D540&gt;ÉV!$J$2),C540&gt;ÉV!$I$2),0,VLOOKUP(A540-2,ÉV!$A$18:$C$65,3,0))</f>
        <v>0</v>
      </c>
      <c r="K540" s="273">
        <f ca="1">IF(OR(A540=1,AND(C540=ÉV!$I$2,D540&gt;ÉV!$J$2),C540&gt;ÉV!$I$2),0,VLOOKUP(A540-1,ÉV!$A$18:$C$65,3,0))</f>
        <v>0</v>
      </c>
      <c r="L540" s="273">
        <f ca="1">VLOOKUP(A540,ÉV!$A$18:$C$65,3,0)*IF(OR(AND(C540=ÉV!$I$2,D540&gt;ÉV!$J$2),C540&gt;ÉV!$I$2),0,1)</f>
        <v>0</v>
      </c>
      <c r="M540" s="273">
        <f ca="1">(K540*(12-B540)/12+L540*B540/12)*IF(A540&gt;ÉV!$G$2,0,1)+IF(A540&gt;ÉV!$G$2,M539,0)*IF(OR(AND(C540=ÉV!$I$2,D540&gt;ÉV!$J$2),C540&gt;ÉV!$I$2),0,1)</f>
        <v>0</v>
      </c>
      <c r="N540" s="274">
        <f ca="1">IF(AND(C540=1,D540&lt;12),0,1)*IF(D540=12,MAX(0,F540-E540-0.003)*0.9*((K540+I540)*(B540/12)+(J540+H540)*(1-B540/12))+MAX(0,F540-0.003)*0.9*N539+N539,IF(AND(C540=ÉV!$I$2,D540=ÉV!$J$2),(M540+N539)*MAX(0,F540-0.003)*0.9*(D540/12)+N539,N539))*IF(OR(C540&gt;ÉV!$I$2,AND(C540=ÉV!$I$2,D540&gt;ÉV!$J$2)),0,1)</f>
        <v>0</v>
      </c>
      <c r="O540" s="313">
        <f ca="1">IF(MAX(AF$2:AF539)=2,      0,IF(OR(AC540=7, AF540=2),    SUM(AE$2:AE540),    O539)   )</f>
        <v>0</v>
      </c>
      <c r="P540" s="271">
        <f ca="1">IF(D540=12,V540+P539+P539*(F540-0.003)*0.9,IF(AND(C540=ÉV!$I$2,D540=ÉV!$J$2),V540+P539+P539*(F540-0.003)*0.9*D540/12,P539))*IF(OR(C540&gt;ÉV!$I$2,AND(C540=ÉV!$I$2,D540&gt;ÉV!$J$2)),0,1)</f>
        <v>0</v>
      </c>
      <c r="Q540" s="275">
        <f ca="1">(N540+P540)*IF(OR(AND(C540=ÉV!$I$2,D540&gt;ÉV!$J$2),C540&gt;ÉV!$I$2),0,1)</f>
        <v>0</v>
      </c>
      <c r="R540" s="271">
        <f ca="1">(MAX(0,F540-E540-0.003)*0.9*((K540+I540)*(1/12)))*IF(OR(C540&gt;ÉV!$I$2,AND(C540=ÉV!$I$2,D540&gt;ÉV!$J$2)),0,1)</f>
        <v>0</v>
      </c>
      <c r="S540" s="271">
        <f ca="1">(MAX(0,F540-0.003)*0.9*((O540)*(1/12)))*IF(OR(C540&gt;ÉV!$I$2,AND(C540=ÉV!$I$2,D540&gt;ÉV!$J$2)),0,1)</f>
        <v>0</v>
      </c>
      <c r="T540" s="271">
        <f ca="1">(MAX(0,F540-0.003)*0.9*((Q539)*(1/12)))*IF(OR(C540&gt;ÉV!$I$2,AND(C540=ÉV!$I$2,D540&gt;ÉV!$J$2)),0,1)</f>
        <v>0</v>
      </c>
      <c r="U540" s="271">
        <f ca="1">IF($D540=1,R540,R540+U539)*IF(OR(C540&gt;ÉV!$I$2,AND(C540=ÉV!$I$2,D540&gt;ÉV!$J$2)),0,1)</f>
        <v>0</v>
      </c>
      <c r="V540" s="271">
        <f ca="1">IF($D540=1,S540,S540+V539)*IF(OR(C540&gt;ÉV!$I$2,AND(C540=ÉV!$I$2,D540&gt;ÉV!$J$2)),0,1)</f>
        <v>0</v>
      </c>
      <c r="W540" s="271">
        <f ca="1">IF($D540=1,T540,T540+W539)*IF(OR(C540&gt;ÉV!$I$2,AND(C540=ÉV!$I$2,D540&gt;ÉV!$J$2)),0,1)</f>
        <v>0</v>
      </c>
      <c r="X540" s="271">
        <f ca="1">IF(OR(D540=12,AND(C540=ÉV!$I$2,D540=ÉV!$J$2)),SUM(U540:W540)+X539,X539)*IF(OR(C540&gt;ÉV!$I$2,AND(C540=ÉV!$I$2,D540&gt;ÉV!$J$2)),0,1)</f>
        <v>0</v>
      </c>
      <c r="Y540" s="271">
        <f t="shared" ca="1" si="92"/>
        <v>0</v>
      </c>
      <c r="Z540" s="265">
        <f t="shared" si="93"/>
        <v>10</v>
      </c>
      <c r="AA540" s="272">
        <f t="shared" ca="1" si="94"/>
        <v>0</v>
      </c>
      <c r="AB540" s="265">
        <f t="shared" ca="1" si="98"/>
        <v>2062</v>
      </c>
      <c r="AC540" s="265">
        <f t="shared" ca="1" si="99"/>
        <v>1</v>
      </c>
      <c r="AD540" s="276">
        <f ca="1">IF(     OR(               AND(MAX(AF$6:AF540)&lt;2,  AC540=12),                 AF540=2),                   SUMIF(AB:AB,AB540,AA:AA),                       0)</f>
        <v>0</v>
      </c>
      <c r="AE540" s="277">
        <f t="shared" ca="1" si="100"/>
        <v>0</v>
      </c>
      <c r="AF540" s="277">
        <f t="shared" ca="1" si="95"/>
        <v>0</v>
      </c>
      <c r="AG540" s="402">
        <f ca="1">IF(  AND(AC540=AdóHó,   MAX(AF$1:AF539)&lt;2),   SUMIF(AB:AB,AB540-1,AE:AE),0  )
+ IF(AND(AC540&lt;AdóHó,                            AF540=2),   SUMIF(AB:AB,AB540-1,AE:AE),0  )
+ IF(                                                                  AF540=2,    SUMIF(AB:AB,AB540,AE:AE   ),0  )</f>
        <v>0</v>
      </c>
      <c r="AH540" s="272">
        <f ca="1">SUM(AG$2:AG540)</f>
        <v>1139324.2410681627</v>
      </c>
    </row>
    <row r="541" spans="1:34">
      <c r="A541" s="265">
        <f t="shared" si="90"/>
        <v>45</v>
      </c>
      <c r="B541" s="265">
        <f t="shared" si="91"/>
        <v>11</v>
      </c>
      <c r="C541" s="265">
        <f t="shared" ca="1" si="96"/>
        <v>46</v>
      </c>
      <c r="D541" s="265">
        <f t="shared" ca="1" si="97"/>
        <v>2</v>
      </c>
      <c r="E541" s="266">
        <v>5.0000000000000001E-3</v>
      </c>
      <c r="F541" s="267">
        <f>ÉV!$B$12</f>
        <v>0</v>
      </c>
      <c r="G541" s="271">
        <f ca="1">VLOOKUP(A541,ÉV!$A$18:$B$65,2,0)</f>
        <v>0</v>
      </c>
      <c r="H541" s="271">
        <f ca="1">IF(OR(A541=1,AND(C541=ÉV!$I$2,D541&gt;ÉV!$J$2),C541&gt;ÉV!$I$2),0,INDEX(Pz!$B$2:$AM$48,A541-1,ÉV!$G$2-9)/100000*ÉV!$B$10)</f>
        <v>0</v>
      </c>
      <c r="I541" s="271">
        <f ca="1">INDEX(Pz!$B$2:$AM$48,HÓ!A541,ÉV!$G$2-9)/100000*ÉV!$B$10</f>
        <v>0</v>
      </c>
      <c r="J541" s="273">
        <f ca="1">IF(OR(A541=1,A541=2,AND(C541=ÉV!$I$2,D541&gt;ÉV!$J$2),C541&gt;ÉV!$I$2),0,VLOOKUP(A541-2,ÉV!$A$18:$C$65,3,0))</f>
        <v>0</v>
      </c>
      <c r="K541" s="273">
        <f ca="1">IF(OR(A541=1,AND(C541=ÉV!$I$2,D541&gt;ÉV!$J$2),C541&gt;ÉV!$I$2),0,VLOOKUP(A541-1,ÉV!$A$18:$C$65,3,0))</f>
        <v>0</v>
      </c>
      <c r="L541" s="273">
        <f ca="1">VLOOKUP(A541,ÉV!$A$18:$C$65,3,0)*IF(OR(AND(C541=ÉV!$I$2,D541&gt;ÉV!$J$2),C541&gt;ÉV!$I$2),0,1)</f>
        <v>0</v>
      </c>
      <c r="M541" s="273">
        <f ca="1">(K541*(12-B541)/12+L541*B541/12)*IF(A541&gt;ÉV!$G$2,0,1)+IF(A541&gt;ÉV!$G$2,M540,0)*IF(OR(AND(C541=ÉV!$I$2,D541&gt;ÉV!$J$2),C541&gt;ÉV!$I$2),0,1)</f>
        <v>0</v>
      </c>
      <c r="N541" s="274">
        <f ca="1">IF(AND(C541=1,D541&lt;12),0,1)*IF(D541=12,MAX(0,F541-E541-0.003)*0.9*((K541+I541)*(B541/12)+(J541+H541)*(1-B541/12))+MAX(0,F541-0.003)*0.9*N540+N540,IF(AND(C541=ÉV!$I$2,D541=ÉV!$J$2),(M541+N540)*MAX(0,F541-0.003)*0.9*(D541/12)+N540,N540))*IF(OR(C541&gt;ÉV!$I$2,AND(C541=ÉV!$I$2,D541&gt;ÉV!$J$2)),0,1)</f>
        <v>0</v>
      </c>
      <c r="O541" s="313">
        <f ca="1">IF(MAX(AF$2:AF540)=2,      0,IF(OR(AC541=7, AF541=2),    SUM(AE$2:AE541),    O540)   )</f>
        <v>0</v>
      </c>
      <c r="P541" s="271">
        <f ca="1">IF(D541=12,V541+P540+P540*(F541-0.003)*0.9,IF(AND(C541=ÉV!$I$2,D541=ÉV!$J$2),V541+P540+P540*(F541-0.003)*0.9*D541/12,P540))*IF(OR(C541&gt;ÉV!$I$2,AND(C541=ÉV!$I$2,D541&gt;ÉV!$J$2)),0,1)</f>
        <v>0</v>
      </c>
      <c r="Q541" s="275">
        <f ca="1">(N541+P541)*IF(OR(AND(C541=ÉV!$I$2,D541&gt;ÉV!$J$2),C541&gt;ÉV!$I$2),0,1)</f>
        <v>0</v>
      </c>
      <c r="R541" s="271">
        <f ca="1">(MAX(0,F541-E541-0.003)*0.9*((K541+I541)*(1/12)))*IF(OR(C541&gt;ÉV!$I$2,AND(C541=ÉV!$I$2,D541&gt;ÉV!$J$2)),0,1)</f>
        <v>0</v>
      </c>
      <c r="S541" s="271">
        <f ca="1">(MAX(0,F541-0.003)*0.9*((O541)*(1/12)))*IF(OR(C541&gt;ÉV!$I$2,AND(C541=ÉV!$I$2,D541&gt;ÉV!$J$2)),0,1)</f>
        <v>0</v>
      </c>
      <c r="T541" s="271">
        <f ca="1">(MAX(0,F541-0.003)*0.9*((Q540)*(1/12)))*IF(OR(C541&gt;ÉV!$I$2,AND(C541=ÉV!$I$2,D541&gt;ÉV!$J$2)),0,1)</f>
        <v>0</v>
      </c>
      <c r="U541" s="271">
        <f ca="1">IF($D541=1,R541,R541+U540)*IF(OR(C541&gt;ÉV!$I$2,AND(C541=ÉV!$I$2,D541&gt;ÉV!$J$2)),0,1)</f>
        <v>0</v>
      </c>
      <c r="V541" s="271">
        <f ca="1">IF($D541=1,S541,S541+V540)*IF(OR(C541&gt;ÉV!$I$2,AND(C541=ÉV!$I$2,D541&gt;ÉV!$J$2)),0,1)</f>
        <v>0</v>
      </c>
      <c r="W541" s="271">
        <f ca="1">IF($D541=1,T541,T541+W540)*IF(OR(C541&gt;ÉV!$I$2,AND(C541=ÉV!$I$2,D541&gt;ÉV!$J$2)),0,1)</f>
        <v>0</v>
      </c>
      <c r="X541" s="271">
        <f ca="1">IF(OR(D541=12,AND(C541=ÉV!$I$2,D541=ÉV!$J$2)),SUM(U541:W541)+X540,X540)*IF(OR(C541&gt;ÉV!$I$2,AND(C541=ÉV!$I$2,D541&gt;ÉV!$J$2)),0,1)</f>
        <v>0</v>
      </c>
      <c r="Y541" s="271">
        <f t="shared" ca="1" si="92"/>
        <v>0</v>
      </c>
      <c r="Z541" s="265">
        <f t="shared" si="93"/>
        <v>11</v>
      </c>
      <c r="AA541" s="272">
        <f t="shared" ca="1" si="94"/>
        <v>0</v>
      </c>
      <c r="AB541" s="265">
        <f t="shared" ca="1" si="98"/>
        <v>2062</v>
      </c>
      <c r="AC541" s="265">
        <f t="shared" ca="1" si="99"/>
        <v>2</v>
      </c>
      <c r="AD541" s="276">
        <f ca="1">IF(     OR(               AND(MAX(AF$6:AF541)&lt;2,  AC541=12),                 AF541=2),                   SUMIF(AB:AB,AB541,AA:AA),                       0)</f>
        <v>0</v>
      </c>
      <c r="AE541" s="277">
        <f t="shared" ca="1" si="100"/>
        <v>0</v>
      </c>
      <c r="AF541" s="277">
        <f t="shared" ca="1" si="95"/>
        <v>0</v>
      </c>
      <c r="AG541" s="402">
        <f ca="1">IF(  AND(AC541=AdóHó,   MAX(AF$1:AF540)&lt;2),   SUMIF(AB:AB,AB541-1,AE:AE),0  )
+ IF(AND(AC541&lt;AdóHó,                            AF541=2),   SUMIF(AB:AB,AB541-1,AE:AE),0  )
+ IF(                                                                  AF541=2,    SUMIF(AB:AB,AB541,AE:AE   ),0  )</f>
        <v>0</v>
      </c>
      <c r="AH541" s="272">
        <f ca="1">SUM(AG$2:AG541)</f>
        <v>1139324.2410681627</v>
      </c>
    </row>
    <row r="542" spans="1:34">
      <c r="A542" s="265">
        <f t="shared" si="90"/>
        <v>45</v>
      </c>
      <c r="B542" s="265">
        <f t="shared" si="91"/>
        <v>12</v>
      </c>
      <c r="C542" s="265">
        <f t="shared" ca="1" si="96"/>
        <v>46</v>
      </c>
      <c r="D542" s="265">
        <f t="shared" ca="1" si="97"/>
        <v>3</v>
      </c>
      <c r="E542" s="266">
        <v>5.0000000000000001E-3</v>
      </c>
      <c r="F542" s="267">
        <f>ÉV!$B$12</f>
        <v>0</v>
      </c>
      <c r="G542" s="271">
        <f ca="1">VLOOKUP(A542,ÉV!$A$18:$B$65,2,0)</f>
        <v>0</v>
      </c>
      <c r="H542" s="271">
        <f ca="1">IF(OR(A542=1,AND(C542=ÉV!$I$2,D542&gt;ÉV!$J$2),C542&gt;ÉV!$I$2),0,INDEX(Pz!$B$2:$AM$48,A542-1,ÉV!$G$2-9)/100000*ÉV!$B$10)</f>
        <v>0</v>
      </c>
      <c r="I542" s="271">
        <f ca="1">INDEX(Pz!$B$2:$AM$48,HÓ!A542,ÉV!$G$2-9)/100000*ÉV!$B$10</f>
        <v>0</v>
      </c>
      <c r="J542" s="273">
        <f ca="1">IF(OR(A542=1,A542=2,AND(C542=ÉV!$I$2,D542&gt;ÉV!$J$2),C542&gt;ÉV!$I$2),0,VLOOKUP(A542-2,ÉV!$A$18:$C$65,3,0))</f>
        <v>0</v>
      </c>
      <c r="K542" s="273">
        <f ca="1">IF(OR(A542=1,AND(C542=ÉV!$I$2,D542&gt;ÉV!$J$2),C542&gt;ÉV!$I$2),0,VLOOKUP(A542-1,ÉV!$A$18:$C$65,3,0))</f>
        <v>0</v>
      </c>
      <c r="L542" s="273">
        <f ca="1">VLOOKUP(A542,ÉV!$A$18:$C$65,3,0)*IF(OR(AND(C542=ÉV!$I$2,D542&gt;ÉV!$J$2),C542&gt;ÉV!$I$2),0,1)</f>
        <v>0</v>
      </c>
      <c r="M542" s="273">
        <f ca="1">(K542*(12-B542)/12+L542*B542/12)*IF(A542&gt;ÉV!$G$2,0,1)+IF(A542&gt;ÉV!$G$2,M541,0)*IF(OR(AND(C542=ÉV!$I$2,D542&gt;ÉV!$J$2),C542&gt;ÉV!$I$2),0,1)</f>
        <v>0</v>
      </c>
      <c r="N542" s="274">
        <f ca="1">IF(AND(C542=1,D542&lt;12),0,1)*IF(D542=12,MAX(0,F542-E542-0.003)*0.9*((K542+I542)*(B542/12)+(J542+H542)*(1-B542/12))+MAX(0,F542-0.003)*0.9*N541+N541,IF(AND(C542=ÉV!$I$2,D542=ÉV!$J$2),(M542+N541)*MAX(0,F542-0.003)*0.9*(D542/12)+N541,N541))*IF(OR(C542&gt;ÉV!$I$2,AND(C542=ÉV!$I$2,D542&gt;ÉV!$J$2)),0,1)</f>
        <v>0</v>
      </c>
      <c r="O542" s="313">
        <f ca="1">IF(MAX(AF$2:AF541)=2,      0,IF(OR(AC542=7, AF542=2),    SUM(AE$2:AE542),    O541)   )</f>
        <v>0</v>
      </c>
      <c r="P542" s="271">
        <f ca="1">IF(D542=12,V542+P541+P541*(F542-0.003)*0.9,IF(AND(C542=ÉV!$I$2,D542=ÉV!$J$2),V542+P541+P541*(F542-0.003)*0.9*D542/12,P541))*IF(OR(C542&gt;ÉV!$I$2,AND(C542=ÉV!$I$2,D542&gt;ÉV!$J$2)),0,1)</f>
        <v>0</v>
      </c>
      <c r="Q542" s="275">
        <f ca="1">(N542+P542)*IF(OR(AND(C542=ÉV!$I$2,D542&gt;ÉV!$J$2),C542&gt;ÉV!$I$2),0,1)</f>
        <v>0</v>
      </c>
      <c r="R542" s="271">
        <f ca="1">(MAX(0,F542-E542-0.003)*0.9*((K542+I542)*(1/12)))*IF(OR(C542&gt;ÉV!$I$2,AND(C542=ÉV!$I$2,D542&gt;ÉV!$J$2)),0,1)</f>
        <v>0</v>
      </c>
      <c r="S542" s="271">
        <f ca="1">(MAX(0,F542-0.003)*0.9*((O542)*(1/12)))*IF(OR(C542&gt;ÉV!$I$2,AND(C542=ÉV!$I$2,D542&gt;ÉV!$J$2)),0,1)</f>
        <v>0</v>
      </c>
      <c r="T542" s="271">
        <f ca="1">(MAX(0,F542-0.003)*0.9*((Q541)*(1/12)))*IF(OR(C542&gt;ÉV!$I$2,AND(C542=ÉV!$I$2,D542&gt;ÉV!$J$2)),0,1)</f>
        <v>0</v>
      </c>
      <c r="U542" s="271">
        <f ca="1">IF($D542=1,R542,R542+U541)*IF(OR(C542&gt;ÉV!$I$2,AND(C542=ÉV!$I$2,D542&gt;ÉV!$J$2)),0,1)</f>
        <v>0</v>
      </c>
      <c r="V542" s="271">
        <f ca="1">IF($D542=1,S542,S542+V541)*IF(OR(C542&gt;ÉV!$I$2,AND(C542=ÉV!$I$2,D542&gt;ÉV!$J$2)),0,1)</f>
        <v>0</v>
      </c>
      <c r="W542" s="271">
        <f ca="1">IF($D542=1,T542,T542+W541)*IF(OR(C542&gt;ÉV!$I$2,AND(C542=ÉV!$I$2,D542&gt;ÉV!$J$2)),0,1)</f>
        <v>0</v>
      </c>
      <c r="X542" s="271">
        <f ca="1">IF(OR(D542=12,AND(C542=ÉV!$I$2,D542=ÉV!$J$2)),SUM(U542:W542)+X541,X541)*IF(OR(C542&gt;ÉV!$I$2,AND(C542=ÉV!$I$2,D542&gt;ÉV!$J$2)),0,1)</f>
        <v>0</v>
      </c>
      <c r="Y542" s="271">
        <f t="shared" ca="1" si="92"/>
        <v>0</v>
      </c>
      <c r="Z542" s="265">
        <f t="shared" si="93"/>
        <v>12</v>
      </c>
      <c r="AA542" s="272">
        <f t="shared" ca="1" si="94"/>
        <v>0</v>
      </c>
      <c r="AB542" s="265">
        <f t="shared" ca="1" si="98"/>
        <v>2062</v>
      </c>
      <c r="AC542" s="265">
        <f t="shared" ca="1" si="99"/>
        <v>3</v>
      </c>
      <c r="AD542" s="276">
        <f ca="1">IF(     OR(               AND(MAX(AF$6:AF542)&lt;2,  AC542=12),                 AF542=2),                   SUMIF(AB:AB,AB542,AA:AA),                       0)</f>
        <v>0</v>
      </c>
      <c r="AE542" s="277">
        <f t="shared" ca="1" si="100"/>
        <v>0</v>
      </c>
      <c r="AF542" s="277">
        <f t="shared" ca="1" si="95"/>
        <v>0</v>
      </c>
      <c r="AG542" s="402">
        <f ca="1">IF(  AND(AC542=AdóHó,   MAX(AF$1:AF541)&lt;2),   SUMIF(AB:AB,AB542-1,AE:AE),0  )
+ IF(AND(AC542&lt;AdóHó,                            AF542=2),   SUMIF(AB:AB,AB542-1,AE:AE),0  )
+ IF(                                                                  AF542=2,    SUMIF(AB:AB,AB542,AE:AE   ),0  )</f>
        <v>0</v>
      </c>
      <c r="AH542" s="272">
        <f ca="1">SUM(AG$2:AG542)</f>
        <v>1139324.2410681627</v>
      </c>
    </row>
    <row r="543" spans="1:34">
      <c r="A543" s="265">
        <f t="shared" si="90"/>
        <v>46</v>
      </c>
      <c r="B543" s="265">
        <f t="shared" si="91"/>
        <v>1</v>
      </c>
      <c r="C543" s="265">
        <f t="shared" ca="1" si="96"/>
        <v>46</v>
      </c>
      <c r="D543" s="265">
        <f t="shared" ca="1" si="97"/>
        <v>4</v>
      </c>
      <c r="E543" s="266">
        <v>5.0000000000000001E-3</v>
      </c>
      <c r="F543" s="267">
        <f>ÉV!$B$12</f>
        <v>0</v>
      </c>
      <c r="G543" s="271">
        <f ca="1">VLOOKUP(A543,ÉV!$A$18:$B$65,2,0)</f>
        <v>0</v>
      </c>
      <c r="H543" s="271">
        <f ca="1">IF(OR(A543=1,AND(C543=ÉV!$I$2,D543&gt;ÉV!$J$2),C543&gt;ÉV!$I$2),0,INDEX(Pz!$B$2:$AM$48,A543-1,ÉV!$G$2-9)/100000*ÉV!$B$10)</f>
        <v>0</v>
      </c>
      <c r="I543" s="271">
        <f ca="1">INDEX(Pz!$B$2:$AM$48,HÓ!A543,ÉV!$G$2-9)/100000*ÉV!$B$10</f>
        <v>0</v>
      </c>
      <c r="J543" s="273">
        <f ca="1">IF(OR(A543=1,A543=2,AND(C543=ÉV!$I$2,D543&gt;ÉV!$J$2),C543&gt;ÉV!$I$2),0,VLOOKUP(A543-2,ÉV!$A$18:$C$65,3,0))</f>
        <v>0</v>
      </c>
      <c r="K543" s="273">
        <f ca="1">IF(OR(A543=1,AND(C543=ÉV!$I$2,D543&gt;ÉV!$J$2),C543&gt;ÉV!$I$2),0,VLOOKUP(A543-1,ÉV!$A$18:$C$65,3,0))</f>
        <v>0</v>
      </c>
      <c r="L543" s="273">
        <f ca="1">VLOOKUP(A543,ÉV!$A$18:$C$65,3,0)*IF(OR(AND(C543=ÉV!$I$2,D543&gt;ÉV!$J$2),C543&gt;ÉV!$I$2),0,1)</f>
        <v>0</v>
      </c>
      <c r="M543" s="273">
        <f ca="1">(K543*(12-B543)/12+L543*B543/12)*IF(A543&gt;ÉV!$G$2,0,1)+IF(A543&gt;ÉV!$G$2,M542,0)*IF(OR(AND(C543=ÉV!$I$2,D543&gt;ÉV!$J$2),C543&gt;ÉV!$I$2),0,1)</f>
        <v>0</v>
      </c>
      <c r="N543" s="274">
        <f ca="1">IF(AND(C543=1,D543&lt;12),0,1)*IF(D543=12,MAX(0,F543-E543-0.003)*0.9*((K543+I543)*(B543/12)+(J543+H543)*(1-B543/12))+MAX(0,F543-0.003)*0.9*N542+N542,IF(AND(C543=ÉV!$I$2,D543=ÉV!$J$2),(M543+N542)*MAX(0,F543-0.003)*0.9*(D543/12)+N542,N542))*IF(OR(C543&gt;ÉV!$I$2,AND(C543=ÉV!$I$2,D543&gt;ÉV!$J$2)),0,1)</f>
        <v>0</v>
      </c>
      <c r="O543" s="313">
        <f ca="1">IF(MAX(AF$2:AF542)=2,      0,IF(OR(AC543=7, AF543=2),    SUM(AE$2:AE543),    O542)   )</f>
        <v>0</v>
      </c>
      <c r="P543" s="271">
        <f ca="1">IF(D543=12,V543+P542+P542*(F543-0.003)*0.9,IF(AND(C543=ÉV!$I$2,D543=ÉV!$J$2),V543+P542+P542*(F543-0.003)*0.9*D543/12,P542))*IF(OR(C543&gt;ÉV!$I$2,AND(C543=ÉV!$I$2,D543&gt;ÉV!$J$2)),0,1)</f>
        <v>0</v>
      </c>
      <c r="Q543" s="275">
        <f ca="1">(N543+P543)*IF(OR(AND(C543=ÉV!$I$2,D543&gt;ÉV!$J$2),C543&gt;ÉV!$I$2),0,1)</f>
        <v>0</v>
      </c>
      <c r="R543" s="271">
        <f ca="1">(MAX(0,F543-E543-0.003)*0.9*((K543+I543)*(1/12)))*IF(OR(C543&gt;ÉV!$I$2,AND(C543=ÉV!$I$2,D543&gt;ÉV!$J$2)),0,1)</f>
        <v>0</v>
      </c>
      <c r="S543" s="271">
        <f ca="1">(MAX(0,F543-0.003)*0.9*((O543)*(1/12)))*IF(OR(C543&gt;ÉV!$I$2,AND(C543=ÉV!$I$2,D543&gt;ÉV!$J$2)),0,1)</f>
        <v>0</v>
      </c>
      <c r="T543" s="271">
        <f ca="1">(MAX(0,F543-0.003)*0.9*((Q542)*(1/12)))*IF(OR(C543&gt;ÉV!$I$2,AND(C543=ÉV!$I$2,D543&gt;ÉV!$J$2)),0,1)</f>
        <v>0</v>
      </c>
      <c r="U543" s="271">
        <f ca="1">IF($D543=1,R543,R543+U542)*IF(OR(C543&gt;ÉV!$I$2,AND(C543=ÉV!$I$2,D543&gt;ÉV!$J$2)),0,1)</f>
        <v>0</v>
      </c>
      <c r="V543" s="271">
        <f ca="1">IF($D543=1,S543,S543+V542)*IF(OR(C543&gt;ÉV!$I$2,AND(C543=ÉV!$I$2,D543&gt;ÉV!$J$2)),0,1)</f>
        <v>0</v>
      </c>
      <c r="W543" s="271">
        <f ca="1">IF($D543=1,T543,T543+W542)*IF(OR(C543&gt;ÉV!$I$2,AND(C543=ÉV!$I$2,D543&gt;ÉV!$J$2)),0,1)</f>
        <v>0</v>
      </c>
      <c r="X543" s="271">
        <f ca="1">IF(OR(D543=12,AND(C543=ÉV!$I$2,D543=ÉV!$J$2)),SUM(U543:W543)+X542,X542)*IF(OR(C543&gt;ÉV!$I$2,AND(C543=ÉV!$I$2,D543&gt;ÉV!$J$2)),0,1)</f>
        <v>0</v>
      </c>
      <c r="Y543" s="271">
        <f t="shared" ca="1" si="92"/>
        <v>0</v>
      </c>
      <c r="Z543" s="265">
        <f t="shared" si="93"/>
        <v>1</v>
      </c>
      <c r="AA543" s="272">
        <f t="shared" ca="1" si="94"/>
        <v>0</v>
      </c>
      <c r="AB543" s="265">
        <f t="shared" ca="1" si="98"/>
        <v>2062</v>
      </c>
      <c r="AC543" s="265">
        <f t="shared" ca="1" si="99"/>
        <v>4</v>
      </c>
      <c r="AD543" s="276">
        <f ca="1">IF(     OR(               AND(MAX(AF$6:AF543)&lt;2,  AC543=12),                 AF543=2),                   SUMIF(AB:AB,AB543,AA:AA),                       0)</f>
        <v>0</v>
      </c>
      <c r="AE543" s="277">
        <f t="shared" ca="1" si="100"/>
        <v>0</v>
      </c>
      <c r="AF543" s="277">
        <f t="shared" ca="1" si="95"/>
        <v>0</v>
      </c>
      <c r="AG543" s="402">
        <f ca="1">IF(  AND(AC543=AdóHó,   MAX(AF$1:AF542)&lt;2),   SUMIF(AB:AB,AB543-1,AE:AE),0  )
+ IF(AND(AC543&lt;AdóHó,                            AF543=2),   SUMIF(AB:AB,AB543-1,AE:AE),0  )
+ IF(                                                                  AF543=2,    SUMIF(AB:AB,AB543,AE:AE   ),0  )</f>
        <v>0</v>
      </c>
      <c r="AH543" s="272">
        <f ca="1">SUM(AG$2:AG543)</f>
        <v>1139324.2410681627</v>
      </c>
    </row>
    <row r="544" spans="1:34">
      <c r="A544" s="265">
        <f t="shared" si="90"/>
        <v>46</v>
      </c>
      <c r="B544" s="265">
        <f t="shared" si="91"/>
        <v>2</v>
      </c>
      <c r="C544" s="265">
        <f t="shared" ca="1" si="96"/>
        <v>46</v>
      </c>
      <c r="D544" s="265">
        <f t="shared" ca="1" si="97"/>
        <v>5</v>
      </c>
      <c r="E544" s="266">
        <v>5.0000000000000001E-3</v>
      </c>
      <c r="F544" s="267">
        <f>ÉV!$B$12</f>
        <v>0</v>
      </c>
      <c r="G544" s="271">
        <f ca="1">VLOOKUP(A544,ÉV!$A$18:$B$65,2,0)</f>
        <v>0</v>
      </c>
      <c r="H544" s="271">
        <f ca="1">IF(OR(A544=1,AND(C544=ÉV!$I$2,D544&gt;ÉV!$J$2),C544&gt;ÉV!$I$2),0,INDEX(Pz!$B$2:$AM$48,A544-1,ÉV!$G$2-9)/100000*ÉV!$B$10)</f>
        <v>0</v>
      </c>
      <c r="I544" s="271">
        <f ca="1">INDEX(Pz!$B$2:$AM$48,HÓ!A544,ÉV!$G$2-9)/100000*ÉV!$B$10</f>
        <v>0</v>
      </c>
      <c r="J544" s="273">
        <f ca="1">IF(OR(A544=1,A544=2,AND(C544=ÉV!$I$2,D544&gt;ÉV!$J$2),C544&gt;ÉV!$I$2),0,VLOOKUP(A544-2,ÉV!$A$18:$C$65,3,0))</f>
        <v>0</v>
      </c>
      <c r="K544" s="273">
        <f ca="1">IF(OR(A544=1,AND(C544=ÉV!$I$2,D544&gt;ÉV!$J$2),C544&gt;ÉV!$I$2),0,VLOOKUP(A544-1,ÉV!$A$18:$C$65,3,0))</f>
        <v>0</v>
      </c>
      <c r="L544" s="273">
        <f ca="1">VLOOKUP(A544,ÉV!$A$18:$C$65,3,0)*IF(OR(AND(C544=ÉV!$I$2,D544&gt;ÉV!$J$2),C544&gt;ÉV!$I$2),0,1)</f>
        <v>0</v>
      </c>
      <c r="M544" s="273">
        <f ca="1">(K544*(12-B544)/12+L544*B544/12)*IF(A544&gt;ÉV!$G$2,0,1)+IF(A544&gt;ÉV!$G$2,M543,0)*IF(OR(AND(C544=ÉV!$I$2,D544&gt;ÉV!$J$2),C544&gt;ÉV!$I$2),0,1)</f>
        <v>0</v>
      </c>
      <c r="N544" s="274">
        <f ca="1">IF(AND(C544=1,D544&lt;12),0,1)*IF(D544=12,MAX(0,F544-E544-0.003)*0.9*((K544+I544)*(B544/12)+(J544+H544)*(1-B544/12))+MAX(0,F544-0.003)*0.9*N543+N543,IF(AND(C544=ÉV!$I$2,D544=ÉV!$J$2),(M544+N543)*MAX(0,F544-0.003)*0.9*(D544/12)+N543,N543))*IF(OR(C544&gt;ÉV!$I$2,AND(C544=ÉV!$I$2,D544&gt;ÉV!$J$2)),0,1)</f>
        <v>0</v>
      </c>
      <c r="O544" s="313">
        <f ca="1">IF(MAX(AF$2:AF543)=2,      0,IF(OR(AC544=7, AF544=2),    SUM(AE$2:AE544),    O543)   )</f>
        <v>0</v>
      </c>
      <c r="P544" s="271">
        <f ca="1">IF(D544=12,V544+P543+P543*(F544-0.003)*0.9,IF(AND(C544=ÉV!$I$2,D544=ÉV!$J$2),V544+P543+P543*(F544-0.003)*0.9*D544/12,P543))*IF(OR(C544&gt;ÉV!$I$2,AND(C544=ÉV!$I$2,D544&gt;ÉV!$J$2)),0,1)</f>
        <v>0</v>
      </c>
      <c r="Q544" s="275">
        <f ca="1">(N544+P544)*IF(OR(AND(C544=ÉV!$I$2,D544&gt;ÉV!$J$2),C544&gt;ÉV!$I$2),0,1)</f>
        <v>0</v>
      </c>
      <c r="R544" s="271">
        <f ca="1">(MAX(0,F544-E544-0.003)*0.9*((K544+I544)*(1/12)))*IF(OR(C544&gt;ÉV!$I$2,AND(C544=ÉV!$I$2,D544&gt;ÉV!$J$2)),0,1)</f>
        <v>0</v>
      </c>
      <c r="S544" s="271">
        <f ca="1">(MAX(0,F544-0.003)*0.9*((O544)*(1/12)))*IF(OR(C544&gt;ÉV!$I$2,AND(C544=ÉV!$I$2,D544&gt;ÉV!$J$2)),0,1)</f>
        <v>0</v>
      </c>
      <c r="T544" s="271">
        <f ca="1">(MAX(0,F544-0.003)*0.9*((Q543)*(1/12)))*IF(OR(C544&gt;ÉV!$I$2,AND(C544=ÉV!$I$2,D544&gt;ÉV!$J$2)),0,1)</f>
        <v>0</v>
      </c>
      <c r="U544" s="271">
        <f ca="1">IF($D544=1,R544,R544+U543)*IF(OR(C544&gt;ÉV!$I$2,AND(C544=ÉV!$I$2,D544&gt;ÉV!$J$2)),0,1)</f>
        <v>0</v>
      </c>
      <c r="V544" s="271">
        <f ca="1">IF($D544=1,S544,S544+V543)*IF(OR(C544&gt;ÉV!$I$2,AND(C544=ÉV!$I$2,D544&gt;ÉV!$J$2)),0,1)</f>
        <v>0</v>
      </c>
      <c r="W544" s="271">
        <f ca="1">IF($D544=1,T544,T544+W543)*IF(OR(C544&gt;ÉV!$I$2,AND(C544=ÉV!$I$2,D544&gt;ÉV!$J$2)),0,1)</f>
        <v>0</v>
      </c>
      <c r="X544" s="271">
        <f ca="1">IF(OR(D544=12,AND(C544=ÉV!$I$2,D544=ÉV!$J$2)),SUM(U544:W544)+X543,X543)*IF(OR(C544&gt;ÉV!$I$2,AND(C544=ÉV!$I$2,D544&gt;ÉV!$J$2)),0,1)</f>
        <v>0</v>
      </c>
      <c r="Y544" s="271">
        <f t="shared" ca="1" si="92"/>
        <v>0</v>
      </c>
      <c r="Z544" s="265">
        <f t="shared" si="93"/>
        <v>2</v>
      </c>
      <c r="AA544" s="272">
        <f t="shared" ca="1" si="94"/>
        <v>0</v>
      </c>
      <c r="AB544" s="265">
        <f t="shared" ca="1" si="98"/>
        <v>2062</v>
      </c>
      <c r="AC544" s="265">
        <f t="shared" ca="1" si="99"/>
        <v>5</v>
      </c>
      <c r="AD544" s="276">
        <f ca="1">IF(     OR(               AND(MAX(AF$6:AF544)&lt;2,  AC544=12),                 AF544=2),                   SUMIF(AB:AB,AB544,AA:AA),                       0)</f>
        <v>0</v>
      </c>
      <c r="AE544" s="277">
        <f t="shared" ca="1" si="100"/>
        <v>0</v>
      </c>
      <c r="AF544" s="277">
        <f t="shared" ca="1" si="95"/>
        <v>0</v>
      </c>
      <c r="AG544" s="402">
        <f ca="1">IF(  AND(AC544=AdóHó,   MAX(AF$1:AF543)&lt;2),   SUMIF(AB:AB,AB544-1,AE:AE),0  )
+ IF(AND(AC544&lt;AdóHó,                            AF544=2),   SUMIF(AB:AB,AB544-1,AE:AE),0  )
+ IF(                                                                  AF544=2,    SUMIF(AB:AB,AB544,AE:AE   ),0  )</f>
        <v>0</v>
      </c>
      <c r="AH544" s="272">
        <f ca="1">SUM(AG$2:AG544)</f>
        <v>1139324.2410681627</v>
      </c>
    </row>
    <row r="545" spans="1:34">
      <c r="A545" s="265">
        <f t="shared" si="90"/>
        <v>46</v>
      </c>
      <c r="B545" s="265">
        <f t="shared" si="91"/>
        <v>3</v>
      </c>
      <c r="C545" s="265">
        <f t="shared" ca="1" si="96"/>
        <v>46</v>
      </c>
      <c r="D545" s="265">
        <f t="shared" ca="1" si="97"/>
        <v>6</v>
      </c>
      <c r="E545" s="266">
        <v>5.0000000000000001E-3</v>
      </c>
      <c r="F545" s="267">
        <f>ÉV!$B$12</f>
        <v>0</v>
      </c>
      <c r="G545" s="271">
        <f ca="1">VLOOKUP(A545,ÉV!$A$18:$B$65,2,0)</f>
        <v>0</v>
      </c>
      <c r="H545" s="271">
        <f ca="1">IF(OR(A545=1,AND(C545=ÉV!$I$2,D545&gt;ÉV!$J$2),C545&gt;ÉV!$I$2),0,INDEX(Pz!$B$2:$AM$48,A545-1,ÉV!$G$2-9)/100000*ÉV!$B$10)</f>
        <v>0</v>
      </c>
      <c r="I545" s="271">
        <f ca="1">INDEX(Pz!$B$2:$AM$48,HÓ!A545,ÉV!$G$2-9)/100000*ÉV!$B$10</f>
        <v>0</v>
      </c>
      <c r="J545" s="273">
        <f ca="1">IF(OR(A545=1,A545=2,AND(C545=ÉV!$I$2,D545&gt;ÉV!$J$2),C545&gt;ÉV!$I$2),0,VLOOKUP(A545-2,ÉV!$A$18:$C$65,3,0))</f>
        <v>0</v>
      </c>
      <c r="K545" s="273">
        <f ca="1">IF(OR(A545=1,AND(C545=ÉV!$I$2,D545&gt;ÉV!$J$2),C545&gt;ÉV!$I$2),0,VLOOKUP(A545-1,ÉV!$A$18:$C$65,3,0))</f>
        <v>0</v>
      </c>
      <c r="L545" s="273">
        <f ca="1">VLOOKUP(A545,ÉV!$A$18:$C$65,3,0)*IF(OR(AND(C545=ÉV!$I$2,D545&gt;ÉV!$J$2),C545&gt;ÉV!$I$2),0,1)</f>
        <v>0</v>
      </c>
      <c r="M545" s="273">
        <f ca="1">(K545*(12-B545)/12+L545*B545/12)*IF(A545&gt;ÉV!$G$2,0,1)+IF(A545&gt;ÉV!$G$2,M544,0)*IF(OR(AND(C545=ÉV!$I$2,D545&gt;ÉV!$J$2),C545&gt;ÉV!$I$2),0,1)</f>
        <v>0</v>
      </c>
      <c r="N545" s="274">
        <f ca="1">IF(AND(C545=1,D545&lt;12),0,1)*IF(D545=12,MAX(0,F545-E545-0.003)*0.9*((K545+I545)*(B545/12)+(J545+H545)*(1-B545/12))+MAX(0,F545-0.003)*0.9*N544+N544,IF(AND(C545=ÉV!$I$2,D545=ÉV!$J$2),(M545+N544)*MAX(0,F545-0.003)*0.9*(D545/12)+N544,N544))*IF(OR(C545&gt;ÉV!$I$2,AND(C545=ÉV!$I$2,D545&gt;ÉV!$J$2)),0,1)</f>
        <v>0</v>
      </c>
      <c r="O545" s="313">
        <f ca="1">IF(MAX(AF$2:AF544)=2,      0,IF(OR(AC545=7, AF545=2),    SUM(AE$2:AE545),    O544)   )</f>
        <v>0</v>
      </c>
      <c r="P545" s="271">
        <f ca="1">IF(D545=12,V545+P544+P544*(F545-0.003)*0.9,IF(AND(C545=ÉV!$I$2,D545=ÉV!$J$2),V545+P544+P544*(F545-0.003)*0.9*D545/12,P544))*IF(OR(C545&gt;ÉV!$I$2,AND(C545=ÉV!$I$2,D545&gt;ÉV!$J$2)),0,1)</f>
        <v>0</v>
      </c>
      <c r="Q545" s="275">
        <f ca="1">(N545+P545)*IF(OR(AND(C545=ÉV!$I$2,D545&gt;ÉV!$J$2),C545&gt;ÉV!$I$2),0,1)</f>
        <v>0</v>
      </c>
      <c r="R545" s="271">
        <f ca="1">(MAX(0,F545-E545-0.003)*0.9*((K545+I545)*(1/12)))*IF(OR(C545&gt;ÉV!$I$2,AND(C545=ÉV!$I$2,D545&gt;ÉV!$J$2)),0,1)</f>
        <v>0</v>
      </c>
      <c r="S545" s="271">
        <f ca="1">(MAX(0,F545-0.003)*0.9*((O545)*(1/12)))*IF(OR(C545&gt;ÉV!$I$2,AND(C545=ÉV!$I$2,D545&gt;ÉV!$J$2)),0,1)</f>
        <v>0</v>
      </c>
      <c r="T545" s="271">
        <f ca="1">(MAX(0,F545-0.003)*0.9*((Q544)*(1/12)))*IF(OR(C545&gt;ÉV!$I$2,AND(C545=ÉV!$I$2,D545&gt;ÉV!$J$2)),0,1)</f>
        <v>0</v>
      </c>
      <c r="U545" s="271">
        <f ca="1">IF($D545=1,R545,R545+U544)*IF(OR(C545&gt;ÉV!$I$2,AND(C545=ÉV!$I$2,D545&gt;ÉV!$J$2)),0,1)</f>
        <v>0</v>
      </c>
      <c r="V545" s="271">
        <f ca="1">IF($D545=1,S545,S545+V544)*IF(OR(C545&gt;ÉV!$I$2,AND(C545=ÉV!$I$2,D545&gt;ÉV!$J$2)),0,1)</f>
        <v>0</v>
      </c>
      <c r="W545" s="271">
        <f ca="1">IF($D545=1,T545,T545+W544)*IF(OR(C545&gt;ÉV!$I$2,AND(C545=ÉV!$I$2,D545&gt;ÉV!$J$2)),0,1)</f>
        <v>0</v>
      </c>
      <c r="X545" s="271">
        <f ca="1">IF(OR(D545=12,AND(C545=ÉV!$I$2,D545=ÉV!$J$2)),SUM(U545:W545)+X544,X544)*IF(OR(C545&gt;ÉV!$I$2,AND(C545=ÉV!$I$2,D545&gt;ÉV!$J$2)),0,1)</f>
        <v>0</v>
      </c>
      <c r="Y545" s="271">
        <f t="shared" ca="1" si="92"/>
        <v>0</v>
      </c>
      <c r="Z545" s="265">
        <f t="shared" si="93"/>
        <v>3</v>
      </c>
      <c r="AA545" s="272">
        <f t="shared" ca="1" si="94"/>
        <v>0</v>
      </c>
      <c r="AB545" s="265">
        <f t="shared" ca="1" si="98"/>
        <v>2062</v>
      </c>
      <c r="AC545" s="265">
        <f t="shared" ca="1" si="99"/>
        <v>6</v>
      </c>
      <c r="AD545" s="276">
        <f ca="1">IF(     OR(               AND(MAX(AF$6:AF545)&lt;2,  AC545=12),                 AF545=2),                   SUMIF(AB:AB,AB545,AA:AA),                       0)</f>
        <v>0</v>
      </c>
      <c r="AE545" s="277">
        <f t="shared" ca="1" si="100"/>
        <v>0</v>
      </c>
      <c r="AF545" s="277">
        <f t="shared" ca="1" si="95"/>
        <v>0</v>
      </c>
      <c r="AG545" s="402">
        <f ca="1">IF(  AND(AC545=AdóHó,   MAX(AF$1:AF544)&lt;2),   SUMIF(AB:AB,AB545-1,AE:AE),0  )
+ IF(AND(AC545&lt;AdóHó,                            AF545=2),   SUMIF(AB:AB,AB545-1,AE:AE),0  )
+ IF(                                                                  AF545=2,    SUMIF(AB:AB,AB545,AE:AE   ),0  )</f>
        <v>0</v>
      </c>
      <c r="AH545" s="272">
        <f ca="1">SUM(AG$2:AG545)</f>
        <v>1139324.2410681627</v>
      </c>
    </row>
    <row r="546" spans="1:34">
      <c r="A546" s="265">
        <f t="shared" si="90"/>
        <v>46</v>
      </c>
      <c r="B546" s="265">
        <f t="shared" si="91"/>
        <v>4</v>
      </c>
      <c r="C546" s="265">
        <f t="shared" ca="1" si="96"/>
        <v>46</v>
      </c>
      <c r="D546" s="265">
        <f t="shared" ca="1" si="97"/>
        <v>7</v>
      </c>
      <c r="E546" s="266">
        <v>5.0000000000000001E-3</v>
      </c>
      <c r="F546" s="267">
        <f>ÉV!$B$12</f>
        <v>0</v>
      </c>
      <c r="G546" s="271">
        <f ca="1">VLOOKUP(A546,ÉV!$A$18:$B$65,2,0)</f>
        <v>0</v>
      </c>
      <c r="H546" s="271">
        <f ca="1">IF(OR(A546=1,AND(C546=ÉV!$I$2,D546&gt;ÉV!$J$2),C546&gt;ÉV!$I$2),0,INDEX(Pz!$B$2:$AM$48,A546-1,ÉV!$G$2-9)/100000*ÉV!$B$10)</f>
        <v>0</v>
      </c>
      <c r="I546" s="271">
        <f ca="1">INDEX(Pz!$B$2:$AM$48,HÓ!A546,ÉV!$G$2-9)/100000*ÉV!$B$10</f>
        <v>0</v>
      </c>
      <c r="J546" s="273">
        <f ca="1">IF(OR(A546=1,A546=2,AND(C546=ÉV!$I$2,D546&gt;ÉV!$J$2),C546&gt;ÉV!$I$2),0,VLOOKUP(A546-2,ÉV!$A$18:$C$65,3,0))</f>
        <v>0</v>
      </c>
      <c r="K546" s="273">
        <f ca="1">IF(OR(A546=1,AND(C546=ÉV!$I$2,D546&gt;ÉV!$J$2),C546&gt;ÉV!$I$2),0,VLOOKUP(A546-1,ÉV!$A$18:$C$65,3,0))</f>
        <v>0</v>
      </c>
      <c r="L546" s="273">
        <f ca="1">VLOOKUP(A546,ÉV!$A$18:$C$65,3,0)*IF(OR(AND(C546=ÉV!$I$2,D546&gt;ÉV!$J$2),C546&gt;ÉV!$I$2),0,1)</f>
        <v>0</v>
      </c>
      <c r="M546" s="273">
        <f ca="1">(K546*(12-B546)/12+L546*B546/12)*IF(A546&gt;ÉV!$G$2,0,1)+IF(A546&gt;ÉV!$G$2,M545,0)*IF(OR(AND(C546=ÉV!$I$2,D546&gt;ÉV!$J$2),C546&gt;ÉV!$I$2),0,1)</f>
        <v>0</v>
      </c>
      <c r="N546" s="274">
        <f ca="1">IF(AND(C546=1,D546&lt;12),0,1)*IF(D546=12,MAX(0,F546-E546-0.003)*0.9*((K546+I546)*(B546/12)+(J546+H546)*(1-B546/12))+MAX(0,F546-0.003)*0.9*N545+N545,IF(AND(C546=ÉV!$I$2,D546=ÉV!$J$2),(M546+N545)*MAX(0,F546-0.003)*0.9*(D546/12)+N545,N545))*IF(OR(C546&gt;ÉV!$I$2,AND(C546=ÉV!$I$2,D546&gt;ÉV!$J$2)),0,1)</f>
        <v>0</v>
      </c>
      <c r="O546" s="313">
        <f ca="1">IF(MAX(AF$2:AF545)=2,      0,IF(OR(AC546=7, AF546=2),    SUM(AE$2:AE546),    O545)   )</f>
        <v>0</v>
      </c>
      <c r="P546" s="271">
        <f ca="1">IF(D546=12,V546+P545+P545*(F546-0.003)*0.9,IF(AND(C546=ÉV!$I$2,D546=ÉV!$J$2),V546+P545+P545*(F546-0.003)*0.9*D546/12,P545))*IF(OR(C546&gt;ÉV!$I$2,AND(C546=ÉV!$I$2,D546&gt;ÉV!$J$2)),0,1)</f>
        <v>0</v>
      </c>
      <c r="Q546" s="275">
        <f ca="1">(N546+P546)*IF(OR(AND(C546=ÉV!$I$2,D546&gt;ÉV!$J$2),C546&gt;ÉV!$I$2),0,1)</f>
        <v>0</v>
      </c>
      <c r="R546" s="271">
        <f ca="1">(MAX(0,F546-E546-0.003)*0.9*((K546+I546)*(1/12)))*IF(OR(C546&gt;ÉV!$I$2,AND(C546=ÉV!$I$2,D546&gt;ÉV!$J$2)),0,1)</f>
        <v>0</v>
      </c>
      <c r="S546" s="271">
        <f ca="1">(MAX(0,F546-0.003)*0.9*((O546)*(1/12)))*IF(OR(C546&gt;ÉV!$I$2,AND(C546=ÉV!$I$2,D546&gt;ÉV!$J$2)),0,1)</f>
        <v>0</v>
      </c>
      <c r="T546" s="271">
        <f ca="1">(MAX(0,F546-0.003)*0.9*((Q545)*(1/12)))*IF(OR(C546&gt;ÉV!$I$2,AND(C546=ÉV!$I$2,D546&gt;ÉV!$J$2)),0,1)</f>
        <v>0</v>
      </c>
      <c r="U546" s="271">
        <f ca="1">IF($D546=1,R546,R546+U545)*IF(OR(C546&gt;ÉV!$I$2,AND(C546=ÉV!$I$2,D546&gt;ÉV!$J$2)),0,1)</f>
        <v>0</v>
      </c>
      <c r="V546" s="271">
        <f ca="1">IF($D546=1,S546,S546+V545)*IF(OR(C546&gt;ÉV!$I$2,AND(C546=ÉV!$I$2,D546&gt;ÉV!$J$2)),0,1)</f>
        <v>0</v>
      </c>
      <c r="W546" s="271">
        <f ca="1">IF($D546=1,T546,T546+W545)*IF(OR(C546&gt;ÉV!$I$2,AND(C546=ÉV!$I$2,D546&gt;ÉV!$J$2)),0,1)</f>
        <v>0</v>
      </c>
      <c r="X546" s="271">
        <f ca="1">IF(OR(D546=12,AND(C546=ÉV!$I$2,D546=ÉV!$J$2)),SUM(U546:W546)+X545,X545)*IF(OR(C546&gt;ÉV!$I$2,AND(C546=ÉV!$I$2,D546&gt;ÉV!$J$2)),0,1)</f>
        <v>0</v>
      </c>
      <c r="Y546" s="271">
        <f t="shared" ca="1" si="92"/>
        <v>0</v>
      </c>
      <c r="Z546" s="265">
        <f t="shared" si="93"/>
        <v>4</v>
      </c>
      <c r="AA546" s="272">
        <f t="shared" ca="1" si="94"/>
        <v>0</v>
      </c>
      <c r="AB546" s="265">
        <f t="shared" ca="1" si="98"/>
        <v>2062</v>
      </c>
      <c r="AC546" s="265">
        <f t="shared" ca="1" si="99"/>
        <v>7</v>
      </c>
      <c r="AD546" s="276">
        <f ca="1">IF(     OR(               AND(MAX(AF$6:AF546)&lt;2,  AC546=12),                 AF546=2),                   SUMIF(AB:AB,AB546,AA:AA),                       0)</f>
        <v>0</v>
      </c>
      <c r="AE546" s="277">
        <f t="shared" ca="1" si="100"/>
        <v>0</v>
      </c>
      <c r="AF546" s="277">
        <f t="shared" ca="1" si="95"/>
        <v>0</v>
      </c>
      <c r="AG546" s="402">
        <f ca="1">IF(  AND(AC546=AdóHó,   MAX(AF$1:AF545)&lt;2),   SUMIF(AB:AB,AB546-1,AE:AE),0  )
+ IF(AND(AC546&lt;AdóHó,                            AF546=2),   SUMIF(AB:AB,AB546-1,AE:AE),0  )
+ IF(                                                                  AF546=2,    SUMIF(AB:AB,AB546,AE:AE   ),0  )</f>
        <v>0</v>
      </c>
      <c r="AH546" s="272">
        <f ca="1">SUM(AG$2:AG546)</f>
        <v>1139324.2410681627</v>
      </c>
    </row>
    <row r="547" spans="1:34">
      <c r="A547" s="265">
        <f t="shared" si="90"/>
        <v>46</v>
      </c>
      <c r="B547" s="265">
        <f t="shared" si="91"/>
        <v>5</v>
      </c>
      <c r="C547" s="265">
        <f t="shared" ca="1" si="96"/>
        <v>46</v>
      </c>
      <c r="D547" s="265">
        <f t="shared" ca="1" si="97"/>
        <v>8</v>
      </c>
      <c r="E547" s="266">
        <v>5.0000000000000001E-3</v>
      </c>
      <c r="F547" s="267">
        <f>ÉV!$B$12</f>
        <v>0</v>
      </c>
      <c r="G547" s="271">
        <f ca="1">VLOOKUP(A547,ÉV!$A$18:$B$65,2,0)</f>
        <v>0</v>
      </c>
      <c r="H547" s="271">
        <f ca="1">IF(OR(A547=1,AND(C547=ÉV!$I$2,D547&gt;ÉV!$J$2),C547&gt;ÉV!$I$2),0,INDEX(Pz!$B$2:$AM$48,A547-1,ÉV!$G$2-9)/100000*ÉV!$B$10)</f>
        <v>0</v>
      </c>
      <c r="I547" s="271">
        <f ca="1">INDEX(Pz!$B$2:$AM$48,HÓ!A547,ÉV!$G$2-9)/100000*ÉV!$B$10</f>
        <v>0</v>
      </c>
      <c r="J547" s="273">
        <f ca="1">IF(OR(A547=1,A547=2,AND(C547=ÉV!$I$2,D547&gt;ÉV!$J$2),C547&gt;ÉV!$I$2),0,VLOOKUP(A547-2,ÉV!$A$18:$C$65,3,0))</f>
        <v>0</v>
      </c>
      <c r="K547" s="273">
        <f ca="1">IF(OR(A547=1,AND(C547=ÉV!$I$2,D547&gt;ÉV!$J$2),C547&gt;ÉV!$I$2),0,VLOOKUP(A547-1,ÉV!$A$18:$C$65,3,0))</f>
        <v>0</v>
      </c>
      <c r="L547" s="273">
        <f ca="1">VLOOKUP(A547,ÉV!$A$18:$C$65,3,0)*IF(OR(AND(C547=ÉV!$I$2,D547&gt;ÉV!$J$2),C547&gt;ÉV!$I$2),0,1)</f>
        <v>0</v>
      </c>
      <c r="M547" s="273">
        <f ca="1">(K547*(12-B547)/12+L547*B547/12)*IF(A547&gt;ÉV!$G$2,0,1)+IF(A547&gt;ÉV!$G$2,M546,0)*IF(OR(AND(C547=ÉV!$I$2,D547&gt;ÉV!$J$2),C547&gt;ÉV!$I$2),0,1)</f>
        <v>0</v>
      </c>
      <c r="N547" s="274">
        <f ca="1">IF(AND(C547=1,D547&lt;12),0,1)*IF(D547=12,MAX(0,F547-E547-0.003)*0.9*((K547+I547)*(B547/12)+(J547+H547)*(1-B547/12))+MAX(0,F547-0.003)*0.9*N546+N546,IF(AND(C547=ÉV!$I$2,D547=ÉV!$J$2),(M547+N546)*MAX(0,F547-0.003)*0.9*(D547/12)+N546,N546))*IF(OR(C547&gt;ÉV!$I$2,AND(C547=ÉV!$I$2,D547&gt;ÉV!$J$2)),0,1)</f>
        <v>0</v>
      </c>
      <c r="O547" s="313">
        <f ca="1">IF(MAX(AF$2:AF546)=2,      0,IF(OR(AC547=7, AF547=2),    SUM(AE$2:AE547),    O546)   )</f>
        <v>0</v>
      </c>
      <c r="P547" s="271">
        <f ca="1">IF(D547=12,V547+P546+P546*(F547-0.003)*0.9,IF(AND(C547=ÉV!$I$2,D547=ÉV!$J$2),V547+P546+P546*(F547-0.003)*0.9*D547/12,P546))*IF(OR(C547&gt;ÉV!$I$2,AND(C547=ÉV!$I$2,D547&gt;ÉV!$J$2)),0,1)</f>
        <v>0</v>
      </c>
      <c r="Q547" s="275">
        <f ca="1">(N547+P547)*IF(OR(AND(C547=ÉV!$I$2,D547&gt;ÉV!$J$2),C547&gt;ÉV!$I$2),0,1)</f>
        <v>0</v>
      </c>
      <c r="R547" s="271">
        <f ca="1">(MAX(0,F547-E547-0.003)*0.9*((K547+I547)*(1/12)))*IF(OR(C547&gt;ÉV!$I$2,AND(C547=ÉV!$I$2,D547&gt;ÉV!$J$2)),0,1)</f>
        <v>0</v>
      </c>
      <c r="S547" s="271">
        <f ca="1">(MAX(0,F547-0.003)*0.9*((O547)*(1/12)))*IF(OR(C547&gt;ÉV!$I$2,AND(C547=ÉV!$I$2,D547&gt;ÉV!$J$2)),0,1)</f>
        <v>0</v>
      </c>
      <c r="T547" s="271">
        <f ca="1">(MAX(0,F547-0.003)*0.9*((Q546)*(1/12)))*IF(OR(C547&gt;ÉV!$I$2,AND(C547=ÉV!$I$2,D547&gt;ÉV!$J$2)),0,1)</f>
        <v>0</v>
      </c>
      <c r="U547" s="271">
        <f ca="1">IF($D547=1,R547,R547+U546)*IF(OR(C547&gt;ÉV!$I$2,AND(C547=ÉV!$I$2,D547&gt;ÉV!$J$2)),0,1)</f>
        <v>0</v>
      </c>
      <c r="V547" s="271">
        <f ca="1">IF($D547=1,S547,S547+V546)*IF(OR(C547&gt;ÉV!$I$2,AND(C547=ÉV!$I$2,D547&gt;ÉV!$J$2)),0,1)</f>
        <v>0</v>
      </c>
      <c r="W547" s="271">
        <f ca="1">IF($D547=1,T547,T547+W546)*IF(OR(C547&gt;ÉV!$I$2,AND(C547=ÉV!$I$2,D547&gt;ÉV!$J$2)),0,1)</f>
        <v>0</v>
      </c>
      <c r="X547" s="271">
        <f ca="1">IF(OR(D547=12,AND(C547=ÉV!$I$2,D547=ÉV!$J$2)),SUM(U547:W547)+X546,X546)*IF(OR(C547&gt;ÉV!$I$2,AND(C547=ÉV!$I$2,D547&gt;ÉV!$J$2)),0,1)</f>
        <v>0</v>
      </c>
      <c r="Y547" s="271">
        <f t="shared" ca="1" si="92"/>
        <v>0</v>
      </c>
      <c r="Z547" s="265">
        <f t="shared" si="93"/>
        <v>5</v>
      </c>
      <c r="AA547" s="272">
        <f t="shared" ca="1" si="94"/>
        <v>0</v>
      </c>
      <c r="AB547" s="265">
        <f t="shared" ca="1" si="98"/>
        <v>2062</v>
      </c>
      <c r="AC547" s="265">
        <f t="shared" ca="1" si="99"/>
        <v>8</v>
      </c>
      <c r="AD547" s="276">
        <f ca="1">IF(     OR(               AND(MAX(AF$6:AF547)&lt;2,  AC547=12),                 AF547=2),                   SUMIF(AB:AB,AB547,AA:AA),                       0)</f>
        <v>0</v>
      </c>
      <c r="AE547" s="277">
        <f t="shared" ca="1" si="100"/>
        <v>0</v>
      </c>
      <c r="AF547" s="277">
        <f t="shared" ca="1" si="95"/>
        <v>0</v>
      </c>
      <c r="AG547" s="402">
        <f ca="1">IF(  AND(AC547=AdóHó,   MAX(AF$1:AF546)&lt;2),   SUMIF(AB:AB,AB547-1,AE:AE),0  )
+ IF(AND(AC547&lt;AdóHó,                            AF547=2),   SUMIF(AB:AB,AB547-1,AE:AE),0  )
+ IF(                                                                  AF547=2,    SUMIF(AB:AB,AB547,AE:AE   ),0  )</f>
        <v>0</v>
      </c>
      <c r="AH547" s="272">
        <f ca="1">SUM(AG$2:AG547)</f>
        <v>1139324.2410681627</v>
      </c>
    </row>
    <row r="548" spans="1:34">
      <c r="A548" s="265">
        <f t="shared" si="90"/>
        <v>46</v>
      </c>
      <c r="B548" s="265">
        <f t="shared" si="91"/>
        <v>6</v>
      </c>
      <c r="C548" s="265">
        <f t="shared" ca="1" si="96"/>
        <v>46</v>
      </c>
      <c r="D548" s="265">
        <f t="shared" ca="1" si="97"/>
        <v>9</v>
      </c>
      <c r="E548" s="266">
        <v>5.0000000000000001E-3</v>
      </c>
      <c r="F548" s="267">
        <f>ÉV!$B$12</f>
        <v>0</v>
      </c>
      <c r="G548" s="271">
        <f ca="1">VLOOKUP(A548,ÉV!$A$18:$B$65,2,0)</f>
        <v>0</v>
      </c>
      <c r="H548" s="271">
        <f ca="1">IF(OR(A548=1,AND(C548=ÉV!$I$2,D548&gt;ÉV!$J$2),C548&gt;ÉV!$I$2),0,INDEX(Pz!$B$2:$AM$48,A548-1,ÉV!$G$2-9)/100000*ÉV!$B$10)</f>
        <v>0</v>
      </c>
      <c r="I548" s="271">
        <f ca="1">INDEX(Pz!$B$2:$AM$48,HÓ!A548,ÉV!$G$2-9)/100000*ÉV!$B$10</f>
        <v>0</v>
      </c>
      <c r="J548" s="273">
        <f ca="1">IF(OR(A548=1,A548=2,AND(C548=ÉV!$I$2,D548&gt;ÉV!$J$2),C548&gt;ÉV!$I$2),0,VLOOKUP(A548-2,ÉV!$A$18:$C$65,3,0))</f>
        <v>0</v>
      </c>
      <c r="K548" s="273">
        <f ca="1">IF(OR(A548=1,AND(C548=ÉV!$I$2,D548&gt;ÉV!$J$2),C548&gt;ÉV!$I$2),0,VLOOKUP(A548-1,ÉV!$A$18:$C$65,3,0))</f>
        <v>0</v>
      </c>
      <c r="L548" s="273">
        <f ca="1">VLOOKUP(A548,ÉV!$A$18:$C$65,3,0)*IF(OR(AND(C548=ÉV!$I$2,D548&gt;ÉV!$J$2),C548&gt;ÉV!$I$2),0,1)</f>
        <v>0</v>
      </c>
      <c r="M548" s="273">
        <f ca="1">(K548*(12-B548)/12+L548*B548/12)*IF(A548&gt;ÉV!$G$2,0,1)+IF(A548&gt;ÉV!$G$2,M547,0)*IF(OR(AND(C548=ÉV!$I$2,D548&gt;ÉV!$J$2),C548&gt;ÉV!$I$2),0,1)</f>
        <v>0</v>
      </c>
      <c r="N548" s="274">
        <f ca="1">IF(AND(C548=1,D548&lt;12),0,1)*IF(D548=12,MAX(0,F548-E548-0.003)*0.9*((K548+I548)*(B548/12)+(J548+H548)*(1-B548/12))+MAX(0,F548-0.003)*0.9*N547+N547,IF(AND(C548=ÉV!$I$2,D548=ÉV!$J$2),(M548+N547)*MAX(0,F548-0.003)*0.9*(D548/12)+N547,N547))*IF(OR(C548&gt;ÉV!$I$2,AND(C548=ÉV!$I$2,D548&gt;ÉV!$J$2)),0,1)</f>
        <v>0</v>
      </c>
      <c r="O548" s="313">
        <f ca="1">IF(MAX(AF$2:AF547)=2,      0,IF(OR(AC548=7, AF548=2),    SUM(AE$2:AE548),    O547)   )</f>
        <v>0</v>
      </c>
      <c r="P548" s="271">
        <f ca="1">IF(D548=12,V548+P547+P547*(F548-0.003)*0.9,IF(AND(C548=ÉV!$I$2,D548=ÉV!$J$2),V548+P547+P547*(F548-0.003)*0.9*D548/12,P547))*IF(OR(C548&gt;ÉV!$I$2,AND(C548=ÉV!$I$2,D548&gt;ÉV!$J$2)),0,1)</f>
        <v>0</v>
      </c>
      <c r="Q548" s="275">
        <f ca="1">(N548+P548)*IF(OR(AND(C548=ÉV!$I$2,D548&gt;ÉV!$J$2),C548&gt;ÉV!$I$2),0,1)</f>
        <v>0</v>
      </c>
      <c r="R548" s="271">
        <f ca="1">(MAX(0,F548-E548-0.003)*0.9*((K548+I548)*(1/12)))*IF(OR(C548&gt;ÉV!$I$2,AND(C548=ÉV!$I$2,D548&gt;ÉV!$J$2)),0,1)</f>
        <v>0</v>
      </c>
      <c r="S548" s="271">
        <f ca="1">(MAX(0,F548-0.003)*0.9*((O548)*(1/12)))*IF(OR(C548&gt;ÉV!$I$2,AND(C548=ÉV!$I$2,D548&gt;ÉV!$J$2)),0,1)</f>
        <v>0</v>
      </c>
      <c r="T548" s="271">
        <f ca="1">(MAX(0,F548-0.003)*0.9*((Q547)*(1/12)))*IF(OR(C548&gt;ÉV!$I$2,AND(C548=ÉV!$I$2,D548&gt;ÉV!$J$2)),0,1)</f>
        <v>0</v>
      </c>
      <c r="U548" s="271">
        <f ca="1">IF($D548=1,R548,R548+U547)*IF(OR(C548&gt;ÉV!$I$2,AND(C548=ÉV!$I$2,D548&gt;ÉV!$J$2)),0,1)</f>
        <v>0</v>
      </c>
      <c r="V548" s="271">
        <f ca="1">IF($D548=1,S548,S548+V547)*IF(OR(C548&gt;ÉV!$I$2,AND(C548=ÉV!$I$2,D548&gt;ÉV!$J$2)),0,1)</f>
        <v>0</v>
      </c>
      <c r="W548" s="271">
        <f ca="1">IF($D548=1,T548,T548+W547)*IF(OR(C548&gt;ÉV!$I$2,AND(C548=ÉV!$I$2,D548&gt;ÉV!$J$2)),0,1)</f>
        <v>0</v>
      </c>
      <c r="X548" s="271">
        <f ca="1">IF(OR(D548=12,AND(C548=ÉV!$I$2,D548=ÉV!$J$2)),SUM(U548:W548)+X547,X547)*IF(OR(C548&gt;ÉV!$I$2,AND(C548=ÉV!$I$2,D548&gt;ÉV!$J$2)),0,1)</f>
        <v>0</v>
      </c>
      <c r="Y548" s="271">
        <f t="shared" ca="1" si="92"/>
        <v>0</v>
      </c>
      <c r="Z548" s="265">
        <f t="shared" si="93"/>
        <v>6</v>
      </c>
      <c r="AA548" s="272">
        <f t="shared" ca="1" si="94"/>
        <v>0</v>
      </c>
      <c r="AB548" s="265">
        <f t="shared" ca="1" si="98"/>
        <v>2062</v>
      </c>
      <c r="AC548" s="265">
        <f t="shared" ca="1" si="99"/>
        <v>9</v>
      </c>
      <c r="AD548" s="276">
        <f ca="1">IF(     OR(               AND(MAX(AF$6:AF548)&lt;2,  AC548=12),                 AF548=2),                   SUMIF(AB:AB,AB548,AA:AA),                       0)</f>
        <v>0</v>
      </c>
      <c r="AE548" s="277">
        <f t="shared" ca="1" si="100"/>
        <v>0</v>
      </c>
      <c r="AF548" s="277">
        <f t="shared" ca="1" si="95"/>
        <v>0</v>
      </c>
      <c r="AG548" s="402">
        <f ca="1">IF(  AND(AC548=AdóHó,   MAX(AF$1:AF547)&lt;2),   SUMIF(AB:AB,AB548-1,AE:AE),0  )
+ IF(AND(AC548&lt;AdóHó,                            AF548=2),   SUMIF(AB:AB,AB548-1,AE:AE),0  )
+ IF(                                                                  AF548=2,    SUMIF(AB:AB,AB548,AE:AE   ),0  )</f>
        <v>0</v>
      </c>
      <c r="AH548" s="272">
        <f ca="1">SUM(AG$2:AG548)</f>
        <v>1139324.2410681627</v>
      </c>
    </row>
    <row r="549" spans="1:34">
      <c r="A549" s="265">
        <f t="shared" ref="A549:A578" si="101">IF(B548=12,A548+1,A548)</f>
        <v>46</v>
      </c>
      <c r="B549" s="265">
        <f t="shared" ref="B549:B578" si="102">IF(B548=12,1,B548+1)</f>
        <v>7</v>
      </c>
      <c r="C549" s="265">
        <f t="shared" ca="1" si="96"/>
        <v>46</v>
      </c>
      <c r="D549" s="265">
        <f t="shared" ca="1" si="97"/>
        <v>10</v>
      </c>
      <c r="E549" s="266">
        <v>5.0000000000000001E-3</v>
      </c>
      <c r="F549" s="267">
        <f>ÉV!$B$12</f>
        <v>0</v>
      </c>
      <c r="G549" s="271">
        <f ca="1">VLOOKUP(A549,ÉV!$A$18:$B$65,2,0)</f>
        <v>0</v>
      </c>
      <c r="H549" s="271">
        <f ca="1">IF(OR(A549=1,AND(C549=ÉV!$I$2,D549&gt;ÉV!$J$2),C549&gt;ÉV!$I$2),0,INDEX(Pz!$B$2:$AM$48,A549-1,ÉV!$G$2-9)/100000*ÉV!$B$10)</f>
        <v>0</v>
      </c>
      <c r="I549" s="271">
        <f ca="1">INDEX(Pz!$B$2:$AM$48,HÓ!A549,ÉV!$G$2-9)/100000*ÉV!$B$10</f>
        <v>0</v>
      </c>
      <c r="J549" s="273">
        <f ca="1">IF(OR(A549=1,A549=2,AND(C549=ÉV!$I$2,D549&gt;ÉV!$J$2),C549&gt;ÉV!$I$2),0,VLOOKUP(A549-2,ÉV!$A$18:$C$65,3,0))</f>
        <v>0</v>
      </c>
      <c r="K549" s="273">
        <f ca="1">IF(OR(A549=1,AND(C549=ÉV!$I$2,D549&gt;ÉV!$J$2),C549&gt;ÉV!$I$2),0,VLOOKUP(A549-1,ÉV!$A$18:$C$65,3,0))</f>
        <v>0</v>
      </c>
      <c r="L549" s="273">
        <f ca="1">VLOOKUP(A549,ÉV!$A$18:$C$65,3,0)*IF(OR(AND(C549=ÉV!$I$2,D549&gt;ÉV!$J$2),C549&gt;ÉV!$I$2),0,1)</f>
        <v>0</v>
      </c>
      <c r="M549" s="273">
        <f ca="1">(K549*(12-B549)/12+L549*B549/12)*IF(A549&gt;ÉV!$G$2,0,1)+IF(A549&gt;ÉV!$G$2,M548,0)*IF(OR(AND(C549=ÉV!$I$2,D549&gt;ÉV!$J$2),C549&gt;ÉV!$I$2),0,1)</f>
        <v>0</v>
      </c>
      <c r="N549" s="274">
        <f ca="1">IF(AND(C549=1,D549&lt;12),0,1)*IF(D549=12,MAX(0,F549-E549-0.003)*0.9*((K549+I549)*(B549/12)+(J549+H549)*(1-B549/12))+MAX(0,F549-0.003)*0.9*N548+N548,IF(AND(C549=ÉV!$I$2,D549=ÉV!$J$2),(M549+N548)*MAX(0,F549-0.003)*0.9*(D549/12)+N548,N548))*IF(OR(C549&gt;ÉV!$I$2,AND(C549=ÉV!$I$2,D549&gt;ÉV!$J$2)),0,1)</f>
        <v>0</v>
      </c>
      <c r="O549" s="313">
        <f ca="1">IF(MAX(AF$2:AF548)=2,      0,IF(OR(AC549=7, AF549=2),    SUM(AE$2:AE549),    O548)   )</f>
        <v>0</v>
      </c>
      <c r="P549" s="271">
        <f ca="1">IF(D549=12,V549+P548+P548*(F549-0.003)*0.9,IF(AND(C549=ÉV!$I$2,D549=ÉV!$J$2),V549+P548+P548*(F549-0.003)*0.9*D549/12,P548))*IF(OR(C549&gt;ÉV!$I$2,AND(C549=ÉV!$I$2,D549&gt;ÉV!$J$2)),0,1)</f>
        <v>0</v>
      </c>
      <c r="Q549" s="275">
        <f ca="1">(N549+P549)*IF(OR(AND(C549=ÉV!$I$2,D549&gt;ÉV!$J$2),C549&gt;ÉV!$I$2),0,1)</f>
        <v>0</v>
      </c>
      <c r="R549" s="271">
        <f ca="1">(MAX(0,F549-E549-0.003)*0.9*((K549+I549)*(1/12)))*IF(OR(C549&gt;ÉV!$I$2,AND(C549=ÉV!$I$2,D549&gt;ÉV!$J$2)),0,1)</f>
        <v>0</v>
      </c>
      <c r="S549" s="271">
        <f ca="1">(MAX(0,F549-0.003)*0.9*((O549)*(1/12)))*IF(OR(C549&gt;ÉV!$I$2,AND(C549=ÉV!$I$2,D549&gt;ÉV!$J$2)),0,1)</f>
        <v>0</v>
      </c>
      <c r="T549" s="271">
        <f ca="1">(MAX(0,F549-0.003)*0.9*((Q548)*(1/12)))*IF(OR(C549&gt;ÉV!$I$2,AND(C549=ÉV!$I$2,D549&gt;ÉV!$J$2)),0,1)</f>
        <v>0</v>
      </c>
      <c r="U549" s="271">
        <f ca="1">IF($D549=1,R549,R549+U548)*IF(OR(C549&gt;ÉV!$I$2,AND(C549=ÉV!$I$2,D549&gt;ÉV!$J$2)),0,1)</f>
        <v>0</v>
      </c>
      <c r="V549" s="271">
        <f ca="1">IF($D549=1,S549,S549+V548)*IF(OR(C549&gt;ÉV!$I$2,AND(C549=ÉV!$I$2,D549&gt;ÉV!$J$2)),0,1)</f>
        <v>0</v>
      </c>
      <c r="W549" s="271">
        <f ca="1">IF($D549=1,T549,T549+W548)*IF(OR(C549&gt;ÉV!$I$2,AND(C549=ÉV!$I$2,D549&gt;ÉV!$J$2)),0,1)</f>
        <v>0</v>
      </c>
      <c r="X549" s="271">
        <f ca="1">IF(OR(D549=12,AND(C549=ÉV!$I$2,D549=ÉV!$J$2)),SUM(U549:W549)+X548,X548)*IF(OR(C549&gt;ÉV!$I$2,AND(C549=ÉV!$I$2,D549&gt;ÉV!$J$2)),0,1)</f>
        <v>0</v>
      </c>
      <c r="Y549" s="271">
        <f t="shared" ca="1" si="92"/>
        <v>0</v>
      </c>
      <c r="Z549" s="265">
        <f t="shared" si="93"/>
        <v>7</v>
      </c>
      <c r="AA549" s="272">
        <f t="shared" ca="1" si="94"/>
        <v>0</v>
      </c>
      <c r="AB549" s="265">
        <f t="shared" ca="1" si="98"/>
        <v>2062</v>
      </c>
      <c r="AC549" s="265">
        <f t="shared" ca="1" si="99"/>
        <v>10</v>
      </c>
      <c r="AD549" s="276">
        <f ca="1">IF(     OR(               AND(MAX(AF$6:AF549)&lt;2,  AC549=12),                 AF549=2),                   SUMIF(AB:AB,AB549,AA:AA),                       0)</f>
        <v>0</v>
      </c>
      <c r="AE549" s="277">
        <f t="shared" ca="1" si="100"/>
        <v>0</v>
      </c>
      <c r="AF549" s="277">
        <f t="shared" ca="1" si="95"/>
        <v>0</v>
      </c>
      <c r="AG549" s="402">
        <f ca="1">IF(  AND(AC549=AdóHó,   MAX(AF$1:AF548)&lt;2),   SUMIF(AB:AB,AB549-1,AE:AE),0  )
+ IF(AND(AC549&lt;AdóHó,                            AF549=2),   SUMIF(AB:AB,AB549-1,AE:AE),0  )
+ IF(                                                                  AF549=2,    SUMIF(AB:AB,AB549,AE:AE   ),0  )</f>
        <v>0</v>
      </c>
      <c r="AH549" s="272">
        <f ca="1">SUM(AG$2:AG549)</f>
        <v>1139324.2410681627</v>
      </c>
    </row>
    <row r="550" spans="1:34">
      <c r="A550" s="265">
        <f t="shared" si="101"/>
        <v>46</v>
      </c>
      <c r="B550" s="265">
        <f t="shared" si="102"/>
        <v>8</v>
      </c>
      <c r="C550" s="265">
        <f t="shared" ca="1" si="96"/>
        <v>46</v>
      </c>
      <c r="D550" s="265">
        <f t="shared" ca="1" si="97"/>
        <v>11</v>
      </c>
      <c r="E550" s="266">
        <v>5.0000000000000001E-3</v>
      </c>
      <c r="F550" s="267">
        <f>ÉV!$B$12</f>
        <v>0</v>
      </c>
      <c r="G550" s="271">
        <f ca="1">VLOOKUP(A550,ÉV!$A$18:$B$65,2,0)</f>
        <v>0</v>
      </c>
      <c r="H550" s="271">
        <f ca="1">IF(OR(A550=1,AND(C550=ÉV!$I$2,D550&gt;ÉV!$J$2),C550&gt;ÉV!$I$2),0,INDEX(Pz!$B$2:$AM$48,A550-1,ÉV!$G$2-9)/100000*ÉV!$B$10)</f>
        <v>0</v>
      </c>
      <c r="I550" s="271">
        <f ca="1">INDEX(Pz!$B$2:$AM$48,HÓ!A550,ÉV!$G$2-9)/100000*ÉV!$B$10</f>
        <v>0</v>
      </c>
      <c r="J550" s="273">
        <f ca="1">IF(OR(A550=1,A550=2,AND(C550=ÉV!$I$2,D550&gt;ÉV!$J$2),C550&gt;ÉV!$I$2),0,VLOOKUP(A550-2,ÉV!$A$18:$C$65,3,0))</f>
        <v>0</v>
      </c>
      <c r="K550" s="273">
        <f ca="1">IF(OR(A550=1,AND(C550=ÉV!$I$2,D550&gt;ÉV!$J$2),C550&gt;ÉV!$I$2),0,VLOOKUP(A550-1,ÉV!$A$18:$C$65,3,0))</f>
        <v>0</v>
      </c>
      <c r="L550" s="273">
        <f ca="1">VLOOKUP(A550,ÉV!$A$18:$C$65,3,0)*IF(OR(AND(C550=ÉV!$I$2,D550&gt;ÉV!$J$2),C550&gt;ÉV!$I$2),0,1)</f>
        <v>0</v>
      </c>
      <c r="M550" s="273">
        <f ca="1">(K550*(12-B550)/12+L550*B550/12)*IF(A550&gt;ÉV!$G$2,0,1)+IF(A550&gt;ÉV!$G$2,M549,0)*IF(OR(AND(C550=ÉV!$I$2,D550&gt;ÉV!$J$2),C550&gt;ÉV!$I$2),0,1)</f>
        <v>0</v>
      </c>
      <c r="N550" s="274">
        <f ca="1">IF(AND(C550=1,D550&lt;12),0,1)*IF(D550=12,MAX(0,F550-E550-0.003)*0.9*((K550+I550)*(B550/12)+(J550+H550)*(1-B550/12))+MAX(0,F550-0.003)*0.9*N549+N549,IF(AND(C550=ÉV!$I$2,D550=ÉV!$J$2),(M550+N549)*MAX(0,F550-0.003)*0.9*(D550/12)+N549,N549))*IF(OR(C550&gt;ÉV!$I$2,AND(C550=ÉV!$I$2,D550&gt;ÉV!$J$2)),0,1)</f>
        <v>0</v>
      </c>
      <c r="O550" s="313">
        <f ca="1">IF(MAX(AF$2:AF549)=2,      0,IF(OR(AC550=7, AF550=2),    SUM(AE$2:AE550),    O549)   )</f>
        <v>0</v>
      </c>
      <c r="P550" s="271">
        <f ca="1">IF(D550=12,V550+P549+P549*(F550-0.003)*0.9,IF(AND(C550=ÉV!$I$2,D550=ÉV!$J$2),V550+P549+P549*(F550-0.003)*0.9*D550/12,P549))*IF(OR(C550&gt;ÉV!$I$2,AND(C550=ÉV!$I$2,D550&gt;ÉV!$J$2)),0,1)</f>
        <v>0</v>
      </c>
      <c r="Q550" s="275">
        <f ca="1">(N550+P550)*IF(OR(AND(C550=ÉV!$I$2,D550&gt;ÉV!$J$2),C550&gt;ÉV!$I$2),0,1)</f>
        <v>0</v>
      </c>
      <c r="R550" s="271">
        <f ca="1">(MAX(0,F550-E550-0.003)*0.9*((K550+I550)*(1/12)))*IF(OR(C550&gt;ÉV!$I$2,AND(C550=ÉV!$I$2,D550&gt;ÉV!$J$2)),0,1)</f>
        <v>0</v>
      </c>
      <c r="S550" s="271">
        <f ca="1">(MAX(0,F550-0.003)*0.9*((O550)*(1/12)))*IF(OR(C550&gt;ÉV!$I$2,AND(C550=ÉV!$I$2,D550&gt;ÉV!$J$2)),0,1)</f>
        <v>0</v>
      </c>
      <c r="T550" s="271">
        <f ca="1">(MAX(0,F550-0.003)*0.9*((Q549)*(1/12)))*IF(OR(C550&gt;ÉV!$I$2,AND(C550=ÉV!$I$2,D550&gt;ÉV!$J$2)),0,1)</f>
        <v>0</v>
      </c>
      <c r="U550" s="271">
        <f ca="1">IF($D550=1,R550,R550+U549)*IF(OR(C550&gt;ÉV!$I$2,AND(C550=ÉV!$I$2,D550&gt;ÉV!$J$2)),0,1)</f>
        <v>0</v>
      </c>
      <c r="V550" s="271">
        <f ca="1">IF($D550=1,S550,S550+V549)*IF(OR(C550&gt;ÉV!$I$2,AND(C550=ÉV!$I$2,D550&gt;ÉV!$J$2)),0,1)</f>
        <v>0</v>
      </c>
      <c r="W550" s="271">
        <f ca="1">IF($D550=1,T550,T550+W549)*IF(OR(C550&gt;ÉV!$I$2,AND(C550=ÉV!$I$2,D550&gt;ÉV!$J$2)),0,1)</f>
        <v>0</v>
      </c>
      <c r="X550" s="271">
        <f ca="1">IF(OR(D550=12,AND(C550=ÉV!$I$2,D550=ÉV!$J$2)),SUM(U550:W550)+X549,X549)*IF(OR(C550&gt;ÉV!$I$2,AND(C550=ÉV!$I$2,D550&gt;ÉV!$J$2)),0,1)</f>
        <v>0</v>
      </c>
      <c r="Y550" s="271">
        <f t="shared" ca="1" si="92"/>
        <v>0</v>
      </c>
      <c r="Z550" s="265">
        <f t="shared" si="93"/>
        <v>8</v>
      </c>
      <c r="AA550" s="272">
        <f t="shared" ca="1" si="94"/>
        <v>0</v>
      </c>
      <c r="AB550" s="265">
        <f t="shared" ca="1" si="98"/>
        <v>2062</v>
      </c>
      <c r="AC550" s="265">
        <f t="shared" ca="1" si="99"/>
        <v>11</v>
      </c>
      <c r="AD550" s="276">
        <f ca="1">IF(     OR(               AND(MAX(AF$6:AF550)&lt;2,  AC550=12),                 AF550=2),                   SUMIF(AB:AB,AB550,AA:AA),                       0)</f>
        <v>0</v>
      </c>
      <c r="AE550" s="277">
        <f t="shared" ca="1" si="100"/>
        <v>0</v>
      </c>
      <c r="AF550" s="277">
        <f t="shared" ca="1" si="95"/>
        <v>0</v>
      </c>
      <c r="AG550" s="402">
        <f ca="1">IF(  AND(AC550=AdóHó,   MAX(AF$1:AF549)&lt;2),   SUMIF(AB:AB,AB550-1,AE:AE),0  )
+ IF(AND(AC550&lt;AdóHó,                            AF550=2),   SUMIF(AB:AB,AB550-1,AE:AE),0  )
+ IF(                                                                  AF550=2,    SUMIF(AB:AB,AB550,AE:AE   ),0  )</f>
        <v>0</v>
      </c>
      <c r="AH550" s="272">
        <f ca="1">SUM(AG$2:AG550)</f>
        <v>1139324.2410681627</v>
      </c>
    </row>
    <row r="551" spans="1:34">
      <c r="A551" s="265">
        <f t="shared" si="101"/>
        <v>46</v>
      </c>
      <c r="B551" s="265">
        <f t="shared" si="102"/>
        <v>9</v>
      </c>
      <c r="C551" s="265">
        <f t="shared" ca="1" si="96"/>
        <v>46</v>
      </c>
      <c r="D551" s="265">
        <f t="shared" ca="1" si="97"/>
        <v>12</v>
      </c>
      <c r="E551" s="266">
        <v>5.0000000000000001E-3</v>
      </c>
      <c r="F551" s="267">
        <f>ÉV!$B$12</f>
        <v>0</v>
      </c>
      <c r="G551" s="271">
        <f ca="1">VLOOKUP(A551,ÉV!$A$18:$B$65,2,0)</f>
        <v>0</v>
      </c>
      <c r="H551" s="271">
        <f ca="1">IF(OR(A551=1,AND(C551=ÉV!$I$2,D551&gt;ÉV!$J$2),C551&gt;ÉV!$I$2),0,INDEX(Pz!$B$2:$AM$48,A551-1,ÉV!$G$2-9)/100000*ÉV!$B$10)</f>
        <v>0</v>
      </c>
      <c r="I551" s="271">
        <f ca="1">INDEX(Pz!$B$2:$AM$48,HÓ!A551,ÉV!$G$2-9)/100000*ÉV!$B$10</f>
        <v>0</v>
      </c>
      <c r="J551" s="273">
        <f ca="1">IF(OR(A551=1,A551=2,AND(C551=ÉV!$I$2,D551&gt;ÉV!$J$2),C551&gt;ÉV!$I$2),0,VLOOKUP(A551-2,ÉV!$A$18:$C$65,3,0))</f>
        <v>0</v>
      </c>
      <c r="K551" s="273">
        <f ca="1">IF(OR(A551=1,AND(C551=ÉV!$I$2,D551&gt;ÉV!$J$2),C551&gt;ÉV!$I$2),0,VLOOKUP(A551-1,ÉV!$A$18:$C$65,3,0))</f>
        <v>0</v>
      </c>
      <c r="L551" s="273">
        <f ca="1">VLOOKUP(A551,ÉV!$A$18:$C$65,3,0)*IF(OR(AND(C551=ÉV!$I$2,D551&gt;ÉV!$J$2),C551&gt;ÉV!$I$2),0,1)</f>
        <v>0</v>
      </c>
      <c r="M551" s="273">
        <f ca="1">(K551*(12-B551)/12+L551*B551/12)*IF(A551&gt;ÉV!$G$2,0,1)+IF(A551&gt;ÉV!$G$2,M550,0)*IF(OR(AND(C551=ÉV!$I$2,D551&gt;ÉV!$J$2),C551&gt;ÉV!$I$2),0,1)</f>
        <v>0</v>
      </c>
      <c r="N551" s="274">
        <f ca="1">IF(AND(C551=1,D551&lt;12),0,1)*IF(D551=12,MAX(0,F551-E551-0.003)*0.9*((K551+I551)*(B551/12)+(J551+H551)*(1-B551/12))+MAX(0,F551-0.003)*0.9*N550+N550,IF(AND(C551=ÉV!$I$2,D551=ÉV!$J$2),(M551+N550)*MAX(0,F551-0.003)*0.9*(D551/12)+N550,N550))*IF(OR(C551&gt;ÉV!$I$2,AND(C551=ÉV!$I$2,D551&gt;ÉV!$J$2)),0,1)</f>
        <v>0</v>
      </c>
      <c r="O551" s="313">
        <f ca="1">IF(MAX(AF$2:AF550)=2,      0,IF(OR(AC551=7, AF551=2),    SUM(AE$2:AE551),    O550)   )</f>
        <v>0</v>
      </c>
      <c r="P551" s="271">
        <f ca="1">IF(D551=12,V551+P550+P550*(F551-0.003)*0.9,IF(AND(C551=ÉV!$I$2,D551=ÉV!$J$2),V551+P550+P550*(F551-0.003)*0.9*D551/12,P550))*IF(OR(C551&gt;ÉV!$I$2,AND(C551=ÉV!$I$2,D551&gt;ÉV!$J$2)),0,1)</f>
        <v>0</v>
      </c>
      <c r="Q551" s="275">
        <f ca="1">(N551+P551)*IF(OR(AND(C551=ÉV!$I$2,D551&gt;ÉV!$J$2),C551&gt;ÉV!$I$2),0,1)</f>
        <v>0</v>
      </c>
      <c r="R551" s="271">
        <f ca="1">(MAX(0,F551-E551-0.003)*0.9*((K551+I551)*(1/12)))*IF(OR(C551&gt;ÉV!$I$2,AND(C551=ÉV!$I$2,D551&gt;ÉV!$J$2)),0,1)</f>
        <v>0</v>
      </c>
      <c r="S551" s="271">
        <f ca="1">(MAX(0,F551-0.003)*0.9*((O551)*(1/12)))*IF(OR(C551&gt;ÉV!$I$2,AND(C551=ÉV!$I$2,D551&gt;ÉV!$J$2)),0,1)</f>
        <v>0</v>
      </c>
      <c r="T551" s="271">
        <f ca="1">(MAX(0,F551-0.003)*0.9*((Q550)*(1/12)))*IF(OR(C551&gt;ÉV!$I$2,AND(C551=ÉV!$I$2,D551&gt;ÉV!$J$2)),0,1)</f>
        <v>0</v>
      </c>
      <c r="U551" s="271">
        <f ca="1">IF($D551=1,R551,R551+U550)*IF(OR(C551&gt;ÉV!$I$2,AND(C551=ÉV!$I$2,D551&gt;ÉV!$J$2)),0,1)</f>
        <v>0</v>
      </c>
      <c r="V551" s="271">
        <f ca="1">IF($D551=1,S551,S551+V550)*IF(OR(C551&gt;ÉV!$I$2,AND(C551=ÉV!$I$2,D551&gt;ÉV!$J$2)),0,1)</f>
        <v>0</v>
      </c>
      <c r="W551" s="271">
        <f ca="1">IF($D551=1,T551,T551+W550)*IF(OR(C551&gt;ÉV!$I$2,AND(C551=ÉV!$I$2,D551&gt;ÉV!$J$2)),0,1)</f>
        <v>0</v>
      </c>
      <c r="X551" s="271">
        <f ca="1">IF(OR(D551=12,AND(C551=ÉV!$I$2,D551=ÉV!$J$2)),SUM(U551:W551)+X550,X550)*IF(OR(C551&gt;ÉV!$I$2,AND(C551=ÉV!$I$2,D551&gt;ÉV!$J$2)),0,1)</f>
        <v>0</v>
      </c>
      <c r="Y551" s="271">
        <f t="shared" ca="1" si="92"/>
        <v>0</v>
      </c>
      <c r="Z551" s="265">
        <f t="shared" si="93"/>
        <v>9</v>
      </c>
      <c r="AA551" s="272">
        <f t="shared" ca="1" si="94"/>
        <v>0</v>
      </c>
      <c r="AB551" s="265">
        <f t="shared" ca="1" si="98"/>
        <v>2062</v>
      </c>
      <c r="AC551" s="265">
        <f t="shared" ca="1" si="99"/>
        <v>12</v>
      </c>
      <c r="AD551" s="276">
        <f ca="1">IF(     OR(               AND(MAX(AF$6:AF551)&lt;2,  AC551=12),                 AF551=2),                   SUMIF(AB:AB,AB551,AA:AA),                       0)</f>
        <v>0</v>
      </c>
      <c r="AE551" s="277">
        <f t="shared" ca="1" si="100"/>
        <v>0</v>
      </c>
      <c r="AF551" s="277">
        <f t="shared" ca="1" si="95"/>
        <v>0</v>
      </c>
      <c r="AG551" s="402">
        <f ca="1">IF(  AND(AC551=AdóHó,   MAX(AF$1:AF550)&lt;2),   SUMIF(AB:AB,AB551-1,AE:AE),0  )
+ IF(AND(AC551&lt;AdóHó,                            AF551=2),   SUMIF(AB:AB,AB551-1,AE:AE),0  )
+ IF(                                                                  AF551=2,    SUMIF(AB:AB,AB551,AE:AE   ),0  )</f>
        <v>0</v>
      </c>
      <c r="AH551" s="272">
        <f ca="1">SUM(AG$2:AG551)</f>
        <v>1139324.2410681627</v>
      </c>
    </row>
    <row r="552" spans="1:34">
      <c r="A552" s="265">
        <f t="shared" si="101"/>
        <v>46</v>
      </c>
      <c r="B552" s="265">
        <f t="shared" si="102"/>
        <v>10</v>
      </c>
      <c r="C552" s="265">
        <f t="shared" ca="1" si="96"/>
        <v>47</v>
      </c>
      <c r="D552" s="265">
        <f t="shared" ca="1" si="97"/>
        <v>1</v>
      </c>
      <c r="E552" s="266">
        <v>5.0000000000000001E-3</v>
      </c>
      <c r="F552" s="267">
        <f>ÉV!$B$12</f>
        <v>0</v>
      </c>
      <c r="G552" s="271">
        <f ca="1">VLOOKUP(A552,ÉV!$A$18:$B$65,2,0)</f>
        <v>0</v>
      </c>
      <c r="H552" s="271">
        <f ca="1">IF(OR(A552=1,AND(C552=ÉV!$I$2,D552&gt;ÉV!$J$2),C552&gt;ÉV!$I$2),0,INDEX(Pz!$B$2:$AM$48,A552-1,ÉV!$G$2-9)/100000*ÉV!$B$10)</f>
        <v>0</v>
      </c>
      <c r="I552" s="271">
        <f ca="1">INDEX(Pz!$B$2:$AM$48,HÓ!A552,ÉV!$G$2-9)/100000*ÉV!$B$10</f>
        <v>0</v>
      </c>
      <c r="J552" s="273">
        <f ca="1">IF(OR(A552=1,A552=2,AND(C552=ÉV!$I$2,D552&gt;ÉV!$J$2),C552&gt;ÉV!$I$2),0,VLOOKUP(A552-2,ÉV!$A$18:$C$65,3,0))</f>
        <v>0</v>
      </c>
      <c r="K552" s="273">
        <f ca="1">IF(OR(A552=1,AND(C552=ÉV!$I$2,D552&gt;ÉV!$J$2),C552&gt;ÉV!$I$2),0,VLOOKUP(A552-1,ÉV!$A$18:$C$65,3,0))</f>
        <v>0</v>
      </c>
      <c r="L552" s="273">
        <f ca="1">VLOOKUP(A552,ÉV!$A$18:$C$65,3,0)*IF(OR(AND(C552=ÉV!$I$2,D552&gt;ÉV!$J$2),C552&gt;ÉV!$I$2),0,1)</f>
        <v>0</v>
      </c>
      <c r="M552" s="273">
        <f ca="1">(K552*(12-B552)/12+L552*B552/12)*IF(A552&gt;ÉV!$G$2,0,1)+IF(A552&gt;ÉV!$G$2,M551,0)*IF(OR(AND(C552=ÉV!$I$2,D552&gt;ÉV!$J$2),C552&gt;ÉV!$I$2),0,1)</f>
        <v>0</v>
      </c>
      <c r="N552" s="274">
        <f ca="1">IF(AND(C552=1,D552&lt;12),0,1)*IF(D552=12,MAX(0,F552-E552-0.003)*0.9*((K552+I552)*(B552/12)+(J552+H552)*(1-B552/12))+MAX(0,F552-0.003)*0.9*N551+N551,IF(AND(C552=ÉV!$I$2,D552=ÉV!$J$2),(M552+N551)*MAX(0,F552-0.003)*0.9*(D552/12)+N551,N551))*IF(OR(C552&gt;ÉV!$I$2,AND(C552=ÉV!$I$2,D552&gt;ÉV!$J$2)),0,1)</f>
        <v>0</v>
      </c>
      <c r="O552" s="313">
        <f ca="1">IF(MAX(AF$2:AF551)=2,      0,IF(OR(AC552=7, AF552=2),    SUM(AE$2:AE552),    O551)   )</f>
        <v>0</v>
      </c>
      <c r="P552" s="271">
        <f ca="1">IF(D552=12,V552+P551+P551*(F552-0.003)*0.9,IF(AND(C552=ÉV!$I$2,D552=ÉV!$J$2),V552+P551+P551*(F552-0.003)*0.9*D552/12,P551))*IF(OR(C552&gt;ÉV!$I$2,AND(C552=ÉV!$I$2,D552&gt;ÉV!$J$2)),0,1)</f>
        <v>0</v>
      </c>
      <c r="Q552" s="275">
        <f ca="1">(N552+P552)*IF(OR(AND(C552=ÉV!$I$2,D552&gt;ÉV!$J$2),C552&gt;ÉV!$I$2),0,1)</f>
        <v>0</v>
      </c>
      <c r="R552" s="271">
        <f ca="1">(MAX(0,F552-E552-0.003)*0.9*((K552+I552)*(1/12)))*IF(OR(C552&gt;ÉV!$I$2,AND(C552=ÉV!$I$2,D552&gt;ÉV!$J$2)),0,1)</f>
        <v>0</v>
      </c>
      <c r="S552" s="271">
        <f ca="1">(MAX(0,F552-0.003)*0.9*((O552)*(1/12)))*IF(OR(C552&gt;ÉV!$I$2,AND(C552=ÉV!$I$2,D552&gt;ÉV!$J$2)),0,1)</f>
        <v>0</v>
      </c>
      <c r="T552" s="271">
        <f ca="1">(MAX(0,F552-0.003)*0.9*((Q551)*(1/12)))*IF(OR(C552&gt;ÉV!$I$2,AND(C552=ÉV!$I$2,D552&gt;ÉV!$J$2)),0,1)</f>
        <v>0</v>
      </c>
      <c r="U552" s="271">
        <f ca="1">IF($D552=1,R552,R552+U551)*IF(OR(C552&gt;ÉV!$I$2,AND(C552=ÉV!$I$2,D552&gt;ÉV!$J$2)),0,1)</f>
        <v>0</v>
      </c>
      <c r="V552" s="271">
        <f ca="1">IF($D552=1,S552,S552+V551)*IF(OR(C552&gt;ÉV!$I$2,AND(C552=ÉV!$I$2,D552&gt;ÉV!$J$2)),0,1)</f>
        <v>0</v>
      </c>
      <c r="W552" s="271">
        <f ca="1">IF($D552=1,T552,T552+W551)*IF(OR(C552&gt;ÉV!$I$2,AND(C552=ÉV!$I$2,D552&gt;ÉV!$J$2)),0,1)</f>
        <v>0</v>
      </c>
      <c r="X552" s="271">
        <f ca="1">IF(OR(D552=12,AND(C552=ÉV!$I$2,D552=ÉV!$J$2)),SUM(U552:W552)+X551,X551)*IF(OR(C552&gt;ÉV!$I$2,AND(C552=ÉV!$I$2,D552&gt;ÉV!$J$2)),0,1)</f>
        <v>0</v>
      </c>
      <c r="Y552" s="271">
        <f t="shared" ca="1" si="92"/>
        <v>0</v>
      </c>
      <c r="Z552" s="265">
        <f t="shared" si="93"/>
        <v>10</v>
      </c>
      <c r="AA552" s="272">
        <f t="shared" ca="1" si="94"/>
        <v>0</v>
      </c>
      <c r="AB552" s="265">
        <f t="shared" ca="1" si="98"/>
        <v>2063</v>
      </c>
      <c r="AC552" s="265">
        <f t="shared" ca="1" si="99"/>
        <v>1</v>
      </c>
      <c r="AD552" s="276">
        <f ca="1">IF(     OR(               AND(MAX(AF$6:AF552)&lt;2,  AC552=12),                 AF552=2),                   SUMIF(AB:AB,AB552,AA:AA),                       0)</f>
        <v>0</v>
      </c>
      <c r="AE552" s="277">
        <f t="shared" ca="1" si="100"/>
        <v>0</v>
      </c>
      <c r="AF552" s="277">
        <f t="shared" ca="1" si="95"/>
        <v>0</v>
      </c>
      <c r="AG552" s="402">
        <f ca="1">IF(  AND(AC552=AdóHó,   MAX(AF$1:AF551)&lt;2),   SUMIF(AB:AB,AB552-1,AE:AE),0  )
+ IF(AND(AC552&lt;AdóHó,                            AF552=2),   SUMIF(AB:AB,AB552-1,AE:AE),0  )
+ IF(                                                                  AF552=2,    SUMIF(AB:AB,AB552,AE:AE   ),0  )</f>
        <v>0</v>
      </c>
      <c r="AH552" s="272">
        <f ca="1">SUM(AG$2:AG552)</f>
        <v>1139324.2410681627</v>
      </c>
    </row>
    <row r="553" spans="1:34">
      <c r="A553" s="265">
        <f t="shared" si="101"/>
        <v>46</v>
      </c>
      <c r="B553" s="265">
        <f t="shared" si="102"/>
        <v>11</v>
      </c>
      <c r="C553" s="265">
        <f t="shared" ca="1" si="96"/>
        <v>47</v>
      </c>
      <c r="D553" s="265">
        <f t="shared" ca="1" si="97"/>
        <v>2</v>
      </c>
      <c r="E553" s="266">
        <v>5.0000000000000001E-3</v>
      </c>
      <c r="F553" s="267">
        <f>ÉV!$B$12</f>
        <v>0</v>
      </c>
      <c r="G553" s="271">
        <f ca="1">VLOOKUP(A553,ÉV!$A$18:$B$65,2,0)</f>
        <v>0</v>
      </c>
      <c r="H553" s="271">
        <f ca="1">IF(OR(A553=1,AND(C553=ÉV!$I$2,D553&gt;ÉV!$J$2),C553&gt;ÉV!$I$2),0,INDEX(Pz!$B$2:$AM$48,A553-1,ÉV!$G$2-9)/100000*ÉV!$B$10)</f>
        <v>0</v>
      </c>
      <c r="I553" s="271">
        <f ca="1">INDEX(Pz!$B$2:$AM$48,HÓ!A553,ÉV!$G$2-9)/100000*ÉV!$B$10</f>
        <v>0</v>
      </c>
      <c r="J553" s="273">
        <f ca="1">IF(OR(A553=1,A553=2,AND(C553=ÉV!$I$2,D553&gt;ÉV!$J$2),C553&gt;ÉV!$I$2),0,VLOOKUP(A553-2,ÉV!$A$18:$C$65,3,0))</f>
        <v>0</v>
      </c>
      <c r="K553" s="273">
        <f ca="1">IF(OR(A553=1,AND(C553=ÉV!$I$2,D553&gt;ÉV!$J$2),C553&gt;ÉV!$I$2),0,VLOOKUP(A553-1,ÉV!$A$18:$C$65,3,0))</f>
        <v>0</v>
      </c>
      <c r="L553" s="273">
        <f ca="1">VLOOKUP(A553,ÉV!$A$18:$C$65,3,0)*IF(OR(AND(C553=ÉV!$I$2,D553&gt;ÉV!$J$2),C553&gt;ÉV!$I$2),0,1)</f>
        <v>0</v>
      </c>
      <c r="M553" s="273">
        <f ca="1">(K553*(12-B553)/12+L553*B553/12)*IF(A553&gt;ÉV!$G$2,0,1)+IF(A553&gt;ÉV!$G$2,M552,0)*IF(OR(AND(C553=ÉV!$I$2,D553&gt;ÉV!$J$2),C553&gt;ÉV!$I$2),0,1)</f>
        <v>0</v>
      </c>
      <c r="N553" s="274">
        <f ca="1">IF(AND(C553=1,D553&lt;12),0,1)*IF(D553=12,MAX(0,F553-E553-0.003)*0.9*((K553+I553)*(B553/12)+(J553+H553)*(1-B553/12))+MAX(0,F553-0.003)*0.9*N552+N552,IF(AND(C553=ÉV!$I$2,D553=ÉV!$J$2),(M553+N552)*MAX(0,F553-0.003)*0.9*(D553/12)+N552,N552))*IF(OR(C553&gt;ÉV!$I$2,AND(C553=ÉV!$I$2,D553&gt;ÉV!$J$2)),0,1)</f>
        <v>0</v>
      </c>
      <c r="O553" s="313">
        <f ca="1">IF(MAX(AF$2:AF552)=2,      0,IF(OR(AC553=7, AF553=2),    SUM(AE$2:AE553),    O552)   )</f>
        <v>0</v>
      </c>
      <c r="P553" s="271">
        <f ca="1">IF(D553=12,V553+P552+P552*(F553-0.003)*0.9,IF(AND(C553=ÉV!$I$2,D553=ÉV!$J$2),V553+P552+P552*(F553-0.003)*0.9*D553/12,P552))*IF(OR(C553&gt;ÉV!$I$2,AND(C553=ÉV!$I$2,D553&gt;ÉV!$J$2)),0,1)</f>
        <v>0</v>
      </c>
      <c r="Q553" s="275">
        <f ca="1">(N553+P553)*IF(OR(AND(C553=ÉV!$I$2,D553&gt;ÉV!$J$2),C553&gt;ÉV!$I$2),0,1)</f>
        <v>0</v>
      </c>
      <c r="R553" s="271">
        <f ca="1">(MAX(0,F553-E553-0.003)*0.9*((K553+I553)*(1/12)))*IF(OR(C553&gt;ÉV!$I$2,AND(C553=ÉV!$I$2,D553&gt;ÉV!$J$2)),0,1)</f>
        <v>0</v>
      </c>
      <c r="S553" s="271">
        <f ca="1">(MAX(0,F553-0.003)*0.9*((O553)*(1/12)))*IF(OR(C553&gt;ÉV!$I$2,AND(C553=ÉV!$I$2,D553&gt;ÉV!$J$2)),0,1)</f>
        <v>0</v>
      </c>
      <c r="T553" s="271">
        <f ca="1">(MAX(0,F553-0.003)*0.9*((Q552)*(1/12)))*IF(OR(C553&gt;ÉV!$I$2,AND(C553=ÉV!$I$2,D553&gt;ÉV!$J$2)),0,1)</f>
        <v>0</v>
      </c>
      <c r="U553" s="271">
        <f ca="1">IF($D553=1,R553,R553+U552)*IF(OR(C553&gt;ÉV!$I$2,AND(C553=ÉV!$I$2,D553&gt;ÉV!$J$2)),0,1)</f>
        <v>0</v>
      </c>
      <c r="V553" s="271">
        <f ca="1">IF($D553=1,S553,S553+V552)*IF(OR(C553&gt;ÉV!$I$2,AND(C553=ÉV!$I$2,D553&gt;ÉV!$J$2)),0,1)</f>
        <v>0</v>
      </c>
      <c r="W553" s="271">
        <f ca="1">IF($D553=1,T553,T553+W552)*IF(OR(C553&gt;ÉV!$I$2,AND(C553=ÉV!$I$2,D553&gt;ÉV!$J$2)),0,1)</f>
        <v>0</v>
      </c>
      <c r="X553" s="271">
        <f ca="1">IF(OR(D553=12,AND(C553=ÉV!$I$2,D553=ÉV!$J$2)),SUM(U553:W553)+X552,X552)*IF(OR(C553&gt;ÉV!$I$2,AND(C553=ÉV!$I$2,D553&gt;ÉV!$J$2)),0,1)</f>
        <v>0</v>
      </c>
      <c r="Y553" s="271">
        <f t="shared" ca="1" si="92"/>
        <v>0</v>
      </c>
      <c r="Z553" s="265">
        <f t="shared" si="93"/>
        <v>11</v>
      </c>
      <c r="AA553" s="272">
        <f t="shared" ca="1" si="94"/>
        <v>0</v>
      </c>
      <c r="AB553" s="265">
        <f t="shared" ca="1" si="98"/>
        <v>2063</v>
      </c>
      <c r="AC553" s="265">
        <f t="shared" ca="1" si="99"/>
        <v>2</v>
      </c>
      <c r="AD553" s="276">
        <f ca="1">IF(     OR(               AND(MAX(AF$6:AF553)&lt;2,  AC553=12),                 AF553=2),                   SUMIF(AB:AB,AB553,AA:AA),                       0)</f>
        <v>0</v>
      </c>
      <c r="AE553" s="277">
        <f t="shared" ca="1" si="100"/>
        <v>0</v>
      </c>
      <c r="AF553" s="277">
        <f t="shared" ca="1" si="95"/>
        <v>0</v>
      </c>
      <c r="AG553" s="402">
        <f ca="1">IF(  AND(AC553=AdóHó,   MAX(AF$1:AF552)&lt;2),   SUMIF(AB:AB,AB553-1,AE:AE),0  )
+ IF(AND(AC553&lt;AdóHó,                            AF553=2),   SUMIF(AB:AB,AB553-1,AE:AE),0  )
+ IF(                                                                  AF553=2,    SUMIF(AB:AB,AB553,AE:AE   ),0  )</f>
        <v>0</v>
      </c>
      <c r="AH553" s="272">
        <f ca="1">SUM(AG$2:AG553)</f>
        <v>1139324.2410681627</v>
      </c>
    </row>
    <row r="554" spans="1:34">
      <c r="A554" s="265">
        <f t="shared" si="101"/>
        <v>46</v>
      </c>
      <c r="B554" s="265">
        <f t="shared" si="102"/>
        <v>12</v>
      </c>
      <c r="C554" s="265">
        <f t="shared" ca="1" si="96"/>
        <v>47</v>
      </c>
      <c r="D554" s="265">
        <f t="shared" ca="1" si="97"/>
        <v>3</v>
      </c>
      <c r="E554" s="266">
        <v>5.0000000000000001E-3</v>
      </c>
      <c r="F554" s="267">
        <f>ÉV!$B$12</f>
        <v>0</v>
      </c>
      <c r="G554" s="271">
        <f ca="1">VLOOKUP(A554,ÉV!$A$18:$B$65,2,0)</f>
        <v>0</v>
      </c>
      <c r="H554" s="271">
        <f ca="1">IF(OR(A554=1,AND(C554=ÉV!$I$2,D554&gt;ÉV!$J$2),C554&gt;ÉV!$I$2),0,INDEX(Pz!$B$2:$AM$48,A554-1,ÉV!$G$2-9)/100000*ÉV!$B$10)</f>
        <v>0</v>
      </c>
      <c r="I554" s="271">
        <f ca="1">INDEX(Pz!$B$2:$AM$48,HÓ!A554,ÉV!$G$2-9)/100000*ÉV!$B$10</f>
        <v>0</v>
      </c>
      <c r="J554" s="273">
        <f ca="1">IF(OR(A554=1,A554=2,AND(C554=ÉV!$I$2,D554&gt;ÉV!$J$2),C554&gt;ÉV!$I$2),0,VLOOKUP(A554-2,ÉV!$A$18:$C$65,3,0))</f>
        <v>0</v>
      </c>
      <c r="K554" s="273">
        <f ca="1">IF(OR(A554=1,AND(C554=ÉV!$I$2,D554&gt;ÉV!$J$2),C554&gt;ÉV!$I$2),0,VLOOKUP(A554-1,ÉV!$A$18:$C$65,3,0))</f>
        <v>0</v>
      </c>
      <c r="L554" s="273">
        <f ca="1">VLOOKUP(A554,ÉV!$A$18:$C$65,3,0)*IF(OR(AND(C554=ÉV!$I$2,D554&gt;ÉV!$J$2),C554&gt;ÉV!$I$2),0,1)</f>
        <v>0</v>
      </c>
      <c r="M554" s="273">
        <f ca="1">(K554*(12-B554)/12+L554*B554/12)*IF(A554&gt;ÉV!$G$2,0,1)+IF(A554&gt;ÉV!$G$2,M553,0)*IF(OR(AND(C554=ÉV!$I$2,D554&gt;ÉV!$J$2),C554&gt;ÉV!$I$2),0,1)</f>
        <v>0</v>
      </c>
      <c r="N554" s="274">
        <f ca="1">IF(AND(C554=1,D554&lt;12),0,1)*IF(D554=12,MAX(0,F554-E554-0.003)*0.9*((K554+I554)*(B554/12)+(J554+H554)*(1-B554/12))+MAX(0,F554-0.003)*0.9*N553+N553,IF(AND(C554=ÉV!$I$2,D554=ÉV!$J$2),(M554+N553)*MAX(0,F554-0.003)*0.9*(D554/12)+N553,N553))*IF(OR(C554&gt;ÉV!$I$2,AND(C554=ÉV!$I$2,D554&gt;ÉV!$J$2)),0,1)</f>
        <v>0</v>
      </c>
      <c r="O554" s="313">
        <f ca="1">IF(MAX(AF$2:AF553)=2,      0,IF(OR(AC554=7, AF554=2),    SUM(AE$2:AE554),    O553)   )</f>
        <v>0</v>
      </c>
      <c r="P554" s="271">
        <f ca="1">IF(D554=12,V554+P553+P553*(F554-0.003)*0.9,IF(AND(C554=ÉV!$I$2,D554=ÉV!$J$2),V554+P553+P553*(F554-0.003)*0.9*D554/12,P553))*IF(OR(C554&gt;ÉV!$I$2,AND(C554=ÉV!$I$2,D554&gt;ÉV!$J$2)),0,1)</f>
        <v>0</v>
      </c>
      <c r="Q554" s="275">
        <f ca="1">(N554+P554)*IF(OR(AND(C554=ÉV!$I$2,D554&gt;ÉV!$J$2),C554&gt;ÉV!$I$2),0,1)</f>
        <v>0</v>
      </c>
      <c r="R554" s="271">
        <f ca="1">(MAX(0,F554-E554-0.003)*0.9*((K554+I554)*(1/12)))*IF(OR(C554&gt;ÉV!$I$2,AND(C554=ÉV!$I$2,D554&gt;ÉV!$J$2)),0,1)</f>
        <v>0</v>
      </c>
      <c r="S554" s="271">
        <f ca="1">(MAX(0,F554-0.003)*0.9*((O554)*(1/12)))*IF(OR(C554&gt;ÉV!$I$2,AND(C554=ÉV!$I$2,D554&gt;ÉV!$J$2)),0,1)</f>
        <v>0</v>
      </c>
      <c r="T554" s="271">
        <f ca="1">(MAX(0,F554-0.003)*0.9*((Q553)*(1/12)))*IF(OR(C554&gt;ÉV!$I$2,AND(C554=ÉV!$I$2,D554&gt;ÉV!$J$2)),0,1)</f>
        <v>0</v>
      </c>
      <c r="U554" s="271">
        <f ca="1">IF($D554=1,R554,R554+U553)*IF(OR(C554&gt;ÉV!$I$2,AND(C554=ÉV!$I$2,D554&gt;ÉV!$J$2)),0,1)</f>
        <v>0</v>
      </c>
      <c r="V554" s="271">
        <f ca="1">IF($D554=1,S554,S554+V553)*IF(OR(C554&gt;ÉV!$I$2,AND(C554=ÉV!$I$2,D554&gt;ÉV!$J$2)),0,1)</f>
        <v>0</v>
      </c>
      <c r="W554" s="271">
        <f ca="1">IF($D554=1,T554,T554+W553)*IF(OR(C554&gt;ÉV!$I$2,AND(C554=ÉV!$I$2,D554&gt;ÉV!$J$2)),0,1)</f>
        <v>0</v>
      </c>
      <c r="X554" s="271">
        <f ca="1">IF(OR(D554=12,AND(C554=ÉV!$I$2,D554=ÉV!$J$2)),SUM(U554:W554)+X553,X553)*IF(OR(C554&gt;ÉV!$I$2,AND(C554=ÉV!$I$2,D554&gt;ÉV!$J$2)),0,1)</f>
        <v>0</v>
      </c>
      <c r="Y554" s="271">
        <f t="shared" ca="1" si="92"/>
        <v>0</v>
      </c>
      <c r="Z554" s="265">
        <f t="shared" si="93"/>
        <v>12</v>
      </c>
      <c r="AA554" s="272">
        <f t="shared" ca="1" si="94"/>
        <v>0</v>
      </c>
      <c r="AB554" s="265">
        <f t="shared" ca="1" si="98"/>
        <v>2063</v>
      </c>
      <c r="AC554" s="265">
        <f t="shared" ca="1" si="99"/>
        <v>3</v>
      </c>
      <c r="AD554" s="276">
        <f ca="1">IF(     OR(               AND(MAX(AF$6:AF554)&lt;2,  AC554=12),                 AF554=2),                   SUMIF(AB:AB,AB554,AA:AA),                       0)</f>
        <v>0</v>
      </c>
      <c r="AE554" s="277">
        <f t="shared" ca="1" si="100"/>
        <v>0</v>
      </c>
      <c r="AF554" s="277">
        <f t="shared" ca="1" si="95"/>
        <v>0</v>
      </c>
      <c r="AG554" s="402">
        <f ca="1">IF(  AND(AC554=AdóHó,   MAX(AF$1:AF553)&lt;2),   SUMIF(AB:AB,AB554-1,AE:AE),0  )
+ IF(AND(AC554&lt;AdóHó,                            AF554=2),   SUMIF(AB:AB,AB554-1,AE:AE),0  )
+ IF(                                                                  AF554=2,    SUMIF(AB:AB,AB554,AE:AE   ),0  )</f>
        <v>0</v>
      </c>
      <c r="AH554" s="272">
        <f ca="1">SUM(AG$2:AG554)</f>
        <v>1139324.2410681627</v>
      </c>
    </row>
    <row r="555" spans="1:34">
      <c r="A555" s="265">
        <f t="shared" si="101"/>
        <v>47</v>
      </c>
      <c r="B555" s="265">
        <f t="shared" si="102"/>
        <v>1</v>
      </c>
      <c r="C555" s="265">
        <f t="shared" ca="1" si="96"/>
        <v>47</v>
      </c>
      <c r="D555" s="265">
        <f t="shared" ca="1" si="97"/>
        <v>4</v>
      </c>
      <c r="E555" s="266">
        <v>5.0000000000000001E-3</v>
      </c>
      <c r="F555" s="267">
        <f>ÉV!$B$12</f>
        <v>0</v>
      </c>
      <c r="G555" s="271">
        <f ca="1">VLOOKUP(A555,ÉV!$A$18:$B$65,2,0)</f>
        <v>0</v>
      </c>
      <c r="H555" s="271">
        <f ca="1">IF(OR(A555=1,AND(C555=ÉV!$I$2,D555&gt;ÉV!$J$2),C555&gt;ÉV!$I$2),0,INDEX(Pz!$B$2:$AM$48,A555-1,ÉV!$G$2-9)/100000*ÉV!$B$10)</f>
        <v>0</v>
      </c>
      <c r="I555" s="271">
        <f ca="1">INDEX(Pz!$B$2:$AM$48,HÓ!A555,ÉV!$G$2-9)/100000*ÉV!$B$10</f>
        <v>0</v>
      </c>
      <c r="J555" s="273">
        <f ca="1">IF(OR(A555=1,A555=2,AND(C555=ÉV!$I$2,D555&gt;ÉV!$J$2),C555&gt;ÉV!$I$2),0,VLOOKUP(A555-2,ÉV!$A$18:$C$65,3,0))</f>
        <v>0</v>
      </c>
      <c r="K555" s="273">
        <f ca="1">IF(OR(A555=1,AND(C555=ÉV!$I$2,D555&gt;ÉV!$J$2),C555&gt;ÉV!$I$2),0,VLOOKUP(A555-1,ÉV!$A$18:$C$65,3,0))</f>
        <v>0</v>
      </c>
      <c r="L555" s="273">
        <f ca="1">VLOOKUP(A555,ÉV!$A$18:$C$65,3,0)*IF(OR(AND(C555=ÉV!$I$2,D555&gt;ÉV!$J$2),C555&gt;ÉV!$I$2),0,1)</f>
        <v>0</v>
      </c>
      <c r="M555" s="273">
        <f ca="1">(K555*(12-B555)/12+L555*B555/12)*IF(A555&gt;ÉV!$G$2,0,1)+IF(A555&gt;ÉV!$G$2,M554,0)*IF(OR(AND(C555=ÉV!$I$2,D555&gt;ÉV!$J$2),C555&gt;ÉV!$I$2),0,1)</f>
        <v>0</v>
      </c>
      <c r="N555" s="274">
        <f ca="1">IF(AND(C555=1,D555&lt;12),0,1)*IF(D555=12,MAX(0,F555-E555-0.003)*0.9*((K555+I555)*(B555/12)+(J555+H555)*(1-B555/12))+MAX(0,F555-0.003)*0.9*N554+N554,IF(AND(C555=ÉV!$I$2,D555=ÉV!$J$2),(M555+N554)*MAX(0,F555-0.003)*0.9*(D555/12)+N554,N554))*IF(OR(C555&gt;ÉV!$I$2,AND(C555=ÉV!$I$2,D555&gt;ÉV!$J$2)),0,1)</f>
        <v>0</v>
      </c>
      <c r="O555" s="313">
        <f ca="1">IF(MAX(AF$2:AF554)=2,      0,IF(OR(AC555=7, AF555=2),    SUM(AE$2:AE555),    O554)   )</f>
        <v>0</v>
      </c>
      <c r="P555" s="271">
        <f ca="1">IF(D555=12,V555+P554+P554*(F555-0.003)*0.9,IF(AND(C555=ÉV!$I$2,D555=ÉV!$J$2),V555+P554+P554*(F555-0.003)*0.9*D555/12,P554))*IF(OR(C555&gt;ÉV!$I$2,AND(C555=ÉV!$I$2,D555&gt;ÉV!$J$2)),0,1)</f>
        <v>0</v>
      </c>
      <c r="Q555" s="275">
        <f ca="1">(N555+P555)*IF(OR(AND(C555=ÉV!$I$2,D555&gt;ÉV!$J$2),C555&gt;ÉV!$I$2),0,1)</f>
        <v>0</v>
      </c>
      <c r="R555" s="271">
        <f ca="1">(MAX(0,F555-E555-0.003)*0.9*((K555+I555)*(1/12)))*IF(OR(C555&gt;ÉV!$I$2,AND(C555=ÉV!$I$2,D555&gt;ÉV!$J$2)),0,1)</f>
        <v>0</v>
      </c>
      <c r="S555" s="271">
        <f ca="1">(MAX(0,F555-0.003)*0.9*((O555)*(1/12)))*IF(OR(C555&gt;ÉV!$I$2,AND(C555=ÉV!$I$2,D555&gt;ÉV!$J$2)),0,1)</f>
        <v>0</v>
      </c>
      <c r="T555" s="271">
        <f ca="1">(MAX(0,F555-0.003)*0.9*((Q554)*(1/12)))*IF(OR(C555&gt;ÉV!$I$2,AND(C555=ÉV!$I$2,D555&gt;ÉV!$J$2)),0,1)</f>
        <v>0</v>
      </c>
      <c r="U555" s="271">
        <f ca="1">IF($D555=1,R555,R555+U554)*IF(OR(C555&gt;ÉV!$I$2,AND(C555=ÉV!$I$2,D555&gt;ÉV!$J$2)),0,1)</f>
        <v>0</v>
      </c>
      <c r="V555" s="271">
        <f ca="1">IF($D555=1,S555,S555+V554)*IF(OR(C555&gt;ÉV!$I$2,AND(C555=ÉV!$I$2,D555&gt;ÉV!$J$2)),0,1)</f>
        <v>0</v>
      </c>
      <c r="W555" s="271">
        <f ca="1">IF($D555=1,T555,T555+W554)*IF(OR(C555&gt;ÉV!$I$2,AND(C555=ÉV!$I$2,D555&gt;ÉV!$J$2)),0,1)</f>
        <v>0</v>
      </c>
      <c r="X555" s="271">
        <f ca="1">IF(OR(D555=12,AND(C555=ÉV!$I$2,D555=ÉV!$J$2)),SUM(U555:W555)+X554,X554)*IF(OR(C555&gt;ÉV!$I$2,AND(C555=ÉV!$I$2,D555&gt;ÉV!$J$2)),0,1)</f>
        <v>0</v>
      </c>
      <c r="Y555" s="271">
        <f t="shared" ca="1" si="92"/>
        <v>0</v>
      </c>
      <c r="Z555" s="265">
        <f t="shared" si="93"/>
        <v>1</v>
      </c>
      <c r="AA555" s="272">
        <f t="shared" ca="1" si="94"/>
        <v>0</v>
      </c>
      <c r="AB555" s="265">
        <f t="shared" ca="1" si="98"/>
        <v>2063</v>
      </c>
      <c r="AC555" s="265">
        <f t="shared" ca="1" si="99"/>
        <v>4</v>
      </c>
      <c r="AD555" s="276">
        <f ca="1">IF(     OR(               AND(MAX(AF$6:AF555)&lt;2,  AC555=12),                 AF555=2),                   SUMIF(AB:AB,AB555,AA:AA),                       0)</f>
        <v>0</v>
      </c>
      <c r="AE555" s="277">
        <f t="shared" ca="1" si="100"/>
        <v>0</v>
      </c>
      <c r="AF555" s="277">
        <f t="shared" ca="1" si="95"/>
        <v>0</v>
      </c>
      <c r="AG555" s="402">
        <f ca="1">IF(  AND(AC555=AdóHó,   MAX(AF$1:AF554)&lt;2),   SUMIF(AB:AB,AB555-1,AE:AE),0  )
+ IF(AND(AC555&lt;AdóHó,                            AF555=2),   SUMIF(AB:AB,AB555-1,AE:AE),0  )
+ IF(                                                                  AF555=2,    SUMIF(AB:AB,AB555,AE:AE   ),0  )</f>
        <v>0</v>
      </c>
      <c r="AH555" s="272">
        <f ca="1">SUM(AG$2:AG555)</f>
        <v>1139324.2410681627</v>
      </c>
    </row>
    <row r="556" spans="1:34">
      <c r="A556" s="265">
        <f t="shared" si="101"/>
        <v>47</v>
      </c>
      <c r="B556" s="265">
        <f t="shared" si="102"/>
        <v>2</v>
      </c>
      <c r="C556" s="265">
        <f t="shared" ca="1" si="96"/>
        <v>47</v>
      </c>
      <c r="D556" s="265">
        <f t="shared" ca="1" si="97"/>
        <v>5</v>
      </c>
      <c r="E556" s="266">
        <v>5.0000000000000001E-3</v>
      </c>
      <c r="F556" s="267">
        <f>ÉV!$B$12</f>
        <v>0</v>
      </c>
      <c r="G556" s="271">
        <f ca="1">VLOOKUP(A556,ÉV!$A$18:$B$65,2,0)</f>
        <v>0</v>
      </c>
      <c r="H556" s="271">
        <f ca="1">IF(OR(A556=1,AND(C556=ÉV!$I$2,D556&gt;ÉV!$J$2),C556&gt;ÉV!$I$2),0,INDEX(Pz!$B$2:$AM$48,A556-1,ÉV!$G$2-9)/100000*ÉV!$B$10)</f>
        <v>0</v>
      </c>
      <c r="I556" s="271">
        <f ca="1">INDEX(Pz!$B$2:$AM$48,HÓ!A556,ÉV!$G$2-9)/100000*ÉV!$B$10</f>
        <v>0</v>
      </c>
      <c r="J556" s="273">
        <f ca="1">IF(OR(A556=1,A556=2,AND(C556=ÉV!$I$2,D556&gt;ÉV!$J$2),C556&gt;ÉV!$I$2),0,VLOOKUP(A556-2,ÉV!$A$18:$C$65,3,0))</f>
        <v>0</v>
      </c>
      <c r="K556" s="273">
        <f ca="1">IF(OR(A556=1,AND(C556=ÉV!$I$2,D556&gt;ÉV!$J$2),C556&gt;ÉV!$I$2),0,VLOOKUP(A556-1,ÉV!$A$18:$C$65,3,0))</f>
        <v>0</v>
      </c>
      <c r="L556" s="273">
        <f ca="1">VLOOKUP(A556,ÉV!$A$18:$C$65,3,0)*IF(OR(AND(C556=ÉV!$I$2,D556&gt;ÉV!$J$2),C556&gt;ÉV!$I$2),0,1)</f>
        <v>0</v>
      </c>
      <c r="M556" s="273">
        <f ca="1">(K556*(12-B556)/12+L556*B556/12)*IF(A556&gt;ÉV!$G$2,0,1)+IF(A556&gt;ÉV!$G$2,M555,0)*IF(OR(AND(C556=ÉV!$I$2,D556&gt;ÉV!$J$2),C556&gt;ÉV!$I$2),0,1)</f>
        <v>0</v>
      </c>
      <c r="N556" s="274">
        <f ca="1">IF(AND(C556=1,D556&lt;12),0,1)*IF(D556=12,MAX(0,F556-E556-0.003)*0.9*((K556+I556)*(B556/12)+(J556+H556)*(1-B556/12))+MAX(0,F556-0.003)*0.9*N555+N555,IF(AND(C556=ÉV!$I$2,D556=ÉV!$J$2),(M556+N555)*MAX(0,F556-0.003)*0.9*(D556/12)+N555,N555))*IF(OR(C556&gt;ÉV!$I$2,AND(C556=ÉV!$I$2,D556&gt;ÉV!$J$2)),0,1)</f>
        <v>0</v>
      </c>
      <c r="O556" s="313">
        <f ca="1">IF(MAX(AF$2:AF555)=2,      0,IF(OR(AC556=7, AF556=2),    SUM(AE$2:AE556),    O555)   )</f>
        <v>0</v>
      </c>
      <c r="P556" s="271">
        <f ca="1">IF(D556=12,V556+P555+P555*(F556-0.003)*0.9,IF(AND(C556=ÉV!$I$2,D556=ÉV!$J$2),V556+P555+P555*(F556-0.003)*0.9*D556/12,P555))*IF(OR(C556&gt;ÉV!$I$2,AND(C556=ÉV!$I$2,D556&gt;ÉV!$J$2)),0,1)</f>
        <v>0</v>
      </c>
      <c r="Q556" s="275">
        <f ca="1">(N556+P556)*IF(OR(AND(C556=ÉV!$I$2,D556&gt;ÉV!$J$2),C556&gt;ÉV!$I$2),0,1)</f>
        <v>0</v>
      </c>
      <c r="R556" s="271">
        <f ca="1">(MAX(0,F556-E556-0.003)*0.9*((K556+I556)*(1/12)))*IF(OR(C556&gt;ÉV!$I$2,AND(C556=ÉV!$I$2,D556&gt;ÉV!$J$2)),0,1)</f>
        <v>0</v>
      </c>
      <c r="S556" s="271">
        <f ca="1">(MAX(0,F556-0.003)*0.9*((O556)*(1/12)))*IF(OR(C556&gt;ÉV!$I$2,AND(C556=ÉV!$I$2,D556&gt;ÉV!$J$2)),0,1)</f>
        <v>0</v>
      </c>
      <c r="T556" s="271">
        <f ca="1">(MAX(0,F556-0.003)*0.9*((Q555)*(1/12)))*IF(OR(C556&gt;ÉV!$I$2,AND(C556=ÉV!$I$2,D556&gt;ÉV!$J$2)),0,1)</f>
        <v>0</v>
      </c>
      <c r="U556" s="271">
        <f ca="1">IF($D556=1,R556,R556+U555)*IF(OR(C556&gt;ÉV!$I$2,AND(C556=ÉV!$I$2,D556&gt;ÉV!$J$2)),0,1)</f>
        <v>0</v>
      </c>
      <c r="V556" s="271">
        <f ca="1">IF($D556=1,S556,S556+V555)*IF(OR(C556&gt;ÉV!$I$2,AND(C556=ÉV!$I$2,D556&gt;ÉV!$J$2)),0,1)</f>
        <v>0</v>
      </c>
      <c r="W556" s="271">
        <f ca="1">IF($D556=1,T556,T556+W555)*IF(OR(C556&gt;ÉV!$I$2,AND(C556=ÉV!$I$2,D556&gt;ÉV!$J$2)),0,1)</f>
        <v>0</v>
      </c>
      <c r="X556" s="271">
        <f ca="1">IF(OR(D556=12,AND(C556=ÉV!$I$2,D556=ÉV!$J$2)),SUM(U556:W556)+X555,X555)*IF(OR(C556&gt;ÉV!$I$2,AND(C556=ÉV!$I$2,D556&gt;ÉV!$J$2)),0,1)</f>
        <v>0</v>
      </c>
      <c r="Y556" s="271">
        <f t="shared" ca="1" si="92"/>
        <v>0</v>
      </c>
      <c r="Z556" s="265">
        <f t="shared" si="93"/>
        <v>2</v>
      </c>
      <c r="AA556" s="272">
        <f t="shared" ca="1" si="94"/>
        <v>0</v>
      </c>
      <c r="AB556" s="265">
        <f t="shared" ca="1" si="98"/>
        <v>2063</v>
      </c>
      <c r="AC556" s="265">
        <f t="shared" ca="1" si="99"/>
        <v>5</v>
      </c>
      <c r="AD556" s="276">
        <f ca="1">IF(     OR(               AND(MAX(AF$6:AF556)&lt;2,  AC556=12),                 AF556=2),                   SUMIF(AB:AB,AB556,AA:AA),                       0)</f>
        <v>0</v>
      </c>
      <c r="AE556" s="277">
        <f t="shared" ca="1" si="100"/>
        <v>0</v>
      </c>
      <c r="AF556" s="277">
        <f t="shared" ca="1" si="95"/>
        <v>0</v>
      </c>
      <c r="AG556" s="402">
        <f ca="1">IF(  AND(AC556=AdóHó,   MAX(AF$1:AF555)&lt;2),   SUMIF(AB:AB,AB556-1,AE:AE),0  )
+ IF(AND(AC556&lt;AdóHó,                            AF556=2),   SUMIF(AB:AB,AB556-1,AE:AE),0  )
+ IF(                                                                  AF556=2,    SUMIF(AB:AB,AB556,AE:AE   ),0  )</f>
        <v>0</v>
      </c>
      <c r="AH556" s="272">
        <f ca="1">SUM(AG$2:AG556)</f>
        <v>1139324.2410681627</v>
      </c>
    </row>
    <row r="557" spans="1:34">
      <c r="A557" s="265">
        <f t="shared" si="101"/>
        <v>47</v>
      </c>
      <c r="B557" s="265">
        <f t="shared" si="102"/>
        <v>3</v>
      </c>
      <c r="C557" s="265">
        <f t="shared" ca="1" si="96"/>
        <v>47</v>
      </c>
      <c r="D557" s="265">
        <f t="shared" ca="1" si="97"/>
        <v>6</v>
      </c>
      <c r="E557" s="266">
        <v>5.0000000000000001E-3</v>
      </c>
      <c r="F557" s="267">
        <f>ÉV!$B$12</f>
        <v>0</v>
      </c>
      <c r="G557" s="271">
        <f ca="1">VLOOKUP(A557,ÉV!$A$18:$B$65,2,0)</f>
        <v>0</v>
      </c>
      <c r="H557" s="271">
        <f ca="1">IF(OR(A557=1,AND(C557=ÉV!$I$2,D557&gt;ÉV!$J$2),C557&gt;ÉV!$I$2),0,INDEX(Pz!$B$2:$AM$48,A557-1,ÉV!$G$2-9)/100000*ÉV!$B$10)</f>
        <v>0</v>
      </c>
      <c r="I557" s="271">
        <f ca="1">INDEX(Pz!$B$2:$AM$48,HÓ!A557,ÉV!$G$2-9)/100000*ÉV!$B$10</f>
        <v>0</v>
      </c>
      <c r="J557" s="273">
        <f ca="1">IF(OR(A557=1,A557=2,AND(C557=ÉV!$I$2,D557&gt;ÉV!$J$2),C557&gt;ÉV!$I$2),0,VLOOKUP(A557-2,ÉV!$A$18:$C$65,3,0))</f>
        <v>0</v>
      </c>
      <c r="K557" s="273">
        <f ca="1">IF(OR(A557=1,AND(C557=ÉV!$I$2,D557&gt;ÉV!$J$2),C557&gt;ÉV!$I$2),0,VLOOKUP(A557-1,ÉV!$A$18:$C$65,3,0))</f>
        <v>0</v>
      </c>
      <c r="L557" s="273">
        <f ca="1">VLOOKUP(A557,ÉV!$A$18:$C$65,3,0)*IF(OR(AND(C557=ÉV!$I$2,D557&gt;ÉV!$J$2),C557&gt;ÉV!$I$2),0,1)</f>
        <v>0</v>
      </c>
      <c r="M557" s="273">
        <f ca="1">(K557*(12-B557)/12+L557*B557/12)*IF(A557&gt;ÉV!$G$2,0,1)+IF(A557&gt;ÉV!$G$2,M556,0)*IF(OR(AND(C557=ÉV!$I$2,D557&gt;ÉV!$J$2),C557&gt;ÉV!$I$2),0,1)</f>
        <v>0</v>
      </c>
      <c r="N557" s="274">
        <f ca="1">IF(AND(C557=1,D557&lt;12),0,1)*IF(D557=12,MAX(0,F557-E557-0.003)*0.9*((K557+I557)*(B557/12)+(J557+H557)*(1-B557/12))+MAX(0,F557-0.003)*0.9*N556+N556,IF(AND(C557=ÉV!$I$2,D557=ÉV!$J$2),(M557+N556)*MAX(0,F557-0.003)*0.9*(D557/12)+N556,N556))*IF(OR(C557&gt;ÉV!$I$2,AND(C557=ÉV!$I$2,D557&gt;ÉV!$J$2)),0,1)</f>
        <v>0</v>
      </c>
      <c r="O557" s="313">
        <f ca="1">IF(MAX(AF$2:AF556)=2,      0,IF(OR(AC557=7, AF557=2),    SUM(AE$2:AE557),    O556)   )</f>
        <v>0</v>
      </c>
      <c r="P557" s="271">
        <f ca="1">IF(D557=12,V557+P556+P556*(F557-0.003)*0.9,IF(AND(C557=ÉV!$I$2,D557=ÉV!$J$2),V557+P556+P556*(F557-0.003)*0.9*D557/12,P556))*IF(OR(C557&gt;ÉV!$I$2,AND(C557=ÉV!$I$2,D557&gt;ÉV!$J$2)),0,1)</f>
        <v>0</v>
      </c>
      <c r="Q557" s="275">
        <f ca="1">(N557+P557)*IF(OR(AND(C557=ÉV!$I$2,D557&gt;ÉV!$J$2),C557&gt;ÉV!$I$2),0,1)</f>
        <v>0</v>
      </c>
      <c r="R557" s="271">
        <f ca="1">(MAX(0,F557-E557-0.003)*0.9*((K557+I557)*(1/12)))*IF(OR(C557&gt;ÉV!$I$2,AND(C557=ÉV!$I$2,D557&gt;ÉV!$J$2)),0,1)</f>
        <v>0</v>
      </c>
      <c r="S557" s="271">
        <f ca="1">(MAX(0,F557-0.003)*0.9*((O557)*(1/12)))*IF(OR(C557&gt;ÉV!$I$2,AND(C557=ÉV!$I$2,D557&gt;ÉV!$J$2)),0,1)</f>
        <v>0</v>
      </c>
      <c r="T557" s="271">
        <f ca="1">(MAX(0,F557-0.003)*0.9*((Q556)*(1/12)))*IF(OR(C557&gt;ÉV!$I$2,AND(C557=ÉV!$I$2,D557&gt;ÉV!$J$2)),0,1)</f>
        <v>0</v>
      </c>
      <c r="U557" s="271">
        <f ca="1">IF($D557=1,R557,R557+U556)*IF(OR(C557&gt;ÉV!$I$2,AND(C557=ÉV!$I$2,D557&gt;ÉV!$J$2)),0,1)</f>
        <v>0</v>
      </c>
      <c r="V557" s="271">
        <f ca="1">IF($D557=1,S557,S557+V556)*IF(OR(C557&gt;ÉV!$I$2,AND(C557=ÉV!$I$2,D557&gt;ÉV!$J$2)),0,1)</f>
        <v>0</v>
      </c>
      <c r="W557" s="271">
        <f ca="1">IF($D557=1,T557,T557+W556)*IF(OR(C557&gt;ÉV!$I$2,AND(C557=ÉV!$I$2,D557&gt;ÉV!$J$2)),0,1)</f>
        <v>0</v>
      </c>
      <c r="X557" s="271">
        <f ca="1">IF(OR(D557=12,AND(C557=ÉV!$I$2,D557=ÉV!$J$2)),SUM(U557:W557)+X556,X556)*IF(OR(C557&gt;ÉV!$I$2,AND(C557=ÉV!$I$2,D557&gt;ÉV!$J$2)),0,1)</f>
        <v>0</v>
      </c>
      <c r="Y557" s="271">
        <f t="shared" ca="1" si="92"/>
        <v>0</v>
      </c>
      <c r="Z557" s="265">
        <f t="shared" si="93"/>
        <v>3</v>
      </c>
      <c r="AA557" s="272">
        <f t="shared" ca="1" si="94"/>
        <v>0</v>
      </c>
      <c r="AB557" s="265">
        <f t="shared" ca="1" si="98"/>
        <v>2063</v>
      </c>
      <c r="AC557" s="265">
        <f t="shared" ca="1" si="99"/>
        <v>6</v>
      </c>
      <c r="AD557" s="276">
        <f ca="1">IF(     OR(               AND(MAX(AF$6:AF557)&lt;2,  AC557=12),                 AF557=2),                   SUMIF(AB:AB,AB557,AA:AA),                       0)</f>
        <v>0</v>
      </c>
      <c r="AE557" s="277">
        <f t="shared" ca="1" si="100"/>
        <v>0</v>
      </c>
      <c r="AF557" s="277">
        <f t="shared" ca="1" si="95"/>
        <v>0</v>
      </c>
      <c r="AG557" s="402">
        <f ca="1">IF(  AND(AC557=AdóHó,   MAX(AF$1:AF556)&lt;2),   SUMIF(AB:AB,AB557-1,AE:AE),0  )
+ IF(AND(AC557&lt;AdóHó,                            AF557=2),   SUMIF(AB:AB,AB557-1,AE:AE),0  )
+ IF(                                                                  AF557=2,    SUMIF(AB:AB,AB557,AE:AE   ),0  )</f>
        <v>0</v>
      </c>
      <c r="AH557" s="272">
        <f ca="1">SUM(AG$2:AG557)</f>
        <v>1139324.2410681627</v>
      </c>
    </row>
    <row r="558" spans="1:34">
      <c r="A558" s="265">
        <f t="shared" si="101"/>
        <v>47</v>
      </c>
      <c r="B558" s="265">
        <f t="shared" si="102"/>
        <v>4</v>
      </c>
      <c r="C558" s="265">
        <f t="shared" ca="1" si="96"/>
        <v>47</v>
      </c>
      <c r="D558" s="265">
        <f t="shared" ca="1" si="97"/>
        <v>7</v>
      </c>
      <c r="E558" s="266">
        <v>5.0000000000000001E-3</v>
      </c>
      <c r="F558" s="267">
        <f>ÉV!$B$12</f>
        <v>0</v>
      </c>
      <c r="G558" s="271">
        <f ca="1">VLOOKUP(A558,ÉV!$A$18:$B$65,2,0)</f>
        <v>0</v>
      </c>
      <c r="H558" s="271">
        <f ca="1">IF(OR(A558=1,AND(C558=ÉV!$I$2,D558&gt;ÉV!$J$2),C558&gt;ÉV!$I$2),0,INDEX(Pz!$B$2:$AM$48,A558-1,ÉV!$G$2-9)/100000*ÉV!$B$10)</f>
        <v>0</v>
      </c>
      <c r="I558" s="271">
        <f ca="1">INDEX(Pz!$B$2:$AM$48,HÓ!A558,ÉV!$G$2-9)/100000*ÉV!$B$10</f>
        <v>0</v>
      </c>
      <c r="J558" s="273">
        <f ca="1">IF(OR(A558=1,A558=2,AND(C558=ÉV!$I$2,D558&gt;ÉV!$J$2),C558&gt;ÉV!$I$2),0,VLOOKUP(A558-2,ÉV!$A$18:$C$65,3,0))</f>
        <v>0</v>
      </c>
      <c r="K558" s="273">
        <f ca="1">IF(OR(A558=1,AND(C558=ÉV!$I$2,D558&gt;ÉV!$J$2),C558&gt;ÉV!$I$2),0,VLOOKUP(A558-1,ÉV!$A$18:$C$65,3,0))</f>
        <v>0</v>
      </c>
      <c r="L558" s="273">
        <f ca="1">VLOOKUP(A558,ÉV!$A$18:$C$65,3,0)*IF(OR(AND(C558=ÉV!$I$2,D558&gt;ÉV!$J$2),C558&gt;ÉV!$I$2),0,1)</f>
        <v>0</v>
      </c>
      <c r="M558" s="273">
        <f ca="1">(K558*(12-B558)/12+L558*B558/12)*IF(A558&gt;ÉV!$G$2,0,1)+IF(A558&gt;ÉV!$G$2,M557,0)*IF(OR(AND(C558=ÉV!$I$2,D558&gt;ÉV!$J$2),C558&gt;ÉV!$I$2),0,1)</f>
        <v>0</v>
      </c>
      <c r="N558" s="274">
        <f ca="1">IF(AND(C558=1,D558&lt;12),0,1)*IF(D558=12,MAX(0,F558-E558-0.003)*0.9*((K558+I558)*(B558/12)+(J558+H558)*(1-B558/12))+MAX(0,F558-0.003)*0.9*N557+N557,IF(AND(C558=ÉV!$I$2,D558=ÉV!$J$2),(M558+N557)*MAX(0,F558-0.003)*0.9*(D558/12)+N557,N557))*IF(OR(C558&gt;ÉV!$I$2,AND(C558=ÉV!$I$2,D558&gt;ÉV!$J$2)),0,1)</f>
        <v>0</v>
      </c>
      <c r="O558" s="313">
        <f ca="1">IF(MAX(AF$2:AF557)=2,      0,IF(OR(AC558=7, AF558=2),    SUM(AE$2:AE558),    O557)   )</f>
        <v>0</v>
      </c>
      <c r="P558" s="271">
        <f ca="1">IF(D558=12,V558+P557+P557*(F558-0.003)*0.9,IF(AND(C558=ÉV!$I$2,D558=ÉV!$J$2),V558+P557+P557*(F558-0.003)*0.9*D558/12,P557))*IF(OR(C558&gt;ÉV!$I$2,AND(C558=ÉV!$I$2,D558&gt;ÉV!$J$2)),0,1)</f>
        <v>0</v>
      </c>
      <c r="Q558" s="275">
        <f ca="1">(N558+P558)*IF(OR(AND(C558=ÉV!$I$2,D558&gt;ÉV!$J$2),C558&gt;ÉV!$I$2),0,1)</f>
        <v>0</v>
      </c>
      <c r="R558" s="271">
        <f ca="1">(MAX(0,F558-E558-0.003)*0.9*((K558+I558)*(1/12)))*IF(OR(C558&gt;ÉV!$I$2,AND(C558=ÉV!$I$2,D558&gt;ÉV!$J$2)),0,1)</f>
        <v>0</v>
      </c>
      <c r="S558" s="271">
        <f ca="1">(MAX(0,F558-0.003)*0.9*((O558)*(1/12)))*IF(OR(C558&gt;ÉV!$I$2,AND(C558=ÉV!$I$2,D558&gt;ÉV!$J$2)),0,1)</f>
        <v>0</v>
      </c>
      <c r="T558" s="271">
        <f ca="1">(MAX(0,F558-0.003)*0.9*((Q557)*(1/12)))*IF(OR(C558&gt;ÉV!$I$2,AND(C558=ÉV!$I$2,D558&gt;ÉV!$J$2)),0,1)</f>
        <v>0</v>
      </c>
      <c r="U558" s="271">
        <f ca="1">IF($D558=1,R558,R558+U557)*IF(OR(C558&gt;ÉV!$I$2,AND(C558=ÉV!$I$2,D558&gt;ÉV!$J$2)),0,1)</f>
        <v>0</v>
      </c>
      <c r="V558" s="271">
        <f ca="1">IF($D558=1,S558,S558+V557)*IF(OR(C558&gt;ÉV!$I$2,AND(C558=ÉV!$I$2,D558&gt;ÉV!$J$2)),0,1)</f>
        <v>0</v>
      </c>
      <c r="W558" s="271">
        <f ca="1">IF($D558=1,T558,T558+W557)*IF(OR(C558&gt;ÉV!$I$2,AND(C558=ÉV!$I$2,D558&gt;ÉV!$J$2)),0,1)</f>
        <v>0</v>
      </c>
      <c r="X558" s="271">
        <f ca="1">IF(OR(D558=12,AND(C558=ÉV!$I$2,D558=ÉV!$J$2)),SUM(U558:W558)+X557,X557)*IF(OR(C558&gt;ÉV!$I$2,AND(C558=ÉV!$I$2,D558&gt;ÉV!$J$2)),0,1)</f>
        <v>0</v>
      </c>
      <c r="Y558" s="271">
        <f t="shared" ca="1" si="92"/>
        <v>0</v>
      </c>
      <c r="Z558" s="265">
        <f t="shared" si="93"/>
        <v>4</v>
      </c>
      <c r="AA558" s="272">
        <f t="shared" ca="1" si="94"/>
        <v>0</v>
      </c>
      <c r="AB558" s="265">
        <f t="shared" ca="1" si="98"/>
        <v>2063</v>
      </c>
      <c r="AC558" s="265">
        <f t="shared" ca="1" si="99"/>
        <v>7</v>
      </c>
      <c r="AD558" s="276">
        <f ca="1">IF(     OR(               AND(MAX(AF$6:AF558)&lt;2,  AC558=12),                 AF558=2),                   SUMIF(AB:AB,AB558,AA:AA),                       0)</f>
        <v>0</v>
      </c>
      <c r="AE558" s="277">
        <f t="shared" ca="1" si="100"/>
        <v>0</v>
      </c>
      <c r="AF558" s="277">
        <f t="shared" ca="1" si="95"/>
        <v>0</v>
      </c>
      <c r="AG558" s="402">
        <f ca="1">IF(  AND(AC558=AdóHó,   MAX(AF$1:AF557)&lt;2),   SUMIF(AB:AB,AB558-1,AE:AE),0  )
+ IF(AND(AC558&lt;AdóHó,                            AF558=2),   SUMIF(AB:AB,AB558-1,AE:AE),0  )
+ IF(                                                                  AF558=2,    SUMIF(AB:AB,AB558,AE:AE   ),0  )</f>
        <v>0</v>
      </c>
      <c r="AH558" s="272">
        <f ca="1">SUM(AG$2:AG558)</f>
        <v>1139324.2410681627</v>
      </c>
    </row>
    <row r="559" spans="1:34">
      <c r="A559" s="265">
        <f t="shared" si="101"/>
        <v>47</v>
      </c>
      <c r="B559" s="265">
        <f t="shared" si="102"/>
        <v>5</v>
      </c>
      <c r="C559" s="265">
        <f t="shared" ca="1" si="96"/>
        <v>47</v>
      </c>
      <c r="D559" s="265">
        <f t="shared" ca="1" si="97"/>
        <v>8</v>
      </c>
      <c r="E559" s="266">
        <v>5.0000000000000001E-3</v>
      </c>
      <c r="F559" s="267">
        <f>ÉV!$B$12</f>
        <v>0</v>
      </c>
      <c r="G559" s="271">
        <f ca="1">VLOOKUP(A559,ÉV!$A$18:$B$65,2,0)</f>
        <v>0</v>
      </c>
      <c r="H559" s="271">
        <f ca="1">IF(OR(A559=1,AND(C559=ÉV!$I$2,D559&gt;ÉV!$J$2),C559&gt;ÉV!$I$2),0,INDEX(Pz!$B$2:$AM$48,A559-1,ÉV!$G$2-9)/100000*ÉV!$B$10)</f>
        <v>0</v>
      </c>
      <c r="I559" s="271">
        <f ca="1">INDEX(Pz!$B$2:$AM$48,HÓ!A559,ÉV!$G$2-9)/100000*ÉV!$B$10</f>
        <v>0</v>
      </c>
      <c r="J559" s="273">
        <f ca="1">IF(OR(A559=1,A559=2,AND(C559=ÉV!$I$2,D559&gt;ÉV!$J$2),C559&gt;ÉV!$I$2),0,VLOOKUP(A559-2,ÉV!$A$18:$C$65,3,0))</f>
        <v>0</v>
      </c>
      <c r="K559" s="273">
        <f ca="1">IF(OR(A559=1,AND(C559=ÉV!$I$2,D559&gt;ÉV!$J$2),C559&gt;ÉV!$I$2),0,VLOOKUP(A559-1,ÉV!$A$18:$C$65,3,0))</f>
        <v>0</v>
      </c>
      <c r="L559" s="273">
        <f ca="1">VLOOKUP(A559,ÉV!$A$18:$C$65,3,0)*IF(OR(AND(C559=ÉV!$I$2,D559&gt;ÉV!$J$2),C559&gt;ÉV!$I$2),0,1)</f>
        <v>0</v>
      </c>
      <c r="M559" s="273">
        <f ca="1">(K559*(12-B559)/12+L559*B559/12)*IF(A559&gt;ÉV!$G$2,0,1)+IF(A559&gt;ÉV!$G$2,M558,0)*IF(OR(AND(C559=ÉV!$I$2,D559&gt;ÉV!$J$2),C559&gt;ÉV!$I$2),0,1)</f>
        <v>0</v>
      </c>
      <c r="N559" s="274">
        <f ca="1">IF(AND(C559=1,D559&lt;12),0,1)*IF(D559=12,MAX(0,F559-E559-0.003)*0.9*((K559+I559)*(B559/12)+(J559+H559)*(1-B559/12))+MAX(0,F559-0.003)*0.9*N558+N558,IF(AND(C559=ÉV!$I$2,D559=ÉV!$J$2),(M559+N558)*MAX(0,F559-0.003)*0.9*(D559/12)+N558,N558))*IF(OR(C559&gt;ÉV!$I$2,AND(C559=ÉV!$I$2,D559&gt;ÉV!$J$2)),0,1)</f>
        <v>0</v>
      </c>
      <c r="O559" s="313">
        <f ca="1">IF(MAX(AF$2:AF558)=2,      0,IF(OR(AC559=7, AF559=2),    SUM(AE$2:AE559),    O558)   )</f>
        <v>0</v>
      </c>
      <c r="P559" s="271">
        <f ca="1">IF(D559=12,V559+P558+P558*(F559-0.003)*0.9,IF(AND(C559=ÉV!$I$2,D559=ÉV!$J$2),V559+P558+P558*(F559-0.003)*0.9*D559/12,P558))*IF(OR(C559&gt;ÉV!$I$2,AND(C559=ÉV!$I$2,D559&gt;ÉV!$J$2)),0,1)</f>
        <v>0</v>
      </c>
      <c r="Q559" s="275">
        <f ca="1">(N559+P559)*IF(OR(AND(C559=ÉV!$I$2,D559&gt;ÉV!$J$2),C559&gt;ÉV!$I$2),0,1)</f>
        <v>0</v>
      </c>
      <c r="R559" s="271">
        <f ca="1">(MAX(0,F559-E559-0.003)*0.9*((K559+I559)*(1/12)))*IF(OR(C559&gt;ÉV!$I$2,AND(C559=ÉV!$I$2,D559&gt;ÉV!$J$2)),0,1)</f>
        <v>0</v>
      </c>
      <c r="S559" s="271">
        <f ca="1">(MAX(0,F559-0.003)*0.9*((O559)*(1/12)))*IF(OR(C559&gt;ÉV!$I$2,AND(C559=ÉV!$I$2,D559&gt;ÉV!$J$2)),0,1)</f>
        <v>0</v>
      </c>
      <c r="T559" s="271">
        <f ca="1">(MAX(0,F559-0.003)*0.9*((Q558)*(1/12)))*IF(OR(C559&gt;ÉV!$I$2,AND(C559=ÉV!$I$2,D559&gt;ÉV!$J$2)),0,1)</f>
        <v>0</v>
      </c>
      <c r="U559" s="271">
        <f ca="1">IF($D559=1,R559,R559+U558)*IF(OR(C559&gt;ÉV!$I$2,AND(C559=ÉV!$I$2,D559&gt;ÉV!$J$2)),0,1)</f>
        <v>0</v>
      </c>
      <c r="V559" s="271">
        <f ca="1">IF($D559=1,S559,S559+V558)*IF(OR(C559&gt;ÉV!$I$2,AND(C559=ÉV!$I$2,D559&gt;ÉV!$J$2)),0,1)</f>
        <v>0</v>
      </c>
      <c r="W559" s="271">
        <f ca="1">IF($D559=1,T559,T559+W558)*IF(OR(C559&gt;ÉV!$I$2,AND(C559=ÉV!$I$2,D559&gt;ÉV!$J$2)),0,1)</f>
        <v>0</v>
      </c>
      <c r="X559" s="271">
        <f ca="1">IF(OR(D559=12,AND(C559=ÉV!$I$2,D559=ÉV!$J$2)),SUM(U559:W559)+X558,X558)*IF(OR(C559&gt;ÉV!$I$2,AND(C559=ÉV!$I$2,D559&gt;ÉV!$J$2)),0,1)</f>
        <v>0</v>
      </c>
      <c r="Y559" s="271">
        <f t="shared" ca="1" si="92"/>
        <v>0</v>
      </c>
      <c r="Z559" s="265">
        <f t="shared" si="93"/>
        <v>5</v>
      </c>
      <c r="AA559" s="272">
        <f t="shared" ca="1" si="94"/>
        <v>0</v>
      </c>
      <c r="AB559" s="265">
        <f t="shared" ca="1" si="98"/>
        <v>2063</v>
      </c>
      <c r="AC559" s="265">
        <f t="shared" ca="1" si="99"/>
        <v>8</v>
      </c>
      <c r="AD559" s="276">
        <f ca="1">IF(     OR(               AND(MAX(AF$6:AF559)&lt;2,  AC559=12),                 AF559=2),                   SUMIF(AB:AB,AB559,AA:AA),                       0)</f>
        <v>0</v>
      </c>
      <c r="AE559" s="277">
        <f t="shared" ca="1" si="100"/>
        <v>0</v>
      </c>
      <c r="AF559" s="277">
        <f t="shared" ca="1" si="95"/>
        <v>0</v>
      </c>
      <c r="AG559" s="402">
        <f ca="1">IF(  AND(AC559=AdóHó,   MAX(AF$1:AF558)&lt;2),   SUMIF(AB:AB,AB559-1,AE:AE),0  )
+ IF(AND(AC559&lt;AdóHó,                            AF559=2),   SUMIF(AB:AB,AB559-1,AE:AE),0  )
+ IF(                                                                  AF559=2,    SUMIF(AB:AB,AB559,AE:AE   ),0  )</f>
        <v>0</v>
      </c>
      <c r="AH559" s="272">
        <f ca="1">SUM(AG$2:AG559)</f>
        <v>1139324.2410681627</v>
      </c>
    </row>
    <row r="560" spans="1:34">
      <c r="A560" s="265">
        <f t="shared" si="101"/>
        <v>47</v>
      </c>
      <c r="B560" s="265">
        <f t="shared" si="102"/>
        <v>6</v>
      </c>
      <c r="C560" s="265">
        <f t="shared" ca="1" si="96"/>
        <v>47</v>
      </c>
      <c r="D560" s="265">
        <f t="shared" ca="1" si="97"/>
        <v>9</v>
      </c>
      <c r="E560" s="266">
        <v>5.0000000000000001E-3</v>
      </c>
      <c r="F560" s="267">
        <f>ÉV!$B$12</f>
        <v>0</v>
      </c>
      <c r="G560" s="271">
        <f ca="1">VLOOKUP(A560,ÉV!$A$18:$B$65,2,0)</f>
        <v>0</v>
      </c>
      <c r="H560" s="271">
        <f ca="1">IF(OR(A560=1,AND(C560=ÉV!$I$2,D560&gt;ÉV!$J$2),C560&gt;ÉV!$I$2),0,INDEX(Pz!$B$2:$AM$48,A560-1,ÉV!$G$2-9)/100000*ÉV!$B$10)</f>
        <v>0</v>
      </c>
      <c r="I560" s="271">
        <f ca="1">INDEX(Pz!$B$2:$AM$48,HÓ!A560,ÉV!$G$2-9)/100000*ÉV!$B$10</f>
        <v>0</v>
      </c>
      <c r="J560" s="273">
        <f ca="1">IF(OR(A560=1,A560=2,AND(C560=ÉV!$I$2,D560&gt;ÉV!$J$2),C560&gt;ÉV!$I$2),0,VLOOKUP(A560-2,ÉV!$A$18:$C$65,3,0))</f>
        <v>0</v>
      </c>
      <c r="K560" s="273">
        <f ca="1">IF(OR(A560=1,AND(C560=ÉV!$I$2,D560&gt;ÉV!$J$2),C560&gt;ÉV!$I$2),0,VLOOKUP(A560-1,ÉV!$A$18:$C$65,3,0))</f>
        <v>0</v>
      </c>
      <c r="L560" s="273">
        <f ca="1">VLOOKUP(A560,ÉV!$A$18:$C$65,3,0)*IF(OR(AND(C560=ÉV!$I$2,D560&gt;ÉV!$J$2),C560&gt;ÉV!$I$2),0,1)</f>
        <v>0</v>
      </c>
      <c r="M560" s="273">
        <f ca="1">(K560*(12-B560)/12+L560*B560/12)*IF(A560&gt;ÉV!$G$2,0,1)+IF(A560&gt;ÉV!$G$2,M559,0)*IF(OR(AND(C560=ÉV!$I$2,D560&gt;ÉV!$J$2),C560&gt;ÉV!$I$2),0,1)</f>
        <v>0</v>
      </c>
      <c r="N560" s="274">
        <f ca="1">IF(AND(C560=1,D560&lt;12),0,1)*IF(D560=12,MAX(0,F560-E560-0.003)*0.9*((K560+I560)*(B560/12)+(J560+H560)*(1-B560/12))+MAX(0,F560-0.003)*0.9*N559+N559,IF(AND(C560=ÉV!$I$2,D560=ÉV!$J$2),(M560+N559)*MAX(0,F560-0.003)*0.9*(D560/12)+N559,N559))*IF(OR(C560&gt;ÉV!$I$2,AND(C560=ÉV!$I$2,D560&gt;ÉV!$J$2)),0,1)</f>
        <v>0</v>
      </c>
      <c r="O560" s="313">
        <f ca="1">IF(MAX(AF$2:AF559)=2,      0,IF(OR(AC560=7, AF560=2),    SUM(AE$2:AE560),    O559)   )</f>
        <v>0</v>
      </c>
      <c r="P560" s="271">
        <f ca="1">IF(D560=12,V560+P559+P559*(F560-0.003)*0.9,IF(AND(C560=ÉV!$I$2,D560=ÉV!$J$2),V560+P559+P559*(F560-0.003)*0.9*D560/12,P559))*IF(OR(C560&gt;ÉV!$I$2,AND(C560=ÉV!$I$2,D560&gt;ÉV!$J$2)),0,1)</f>
        <v>0</v>
      </c>
      <c r="Q560" s="275">
        <f ca="1">(N560+P560)*IF(OR(AND(C560=ÉV!$I$2,D560&gt;ÉV!$J$2),C560&gt;ÉV!$I$2),0,1)</f>
        <v>0</v>
      </c>
      <c r="R560" s="271">
        <f ca="1">(MAX(0,F560-E560-0.003)*0.9*((K560+I560)*(1/12)))*IF(OR(C560&gt;ÉV!$I$2,AND(C560=ÉV!$I$2,D560&gt;ÉV!$J$2)),0,1)</f>
        <v>0</v>
      </c>
      <c r="S560" s="271">
        <f ca="1">(MAX(0,F560-0.003)*0.9*((O560)*(1/12)))*IF(OR(C560&gt;ÉV!$I$2,AND(C560=ÉV!$I$2,D560&gt;ÉV!$J$2)),0,1)</f>
        <v>0</v>
      </c>
      <c r="T560" s="271">
        <f ca="1">(MAX(0,F560-0.003)*0.9*((Q559)*(1/12)))*IF(OR(C560&gt;ÉV!$I$2,AND(C560=ÉV!$I$2,D560&gt;ÉV!$J$2)),0,1)</f>
        <v>0</v>
      </c>
      <c r="U560" s="271">
        <f ca="1">IF($D560=1,R560,R560+U559)*IF(OR(C560&gt;ÉV!$I$2,AND(C560=ÉV!$I$2,D560&gt;ÉV!$J$2)),0,1)</f>
        <v>0</v>
      </c>
      <c r="V560" s="271">
        <f ca="1">IF($D560=1,S560,S560+V559)*IF(OR(C560&gt;ÉV!$I$2,AND(C560=ÉV!$I$2,D560&gt;ÉV!$J$2)),0,1)</f>
        <v>0</v>
      </c>
      <c r="W560" s="271">
        <f ca="1">IF($D560=1,T560,T560+W559)*IF(OR(C560&gt;ÉV!$I$2,AND(C560=ÉV!$I$2,D560&gt;ÉV!$J$2)),0,1)</f>
        <v>0</v>
      </c>
      <c r="X560" s="271">
        <f ca="1">IF(OR(D560=12,AND(C560=ÉV!$I$2,D560=ÉV!$J$2)),SUM(U560:W560)+X559,X559)*IF(OR(C560&gt;ÉV!$I$2,AND(C560=ÉV!$I$2,D560&gt;ÉV!$J$2)),0,1)</f>
        <v>0</v>
      </c>
      <c r="Y560" s="271">
        <f t="shared" ca="1" si="92"/>
        <v>0</v>
      </c>
      <c r="Z560" s="265">
        <f t="shared" si="93"/>
        <v>6</v>
      </c>
      <c r="AA560" s="272">
        <f t="shared" ca="1" si="94"/>
        <v>0</v>
      </c>
      <c r="AB560" s="265">
        <f t="shared" ca="1" si="98"/>
        <v>2063</v>
      </c>
      <c r="AC560" s="265">
        <f t="shared" ca="1" si="99"/>
        <v>9</v>
      </c>
      <c r="AD560" s="276">
        <f ca="1">IF(     OR(               AND(MAX(AF$6:AF560)&lt;2,  AC560=12),                 AF560=2),                   SUMIF(AB:AB,AB560,AA:AA),                       0)</f>
        <v>0</v>
      </c>
      <c r="AE560" s="277">
        <f t="shared" ca="1" si="100"/>
        <v>0</v>
      </c>
      <c r="AF560" s="277">
        <f t="shared" ca="1" si="95"/>
        <v>0</v>
      </c>
      <c r="AG560" s="402">
        <f ca="1">IF(  AND(AC560=AdóHó,   MAX(AF$1:AF559)&lt;2),   SUMIF(AB:AB,AB560-1,AE:AE),0  )
+ IF(AND(AC560&lt;AdóHó,                            AF560=2),   SUMIF(AB:AB,AB560-1,AE:AE),0  )
+ IF(                                                                  AF560=2,    SUMIF(AB:AB,AB560,AE:AE   ),0  )</f>
        <v>0</v>
      </c>
      <c r="AH560" s="272">
        <f ca="1">SUM(AG$2:AG560)</f>
        <v>1139324.2410681627</v>
      </c>
    </row>
    <row r="561" spans="1:34">
      <c r="A561" s="265">
        <f t="shared" si="101"/>
        <v>47</v>
      </c>
      <c r="B561" s="265">
        <f t="shared" si="102"/>
        <v>7</v>
      </c>
      <c r="C561" s="265">
        <f t="shared" ca="1" si="96"/>
        <v>47</v>
      </c>
      <c r="D561" s="265">
        <f t="shared" ca="1" si="97"/>
        <v>10</v>
      </c>
      <c r="E561" s="266">
        <v>5.0000000000000001E-3</v>
      </c>
      <c r="F561" s="267">
        <f>ÉV!$B$12</f>
        <v>0</v>
      </c>
      <c r="G561" s="271">
        <f ca="1">VLOOKUP(A561,ÉV!$A$18:$B$65,2,0)</f>
        <v>0</v>
      </c>
      <c r="H561" s="271">
        <f ca="1">IF(OR(A561=1,AND(C561=ÉV!$I$2,D561&gt;ÉV!$J$2),C561&gt;ÉV!$I$2),0,INDEX(Pz!$B$2:$AM$48,A561-1,ÉV!$G$2-9)/100000*ÉV!$B$10)</f>
        <v>0</v>
      </c>
      <c r="I561" s="271">
        <f ca="1">INDEX(Pz!$B$2:$AM$48,HÓ!A561,ÉV!$G$2-9)/100000*ÉV!$B$10</f>
        <v>0</v>
      </c>
      <c r="J561" s="273">
        <f ca="1">IF(OR(A561=1,A561=2,AND(C561=ÉV!$I$2,D561&gt;ÉV!$J$2),C561&gt;ÉV!$I$2),0,VLOOKUP(A561-2,ÉV!$A$18:$C$65,3,0))</f>
        <v>0</v>
      </c>
      <c r="K561" s="273">
        <f ca="1">IF(OR(A561=1,AND(C561=ÉV!$I$2,D561&gt;ÉV!$J$2),C561&gt;ÉV!$I$2),0,VLOOKUP(A561-1,ÉV!$A$18:$C$65,3,0))</f>
        <v>0</v>
      </c>
      <c r="L561" s="273">
        <f ca="1">VLOOKUP(A561,ÉV!$A$18:$C$65,3,0)*IF(OR(AND(C561=ÉV!$I$2,D561&gt;ÉV!$J$2),C561&gt;ÉV!$I$2),0,1)</f>
        <v>0</v>
      </c>
      <c r="M561" s="273">
        <f ca="1">(K561*(12-B561)/12+L561*B561/12)*IF(A561&gt;ÉV!$G$2,0,1)+IF(A561&gt;ÉV!$G$2,M560,0)*IF(OR(AND(C561=ÉV!$I$2,D561&gt;ÉV!$J$2),C561&gt;ÉV!$I$2),0,1)</f>
        <v>0</v>
      </c>
      <c r="N561" s="274">
        <f ca="1">IF(AND(C561=1,D561&lt;12),0,1)*IF(D561=12,MAX(0,F561-E561-0.003)*0.9*((K561+I561)*(B561/12)+(J561+H561)*(1-B561/12))+MAX(0,F561-0.003)*0.9*N560+N560,IF(AND(C561=ÉV!$I$2,D561=ÉV!$J$2),(M561+N560)*MAX(0,F561-0.003)*0.9*(D561/12)+N560,N560))*IF(OR(C561&gt;ÉV!$I$2,AND(C561=ÉV!$I$2,D561&gt;ÉV!$J$2)),0,1)</f>
        <v>0</v>
      </c>
      <c r="O561" s="313">
        <f ca="1">IF(MAX(AF$2:AF560)=2,      0,IF(OR(AC561=7, AF561=2),    SUM(AE$2:AE561),    O560)   )</f>
        <v>0</v>
      </c>
      <c r="P561" s="271">
        <f ca="1">IF(D561=12,V561+P560+P560*(F561-0.003)*0.9,IF(AND(C561=ÉV!$I$2,D561=ÉV!$J$2),V561+P560+P560*(F561-0.003)*0.9*D561/12,P560))*IF(OR(C561&gt;ÉV!$I$2,AND(C561=ÉV!$I$2,D561&gt;ÉV!$J$2)),0,1)</f>
        <v>0</v>
      </c>
      <c r="Q561" s="275">
        <f ca="1">(N561+P561)*IF(OR(AND(C561=ÉV!$I$2,D561&gt;ÉV!$J$2),C561&gt;ÉV!$I$2),0,1)</f>
        <v>0</v>
      </c>
      <c r="R561" s="271">
        <f ca="1">(MAX(0,F561-E561-0.003)*0.9*((K561+I561)*(1/12)))*IF(OR(C561&gt;ÉV!$I$2,AND(C561=ÉV!$I$2,D561&gt;ÉV!$J$2)),0,1)</f>
        <v>0</v>
      </c>
      <c r="S561" s="271">
        <f ca="1">(MAX(0,F561-0.003)*0.9*((O561)*(1/12)))*IF(OR(C561&gt;ÉV!$I$2,AND(C561=ÉV!$I$2,D561&gt;ÉV!$J$2)),0,1)</f>
        <v>0</v>
      </c>
      <c r="T561" s="271">
        <f ca="1">(MAX(0,F561-0.003)*0.9*((Q560)*(1/12)))*IF(OR(C561&gt;ÉV!$I$2,AND(C561=ÉV!$I$2,D561&gt;ÉV!$J$2)),0,1)</f>
        <v>0</v>
      </c>
      <c r="U561" s="271">
        <f ca="1">IF($D561=1,R561,R561+U560)*IF(OR(C561&gt;ÉV!$I$2,AND(C561=ÉV!$I$2,D561&gt;ÉV!$J$2)),0,1)</f>
        <v>0</v>
      </c>
      <c r="V561" s="271">
        <f ca="1">IF($D561=1,S561,S561+V560)*IF(OR(C561&gt;ÉV!$I$2,AND(C561=ÉV!$I$2,D561&gt;ÉV!$J$2)),0,1)</f>
        <v>0</v>
      </c>
      <c r="W561" s="271">
        <f ca="1">IF($D561=1,T561,T561+W560)*IF(OR(C561&gt;ÉV!$I$2,AND(C561=ÉV!$I$2,D561&gt;ÉV!$J$2)),0,1)</f>
        <v>0</v>
      </c>
      <c r="X561" s="271">
        <f ca="1">IF(OR(D561=12,AND(C561=ÉV!$I$2,D561=ÉV!$J$2)),SUM(U561:W561)+X560,X560)*IF(OR(C561&gt;ÉV!$I$2,AND(C561=ÉV!$I$2,D561&gt;ÉV!$J$2)),0,1)</f>
        <v>0</v>
      </c>
      <c r="Y561" s="271">
        <f t="shared" ca="1" si="92"/>
        <v>0</v>
      </c>
      <c r="Z561" s="265">
        <f t="shared" si="93"/>
        <v>7</v>
      </c>
      <c r="AA561" s="272">
        <f t="shared" ca="1" si="94"/>
        <v>0</v>
      </c>
      <c r="AB561" s="265">
        <f t="shared" ca="1" si="98"/>
        <v>2063</v>
      </c>
      <c r="AC561" s="265">
        <f t="shared" ca="1" si="99"/>
        <v>10</v>
      </c>
      <c r="AD561" s="276">
        <f ca="1">IF(     OR(               AND(MAX(AF$6:AF561)&lt;2,  AC561=12),                 AF561=2),                   SUMIF(AB:AB,AB561,AA:AA),                       0)</f>
        <v>0</v>
      </c>
      <c r="AE561" s="277">
        <f t="shared" ca="1" si="100"/>
        <v>0</v>
      </c>
      <c r="AF561" s="277">
        <f t="shared" ca="1" si="95"/>
        <v>0</v>
      </c>
      <c r="AG561" s="402">
        <f ca="1">IF(  AND(AC561=AdóHó,   MAX(AF$1:AF560)&lt;2),   SUMIF(AB:AB,AB561-1,AE:AE),0  )
+ IF(AND(AC561&lt;AdóHó,                            AF561=2),   SUMIF(AB:AB,AB561-1,AE:AE),0  )
+ IF(                                                                  AF561=2,    SUMIF(AB:AB,AB561,AE:AE   ),0  )</f>
        <v>0</v>
      </c>
      <c r="AH561" s="272">
        <f ca="1">SUM(AG$2:AG561)</f>
        <v>1139324.2410681627</v>
      </c>
    </row>
    <row r="562" spans="1:34">
      <c r="A562" s="265">
        <f t="shared" si="101"/>
        <v>47</v>
      </c>
      <c r="B562" s="265">
        <f t="shared" si="102"/>
        <v>8</v>
      </c>
      <c r="C562" s="265">
        <f t="shared" ca="1" si="96"/>
        <v>47</v>
      </c>
      <c r="D562" s="265">
        <f t="shared" ca="1" si="97"/>
        <v>11</v>
      </c>
      <c r="E562" s="266">
        <v>5.0000000000000001E-3</v>
      </c>
      <c r="F562" s="267">
        <f>ÉV!$B$12</f>
        <v>0</v>
      </c>
      <c r="G562" s="271">
        <f ca="1">VLOOKUP(A562,ÉV!$A$18:$B$65,2,0)</f>
        <v>0</v>
      </c>
      <c r="H562" s="271">
        <f ca="1">IF(OR(A562=1,AND(C562=ÉV!$I$2,D562&gt;ÉV!$J$2),C562&gt;ÉV!$I$2),0,INDEX(Pz!$B$2:$AM$48,A562-1,ÉV!$G$2-9)/100000*ÉV!$B$10)</f>
        <v>0</v>
      </c>
      <c r="I562" s="271">
        <f ca="1">INDEX(Pz!$B$2:$AM$48,HÓ!A562,ÉV!$G$2-9)/100000*ÉV!$B$10</f>
        <v>0</v>
      </c>
      <c r="J562" s="273">
        <f ca="1">IF(OR(A562=1,A562=2,AND(C562=ÉV!$I$2,D562&gt;ÉV!$J$2),C562&gt;ÉV!$I$2),0,VLOOKUP(A562-2,ÉV!$A$18:$C$65,3,0))</f>
        <v>0</v>
      </c>
      <c r="K562" s="273">
        <f ca="1">IF(OR(A562=1,AND(C562=ÉV!$I$2,D562&gt;ÉV!$J$2),C562&gt;ÉV!$I$2),0,VLOOKUP(A562-1,ÉV!$A$18:$C$65,3,0))</f>
        <v>0</v>
      </c>
      <c r="L562" s="273">
        <f ca="1">VLOOKUP(A562,ÉV!$A$18:$C$65,3,0)*IF(OR(AND(C562=ÉV!$I$2,D562&gt;ÉV!$J$2),C562&gt;ÉV!$I$2),0,1)</f>
        <v>0</v>
      </c>
      <c r="M562" s="273">
        <f ca="1">(K562*(12-B562)/12+L562*B562/12)*IF(A562&gt;ÉV!$G$2,0,1)+IF(A562&gt;ÉV!$G$2,M561,0)*IF(OR(AND(C562=ÉV!$I$2,D562&gt;ÉV!$J$2),C562&gt;ÉV!$I$2),0,1)</f>
        <v>0</v>
      </c>
      <c r="N562" s="274">
        <f ca="1">IF(AND(C562=1,D562&lt;12),0,1)*IF(D562=12,MAX(0,F562-E562-0.003)*0.9*((K562+I562)*(B562/12)+(J562+H562)*(1-B562/12))+MAX(0,F562-0.003)*0.9*N561+N561,IF(AND(C562=ÉV!$I$2,D562=ÉV!$J$2),(M562+N561)*MAX(0,F562-0.003)*0.9*(D562/12)+N561,N561))*IF(OR(C562&gt;ÉV!$I$2,AND(C562=ÉV!$I$2,D562&gt;ÉV!$J$2)),0,1)</f>
        <v>0</v>
      </c>
      <c r="O562" s="313">
        <f ca="1">IF(MAX(AF$2:AF561)=2,      0,IF(OR(AC562=7, AF562=2),    SUM(AE$2:AE562),    O561)   )</f>
        <v>0</v>
      </c>
      <c r="P562" s="271">
        <f ca="1">IF(D562=12,V562+P561+P561*(F562-0.003)*0.9,IF(AND(C562=ÉV!$I$2,D562=ÉV!$J$2),V562+P561+P561*(F562-0.003)*0.9*D562/12,P561))*IF(OR(C562&gt;ÉV!$I$2,AND(C562=ÉV!$I$2,D562&gt;ÉV!$J$2)),0,1)</f>
        <v>0</v>
      </c>
      <c r="Q562" s="275">
        <f ca="1">(N562+P562)*IF(OR(AND(C562=ÉV!$I$2,D562&gt;ÉV!$J$2),C562&gt;ÉV!$I$2),0,1)</f>
        <v>0</v>
      </c>
      <c r="R562" s="271">
        <f ca="1">(MAX(0,F562-E562-0.003)*0.9*((K562+I562)*(1/12)))*IF(OR(C562&gt;ÉV!$I$2,AND(C562=ÉV!$I$2,D562&gt;ÉV!$J$2)),0,1)</f>
        <v>0</v>
      </c>
      <c r="S562" s="271">
        <f ca="1">(MAX(0,F562-0.003)*0.9*((O562)*(1/12)))*IF(OR(C562&gt;ÉV!$I$2,AND(C562=ÉV!$I$2,D562&gt;ÉV!$J$2)),0,1)</f>
        <v>0</v>
      </c>
      <c r="T562" s="271">
        <f ca="1">(MAX(0,F562-0.003)*0.9*((Q561)*(1/12)))*IF(OR(C562&gt;ÉV!$I$2,AND(C562=ÉV!$I$2,D562&gt;ÉV!$J$2)),0,1)</f>
        <v>0</v>
      </c>
      <c r="U562" s="271">
        <f ca="1">IF($D562=1,R562,R562+U561)*IF(OR(C562&gt;ÉV!$I$2,AND(C562=ÉV!$I$2,D562&gt;ÉV!$J$2)),0,1)</f>
        <v>0</v>
      </c>
      <c r="V562" s="271">
        <f ca="1">IF($D562=1,S562,S562+V561)*IF(OR(C562&gt;ÉV!$I$2,AND(C562=ÉV!$I$2,D562&gt;ÉV!$J$2)),0,1)</f>
        <v>0</v>
      </c>
      <c r="W562" s="271">
        <f ca="1">IF($D562=1,T562,T562+W561)*IF(OR(C562&gt;ÉV!$I$2,AND(C562=ÉV!$I$2,D562&gt;ÉV!$J$2)),0,1)</f>
        <v>0</v>
      </c>
      <c r="X562" s="271">
        <f ca="1">IF(OR(D562=12,AND(C562=ÉV!$I$2,D562=ÉV!$J$2)),SUM(U562:W562)+X561,X561)*IF(OR(C562&gt;ÉV!$I$2,AND(C562=ÉV!$I$2,D562&gt;ÉV!$J$2)),0,1)</f>
        <v>0</v>
      </c>
      <c r="Y562" s="271">
        <f t="shared" ca="1" si="92"/>
        <v>0</v>
      </c>
      <c r="Z562" s="265">
        <f t="shared" si="93"/>
        <v>8</v>
      </c>
      <c r="AA562" s="272">
        <f t="shared" ca="1" si="94"/>
        <v>0</v>
      </c>
      <c r="AB562" s="265">
        <f t="shared" ca="1" si="98"/>
        <v>2063</v>
      </c>
      <c r="AC562" s="265">
        <f t="shared" ca="1" si="99"/>
        <v>11</v>
      </c>
      <c r="AD562" s="276">
        <f ca="1">IF(     OR(               AND(MAX(AF$6:AF562)&lt;2,  AC562=12),                 AF562=2),                   SUMIF(AB:AB,AB562,AA:AA),                       0)</f>
        <v>0</v>
      </c>
      <c r="AE562" s="277">
        <f t="shared" ca="1" si="100"/>
        <v>0</v>
      </c>
      <c r="AF562" s="277">
        <f t="shared" ca="1" si="95"/>
        <v>0</v>
      </c>
      <c r="AG562" s="402">
        <f ca="1">IF(  AND(AC562=AdóHó,   MAX(AF$1:AF561)&lt;2),   SUMIF(AB:AB,AB562-1,AE:AE),0  )
+ IF(AND(AC562&lt;AdóHó,                            AF562=2),   SUMIF(AB:AB,AB562-1,AE:AE),0  )
+ IF(                                                                  AF562=2,    SUMIF(AB:AB,AB562,AE:AE   ),0  )</f>
        <v>0</v>
      </c>
      <c r="AH562" s="272">
        <f ca="1">SUM(AG$2:AG562)</f>
        <v>1139324.2410681627</v>
      </c>
    </row>
    <row r="563" spans="1:34">
      <c r="A563" s="265">
        <f t="shared" si="101"/>
        <v>47</v>
      </c>
      <c r="B563" s="265">
        <f t="shared" si="102"/>
        <v>9</v>
      </c>
      <c r="C563" s="265">
        <f t="shared" ca="1" si="96"/>
        <v>47</v>
      </c>
      <c r="D563" s="265">
        <f t="shared" ca="1" si="97"/>
        <v>12</v>
      </c>
      <c r="E563" s="266">
        <v>5.0000000000000001E-3</v>
      </c>
      <c r="F563" s="267">
        <f>ÉV!$B$12</f>
        <v>0</v>
      </c>
      <c r="G563" s="271">
        <f ca="1">VLOOKUP(A563,ÉV!$A$18:$B$65,2,0)</f>
        <v>0</v>
      </c>
      <c r="H563" s="271">
        <f ca="1">IF(OR(A563=1,AND(C563=ÉV!$I$2,D563&gt;ÉV!$J$2),C563&gt;ÉV!$I$2),0,INDEX(Pz!$B$2:$AM$48,A563-1,ÉV!$G$2-9)/100000*ÉV!$B$10)</f>
        <v>0</v>
      </c>
      <c r="I563" s="271">
        <f ca="1">INDEX(Pz!$B$2:$AM$48,HÓ!A563,ÉV!$G$2-9)/100000*ÉV!$B$10</f>
        <v>0</v>
      </c>
      <c r="J563" s="273">
        <f ca="1">IF(OR(A563=1,A563=2,AND(C563=ÉV!$I$2,D563&gt;ÉV!$J$2),C563&gt;ÉV!$I$2),0,VLOOKUP(A563-2,ÉV!$A$18:$C$65,3,0))</f>
        <v>0</v>
      </c>
      <c r="K563" s="273">
        <f ca="1">IF(OR(A563=1,AND(C563=ÉV!$I$2,D563&gt;ÉV!$J$2),C563&gt;ÉV!$I$2),0,VLOOKUP(A563-1,ÉV!$A$18:$C$65,3,0))</f>
        <v>0</v>
      </c>
      <c r="L563" s="273">
        <f ca="1">VLOOKUP(A563,ÉV!$A$18:$C$65,3,0)*IF(OR(AND(C563=ÉV!$I$2,D563&gt;ÉV!$J$2),C563&gt;ÉV!$I$2),0,1)</f>
        <v>0</v>
      </c>
      <c r="M563" s="273">
        <f ca="1">(K563*(12-B563)/12+L563*B563/12)*IF(A563&gt;ÉV!$G$2,0,1)+IF(A563&gt;ÉV!$G$2,M562,0)*IF(OR(AND(C563=ÉV!$I$2,D563&gt;ÉV!$J$2),C563&gt;ÉV!$I$2),0,1)</f>
        <v>0</v>
      </c>
      <c r="N563" s="274">
        <f ca="1">IF(AND(C563=1,D563&lt;12),0,1)*IF(D563=12,MAX(0,F563-E563-0.003)*0.9*((K563+I563)*(B563/12)+(J563+H563)*(1-B563/12))+MAX(0,F563-0.003)*0.9*N562+N562,IF(AND(C563=ÉV!$I$2,D563=ÉV!$J$2),(M563+N562)*MAX(0,F563-0.003)*0.9*(D563/12)+N562,N562))*IF(OR(C563&gt;ÉV!$I$2,AND(C563=ÉV!$I$2,D563&gt;ÉV!$J$2)),0,1)</f>
        <v>0</v>
      </c>
      <c r="O563" s="313">
        <f ca="1">IF(MAX(AF$2:AF562)=2,      0,IF(OR(AC563=7, AF563=2),    SUM(AE$2:AE563),    O562)   )</f>
        <v>0</v>
      </c>
      <c r="P563" s="271">
        <f ca="1">IF(D563=12,V563+P562+P562*(F563-0.003)*0.9,IF(AND(C563=ÉV!$I$2,D563=ÉV!$J$2),V563+P562+P562*(F563-0.003)*0.9*D563/12,P562))*IF(OR(C563&gt;ÉV!$I$2,AND(C563=ÉV!$I$2,D563&gt;ÉV!$J$2)),0,1)</f>
        <v>0</v>
      </c>
      <c r="Q563" s="275">
        <f ca="1">(N563+P563)*IF(OR(AND(C563=ÉV!$I$2,D563&gt;ÉV!$J$2),C563&gt;ÉV!$I$2),0,1)</f>
        <v>0</v>
      </c>
      <c r="R563" s="271">
        <f ca="1">(MAX(0,F563-E563-0.003)*0.9*((K563+I563)*(1/12)))*IF(OR(C563&gt;ÉV!$I$2,AND(C563=ÉV!$I$2,D563&gt;ÉV!$J$2)),0,1)</f>
        <v>0</v>
      </c>
      <c r="S563" s="271">
        <f ca="1">(MAX(0,F563-0.003)*0.9*((O563)*(1/12)))*IF(OR(C563&gt;ÉV!$I$2,AND(C563=ÉV!$I$2,D563&gt;ÉV!$J$2)),0,1)</f>
        <v>0</v>
      </c>
      <c r="T563" s="271">
        <f ca="1">(MAX(0,F563-0.003)*0.9*((Q562)*(1/12)))*IF(OR(C563&gt;ÉV!$I$2,AND(C563=ÉV!$I$2,D563&gt;ÉV!$J$2)),0,1)</f>
        <v>0</v>
      </c>
      <c r="U563" s="271">
        <f ca="1">IF($D563=1,R563,R563+U562)*IF(OR(C563&gt;ÉV!$I$2,AND(C563=ÉV!$I$2,D563&gt;ÉV!$J$2)),0,1)</f>
        <v>0</v>
      </c>
      <c r="V563" s="271">
        <f ca="1">IF($D563=1,S563,S563+V562)*IF(OR(C563&gt;ÉV!$I$2,AND(C563=ÉV!$I$2,D563&gt;ÉV!$J$2)),0,1)</f>
        <v>0</v>
      </c>
      <c r="W563" s="271">
        <f ca="1">IF($D563=1,T563,T563+W562)*IF(OR(C563&gt;ÉV!$I$2,AND(C563=ÉV!$I$2,D563&gt;ÉV!$J$2)),0,1)</f>
        <v>0</v>
      </c>
      <c r="X563" s="271">
        <f ca="1">IF(OR(D563=12,AND(C563=ÉV!$I$2,D563=ÉV!$J$2)),SUM(U563:W563)+X562,X562)*IF(OR(C563&gt;ÉV!$I$2,AND(C563=ÉV!$I$2,D563&gt;ÉV!$J$2)),0,1)</f>
        <v>0</v>
      </c>
      <c r="Y563" s="271">
        <f t="shared" ca="1" si="92"/>
        <v>0</v>
      </c>
      <c r="Z563" s="265">
        <f t="shared" si="93"/>
        <v>9</v>
      </c>
      <c r="AA563" s="272">
        <f t="shared" ca="1" si="94"/>
        <v>0</v>
      </c>
      <c r="AB563" s="265">
        <f t="shared" ca="1" si="98"/>
        <v>2063</v>
      </c>
      <c r="AC563" s="265">
        <f t="shared" ca="1" si="99"/>
        <v>12</v>
      </c>
      <c r="AD563" s="276">
        <f ca="1">IF(     OR(               AND(MAX(AF$6:AF563)&lt;2,  AC563=12),                 AF563=2),                   SUMIF(AB:AB,AB563,AA:AA),                       0)</f>
        <v>0</v>
      </c>
      <c r="AE563" s="277">
        <f t="shared" ca="1" si="100"/>
        <v>0</v>
      </c>
      <c r="AF563" s="277">
        <f t="shared" ca="1" si="95"/>
        <v>0</v>
      </c>
      <c r="AG563" s="402">
        <f ca="1">IF(  AND(AC563=AdóHó,   MAX(AF$1:AF562)&lt;2),   SUMIF(AB:AB,AB563-1,AE:AE),0  )
+ IF(AND(AC563&lt;AdóHó,                            AF563=2),   SUMIF(AB:AB,AB563-1,AE:AE),0  )
+ IF(                                                                  AF563=2,    SUMIF(AB:AB,AB563,AE:AE   ),0  )</f>
        <v>0</v>
      </c>
      <c r="AH563" s="272">
        <f ca="1">SUM(AG$2:AG563)</f>
        <v>1139324.2410681627</v>
      </c>
    </row>
    <row r="564" spans="1:34">
      <c r="A564" s="265">
        <f t="shared" si="101"/>
        <v>47</v>
      </c>
      <c r="B564" s="265">
        <f t="shared" si="102"/>
        <v>10</v>
      </c>
      <c r="C564" s="265">
        <f t="shared" ca="1" si="96"/>
        <v>48</v>
      </c>
      <c r="D564" s="265">
        <f t="shared" ca="1" si="97"/>
        <v>1</v>
      </c>
      <c r="E564" s="266">
        <v>5.0000000000000001E-3</v>
      </c>
      <c r="F564" s="267">
        <f>ÉV!$B$12</f>
        <v>0</v>
      </c>
      <c r="G564" s="271">
        <f ca="1">VLOOKUP(A564,ÉV!$A$18:$B$65,2,0)</f>
        <v>0</v>
      </c>
      <c r="H564" s="271">
        <f ca="1">IF(OR(A564=1,AND(C564=ÉV!$I$2,D564&gt;ÉV!$J$2),C564&gt;ÉV!$I$2),0,INDEX(Pz!$B$2:$AM$48,A564-1,ÉV!$G$2-9)/100000*ÉV!$B$10)</f>
        <v>0</v>
      </c>
      <c r="I564" s="271">
        <f ca="1">INDEX(Pz!$B$2:$AM$48,HÓ!A564,ÉV!$G$2-9)/100000*ÉV!$B$10</f>
        <v>0</v>
      </c>
      <c r="J564" s="273">
        <f ca="1">IF(OR(A564=1,A564=2,AND(C564=ÉV!$I$2,D564&gt;ÉV!$J$2),C564&gt;ÉV!$I$2),0,VLOOKUP(A564-2,ÉV!$A$18:$C$65,3,0))</f>
        <v>0</v>
      </c>
      <c r="K564" s="273">
        <f ca="1">IF(OR(A564=1,AND(C564=ÉV!$I$2,D564&gt;ÉV!$J$2),C564&gt;ÉV!$I$2),0,VLOOKUP(A564-1,ÉV!$A$18:$C$65,3,0))</f>
        <v>0</v>
      </c>
      <c r="L564" s="273">
        <f ca="1">VLOOKUP(A564,ÉV!$A$18:$C$65,3,0)*IF(OR(AND(C564=ÉV!$I$2,D564&gt;ÉV!$J$2),C564&gt;ÉV!$I$2),0,1)</f>
        <v>0</v>
      </c>
      <c r="M564" s="273">
        <f ca="1">(K564*(12-B564)/12+L564*B564/12)*IF(A564&gt;ÉV!$G$2,0,1)+IF(A564&gt;ÉV!$G$2,M563,0)*IF(OR(AND(C564=ÉV!$I$2,D564&gt;ÉV!$J$2),C564&gt;ÉV!$I$2),0,1)</f>
        <v>0</v>
      </c>
      <c r="N564" s="274">
        <f ca="1">IF(AND(C564=1,D564&lt;12),0,1)*IF(D564=12,MAX(0,F564-E564-0.003)*0.9*((K564+I564)*(B564/12)+(J564+H564)*(1-B564/12))+MAX(0,F564-0.003)*0.9*N563+N563,IF(AND(C564=ÉV!$I$2,D564=ÉV!$J$2),(M564+N563)*MAX(0,F564-0.003)*0.9*(D564/12)+N563,N563))*IF(OR(C564&gt;ÉV!$I$2,AND(C564=ÉV!$I$2,D564&gt;ÉV!$J$2)),0,1)</f>
        <v>0</v>
      </c>
      <c r="O564" s="313">
        <f ca="1">IF(MAX(AF$2:AF563)=2,      0,IF(OR(AC564=7, AF564=2),    SUM(AE$2:AE564),    O563)   )</f>
        <v>0</v>
      </c>
      <c r="P564" s="271">
        <f ca="1">IF(D564=12,V564+P563+P563*(F564-0.003)*0.9,IF(AND(C564=ÉV!$I$2,D564=ÉV!$J$2),V564+P563+P563*(F564-0.003)*0.9*D564/12,P563))*IF(OR(C564&gt;ÉV!$I$2,AND(C564=ÉV!$I$2,D564&gt;ÉV!$J$2)),0,1)</f>
        <v>0</v>
      </c>
      <c r="Q564" s="275">
        <f ca="1">(N564+P564)*IF(OR(AND(C564=ÉV!$I$2,D564&gt;ÉV!$J$2),C564&gt;ÉV!$I$2),0,1)</f>
        <v>0</v>
      </c>
      <c r="R564" s="271">
        <f ca="1">(MAX(0,F564-E564-0.003)*0.9*((K564+I564)*(1/12)))*IF(OR(C564&gt;ÉV!$I$2,AND(C564=ÉV!$I$2,D564&gt;ÉV!$J$2)),0,1)</f>
        <v>0</v>
      </c>
      <c r="S564" s="271">
        <f ca="1">(MAX(0,F564-0.003)*0.9*((O564)*(1/12)))*IF(OR(C564&gt;ÉV!$I$2,AND(C564=ÉV!$I$2,D564&gt;ÉV!$J$2)),0,1)</f>
        <v>0</v>
      </c>
      <c r="T564" s="271">
        <f ca="1">(MAX(0,F564-0.003)*0.9*((Q563)*(1/12)))*IF(OR(C564&gt;ÉV!$I$2,AND(C564=ÉV!$I$2,D564&gt;ÉV!$J$2)),0,1)</f>
        <v>0</v>
      </c>
      <c r="U564" s="271">
        <f ca="1">IF($D564=1,R564,R564+U563)*IF(OR(C564&gt;ÉV!$I$2,AND(C564=ÉV!$I$2,D564&gt;ÉV!$J$2)),0,1)</f>
        <v>0</v>
      </c>
      <c r="V564" s="271">
        <f ca="1">IF($D564=1,S564,S564+V563)*IF(OR(C564&gt;ÉV!$I$2,AND(C564=ÉV!$I$2,D564&gt;ÉV!$J$2)),0,1)</f>
        <v>0</v>
      </c>
      <c r="W564" s="271">
        <f ca="1">IF($D564=1,T564,T564+W563)*IF(OR(C564&gt;ÉV!$I$2,AND(C564=ÉV!$I$2,D564&gt;ÉV!$J$2)),0,1)</f>
        <v>0</v>
      </c>
      <c r="X564" s="271">
        <f ca="1">IF(OR(D564=12,AND(C564=ÉV!$I$2,D564=ÉV!$J$2)),SUM(U564:W564)+X563,X563)*IF(OR(C564&gt;ÉV!$I$2,AND(C564=ÉV!$I$2,D564&gt;ÉV!$J$2)),0,1)</f>
        <v>0</v>
      </c>
      <c r="Y564" s="271">
        <f t="shared" ca="1" si="92"/>
        <v>0</v>
      </c>
      <c r="Z564" s="265">
        <f t="shared" si="93"/>
        <v>10</v>
      </c>
      <c r="AA564" s="272">
        <f t="shared" ca="1" si="94"/>
        <v>0</v>
      </c>
      <c r="AB564" s="265">
        <f t="shared" ca="1" si="98"/>
        <v>2064</v>
      </c>
      <c r="AC564" s="265">
        <f t="shared" ca="1" si="99"/>
        <v>1</v>
      </c>
      <c r="AD564" s="276">
        <f ca="1">IF(     OR(               AND(MAX(AF$6:AF564)&lt;2,  AC564=12),                 AF564=2),                   SUMIF(AB:AB,AB564,AA:AA),                       0)</f>
        <v>0</v>
      </c>
      <c r="AE564" s="277">
        <f t="shared" ca="1" si="100"/>
        <v>0</v>
      </c>
      <c r="AF564" s="277">
        <f t="shared" ca="1" si="95"/>
        <v>0</v>
      </c>
      <c r="AG564" s="402">
        <f ca="1">IF(  AND(AC564=AdóHó,   MAX(AF$1:AF563)&lt;2),   SUMIF(AB:AB,AB564-1,AE:AE),0  )
+ IF(AND(AC564&lt;AdóHó,                            AF564=2),   SUMIF(AB:AB,AB564-1,AE:AE),0  )
+ IF(                                                                  AF564=2,    SUMIF(AB:AB,AB564,AE:AE   ),0  )</f>
        <v>0</v>
      </c>
      <c r="AH564" s="272">
        <f ca="1">SUM(AG$2:AG564)</f>
        <v>1139324.2410681627</v>
      </c>
    </row>
    <row r="565" spans="1:34">
      <c r="A565" s="265">
        <f t="shared" si="101"/>
        <v>47</v>
      </c>
      <c r="B565" s="265">
        <f t="shared" si="102"/>
        <v>11</v>
      </c>
      <c r="C565" s="265">
        <f t="shared" ca="1" si="96"/>
        <v>48</v>
      </c>
      <c r="D565" s="265">
        <f t="shared" ca="1" si="97"/>
        <v>2</v>
      </c>
      <c r="E565" s="266">
        <v>5.0000000000000001E-3</v>
      </c>
      <c r="F565" s="267">
        <f>ÉV!$B$12</f>
        <v>0</v>
      </c>
      <c r="G565" s="271">
        <f ca="1">VLOOKUP(A565,ÉV!$A$18:$B$65,2,0)</f>
        <v>0</v>
      </c>
      <c r="H565" s="271">
        <f ca="1">IF(OR(A565=1,AND(C565=ÉV!$I$2,D565&gt;ÉV!$J$2),C565&gt;ÉV!$I$2),0,INDEX(Pz!$B$2:$AM$48,A565-1,ÉV!$G$2-9)/100000*ÉV!$B$10)</f>
        <v>0</v>
      </c>
      <c r="I565" s="271">
        <f ca="1">INDEX(Pz!$B$2:$AM$48,HÓ!A565,ÉV!$G$2-9)/100000*ÉV!$B$10</f>
        <v>0</v>
      </c>
      <c r="J565" s="273">
        <f ca="1">IF(OR(A565=1,A565=2,AND(C565=ÉV!$I$2,D565&gt;ÉV!$J$2),C565&gt;ÉV!$I$2),0,VLOOKUP(A565-2,ÉV!$A$18:$C$65,3,0))</f>
        <v>0</v>
      </c>
      <c r="K565" s="273">
        <f ca="1">IF(OR(A565=1,AND(C565=ÉV!$I$2,D565&gt;ÉV!$J$2),C565&gt;ÉV!$I$2),0,VLOOKUP(A565-1,ÉV!$A$18:$C$65,3,0))</f>
        <v>0</v>
      </c>
      <c r="L565" s="273">
        <f ca="1">VLOOKUP(A565,ÉV!$A$18:$C$65,3,0)*IF(OR(AND(C565=ÉV!$I$2,D565&gt;ÉV!$J$2),C565&gt;ÉV!$I$2),0,1)</f>
        <v>0</v>
      </c>
      <c r="M565" s="273">
        <f ca="1">(K565*(12-B565)/12+L565*B565/12)*IF(A565&gt;ÉV!$G$2,0,1)+IF(A565&gt;ÉV!$G$2,M564,0)*IF(OR(AND(C565=ÉV!$I$2,D565&gt;ÉV!$J$2),C565&gt;ÉV!$I$2),0,1)</f>
        <v>0</v>
      </c>
      <c r="N565" s="274">
        <f ca="1">IF(AND(C565=1,D565&lt;12),0,1)*IF(D565=12,MAX(0,F565-E565-0.003)*0.9*((K565+I565)*(B565/12)+(J565+H565)*(1-B565/12))+MAX(0,F565-0.003)*0.9*N564+N564,IF(AND(C565=ÉV!$I$2,D565=ÉV!$J$2),(M565+N564)*MAX(0,F565-0.003)*0.9*(D565/12)+N564,N564))*IF(OR(C565&gt;ÉV!$I$2,AND(C565=ÉV!$I$2,D565&gt;ÉV!$J$2)),0,1)</f>
        <v>0</v>
      </c>
      <c r="O565" s="313">
        <f ca="1">IF(MAX(AF$2:AF564)=2,      0,IF(OR(AC565=7, AF565=2),    SUM(AE$2:AE565),    O564)   )</f>
        <v>0</v>
      </c>
      <c r="P565" s="271">
        <f ca="1">IF(D565=12,V565+P564+P564*(F565-0.003)*0.9,IF(AND(C565=ÉV!$I$2,D565=ÉV!$J$2),V565+P564+P564*(F565-0.003)*0.9*D565/12,P564))*IF(OR(C565&gt;ÉV!$I$2,AND(C565=ÉV!$I$2,D565&gt;ÉV!$J$2)),0,1)</f>
        <v>0</v>
      </c>
      <c r="Q565" s="275">
        <f ca="1">(N565+P565)*IF(OR(AND(C565=ÉV!$I$2,D565&gt;ÉV!$J$2),C565&gt;ÉV!$I$2),0,1)</f>
        <v>0</v>
      </c>
      <c r="R565" s="271">
        <f ca="1">(MAX(0,F565-E565-0.003)*0.9*((K565+I565)*(1/12)))*IF(OR(C565&gt;ÉV!$I$2,AND(C565=ÉV!$I$2,D565&gt;ÉV!$J$2)),0,1)</f>
        <v>0</v>
      </c>
      <c r="S565" s="271">
        <f ca="1">(MAX(0,F565-0.003)*0.9*((O565)*(1/12)))*IF(OR(C565&gt;ÉV!$I$2,AND(C565=ÉV!$I$2,D565&gt;ÉV!$J$2)),0,1)</f>
        <v>0</v>
      </c>
      <c r="T565" s="271">
        <f ca="1">(MAX(0,F565-0.003)*0.9*((Q564)*(1/12)))*IF(OR(C565&gt;ÉV!$I$2,AND(C565=ÉV!$I$2,D565&gt;ÉV!$J$2)),0,1)</f>
        <v>0</v>
      </c>
      <c r="U565" s="271">
        <f ca="1">IF($D565=1,R565,R565+U564)*IF(OR(C565&gt;ÉV!$I$2,AND(C565=ÉV!$I$2,D565&gt;ÉV!$J$2)),0,1)</f>
        <v>0</v>
      </c>
      <c r="V565" s="271">
        <f ca="1">IF($D565=1,S565,S565+V564)*IF(OR(C565&gt;ÉV!$I$2,AND(C565=ÉV!$I$2,D565&gt;ÉV!$J$2)),0,1)</f>
        <v>0</v>
      </c>
      <c r="W565" s="271">
        <f ca="1">IF($D565=1,T565,T565+W564)*IF(OR(C565&gt;ÉV!$I$2,AND(C565=ÉV!$I$2,D565&gt;ÉV!$J$2)),0,1)</f>
        <v>0</v>
      </c>
      <c r="X565" s="271">
        <f ca="1">IF(OR(D565=12,AND(C565=ÉV!$I$2,D565=ÉV!$J$2)),SUM(U565:W565)+X564,X564)*IF(OR(C565&gt;ÉV!$I$2,AND(C565=ÉV!$I$2,D565&gt;ÉV!$J$2)),0,1)</f>
        <v>0</v>
      </c>
      <c r="Y565" s="271">
        <f t="shared" ca="1" si="92"/>
        <v>0</v>
      </c>
      <c r="Z565" s="265">
        <f t="shared" si="93"/>
        <v>11</v>
      </c>
      <c r="AA565" s="272">
        <f t="shared" ca="1" si="94"/>
        <v>0</v>
      </c>
      <c r="AB565" s="265">
        <f t="shared" ca="1" si="98"/>
        <v>2064</v>
      </c>
      <c r="AC565" s="265">
        <f t="shared" ca="1" si="99"/>
        <v>2</v>
      </c>
      <c r="AD565" s="276">
        <f ca="1">IF(     OR(               AND(MAX(AF$6:AF565)&lt;2,  AC565=12),                 AF565=2),                   SUMIF(AB:AB,AB565,AA:AA),                       0)</f>
        <v>0</v>
      </c>
      <c r="AE565" s="277">
        <f t="shared" ca="1" si="100"/>
        <v>0</v>
      </c>
      <c r="AF565" s="277">
        <f t="shared" ca="1" si="95"/>
        <v>0</v>
      </c>
      <c r="AG565" s="402">
        <f ca="1">IF(  AND(AC565=AdóHó,   MAX(AF$1:AF564)&lt;2),   SUMIF(AB:AB,AB565-1,AE:AE),0  )
+ IF(AND(AC565&lt;AdóHó,                            AF565=2),   SUMIF(AB:AB,AB565-1,AE:AE),0  )
+ IF(                                                                  AF565=2,    SUMIF(AB:AB,AB565,AE:AE   ),0  )</f>
        <v>0</v>
      </c>
      <c r="AH565" s="272">
        <f ca="1">SUM(AG$2:AG565)</f>
        <v>1139324.2410681627</v>
      </c>
    </row>
    <row r="566" spans="1:34">
      <c r="A566" s="265">
        <f t="shared" si="101"/>
        <v>47</v>
      </c>
      <c r="B566" s="265">
        <f t="shared" si="102"/>
        <v>12</v>
      </c>
      <c r="C566" s="265">
        <f t="shared" ca="1" si="96"/>
        <v>48</v>
      </c>
      <c r="D566" s="265">
        <f t="shared" ca="1" si="97"/>
        <v>3</v>
      </c>
      <c r="E566" s="266">
        <v>5.0000000000000001E-3</v>
      </c>
      <c r="F566" s="267">
        <f>ÉV!$B$12</f>
        <v>0</v>
      </c>
      <c r="G566" s="271">
        <f ca="1">VLOOKUP(A566,ÉV!$A$18:$B$65,2,0)</f>
        <v>0</v>
      </c>
      <c r="H566" s="271">
        <f ca="1">IF(OR(A566=1,AND(C566=ÉV!$I$2,D566&gt;ÉV!$J$2),C566&gt;ÉV!$I$2),0,INDEX(Pz!$B$2:$AM$48,A566-1,ÉV!$G$2-9)/100000*ÉV!$B$10)</f>
        <v>0</v>
      </c>
      <c r="I566" s="271">
        <f ca="1">INDEX(Pz!$B$2:$AM$48,HÓ!A566,ÉV!$G$2-9)/100000*ÉV!$B$10</f>
        <v>0</v>
      </c>
      <c r="J566" s="273">
        <f ca="1">IF(OR(A566=1,A566=2,AND(C566=ÉV!$I$2,D566&gt;ÉV!$J$2),C566&gt;ÉV!$I$2),0,VLOOKUP(A566-2,ÉV!$A$18:$C$65,3,0))</f>
        <v>0</v>
      </c>
      <c r="K566" s="273">
        <f ca="1">IF(OR(A566=1,AND(C566=ÉV!$I$2,D566&gt;ÉV!$J$2),C566&gt;ÉV!$I$2),0,VLOOKUP(A566-1,ÉV!$A$18:$C$65,3,0))</f>
        <v>0</v>
      </c>
      <c r="L566" s="273">
        <f ca="1">VLOOKUP(A566,ÉV!$A$18:$C$65,3,0)*IF(OR(AND(C566=ÉV!$I$2,D566&gt;ÉV!$J$2),C566&gt;ÉV!$I$2),0,1)</f>
        <v>0</v>
      </c>
      <c r="M566" s="273">
        <f ca="1">(K566*(12-B566)/12+L566*B566/12)*IF(A566&gt;ÉV!$G$2,0,1)+IF(A566&gt;ÉV!$G$2,M565,0)*IF(OR(AND(C566=ÉV!$I$2,D566&gt;ÉV!$J$2),C566&gt;ÉV!$I$2),0,1)</f>
        <v>0</v>
      </c>
      <c r="N566" s="274">
        <f ca="1">IF(AND(C566=1,D566&lt;12),0,1)*IF(D566=12,MAX(0,F566-E566-0.003)*0.9*((K566+I566)*(B566/12)+(J566+H566)*(1-B566/12))+MAX(0,F566-0.003)*0.9*N565+N565,IF(AND(C566=ÉV!$I$2,D566=ÉV!$J$2),(M566+N565)*MAX(0,F566-0.003)*0.9*(D566/12)+N565,N565))*IF(OR(C566&gt;ÉV!$I$2,AND(C566=ÉV!$I$2,D566&gt;ÉV!$J$2)),0,1)</f>
        <v>0</v>
      </c>
      <c r="O566" s="313">
        <f ca="1">IF(MAX(AF$2:AF565)=2,      0,IF(OR(AC566=7, AF566=2),    SUM(AE$2:AE566),    O565)   )</f>
        <v>0</v>
      </c>
      <c r="P566" s="271">
        <f ca="1">IF(D566=12,V566+P565+P565*(F566-0.003)*0.9,IF(AND(C566=ÉV!$I$2,D566=ÉV!$J$2),V566+P565+P565*(F566-0.003)*0.9*D566/12,P565))*IF(OR(C566&gt;ÉV!$I$2,AND(C566=ÉV!$I$2,D566&gt;ÉV!$J$2)),0,1)</f>
        <v>0</v>
      </c>
      <c r="Q566" s="275">
        <f ca="1">(N566+P566)*IF(OR(AND(C566=ÉV!$I$2,D566&gt;ÉV!$J$2),C566&gt;ÉV!$I$2),0,1)</f>
        <v>0</v>
      </c>
      <c r="R566" s="271">
        <f ca="1">(MAX(0,F566-E566-0.003)*0.9*((K566+I566)*(1/12)))*IF(OR(C566&gt;ÉV!$I$2,AND(C566=ÉV!$I$2,D566&gt;ÉV!$J$2)),0,1)</f>
        <v>0</v>
      </c>
      <c r="S566" s="271">
        <f ca="1">(MAX(0,F566-0.003)*0.9*((O566)*(1/12)))*IF(OR(C566&gt;ÉV!$I$2,AND(C566=ÉV!$I$2,D566&gt;ÉV!$J$2)),0,1)</f>
        <v>0</v>
      </c>
      <c r="T566" s="271">
        <f ca="1">(MAX(0,F566-0.003)*0.9*((Q565)*(1/12)))*IF(OR(C566&gt;ÉV!$I$2,AND(C566=ÉV!$I$2,D566&gt;ÉV!$J$2)),0,1)</f>
        <v>0</v>
      </c>
      <c r="U566" s="271">
        <f ca="1">IF($D566=1,R566,R566+U565)*IF(OR(C566&gt;ÉV!$I$2,AND(C566=ÉV!$I$2,D566&gt;ÉV!$J$2)),0,1)</f>
        <v>0</v>
      </c>
      <c r="V566" s="271">
        <f ca="1">IF($D566=1,S566,S566+V565)*IF(OR(C566&gt;ÉV!$I$2,AND(C566=ÉV!$I$2,D566&gt;ÉV!$J$2)),0,1)</f>
        <v>0</v>
      </c>
      <c r="W566" s="271">
        <f ca="1">IF($D566=1,T566,T566+W565)*IF(OR(C566&gt;ÉV!$I$2,AND(C566=ÉV!$I$2,D566&gt;ÉV!$J$2)),0,1)</f>
        <v>0</v>
      </c>
      <c r="X566" s="271">
        <f ca="1">IF(OR(D566=12,AND(C566=ÉV!$I$2,D566=ÉV!$J$2)),SUM(U566:W566)+X565,X565)*IF(OR(C566&gt;ÉV!$I$2,AND(C566=ÉV!$I$2,D566&gt;ÉV!$J$2)),0,1)</f>
        <v>0</v>
      </c>
      <c r="Y566" s="271">
        <f t="shared" ca="1" si="92"/>
        <v>0</v>
      </c>
      <c r="Z566" s="265">
        <f t="shared" si="93"/>
        <v>12</v>
      </c>
      <c r="AA566" s="272">
        <f t="shared" ca="1" si="94"/>
        <v>0</v>
      </c>
      <c r="AB566" s="265">
        <f t="shared" ca="1" si="98"/>
        <v>2064</v>
      </c>
      <c r="AC566" s="265">
        <f t="shared" ca="1" si="99"/>
        <v>3</v>
      </c>
      <c r="AD566" s="276">
        <f ca="1">IF(     OR(               AND(MAX(AF$6:AF566)&lt;2,  AC566=12),                 AF566=2),                   SUMIF(AB:AB,AB566,AA:AA),                       0)</f>
        <v>0</v>
      </c>
      <c r="AE566" s="277">
        <f t="shared" ca="1" si="100"/>
        <v>0</v>
      </c>
      <c r="AF566" s="277">
        <f t="shared" ca="1" si="95"/>
        <v>0</v>
      </c>
      <c r="AG566" s="402">
        <f ca="1">IF(  AND(AC566=AdóHó,   MAX(AF$1:AF565)&lt;2),   SUMIF(AB:AB,AB566-1,AE:AE),0  )
+ IF(AND(AC566&lt;AdóHó,                            AF566=2),   SUMIF(AB:AB,AB566-1,AE:AE),0  )
+ IF(                                                                  AF566=2,    SUMIF(AB:AB,AB566,AE:AE   ),0  )</f>
        <v>0</v>
      </c>
      <c r="AH566" s="272">
        <f ca="1">SUM(AG$2:AG566)</f>
        <v>1139324.2410681627</v>
      </c>
    </row>
    <row r="567" spans="1:34">
      <c r="A567" s="265">
        <f t="shared" si="101"/>
        <v>48</v>
      </c>
      <c r="B567" s="265">
        <f t="shared" si="102"/>
        <v>1</v>
      </c>
      <c r="C567" s="265">
        <f t="shared" ca="1" si="96"/>
        <v>48</v>
      </c>
      <c r="D567" s="265">
        <f t="shared" ca="1" si="97"/>
        <v>4</v>
      </c>
      <c r="E567" s="266">
        <v>5.0000000000000001E-3</v>
      </c>
      <c r="F567" s="267">
        <f>ÉV!$B$12</f>
        <v>0</v>
      </c>
      <c r="G567" s="271">
        <f ca="1">VLOOKUP(A567,ÉV!$A$18:$B$65,2,0)</f>
        <v>0</v>
      </c>
      <c r="H567" s="271">
        <f ca="1">IF(OR(A567=1,AND(C567=ÉV!$I$2,D567&gt;ÉV!$J$2),C567&gt;ÉV!$I$2),0,INDEX(Pz!$B$2:$AM$48,A567-1,ÉV!$G$2-9)/100000*ÉV!$B$10)</f>
        <v>0</v>
      </c>
      <c r="I567" s="271" t="e">
        <f ca="1">INDEX(Pz!$B$2:$AM$48,HÓ!A567,ÉV!$G$2-9)/100000*ÉV!$B$10</f>
        <v>#REF!</v>
      </c>
      <c r="J567" s="273">
        <f ca="1">IF(OR(A567=1,A567=2,AND(C567=ÉV!$I$2,D567&gt;ÉV!$J$2),C567&gt;ÉV!$I$2),0,VLOOKUP(A567-2,ÉV!$A$18:$C$65,3,0))</f>
        <v>0</v>
      </c>
      <c r="K567" s="273">
        <f ca="1">IF(OR(A567=1,AND(C567=ÉV!$I$2,D567&gt;ÉV!$J$2),C567&gt;ÉV!$I$2),0,VLOOKUP(A567-1,ÉV!$A$18:$C$65,3,0))</f>
        <v>0</v>
      </c>
      <c r="L567" s="273">
        <f ca="1">VLOOKUP(A567,ÉV!$A$18:$C$65,3,0)*IF(OR(AND(C567=ÉV!$I$2,D567&gt;ÉV!$J$2),C567&gt;ÉV!$I$2),0,1)</f>
        <v>0</v>
      </c>
      <c r="M567" s="273">
        <f ca="1">(K567*(12-B567)/12+L567*B567/12)*IF(A567&gt;ÉV!$G$2,0,1)+IF(A567&gt;ÉV!$G$2,M566,0)*IF(OR(AND(C567=ÉV!$I$2,D567&gt;ÉV!$J$2),C567&gt;ÉV!$I$2),0,1)</f>
        <v>0</v>
      </c>
      <c r="N567" s="274">
        <f ca="1">IF(AND(C567=1,D567&lt;12),0,1)*IF(D567=12,MAX(0,F567-E567-0.003)*0.9*((K567+I567)*(B567/12)+(J567+H567)*(1-B567/12))+MAX(0,F567-0.003)*0.9*N566+N566,IF(AND(C567=ÉV!$I$2,D567=ÉV!$J$2),(M567+N566)*MAX(0,F567-0.003)*0.9*(D567/12)+N566,N566))*IF(OR(C567&gt;ÉV!$I$2,AND(C567=ÉV!$I$2,D567&gt;ÉV!$J$2)),0,1)</f>
        <v>0</v>
      </c>
      <c r="O567" s="313">
        <f ca="1">IF(MAX(AF$2:AF566)=2,      0,IF(OR(AC567=7, AF567=2),    SUM(AE$2:AE567),    O566)   )</f>
        <v>0</v>
      </c>
      <c r="P567" s="271">
        <f ca="1">IF(D567=12,V567+P566+P566*(F567-0.003)*0.9,IF(AND(C567=ÉV!$I$2,D567=ÉV!$J$2),V567+P566+P566*(F567-0.003)*0.9*D567/12,P566))*IF(OR(C567&gt;ÉV!$I$2,AND(C567=ÉV!$I$2,D567&gt;ÉV!$J$2)),0,1)</f>
        <v>0</v>
      </c>
      <c r="Q567" s="275">
        <f ca="1">(N567+P567)*IF(OR(AND(C567=ÉV!$I$2,D567&gt;ÉV!$J$2),C567&gt;ÉV!$I$2),0,1)</f>
        <v>0</v>
      </c>
      <c r="R567" s="271" t="e">
        <f ca="1">(MAX(0,F567-E567-0.003)*0.9*((K567+I567)*(1/12)))*IF(OR(C567&gt;ÉV!$I$2,AND(C567=ÉV!$I$2,D567&gt;ÉV!$J$2)),0,1)</f>
        <v>#REF!</v>
      </c>
      <c r="S567" s="271">
        <f ca="1">(MAX(0,F567-0.003)*0.9*((O567)*(1/12)))*IF(OR(C567&gt;ÉV!$I$2,AND(C567=ÉV!$I$2,D567&gt;ÉV!$J$2)),0,1)</f>
        <v>0</v>
      </c>
      <c r="T567" s="271">
        <f ca="1">(MAX(0,F567-0.003)*0.9*((Q566)*(1/12)))*IF(OR(C567&gt;ÉV!$I$2,AND(C567=ÉV!$I$2,D567&gt;ÉV!$J$2)),0,1)</f>
        <v>0</v>
      </c>
      <c r="U567" s="271" t="e">
        <f ca="1">IF($D567=1,R567,R567+U566)*IF(OR(C567&gt;ÉV!$I$2,AND(C567=ÉV!$I$2,D567&gt;ÉV!$J$2)),0,1)</f>
        <v>#REF!</v>
      </c>
      <c r="V567" s="271">
        <f ca="1">IF($D567=1,S567,S567+V566)*IF(OR(C567&gt;ÉV!$I$2,AND(C567=ÉV!$I$2,D567&gt;ÉV!$J$2)),0,1)</f>
        <v>0</v>
      </c>
      <c r="W567" s="271">
        <f ca="1">IF($D567=1,T567,T567+W566)*IF(OR(C567&gt;ÉV!$I$2,AND(C567=ÉV!$I$2,D567&gt;ÉV!$J$2)),0,1)</f>
        <v>0</v>
      </c>
      <c r="X567" s="271">
        <f ca="1">IF(OR(D567=12,AND(C567=ÉV!$I$2,D567=ÉV!$J$2)),SUM(U567:W567)+X566,X566)*IF(OR(C567&gt;ÉV!$I$2,AND(C567=ÉV!$I$2,D567&gt;ÉV!$J$2)),0,1)</f>
        <v>0</v>
      </c>
      <c r="Y567" s="271">
        <f t="shared" ca="1" si="92"/>
        <v>0</v>
      </c>
      <c r="Z567" s="265">
        <f t="shared" si="93"/>
        <v>1</v>
      </c>
      <c r="AA567" s="272">
        <f t="shared" ca="1" si="94"/>
        <v>0</v>
      </c>
      <c r="AB567" s="265">
        <f t="shared" ca="1" si="98"/>
        <v>2064</v>
      </c>
      <c r="AC567" s="265">
        <f t="shared" ca="1" si="99"/>
        <v>4</v>
      </c>
      <c r="AD567" s="276">
        <f ca="1">IF(     OR(               AND(MAX(AF$6:AF567)&lt;2,  AC567=12),                 AF567=2),                   SUMIF(AB:AB,AB567,AA:AA),                       0)</f>
        <v>0</v>
      </c>
      <c r="AE567" s="277">
        <f t="shared" ca="1" si="100"/>
        <v>0</v>
      </c>
      <c r="AF567" s="277">
        <f t="shared" ca="1" si="95"/>
        <v>0</v>
      </c>
      <c r="AG567" s="402">
        <f ca="1">IF(  AND(AC567=AdóHó,   MAX(AF$1:AF566)&lt;2),   SUMIF(AB:AB,AB567-1,AE:AE),0  )
+ IF(AND(AC567&lt;AdóHó,                            AF567=2),   SUMIF(AB:AB,AB567-1,AE:AE),0  )
+ IF(                                                                  AF567=2,    SUMIF(AB:AB,AB567,AE:AE   ),0  )</f>
        <v>0</v>
      </c>
      <c r="AH567" s="272">
        <f ca="1">SUM(AG$2:AG567)</f>
        <v>1139324.2410681627</v>
      </c>
    </row>
    <row r="568" spans="1:34">
      <c r="A568" s="265">
        <f t="shared" si="101"/>
        <v>48</v>
      </c>
      <c r="B568" s="265">
        <f t="shared" si="102"/>
        <v>2</v>
      </c>
      <c r="C568" s="265">
        <f t="shared" ca="1" si="96"/>
        <v>48</v>
      </c>
      <c r="D568" s="265">
        <f t="shared" ca="1" si="97"/>
        <v>5</v>
      </c>
      <c r="E568" s="266">
        <v>5.0000000000000001E-3</v>
      </c>
      <c r="F568" s="267">
        <f>ÉV!$B$12</f>
        <v>0</v>
      </c>
      <c r="G568" s="271">
        <f ca="1">VLOOKUP(A568,ÉV!$A$18:$B$65,2,0)</f>
        <v>0</v>
      </c>
      <c r="H568" s="271">
        <f ca="1">IF(OR(A568=1,AND(C568=ÉV!$I$2,D568&gt;ÉV!$J$2),C568&gt;ÉV!$I$2),0,INDEX(Pz!$B$2:$AM$48,A568-1,ÉV!$G$2-9)/100000*ÉV!$B$10)</f>
        <v>0</v>
      </c>
      <c r="I568" s="271" t="e">
        <f ca="1">INDEX(Pz!$B$2:$AM$48,HÓ!A568,ÉV!$G$2-9)/100000*ÉV!$B$10</f>
        <v>#REF!</v>
      </c>
      <c r="J568" s="273">
        <f ca="1">IF(OR(A568=1,A568=2,AND(C568=ÉV!$I$2,D568&gt;ÉV!$J$2),C568&gt;ÉV!$I$2),0,VLOOKUP(A568-2,ÉV!$A$18:$C$65,3,0))</f>
        <v>0</v>
      </c>
      <c r="K568" s="273">
        <f ca="1">IF(OR(A568=1,AND(C568=ÉV!$I$2,D568&gt;ÉV!$J$2),C568&gt;ÉV!$I$2),0,VLOOKUP(A568-1,ÉV!$A$18:$C$65,3,0))</f>
        <v>0</v>
      </c>
      <c r="L568" s="273">
        <f ca="1">VLOOKUP(A568,ÉV!$A$18:$C$65,3,0)*IF(OR(AND(C568=ÉV!$I$2,D568&gt;ÉV!$J$2),C568&gt;ÉV!$I$2),0,1)</f>
        <v>0</v>
      </c>
      <c r="M568" s="273">
        <f ca="1">(K568*(12-B568)/12+L568*B568/12)*IF(A568&gt;ÉV!$G$2,0,1)+IF(A568&gt;ÉV!$G$2,M567,0)*IF(OR(AND(C568=ÉV!$I$2,D568&gt;ÉV!$J$2),C568&gt;ÉV!$I$2),0,1)</f>
        <v>0</v>
      </c>
      <c r="N568" s="274">
        <f ca="1">IF(AND(C568=1,D568&lt;12),0,1)*IF(D568=12,MAX(0,F568-E568-0.003)*0.9*((K568+I568)*(B568/12)+(J568+H568)*(1-B568/12))+MAX(0,F568-0.003)*0.9*N567+N567,IF(AND(C568=ÉV!$I$2,D568=ÉV!$J$2),(M568+N567)*MAX(0,F568-0.003)*0.9*(D568/12)+N567,N567))*IF(OR(C568&gt;ÉV!$I$2,AND(C568=ÉV!$I$2,D568&gt;ÉV!$J$2)),0,1)</f>
        <v>0</v>
      </c>
      <c r="O568" s="313">
        <f ca="1">IF(MAX(AF$2:AF567)=2,      0,IF(OR(AC568=7, AF568=2),    SUM(AE$2:AE568),    O567)   )</f>
        <v>0</v>
      </c>
      <c r="P568" s="271">
        <f ca="1">IF(D568=12,V568+P567+P567*(F568-0.003)*0.9,IF(AND(C568=ÉV!$I$2,D568=ÉV!$J$2),V568+P567+P567*(F568-0.003)*0.9*D568/12,P567))*IF(OR(C568&gt;ÉV!$I$2,AND(C568=ÉV!$I$2,D568&gt;ÉV!$J$2)),0,1)</f>
        <v>0</v>
      </c>
      <c r="Q568" s="275">
        <f ca="1">(N568+P568)*IF(OR(AND(C568=ÉV!$I$2,D568&gt;ÉV!$J$2),C568&gt;ÉV!$I$2),0,1)</f>
        <v>0</v>
      </c>
      <c r="R568" s="271" t="e">
        <f ca="1">(MAX(0,F568-E568-0.003)*0.9*((K568+I568)*(1/12)))*IF(OR(C568&gt;ÉV!$I$2,AND(C568=ÉV!$I$2,D568&gt;ÉV!$J$2)),0,1)</f>
        <v>#REF!</v>
      </c>
      <c r="S568" s="271">
        <f ca="1">(MAX(0,F568-0.003)*0.9*((O568)*(1/12)))*IF(OR(C568&gt;ÉV!$I$2,AND(C568=ÉV!$I$2,D568&gt;ÉV!$J$2)),0,1)</f>
        <v>0</v>
      </c>
      <c r="T568" s="271">
        <f ca="1">(MAX(0,F568-0.003)*0.9*((Q567)*(1/12)))*IF(OR(C568&gt;ÉV!$I$2,AND(C568=ÉV!$I$2,D568&gt;ÉV!$J$2)),0,1)</f>
        <v>0</v>
      </c>
      <c r="U568" s="271" t="e">
        <f ca="1">IF($D568=1,R568,R568+U567)*IF(OR(C568&gt;ÉV!$I$2,AND(C568=ÉV!$I$2,D568&gt;ÉV!$J$2)),0,1)</f>
        <v>#REF!</v>
      </c>
      <c r="V568" s="271">
        <f ca="1">IF($D568=1,S568,S568+V567)*IF(OR(C568&gt;ÉV!$I$2,AND(C568=ÉV!$I$2,D568&gt;ÉV!$J$2)),0,1)</f>
        <v>0</v>
      </c>
      <c r="W568" s="271">
        <f ca="1">IF($D568=1,T568,T568+W567)*IF(OR(C568&gt;ÉV!$I$2,AND(C568=ÉV!$I$2,D568&gt;ÉV!$J$2)),0,1)</f>
        <v>0</v>
      </c>
      <c r="X568" s="271">
        <f ca="1">IF(OR(D568=12,AND(C568=ÉV!$I$2,D568=ÉV!$J$2)),SUM(U568:W568)+X567,X567)*IF(OR(C568&gt;ÉV!$I$2,AND(C568=ÉV!$I$2,D568&gt;ÉV!$J$2)),0,1)</f>
        <v>0</v>
      </c>
      <c r="Y568" s="271">
        <f t="shared" ca="1" si="92"/>
        <v>0</v>
      </c>
      <c r="Z568" s="265">
        <f t="shared" si="93"/>
        <v>2</v>
      </c>
      <c r="AA568" s="272">
        <f t="shared" ca="1" si="94"/>
        <v>0</v>
      </c>
      <c r="AB568" s="265">
        <f t="shared" ca="1" si="98"/>
        <v>2064</v>
      </c>
      <c r="AC568" s="265">
        <f t="shared" ca="1" si="99"/>
        <v>5</v>
      </c>
      <c r="AD568" s="276">
        <f ca="1">IF(     OR(               AND(MAX(AF$6:AF568)&lt;2,  AC568=12),                 AF568=2),                   SUMIF(AB:AB,AB568,AA:AA),                       0)</f>
        <v>0</v>
      </c>
      <c r="AE568" s="277">
        <f t="shared" ca="1" si="100"/>
        <v>0</v>
      </c>
      <c r="AF568" s="277">
        <f t="shared" ca="1" si="95"/>
        <v>0</v>
      </c>
      <c r="AG568" s="402">
        <f ca="1">IF(  AND(AC568=AdóHó,   MAX(AF$1:AF567)&lt;2),   SUMIF(AB:AB,AB568-1,AE:AE),0  )
+ IF(AND(AC568&lt;AdóHó,                            AF568=2),   SUMIF(AB:AB,AB568-1,AE:AE),0  )
+ IF(                                                                  AF568=2,    SUMIF(AB:AB,AB568,AE:AE   ),0  )</f>
        <v>0</v>
      </c>
      <c r="AH568" s="272">
        <f ca="1">SUM(AG$2:AG568)</f>
        <v>1139324.2410681627</v>
      </c>
    </row>
    <row r="569" spans="1:34">
      <c r="A569" s="265">
        <f t="shared" si="101"/>
        <v>48</v>
      </c>
      <c r="B569" s="265">
        <f t="shared" si="102"/>
        <v>3</v>
      </c>
      <c r="C569" s="265">
        <f t="shared" ca="1" si="96"/>
        <v>48</v>
      </c>
      <c r="D569" s="265">
        <f t="shared" ca="1" si="97"/>
        <v>6</v>
      </c>
      <c r="E569" s="266">
        <v>5.0000000000000001E-3</v>
      </c>
      <c r="F569" s="267">
        <f>ÉV!$B$12</f>
        <v>0</v>
      </c>
      <c r="G569" s="271">
        <f ca="1">VLOOKUP(A569,ÉV!$A$18:$B$65,2,0)</f>
        <v>0</v>
      </c>
      <c r="H569" s="271">
        <f ca="1">IF(OR(A569=1,AND(C569=ÉV!$I$2,D569&gt;ÉV!$J$2),C569&gt;ÉV!$I$2),0,INDEX(Pz!$B$2:$AM$48,A569-1,ÉV!$G$2-9)/100000*ÉV!$B$10)</f>
        <v>0</v>
      </c>
      <c r="I569" s="271" t="e">
        <f ca="1">INDEX(Pz!$B$2:$AM$48,HÓ!A569,ÉV!$G$2-9)/100000*ÉV!$B$10</f>
        <v>#REF!</v>
      </c>
      <c r="J569" s="273">
        <f ca="1">IF(OR(A569=1,A569=2,AND(C569=ÉV!$I$2,D569&gt;ÉV!$J$2),C569&gt;ÉV!$I$2),0,VLOOKUP(A569-2,ÉV!$A$18:$C$65,3,0))</f>
        <v>0</v>
      </c>
      <c r="K569" s="273">
        <f ca="1">IF(OR(A569=1,AND(C569=ÉV!$I$2,D569&gt;ÉV!$J$2),C569&gt;ÉV!$I$2),0,VLOOKUP(A569-1,ÉV!$A$18:$C$65,3,0))</f>
        <v>0</v>
      </c>
      <c r="L569" s="273">
        <f ca="1">VLOOKUP(A569,ÉV!$A$18:$C$65,3,0)*IF(OR(AND(C569=ÉV!$I$2,D569&gt;ÉV!$J$2),C569&gt;ÉV!$I$2),0,1)</f>
        <v>0</v>
      </c>
      <c r="M569" s="273">
        <f ca="1">(K569*(12-B569)/12+L569*B569/12)*IF(A569&gt;ÉV!$G$2,0,1)+IF(A569&gt;ÉV!$G$2,M568,0)*IF(OR(AND(C569=ÉV!$I$2,D569&gt;ÉV!$J$2),C569&gt;ÉV!$I$2),0,1)</f>
        <v>0</v>
      </c>
      <c r="N569" s="274">
        <f ca="1">IF(AND(C569=1,D569&lt;12),0,1)*IF(D569=12,MAX(0,F569-E569-0.003)*0.9*((K569+I569)*(B569/12)+(J569+H569)*(1-B569/12))+MAX(0,F569-0.003)*0.9*N568+N568,IF(AND(C569=ÉV!$I$2,D569=ÉV!$J$2),(M569+N568)*MAX(0,F569-0.003)*0.9*(D569/12)+N568,N568))*IF(OR(C569&gt;ÉV!$I$2,AND(C569=ÉV!$I$2,D569&gt;ÉV!$J$2)),0,1)</f>
        <v>0</v>
      </c>
      <c r="O569" s="313">
        <f ca="1">IF(MAX(AF$2:AF568)=2,      0,IF(OR(AC569=7, AF569=2),    SUM(AE$2:AE569),    O568)   )</f>
        <v>0</v>
      </c>
      <c r="P569" s="271">
        <f ca="1">IF(D569=12,V569+P568+P568*(F569-0.003)*0.9,IF(AND(C569=ÉV!$I$2,D569=ÉV!$J$2),V569+P568+P568*(F569-0.003)*0.9*D569/12,P568))*IF(OR(C569&gt;ÉV!$I$2,AND(C569=ÉV!$I$2,D569&gt;ÉV!$J$2)),0,1)</f>
        <v>0</v>
      </c>
      <c r="Q569" s="275">
        <f ca="1">(N569+P569)*IF(OR(AND(C569=ÉV!$I$2,D569&gt;ÉV!$J$2),C569&gt;ÉV!$I$2),0,1)</f>
        <v>0</v>
      </c>
      <c r="R569" s="271" t="e">
        <f ca="1">(MAX(0,F569-E569-0.003)*0.9*((K569+I569)*(1/12)))*IF(OR(C569&gt;ÉV!$I$2,AND(C569=ÉV!$I$2,D569&gt;ÉV!$J$2)),0,1)</f>
        <v>#REF!</v>
      </c>
      <c r="S569" s="271">
        <f ca="1">(MAX(0,F569-0.003)*0.9*((O569)*(1/12)))*IF(OR(C569&gt;ÉV!$I$2,AND(C569=ÉV!$I$2,D569&gt;ÉV!$J$2)),0,1)</f>
        <v>0</v>
      </c>
      <c r="T569" s="271">
        <f ca="1">(MAX(0,F569-0.003)*0.9*((Q568)*(1/12)))*IF(OR(C569&gt;ÉV!$I$2,AND(C569=ÉV!$I$2,D569&gt;ÉV!$J$2)),0,1)</f>
        <v>0</v>
      </c>
      <c r="U569" s="271" t="e">
        <f ca="1">IF($D569=1,R569,R569+U568)*IF(OR(C569&gt;ÉV!$I$2,AND(C569=ÉV!$I$2,D569&gt;ÉV!$J$2)),0,1)</f>
        <v>#REF!</v>
      </c>
      <c r="V569" s="271">
        <f ca="1">IF($D569=1,S569,S569+V568)*IF(OR(C569&gt;ÉV!$I$2,AND(C569=ÉV!$I$2,D569&gt;ÉV!$J$2)),0,1)</f>
        <v>0</v>
      </c>
      <c r="W569" s="271">
        <f ca="1">IF($D569=1,T569,T569+W568)*IF(OR(C569&gt;ÉV!$I$2,AND(C569=ÉV!$I$2,D569&gt;ÉV!$J$2)),0,1)</f>
        <v>0</v>
      </c>
      <c r="X569" s="271">
        <f ca="1">IF(OR(D569=12,AND(C569=ÉV!$I$2,D569=ÉV!$J$2)),SUM(U569:W569)+X568,X568)*IF(OR(C569&gt;ÉV!$I$2,AND(C569=ÉV!$I$2,D569&gt;ÉV!$J$2)),0,1)</f>
        <v>0</v>
      </c>
      <c r="Y569" s="271">
        <f t="shared" ca="1" si="92"/>
        <v>0</v>
      </c>
      <c r="Z569" s="265">
        <f t="shared" si="93"/>
        <v>3</v>
      </c>
      <c r="AA569" s="272">
        <f t="shared" ca="1" si="94"/>
        <v>0</v>
      </c>
      <c r="AB569" s="265">
        <f t="shared" ca="1" si="98"/>
        <v>2064</v>
      </c>
      <c r="AC569" s="265">
        <f t="shared" ca="1" si="99"/>
        <v>6</v>
      </c>
      <c r="AD569" s="276">
        <f ca="1">IF(     OR(               AND(MAX(AF$6:AF569)&lt;2,  AC569=12),                 AF569=2),                   SUMIF(AB:AB,AB569,AA:AA),                       0)</f>
        <v>0</v>
      </c>
      <c r="AE569" s="277">
        <f t="shared" ca="1" si="100"/>
        <v>0</v>
      </c>
      <c r="AF569" s="277">
        <f t="shared" ca="1" si="95"/>
        <v>0</v>
      </c>
      <c r="AG569" s="402">
        <f ca="1">IF(  AND(AC569=AdóHó,   MAX(AF$1:AF568)&lt;2),   SUMIF(AB:AB,AB569-1,AE:AE),0  )
+ IF(AND(AC569&lt;AdóHó,                            AF569=2),   SUMIF(AB:AB,AB569-1,AE:AE),0  )
+ IF(                                                                  AF569=2,    SUMIF(AB:AB,AB569,AE:AE   ),0  )</f>
        <v>0</v>
      </c>
      <c r="AH569" s="272">
        <f ca="1">SUM(AG$2:AG569)</f>
        <v>1139324.2410681627</v>
      </c>
    </row>
    <row r="570" spans="1:34">
      <c r="A570" s="265">
        <f t="shared" si="101"/>
        <v>48</v>
      </c>
      <c r="B570" s="265">
        <f t="shared" si="102"/>
        <v>4</v>
      </c>
      <c r="C570" s="265">
        <f t="shared" ca="1" si="96"/>
        <v>48</v>
      </c>
      <c r="D570" s="265">
        <f t="shared" ca="1" si="97"/>
        <v>7</v>
      </c>
      <c r="E570" s="266">
        <v>5.0000000000000001E-3</v>
      </c>
      <c r="F570" s="267">
        <f>ÉV!$B$12</f>
        <v>0</v>
      </c>
      <c r="G570" s="271">
        <f ca="1">VLOOKUP(A570,ÉV!$A$18:$B$65,2,0)</f>
        <v>0</v>
      </c>
      <c r="H570" s="271">
        <f ca="1">IF(OR(A570=1,AND(C570=ÉV!$I$2,D570&gt;ÉV!$J$2),C570&gt;ÉV!$I$2),0,INDEX(Pz!$B$2:$AM$48,A570-1,ÉV!$G$2-9)/100000*ÉV!$B$10)</f>
        <v>0</v>
      </c>
      <c r="I570" s="271" t="e">
        <f ca="1">INDEX(Pz!$B$2:$AM$48,HÓ!A570,ÉV!$G$2-9)/100000*ÉV!$B$10</f>
        <v>#REF!</v>
      </c>
      <c r="J570" s="273">
        <f ca="1">IF(OR(A570=1,A570=2,AND(C570=ÉV!$I$2,D570&gt;ÉV!$J$2),C570&gt;ÉV!$I$2),0,VLOOKUP(A570-2,ÉV!$A$18:$C$65,3,0))</f>
        <v>0</v>
      </c>
      <c r="K570" s="273">
        <f ca="1">IF(OR(A570=1,AND(C570=ÉV!$I$2,D570&gt;ÉV!$J$2),C570&gt;ÉV!$I$2),0,VLOOKUP(A570-1,ÉV!$A$18:$C$65,3,0))</f>
        <v>0</v>
      </c>
      <c r="L570" s="273">
        <f ca="1">VLOOKUP(A570,ÉV!$A$18:$C$65,3,0)*IF(OR(AND(C570=ÉV!$I$2,D570&gt;ÉV!$J$2),C570&gt;ÉV!$I$2),0,1)</f>
        <v>0</v>
      </c>
      <c r="M570" s="273">
        <f ca="1">(K570*(12-B570)/12+L570*B570/12)*IF(A570&gt;ÉV!$G$2,0,1)+IF(A570&gt;ÉV!$G$2,M569,0)*IF(OR(AND(C570=ÉV!$I$2,D570&gt;ÉV!$J$2),C570&gt;ÉV!$I$2),0,1)</f>
        <v>0</v>
      </c>
      <c r="N570" s="274">
        <f ca="1">IF(AND(C570=1,D570&lt;12),0,1)*IF(D570=12,MAX(0,F570-E570-0.003)*0.9*((K570+I570)*(B570/12)+(J570+H570)*(1-B570/12))+MAX(0,F570-0.003)*0.9*N569+N569,IF(AND(C570=ÉV!$I$2,D570=ÉV!$J$2),(M570+N569)*MAX(0,F570-0.003)*0.9*(D570/12)+N569,N569))*IF(OR(C570&gt;ÉV!$I$2,AND(C570=ÉV!$I$2,D570&gt;ÉV!$J$2)),0,1)</f>
        <v>0</v>
      </c>
      <c r="O570" s="313">
        <f ca="1">IF(MAX(AF$2:AF569)=2,      0,IF(OR(AC570=7, AF570=2),    SUM(AE$2:AE570),    O569)   )</f>
        <v>0</v>
      </c>
      <c r="P570" s="271">
        <f ca="1">IF(D570=12,V570+P569+P569*(F570-0.003)*0.9,IF(AND(C570=ÉV!$I$2,D570=ÉV!$J$2),V570+P569+P569*(F570-0.003)*0.9*D570/12,P569))*IF(OR(C570&gt;ÉV!$I$2,AND(C570=ÉV!$I$2,D570&gt;ÉV!$J$2)),0,1)</f>
        <v>0</v>
      </c>
      <c r="Q570" s="275">
        <f ca="1">(N570+P570)*IF(OR(AND(C570=ÉV!$I$2,D570&gt;ÉV!$J$2),C570&gt;ÉV!$I$2),0,1)</f>
        <v>0</v>
      </c>
      <c r="R570" s="271" t="e">
        <f ca="1">(MAX(0,F570-E570-0.003)*0.9*((K570+I570)*(1/12)))*IF(OR(C570&gt;ÉV!$I$2,AND(C570=ÉV!$I$2,D570&gt;ÉV!$J$2)),0,1)</f>
        <v>#REF!</v>
      </c>
      <c r="S570" s="271">
        <f ca="1">(MAX(0,F570-0.003)*0.9*((O570)*(1/12)))*IF(OR(C570&gt;ÉV!$I$2,AND(C570=ÉV!$I$2,D570&gt;ÉV!$J$2)),0,1)</f>
        <v>0</v>
      </c>
      <c r="T570" s="271">
        <f ca="1">(MAX(0,F570-0.003)*0.9*((Q569)*(1/12)))*IF(OR(C570&gt;ÉV!$I$2,AND(C570=ÉV!$I$2,D570&gt;ÉV!$J$2)),0,1)</f>
        <v>0</v>
      </c>
      <c r="U570" s="271" t="e">
        <f ca="1">IF($D570=1,R570,R570+U569)*IF(OR(C570&gt;ÉV!$I$2,AND(C570=ÉV!$I$2,D570&gt;ÉV!$J$2)),0,1)</f>
        <v>#REF!</v>
      </c>
      <c r="V570" s="271">
        <f ca="1">IF($D570=1,S570,S570+V569)*IF(OR(C570&gt;ÉV!$I$2,AND(C570=ÉV!$I$2,D570&gt;ÉV!$J$2)),0,1)</f>
        <v>0</v>
      </c>
      <c r="W570" s="271">
        <f ca="1">IF($D570=1,T570,T570+W569)*IF(OR(C570&gt;ÉV!$I$2,AND(C570=ÉV!$I$2,D570&gt;ÉV!$J$2)),0,1)</f>
        <v>0</v>
      </c>
      <c r="X570" s="271">
        <f ca="1">IF(OR(D570=12,AND(C570=ÉV!$I$2,D570=ÉV!$J$2)),SUM(U570:W570)+X569,X569)*IF(OR(C570&gt;ÉV!$I$2,AND(C570=ÉV!$I$2,D570&gt;ÉV!$J$2)),0,1)</f>
        <v>0</v>
      </c>
      <c r="Y570" s="271">
        <f t="shared" ca="1" si="92"/>
        <v>0</v>
      </c>
      <c r="Z570" s="265">
        <f t="shared" si="93"/>
        <v>4</v>
      </c>
      <c r="AA570" s="272">
        <f t="shared" ca="1" si="94"/>
        <v>0</v>
      </c>
      <c r="AB570" s="265">
        <f t="shared" ca="1" si="98"/>
        <v>2064</v>
      </c>
      <c r="AC570" s="265">
        <f t="shared" ca="1" si="99"/>
        <v>7</v>
      </c>
      <c r="AD570" s="276">
        <f ca="1">IF(     OR(               AND(MAX(AF$6:AF570)&lt;2,  AC570=12),                 AF570=2),                   SUMIF(AB:AB,AB570,AA:AA),                       0)</f>
        <v>0</v>
      </c>
      <c r="AE570" s="277">
        <f t="shared" ca="1" si="100"/>
        <v>0</v>
      </c>
      <c r="AF570" s="277">
        <f t="shared" ca="1" si="95"/>
        <v>0</v>
      </c>
      <c r="AG570" s="402">
        <f ca="1">IF(  AND(AC570=AdóHó,   MAX(AF$1:AF569)&lt;2),   SUMIF(AB:AB,AB570-1,AE:AE),0  )
+ IF(AND(AC570&lt;AdóHó,                            AF570=2),   SUMIF(AB:AB,AB570-1,AE:AE),0  )
+ IF(                                                                  AF570=2,    SUMIF(AB:AB,AB570,AE:AE   ),0  )</f>
        <v>0</v>
      </c>
      <c r="AH570" s="272">
        <f ca="1">SUM(AG$2:AG570)</f>
        <v>1139324.2410681627</v>
      </c>
    </row>
    <row r="571" spans="1:34">
      <c r="A571" s="265">
        <f t="shared" si="101"/>
        <v>48</v>
      </c>
      <c r="B571" s="265">
        <f t="shared" si="102"/>
        <v>5</v>
      </c>
      <c r="C571" s="265">
        <f t="shared" ca="1" si="96"/>
        <v>48</v>
      </c>
      <c r="D571" s="265">
        <f t="shared" ca="1" si="97"/>
        <v>8</v>
      </c>
      <c r="E571" s="266">
        <v>5.0000000000000001E-3</v>
      </c>
      <c r="F571" s="267">
        <f>ÉV!$B$12</f>
        <v>0</v>
      </c>
      <c r="G571" s="271">
        <f ca="1">VLOOKUP(A571,ÉV!$A$18:$B$65,2,0)</f>
        <v>0</v>
      </c>
      <c r="H571" s="271">
        <f ca="1">IF(OR(A571=1,AND(C571=ÉV!$I$2,D571&gt;ÉV!$J$2),C571&gt;ÉV!$I$2),0,INDEX(Pz!$B$2:$AM$48,A571-1,ÉV!$G$2-9)/100000*ÉV!$B$10)</f>
        <v>0</v>
      </c>
      <c r="I571" s="271" t="e">
        <f ca="1">INDEX(Pz!$B$2:$AM$48,HÓ!A571,ÉV!$G$2-9)/100000*ÉV!$B$10</f>
        <v>#REF!</v>
      </c>
      <c r="J571" s="273">
        <f ca="1">IF(OR(A571=1,A571=2,AND(C571=ÉV!$I$2,D571&gt;ÉV!$J$2),C571&gt;ÉV!$I$2),0,VLOOKUP(A571-2,ÉV!$A$18:$C$65,3,0))</f>
        <v>0</v>
      </c>
      <c r="K571" s="273">
        <f ca="1">IF(OR(A571=1,AND(C571=ÉV!$I$2,D571&gt;ÉV!$J$2),C571&gt;ÉV!$I$2),0,VLOOKUP(A571-1,ÉV!$A$18:$C$65,3,0))</f>
        <v>0</v>
      </c>
      <c r="L571" s="273">
        <f ca="1">VLOOKUP(A571,ÉV!$A$18:$C$65,3,0)*IF(OR(AND(C571=ÉV!$I$2,D571&gt;ÉV!$J$2),C571&gt;ÉV!$I$2),0,1)</f>
        <v>0</v>
      </c>
      <c r="M571" s="273">
        <f ca="1">(K571*(12-B571)/12+L571*B571/12)*IF(A571&gt;ÉV!$G$2,0,1)+IF(A571&gt;ÉV!$G$2,M570,0)*IF(OR(AND(C571=ÉV!$I$2,D571&gt;ÉV!$J$2),C571&gt;ÉV!$I$2),0,1)</f>
        <v>0</v>
      </c>
      <c r="N571" s="274">
        <f ca="1">IF(AND(C571=1,D571&lt;12),0,1)*IF(D571=12,MAX(0,F571-E571-0.003)*0.9*((K571+I571)*(B571/12)+(J571+H571)*(1-B571/12))+MAX(0,F571-0.003)*0.9*N570+N570,IF(AND(C571=ÉV!$I$2,D571=ÉV!$J$2),(M571+N570)*MAX(0,F571-0.003)*0.9*(D571/12)+N570,N570))*IF(OR(C571&gt;ÉV!$I$2,AND(C571=ÉV!$I$2,D571&gt;ÉV!$J$2)),0,1)</f>
        <v>0</v>
      </c>
      <c r="O571" s="313">
        <f ca="1">IF(MAX(AF$2:AF570)=2,      0,IF(OR(AC571=7, AF571=2),    SUM(AE$2:AE571),    O570)   )</f>
        <v>0</v>
      </c>
      <c r="P571" s="271">
        <f ca="1">IF(D571=12,V571+P570+P570*(F571-0.003)*0.9,IF(AND(C571=ÉV!$I$2,D571=ÉV!$J$2),V571+P570+P570*(F571-0.003)*0.9*D571/12,P570))*IF(OR(C571&gt;ÉV!$I$2,AND(C571=ÉV!$I$2,D571&gt;ÉV!$J$2)),0,1)</f>
        <v>0</v>
      </c>
      <c r="Q571" s="275">
        <f ca="1">(N571+P571)*IF(OR(AND(C571=ÉV!$I$2,D571&gt;ÉV!$J$2),C571&gt;ÉV!$I$2),0,1)</f>
        <v>0</v>
      </c>
      <c r="R571" s="271" t="e">
        <f ca="1">(MAX(0,F571-E571-0.003)*0.9*((K571+I571)*(1/12)))*IF(OR(C571&gt;ÉV!$I$2,AND(C571=ÉV!$I$2,D571&gt;ÉV!$J$2)),0,1)</f>
        <v>#REF!</v>
      </c>
      <c r="S571" s="271">
        <f ca="1">(MAX(0,F571-0.003)*0.9*((O571)*(1/12)))*IF(OR(C571&gt;ÉV!$I$2,AND(C571=ÉV!$I$2,D571&gt;ÉV!$J$2)),0,1)</f>
        <v>0</v>
      </c>
      <c r="T571" s="271">
        <f ca="1">(MAX(0,F571-0.003)*0.9*((Q570)*(1/12)))*IF(OR(C571&gt;ÉV!$I$2,AND(C571=ÉV!$I$2,D571&gt;ÉV!$J$2)),0,1)</f>
        <v>0</v>
      </c>
      <c r="U571" s="271" t="e">
        <f ca="1">IF($D571=1,R571,R571+U570)*IF(OR(C571&gt;ÉV!$I$2,AND(C571=ÉV!$I$2,D571&gt;ÉV!$J$2)),0,1)</f>
        <v>#REF!</v>
      </c>
      <c r="V571" s="271">
        <f ca="1">IF($D571=1,S571,S571+V570)*IF(OR(C571&gt;ÉV!$I$2,AND(C571=ÉV!$I$2,D571&gt;ÉV!$J$2)),0,1)</f>
        <v>0</v>
      </c>
      <c r="W571" s="271">
        <f ca="1">IF($D571=1,T571,T571+W570)*IF(OR(C571&gt;ÉV!$I$2,AND(C571=ÉV!$I$2,D571&gt;ÉV!$J$2)),0,1)</f>
        <v>0</v>
      </c>
      <c r="X571" s="271">
        <f ca="1">IF(OR(D571=12,AND(C571=ÉV!$I$2,D571=ÉV!$J$2)),SUM(U571:W571)+X570,X570)*IF(OR(C571&gt;ÉV!$I$2,AND(C571=ÉV!$I$2,D571&gt;ÉV!$J$2)),0,1)</f>
        <v>0</v>
      </c>
      <c r="Y571" s="271">
        <f t="shared" ca="1" si="92"/>
        <v>0</v>
      </c>
      <c r="Z571" s="265">
        <f t="shared" si="93"/>
        <v>5</v>
      </c>
      <c r="AA571" s="272">
        <f t="shared" ca="1" si="94"/>
        <v>0</v>
      </c>
      <c r="AB571" s="265">
        <f t="shared" ca="1" si="98"/>
        <v>2064</v>
      </c>
      <c r="AC571" s="265">
        <f t="shared" ca="1" si="99"/>
        <v>8</v>
      </c>
      <c r="AD571" s="276">
        <f ca="1">IF(     OR(               AND(MAX(AF$6:AF571)&lt;2,  AC571=12),                 AF571=2),                   SUMIF(AB:AB,AB571,AA:AA),                       0)</f>
        <v>0</v>
      </c>
      <c r="AE571" s="277">
        <f t="shared" ca="1" si="100"/>
        <v>0</v>
      </c>
      <c r="AF571" s="277">
        <f t="shared" ca="1" si="95"/>
        <v>0</v>
      </c>
      <c r="AG571" s="402">
        <f ca="1">IF(  AND(AC571=AdóHó,   MAX(AF$1:AF570)&lt;2),   SUMIF(AB:AB,AB571-1,AE:AE),0  )
+ IF(AND(AC571&lt;AdóHó,                            AF571=2),   SUMIF(AB:AB,AB571-1,AE:AE),0  )
+ IF(                                                                  AF571=2,    SUMIF(AB:AB,AB571,AE:AE   ),0  )</f>
        <v>0</v>
      </c>
      <c r="AH571" s="272">
        <f ca="1">SUM(AG$2:AG571)</f>
        <v>1139324.2410681627</v>
      </c>
    </row>
    <row r="572" spans="1:34">
      <c r="A572" s="265">
        <f t="shared" si="101"/>
        <v>48</v>
      </c>
      <c r="B572" s="265">
        <f t="shared" si="102"/>
        <v>6</v>
      </c>
      <c r="C572" s="265">
        <f t="shared" ca="1" si="96"/>
        <v>48</v>
      </c>
      <c r="D572" s="265">
        <f t="shared" ca="1" si="97"/>
        <v>9</v>
      </c>
      <c r="E572" s="266">
        <v>5.0000000000000001E-3</v>
      </c>
      <c r="F572" s="267">
        <f>ÉV!$B$12</f>
        <v>0</v>
      </c>
      <c r="G572" s="271">
        <f ca="1">VLOOKUP(A572,ÉV!$A$18:$B$65,2,0)</f>
        <v>0</v>
      </c>
      <c r="H572" s="271">
        <f ca="1">IF(OR(A572=1,AND(C572=ÉV!$I$2,D572&gt;ÉV!$J$2),C572&gt;ÉV!$I$2),0,INDEX(Pz!$B$2:$AM$48,A572-1,ÉV!$G$2-9)/100000*ÉV!$B$10)</f>
        <v>0</v>
      </c>
      <c r="I572" s="271" t="e">
        <f ca="1">INDEX(Pz!$B$2:$AM$48,HÓ!A572,ÉV!$G$2-9)/100000*ÉV!$B$10</f>
        <v>#REF!</v>
      </c>
      <c r="J572" s="273">
        <f ca="1">IF(OR(A572=1,A572=2,AND(C572=ÉV!$I$2,D572&gt;ÉV!$J$2),C572&gt;ÉV!$I$2),0,VLOOKUP(A572-2,ÉV!$A$18:$C$65,3,0))</f>
        <v>0</v>
      </c>
      <c r="K572" s="273">
        <f ca="1">IF(OR(A572=1,AND(C572=ÉV!$I$2,D572&gt;ÉV!$J$2),C572&gt;ÉV!$I$2),0,VLOOKUP(A572-1,ÉV!$A$18:$C$65,3,0))</f>
        <v>0</v>
      </c>
      <c r="L572" s="273">
        <f ca="1">VLOOKUP(A572,ÉV!$A$18:$C$65,3,0)*IF(OR(AND(C572=ÉV!$I$2,D572&gt;ÉV!$J$2),C572&gt;ÉV!$I$2),0,1)</f>
        <v>0</v>
      </c>
      <c r="M572" s="273">
        <f ca="1">(K572*(12-B572)/12+L572*B572/12)*IF(A572&gt;ÉV!$G$2,0,1)+IF(A572&gt;ÉV!$G$2,M571,0)*IF(OR(AND(C572=ÉV!$I$2,D572&gt;ÉV!$J$2),C572&gt;ÉV!$I$2),0,1)</f>
        <v>0</v>
      </c>
      <c r="N572" s="274">
        <f ca="1">IF(AND(C572=1,D572&lt;12),0,1)*IF(D572=12,MAX(0,F572-E572-0.003)*0.9*((K572+I572)*(B572/12)+(J572+H572)*(1-B572/12))+MAX(0,F572-0.003)*0.9*N571+N571,IF(AND(C572=ÉV!$I$2,D572=ÉV!$J$2),(M572+N571)*MAX(0,F572-0.003)*0.9*(D572/12)+N571,N571))*IF(OR(C572&gt;ÉV!$I$2,AND(C572=ÉV!$I$2,D572&gt;ÉV!$J$2)),0,1)</f>
        <v>0</v>
      </c>
      <c r="O572" s="313">
        <f ca="1">IF(MAX(AF$2:AF571)=2,      0,IF(OR(AC572=7, AF572=2),    SUM(AE$2:AE572),    O571)   )</f>
        <v>0</v>
      </c>
      <c r="P572" s="271">
        <f ca="1">IF(D572=12,V572+P571+P571*(F572-0.003)*0.9,IF(AND(C572=ÉV!$I$2,D572=ÉV!$J$2),V572+P571+P571*(F572-0.003)*0.9*D572/12,P571))*IF(OR(C572&gt;ÉV!$I$2,AND(C572=ÉV!$I$2,D572&gt;ÉV!$J$2)),0,1)</f>
        <v>0</v>
      </c>
      <c r="Q572" s="275">
        <f ca="1">(N572+P572)*IF(OR(AND(C572=ÉV!$I$2,D572&gt;ÉV!$J$2),C572&gt;ÉV!$I$2),0,1)</f>
        <v>0</v>
      </c>
      <c r="R572" s="271" t="e">
        <f ca="1">(MAX(0,F572-E572-0.003)*0.9*((K572+I572)*(1/12)))*IF(OR(C572&gt;ÉV!$I$2,AND(C572=ÉV!$I$2,D572&gt;ÉV!$J$2)),0,1)</f>
        <v>#REF!</v>
      </c>
      <c r="S572" s="271">
        <f ca="1">(MAX(0,F572-0.003)*0.9*((O572)*(1/12)))*IF(OR(C572&gt;ÉV!$I$2,AND(C572=ÉV!$I$2,D572&gt;ÉV!$J$2)),0,1)</f>
        <v>0</v>
      </c>
      <c r="T572" s="271">
        <f ca="1">(MAX(0,F572-0.003)*0.9*((Q571)*(1/12)))*IF(OR(C572&gt;ÉV!$I$2,AND(C572=ÉV!$I$2,D572&gt;ÉV!$J$2)),0,1)</f>
        <v>0</v>
      </c>
      <c r="U572" s="271" t="e">
        <f ca="1">IF($D572=1,R572,R572+U571)*IF(OR(C572&gt;ÉV!$I$2,AND(C572=ÉV!$I$2,D572&gt;ÉV!$J$2)),0,1)</f>
        <v>#REF!</v>
      </c>
      <c r="V572" s="271">
        <f ca="1">IF($D572=1,S572,S572+V571)*IF(OR(C572&gt;ÉV!$I$2,AND(C572=ÉV!$I$2,D572&gt;ÉV!$J$2)),0,1)</f>
        <v>0</v>
      </c>
      <c r="W572" s="271">
        <f ca="1">IF($D572=1,T572,T572+W571)*IF(OR(C572&gt;ÉV!$I$2,AND(C572=ÉV!$I$2,D572&gt;ÉV!$J$2)),0,1)</f>
        <v>0</v>
      </c>
      <c r="X572" s="271">
        <f ca="1">IF(OR(D572=12,AND(C572=ÉV!$I$2,D572=ÉV!$J$2)),SUM(U572:W572)+X571,X571)*IF(OR(C572&gt;ÉV!$I$2,AND(C572=ÉV!$I$2,D572&gt;ÉV!$J$2)),0,1)</f>
        <v>0</v>
      </c>
      <c r="Y572" s="271">
        <f t="shared" ca="1" si="92"/>
        <v>0</v>
      </c>
      <c r="Z572" s="265">
        <f t="shared" si="93"/>
        <v>6</v>
      </c>
      <c r="AA572" s="272">
        <f t="shared" ca="1" si="94"/>
        <v>0</v>
      </c>
      <c r="AB572" s="265">
        <f t="shared" ca="1" si="98"/>
        <v>2064</v>
      </c>
      <c r="AC572" s="265">
        <f t="shared" ca="1" si="99"/>
        <v>9</v>
      </c>
      <c r="AD572" s="276">
        <f ca="1">IF(     OR(               AND(MAX(AF$6:AF572)&lt;2,  AC572=12),                 AF572=2),                   SUMIF(AB:AB,AB572,AA:AA),                       0)</f>
        <v>0</v>
      </c>
      <c r="AE572" s="277">
        <f t="shared" ca="1" si="100"/>
        <v>0</v>
      </c>
      <c r="AF572" s="277">
        <f t="shared" ca="1" si="95"/>
        <v>0</v>
      </c>
      <c r="AG572" s="402">
        <f ca="1">IF(  AND(AC572=AdóHó,   MAX(AF$1:AF571)&lt;2),   SUMIF(AB:AB,AB572-1,AE:AE),0  )
+ IF(AND(AC572&lt;AdóHó,                            AF572=2),   SUMIF(AB:AB,AB572-1,AE:AE),0  )
+ IF(                                                                  AF572=2,    SUMIF(AB:AB,AB572,AE:AE   ),0  )</f>
        <v>0</v>
      </c>
      <c r="AH572" s="272">
        <f ca="1">SUM(AG$2:AG572)</f>
        <v>1139324.2410681627</v>
      </c>
    </row>
    <row r="573" spans="1:34">
      <c r="A573" s="265">
        <f t="shared" si="101"/>
        <v>48</v>
      </c>
      <c r="B573" s="265">
        <f t="shared" si="102"/>
        <v>7</v>
      </c>
      <c r="C573" s="265">
        <f t="shared" ca="1" si="96"/>
        <v>48</v>
      </c>
      <c r="D573" s="265">
        <f t="shared" ca="1" si="97"/>
        <v>10</v>
      </c>
      <c r="E573" s="266">
        <v>5.0000000000000001E-3</v>
      </c>
      <c r="F573" s="267">
        <f>ÉV!$B$12</f>
        <v>0</v>
      </c>
      <c r="G573" s="271">
        <f ca="1">VLOOKUP(A573,ÉV!$A$18:$B$65,2,0)</f>
        <v>0</v>
      </c>
      <c r="H573" s="271">
        <f ca="1">IF(OR(A573=1,AND(C573=ÉV!$I$2,D573&gt;ÉV!$J$2),C573&gt;ÉV!$I$2),0,INDEX(Pz!$B$2:$AM$48,A573-1,ÉV!$G$2-9)/100000*ÉV!$B$10)</f>
        <v>0</v>
      </c>
      <c r="I573" s="271" t="e">
        <f ca="1">INDEX(Pz!$B$2:$AM$48,HÓ!A573,ÉV!$G$2-9)/100000*ÉV!$B$10</f>
        <v>#REF!</v>
      </c>
      <c r="J573" s="273">
        <f ca="1">IF(OR(A573=1,A573=2,AND(C573=ÉV!$I$2,D573&gt;ÉV!$J$2),C573&gt;ÉV!$I$2),0,VLOOKUP(A573-2,ÉV!$A$18:$C$65,3,0))</f>
        <v>0</v>
      </c>
      <c r="K573" s="273">
        <f ca="1">IF(OR(A573=1,AND(C573=ÉV!$I$2,D573&gt;ÉV!$J$2),C573&gt;ÉV!$I$2),0,VLOOKUP(A573-1,ÉV!$A$18:$C$65,3,0))</f>
        <v>0</v>
      </c>
      <c r="L573" s="273">
        <f ca="1">VLOOKUP(A573,ÉV!$A$18:$C$65,3,0)*IF(OR(AND(C573=ÉV!$I$2,D573&gt;ÉV!$J$2),C573&gt;ÉV!$I$2),0,1)</f>
        <v>0</v>
      </c>
      <c r="M573" s="273">
        <f ca="1">(K573*(12-B573)/12+L573*B573/12)*IF(A573&gt;ÉV!$G$2,0,1)+IF(A573&gt;ÉV!$G$2,M572,0)*IF(OR(AND(C573=ÉV!$I$2,D573&gt;ÉV!$J$2),C573&gt;ÉV!$I$2),0,1)</f>
        <v>0</v>
      </c>
      <c r="N573" s="274">
        <f ca="1">IF(AND(C573=1,D573&lt;12),0,1)*IF(D573=12,MAX(0,F573-E573-0.003)*0.9*((K573+I573)*(B573/12)+(J573+H573)*(1-B573/12))+MAX(0,F573-0.003)*0.9*N572+N572,IF(AND(C573=ÉV!$I$2,D573=ÉV!$J$2),(M573+N572)*MAX(0,F573-0.003)*0.9*(D573/12)+N572,N572))*IF(OR(C573&gt;ÉV!$I$2,AND(C573=ÉV!$I$2,D573&gt;ÉV!$J$2)),0,1)</f>
        <v>0</v>
      </c>
      <c r="O573" s="313">
        <f ca="1">IF(MAX(AF$2:AF572)=2,      0,IF(OR(AC573=7, AF573=2),    SUM(AE$2:AE573),    O572)   )</f>
        <v>0</v>
      </c>
      <c r="P573" s="271">
        <f ca="1">IF(D573=12,V573+P572+P572*(F573-0.003)*0.9,IF(AND(C573=ÉV!$I$2,D573=ÉV!$J$2),V573+P572+P572*(F573-0.003)*0.9*D573/12,P572))*IF(OR(C573&gt;ÉV!$I$2,AND(C573=ÉV!$I$2,D573&gt;ÉV!$J$2)),0,1)</f>
        <v>0</v>
      </c>
      <c r="Q573" s="275">
        <f ca="1">(N573+P573)*IF(OR(AND(C573=ÉV!$I$2,D573&gt;ÉV!$J$2),C573&gt;ÉV!$I$2),0,1)</f>
        <v>0</v>
      </c>
      <c r="R573" s="271" t="e">
        <f ca="1">(MAX(0,F573-E573-0.003)*0.9*((K573+I573)*(1/12)))*IF(OR(C573&gt;ÉV!$I$2,AND(C573=ÉV!$I$2,D573&gt;ÉV!$J$2)),0,1)</f>
        <v>#REF!</v>
      </c>
      <c r="S573" s="271">
        <f ca="1">(MAX(0,F573-0.003)*0.9*((O573)*(1/12)))*IF(OR(C573&gt;ÉV!$I$2,AND(C573=ÉV!$I$2,D573&gt;ÉV!$J$2)),0,1)</f>
        <v>0</v>
      </c>
      <c r="T573" s="271">
        <f ca="1">(MAX(0,F573-0.003)*0.9*((Q572)*(1/12)))*IF(OR(C573&gt;ÉV!$I$2,AND(C573=ÉV!$I$2,D573&gt;ÉV!$J$2)),0,1)</f>
        <v>0</v>
      </c>
      <c r="U573" s="271" t="e">
        <f ca="1">IF($D573=1,R573,R573+U572)*IF(OR(C573&gt;ÉV!$I$2,AND(C573=ÉV!$I$2,D573&gt;ÉV!$J$2)),0,1)</f>
        <v>#REF!</v>
      </c>
      <c r="V573" s="271">
        <f ca="1">IF($D573=1,S573,S573+V572)*IF(OR(C573&gt;ÉV!$I$2,AND(C573=ÉV!$I$2,D573&gt;ÉV!$J$2)),0,1)</f>
        <v>0</v>
      </c>
      <c r="W573" s="271">
        <f ca="1">IF($D573=1,T573,T573+W572)*IF(OR(C573&gt;ÉV!$I$2,AND(C573=ÉV!$I$2,D573&gt;ÉV!$J$2)),0,1)</f>
        <v>0</v>
      </c>
      <c r="X573" s="271">
        <f ca="1">IF(OR(D573=12,AND(C573=ÉV!$I$2,D573=ÉV!$J$2)),SUM(U573:W573)+X572,X572)*IF(OR(C573&gt;ÉV!$I$2,AND(C573=ÉV!$I$2,D573&gt;ÉV!$J$2)),0,1)</f>
        <v>0</v>
      </c>
      <c r="Y573" s="271">
        <f t="shared" ca="1" si="92"/>
        <v>0</v>
      </c>
      <c r="Z573" s="265">
        <f t="shared" si="93"/>
        <v>7</v>
      </c>
      <c r="AA573" s="272">
        <f t="shared" ca="1" si="94"/>
        <v>0</v>
      </c>
      <c r="AB573" s="265">
        <f t="shared" ca="1" si="98"/>
        <v>2064</v>
      </c>
      <c r="AC573" s="265">
        <f t="shared" ca="1" si="99"/>
        <v>10</v>
      </c>
      <c r="AD573" s="276">
        <f ca="1">IF(     OR(               AND(MAX(AF$6:AF573)&lt;2,  AC573=12),                 AF573=2),                   SUMIF(AB:AB,AB573,AA:AA),                       0)</f>
        <v>0</v>
      </c>
      <c r="AE573" s="277">
        <f t="shared" ca="1" si="100"/>
        <v>0</v>
      </c>
      <c r="AF573" s="277">
        <f t="shared" ca="1" si="95"/>
        <v>0</v>
      </c>
      <c r="AG573" s="402">
        <f ca="1">IF(  AND(AC573=AdóHó,   MAX(AF$1:AF572)&lt;2),   SUMIF(AB:AB,AB573-1,AE:AE),0  )
+ IF(AND(AC573&lt;AdóHó,                            AF573=2),   SUMIF(AB:AB,AB573-1,AE:AE),0  )
+ IF(                                                                  AF573=2,    SUMIF(AB:AB,AB573,AE:AE   ),0  )</f>
        <v>0</v>
      </c>
      <c r="AH573" s="272">
        <f ca="1">SUM(AG$2:AG573)</f>
        <v>1139324.2410681627</v>
      </c>
    </row>
    <row r="574" spans="1:34">
      <c r="A574" s="265">
        <f t="shared" si="101"/>
        <v>48</v>
      </c>
      <c r="B574" s="265">
        <f t="shared" si="102"/>
        <v>8</v>
      </c>
      <c r="C574" s="265">
        <f t="shared" ca="1" si="96"/>
        <v>48</v>
      </c>
      <c r="D574" s="265">
        <f t="shared" ca="1" si="97"/>
        <v>11</v>
      </c>
      <c r="E574" s="266">
        <v>5.0000000000000001E-3</v>
      </c>
      <c r="F574" s="267">
        <f>ÉV!$B$12</f>
        <v>0</v>
      </c>
      <c r="G574" s="271">
        <f ca="1">VLOOKUP(A574,ÉV!$A$18:$B$65,2,0)</f>
        <v>0</v>
      </c>
      <c r="H574" s="271">
        <f ca="1">IF(OR(A574=1,AND(C574=ÉV!$I$2,D574&gt;ÉV!$J$2),C574&gt;ÉV!$I$2),0,INDEX(Pz!$B$2:$AM$48,A574-1,ÉV!$G$2-9)/100000*ÉV!$B$10)</f>
        <v>0</v>
      </c>
      <c r="I574" s="271" t="e">
        <f ca="1">INDEX(Pz!$B$2:$AM$48,HÓ!A574,ÉV!$G$2-9)/100000*ÉV!$B$10</f>
        <v>#REF!</v>
      </c>
      <c r="J574" s="273">
        <f ca="1">IF(OR(A574=1,A574=2,AND(C574=ÉV!$I$2,D574&gt;ÉV!$J$2),C574&gt;ÉV!$I$2),0,VLOOKUP(A574-2,ÉV!$A$18:$C$65,3,0))</f>
        <v>0</v>
      </c>
      <c r="K574" s="273">
        <f ca="1">IF(OR(A574=1,AND(C574=ÉV!$I$2,D574&gt;ÉV!$J$2),C574&gt;ÉV!$I$2),0,VLOOKUP(A574-1,ÉV!$A$18:$C$65,3,0))</f>
        <v>0</v>
      </c>
      <c r="L574" s="273">
        <f ca="1">VLOOKUP(A574,ÉV!$A$18:$C$65,3,0)*IF(OR(AND(C574=ÉV!$I$2,D574&gt;ÉV!$J$2),C574&gt;ÉV!$I$2),0,1)</f>
        <v>0</v>
      </c>
      <c r="M574" s="273">
        <f ca="1">(K574*(12-B574)/12+L574*B574/12)*IF(A574&gt;ÉV!$G$2,0,1)+IF(A574&gt;ÉV!$G$2,M573,0)*IF(OR(AND(C574=ÉV!$I$2,D574&gt;ÉV!$J$2),C574&gt;ÉV!$I$2),0,1)</f>
        <v>0</v>
      </c>
      <c r="N574" s="274">
        <f ca="1">IF(AND(C574=1,D574&lt;12),0,1)*IF(D574=12,MAX(0,F574-E574-0.003)*0.9*((K574+I574)*(B574/12)+(J574+H574)*(1-B574/12))+MAX(0,F574-0.003)*0.9*N573+N573,IF(AND(C574=ÉV!$I$2,D574=ÉV!$J$2),(M574+N573)*MAX(0,F574-0.003)*0.9*(D574/12)+N573,N573))*IF(OR(C574&gt;ÉV!$I$2,AND(C574=ÉV!$I$2,D574&gt;ÉV!$J$2)),0,1)</f>
        <v>0</v>
      </c>
      <c r="O574" s="313">
        <f ca="1">IF(MAX(AF$2:AF573)=2,      0,IF(OR(AC574=7, AF574=2),    SUM(AE$2:AE574),    O573)   )</f>
        <v>0</v>
      </c>
      <c r="P574" s="271">
        <f ca="1">IF(D574=12,V574+P573+P573*(F574-0.003)*0.9,IF(AND(C574=ÉV!$I$2,D574=ÉV!$J$2),V574+P573+P573*(F574-0.003)*0.9*D574/12,P573))*IF(OR(C574&gt;ÉV!$I$2,AND(C574=ÉV!$I$2,D574&gt;ÉV!$J$2)),0,1)</f>
        <v>0</v>
      </c>
      <c r="Q574" s="275">
        <f ca="1">(N574+P574)*IF(OR(AND(C574=ÉV!$I$2,D574&gt;ÉV!$J$2),C574&gt;ÉV!$I$2),0,1)</f>
        <v>0</v>
      </c>
      <c r="R574" s="271" t="e">
        <f ca="1">(MAX(0,F574-E574-0.003)*0.9*((K574+I574)*(1/12)))*IF(OR(C574&gt;ÉV!$I$2,AND(C574=ÉV!$I$2,D574&gt;ÉV!$J$2)),0,1)</f>
        <v>#REF!</v>
      </c>
      <c r="S574" s="271">
        <f ca="1">(MAX(0,F574-0.003)*0.9*((O574)*(1/12)))*IF(OR(C574&gt;ÉV!$I$2,AND(C574=ÉV!$I$2,D574&gt;ÉV!$J$2)),0,1)</f>
        <v>0</v>
      </c>
      <c r="T574" s="271">
        <f ca="1">(MAX(0,F574-0.003)*0.9*((Q573)*(1/12)))*IF(OR(C574&gt;ÉV!$I$2,AND(C574=ÉV!$I$2,D574&gt;ÉV!$J$2)),0,1)</f>
        <v>0</v>
      </c>
      <c r="U574" s="271" t="e">
        <f ca="1">IF($D574=1,R574,R574+U573)*IF(OR(C574&gt;ÉV!$I$2,AND(C574=ÉV!$I$2,D574&gt;ÉV!$J$2)),0,1)</f>
        <v>#REF!</v>
      </c>
      <c r="V574" s="271">
        <f ca="1">IF($D574=1,S574,S574+V573)*IF(OR(C574&gt;ÉV!$I$2,AND(C574=ÉV!$I$2,D574&gt;ÉV!$J$2)),0,1)</f>
        <v>0</v>
      </c>
      <c r="W574" s="271">
        <f ca="1">IF($D574=1,T574,T574+W573)*IF(OR(C574&gt;ÉV!$I$2,AND(C574=ÉV!$I$2,D574&gt;ÉV!$J$2)),0,1)</f>
        <v>0</v>
      </c>
      <c r="X574" s="271">
        <f ca="1">IF(OR(D574=12,AND(C574=ÉV!$I$2,D574=ÉV!$J$2)),SUM(U574:W574)+X573,X573)*IF(OR(C574&gt;ÉV!$I$2,AND(C574=ÉV!$I$2,D574&gt;ÉV!$J$2)),0,1)</f>
        <v>0</v>
      </c>
      <c r="Y574" s="271">
        <f t="shared" ca="1" si="92"/>
        <v>0</v>
      </c>
      <c r="Z574" s="265">
        <f t="shared" si="93"/>
        <v>8</v>
      </c>
      <c r="AA574" s="272">
        <f t="shared" ca="1" si="94"/>
        <v>0</v>
      </c>
      <c r="AB574" s="265">
        <f t="shared" ca="1" si="98"/>
        <v>2064</v>
      </c>
      <c r="AC574" s="265">
        <f t="shared" ca="1" si="99"/>
        <v>11</v>
      </c>
      <c r="AD574" s="276">
        <f ca="1">IF(     OR(               AND(MAX(AF$6:AF574)&lt;2,  AC574=12),                 AF574=2),                   SUMIF(AB:AB,AB574,AA:AA),                       0)</f>
        <v>0</v>
      </c>
      <c r="AE574" s="277">
        <f t="shared" ca="1" si="100"/>
        <v>0</v>
      </c>
      <c r="AF574" s="277">
        <f t="shared" ca="1" si="95"/>
        <v>0</v>
      </c>
      <c r="AG574" s="402">
        <f ca="1">IF(  AND(AC574=AdóHó,   MAX(AF$1:AF573)&lt;2),   SUMIF(AB:AB,AB574-1,AE:AE),0  )
+ IF(AND(AC574&lt;AdóHó,                            AF574=2),   SUMIF(AB:AB,AB574-1,AE:AE),0  )
+ IF(                                                                  AF574=2,    SUMIF(AB:AB,AB574,AE:AE   ),0  )</f>
        <v>0</v>
      </c>
      <c r="AH574" s="272">
        <f ca="1">SUM(AG$2:AG574)</f>
        <v>1139324.2410681627</v>
      </c>
    </row>
    <row r="575" spans="1:34">
      <c r="A575" s="265">
        <f t="shared" si="101"/>
        <v>48</v>
      </c>
      <c r="B575" s="265">
        <f t="shared" si="102"/>
        <v>9</v>
      </c>
      <c r="C575" s="265">
        <f t="shared" ca="1" si="96"/>
        <v>48</v>
      </c>
      <c r="D575" s="265">
        <f t="shared" ca="1" si="97"/>
        <v>12</v>
      </c>
      <c r="E575" s="266">
        <v>5.0000000000000001E-3</v>
      </c>
      <c r="F575" s="267">
        <f>ÉV!$B$12</f>
        <v>0</v>
      </c>
      <c r="G575" s="271">
        <f ca="1">VLOOKUP(A575,ÉV!$A$18:$B$65,2,0)</f>
        <v>0</v>
      </c>
      <c r="H575" s="271">
        <f ca="1">IF(OR(A575=1,AND(C575=ÉV!$I$2,D575&gt;ÉV!$J$2),C575&gt;ÉV!$I$2),0,INDEX(Pz!$B$2:$AM$48,A575-1,ÉV!$G$2-9)/100000*ÉV!$B$10)</f>
        <v>0</v>
      </c>
      <c r="I575" s="271" t="e">
        <f ca="1">INDEX(Pz!$B$2:$AM$48,HÓ!A575,ÉV!$G$2-9)/100000*ÉV!$B$10</f>
        <v>#REF!</v>
      </c>
      <c r="J575" s="273">
        <f ca="1">IF(OR(A575=1,A575=2,AND(C575=ÉV!$I$2,D575&gt;ÉV!$J$2),C575&gt;ÉV!$I$2),0,VLOOKUP(A575-2,ÉV!$A$18:$C$65,3,0))</f>
        <v>0</v>
      </c>
      <c r="K575" s="273">
        <f ca="1">IF(OR(A575=1,AND(C575=ÉV!$I$2,D575&gt;ÉV!$J$2),C575&gt;ÉV!$I$2),0,VLOOKUP(A575-1,ÉV!$A$18:$C$65,3,0))</f>
        <v>0</v>
      </c>
      <c r="L575" s="273">
        <f ca="1">VLOOKUP(A575,ÉV!$A$18:$C$65,3,0)*IF(OR(AND(C575=ÉV!$I$2,D575&gt;ÉV!$J$2),C575&gt;ÉV!$I$2),0,1)</f>
        <v>0</v>
      </c>
      <c r="M575" s="273">
        <f ca="1">(K575*(12-B575)/12+L575*B575/12)*IF(A575&gt;ÉV!$G$2,0,1)+IF(A575&gt;ÉV!$G$2,M574,0)*IF(OR(AND(C575=ÉV!$I$2,D575&gt;ÉV!$J$2),C575&gt;ÉV!$I$2),0,1)</f>
        <v>0</v>
      </c>
      <c r="N575" s="274" t="e">
        <f ca="1">IF(AND(C575=1,D575&lt;12),0,1)*IF(D575=12,MAX(0,F575-E575-0.003)*0.9*((K575+I575)*(B575/12)+(J575+H575)*(1-B575/12))+MAX(0,F575-0.003)*0.9*N574+N574,IF(AND(C575=ÉV!$I$2,D575=ÉV!$J$2),(M575+N574)*MAX(0,F575-0.003)*0.9*(D575/12)+N574,N574))*IF(OR(C575&gt;ÉV!$I$2,AND(C575=ÉV!$I$2,D575&gt;ÉV!$J$2)),0,1)</f>
        <v>#REF!</v>
      </c>
      <c r="O575" s="313">
        <f ca="1">IF(MAX(AF$2:AF574)=2,      0,IF(OR(AC575=7, AF575=2),    SUM(AE$2:AE575),    O574)   )</f>
        <v>0</v>
      </c>
      <c r="P575" s="271">
        <f ca="1">IF(D575=12,V575+P574+P574*(F575-0.003)*0.9,IF(AND(C575=ÉV!$I$2,D575=ÉV!$J$2),V575+P574+P574*(F575-0.003)*0.9*D575/12,P574))*IF(OR(C575&gt;ÉV!$I$2,AND(C575=ÉV!$I$2,D575&gt;ÉV!$J$2)),0,1)</f>
        <v>0</v>
      </c>
      <c r="Q575" s="275" t="e">
        <f ca="1">(N575+P575)*IF(OR(AND(C575=ÉV!$I$2,D575&gt;ÉV!$J$2),C575&gt;ÉV!$I$2),0,1)</f>
        <v>#REF!</v>
      </c>
      <c r="R575" s="271" t="e">
        <f ca="1">(MAX(0,F575-E575-0.003)*0.9*((K575+I575)*(1/12)))*IF(OR(C575&gt;ÉV!$I$2,AND(C575=ÉV!$I$2,D575&gt;ÉV!$J$2)),0,1)</f>
        <v>#REF!</v>
      </c>
      <c r="S575" s="271">
        <f ca="1">(MAX(0,F575-0.003)*0.9*((O575)*(1/12)))*IF(OR(C575&gt;ÉV!$I$2,AND(C575=ÉV!$I$2,D575&gt;ÉV!$J$2)),0,1)</f>
        <v>0</v>
      </c>
      <c r="T575" s="271">
        <f ca="1">(MAX(0,F575-0.003)*0.9*((Q574)*(1/12)))*IF(OR(C575&gt;ÉV!$I$2,AND(C575=ÉV!$I$2,D575&gt;ÉV!$J$2)),0,1)</f>
        <v>0</v>
      </c>
      <c r="U575" s="271" t="e">
        <f ca="1">IF($D575=1,R575,R575+U574)*IF(OR(C575&gt;ÉV!$I$2,AND(C575=ÉV!$I$2,D575&gt;ÉV!$J$2)),0,1)</f>
        <v>#REF!</v>
      </c>
      <c r="V575" s="271">
        <f ca="1">IF($D575=1,S575,S575+V574)*IF(OR(C575&gt;ÉV!$I$2,AND(C575=ÉV!$I$2,D575&gt;ÉV!$J$2)),0,1)</f>
        <v>0</v>
      </c>
      <c r="W575" s="271">
        <f ca="1">IF($D575=1,T575,T575+W574)*IF(OR(C575&gt;ÉV!$I$2,AND(C575=ÉV!$I$2,D575&gt;ÉV!$J$2)),0,1)</f>
        <v>0</v>
      </c>
      <c r="X575" s="271" t="e">
        <f ca="1">IF(OR(D575=12,AND(C575=ÉV!$I$2,D575=ÉV!$J$2)),SUM(U575:W575)+X574,X574)*IF(OR(C575&gt;ÉV!$I$2,AND(C575=ÉV!$I$2,D575&gt;ÉV!$J$2)),0,1)</f>
        <v>#REF!</v>
      </c>
      <c r="Y575" s="271" t="e">
        <f t="shared" ca="1" si="92"/>
        <v>#REF!</v>
      </c>
      <c r="Z575" s="265">
        <f t="shared" si="93"/>
        <v>9</v>
      </c>
      <c r="AA575" s="272">
        <f t="shared" ca="1" si="94"/>
        <v>0</v>
      </c>
      <c r="AB575" s="265">
        <f t="shared" ca="1" si="98"/>
        <v>2064</v>
      </c>
      <c r="AC575" s="265">
        <f t="shared" ca="1" si="99"/>
        <v>12</v>
      </c>
      <c r="AD575" s="276">
        <f ca="1">IF(     OR(               AND(MAX(AF$6:AF575)&lt;2,  AC575=12),                 AF575=2),                   SUMIF(AB:AB,AB575,AA:AA),                       0)</f>
        <v>0</v>
      </c>
      <c r="AE575" s="277">
        <f t="shared" ca="1" si="100"/>
        <v>0</v>
      </c>
      <c r="AF575" s="277">
        <f t="shared" ca="1" si="95"/>
        <v>0</v>
      </c>
      <c r="AG575" s="402">
        <f ca="1">IF(  AND(AC575=AdóHó,   MAX(AF$1:AF574)&lt;2),   SUMIF(AB:AB,AB575-1,AE:AE),0  )
+ IF(AND(AC575&lt;AdóHó,                            AF575=2),   SUMIF(AB:AB,AB575-1,AE:AE),0  )
+ IF(                                                                  AF575=2,    SUMIF(AB:AB,AB575,AE:AE   ),0  )</f>
        <v>0</v>
      </c>
      <c r="AH575" s="272">
        <f ca="1">SUM(AG$2:AG575)</f>
        <v>1139324.2410681627</v>
      </c>
    </row>
    <row r="576" spans="1:34">
      <c r="A576" s="265">
        <f t="shared" si="101"/>
        <v>48</v>
      </c>
      <c r="B576" s="265">
        <f t="shared" si="102"/>
        <v>10</v>
      </c>
      <c r="C576" s="265">
        <f t="shared" ca="1" si="96"/>
        <v>49</v>
      </c>
      <c r="D576" s="265">
        <f t="shared" ca="1" si="97"/>
        <v>1</v>
      </c>
      <c r="E576" s="266">
        <v>5.0000000000000001E-3</v>
      </c>
      <c r="F576" s="267">
        <f>ÉV!$B$12</f>
        <v>0</v>
      </c>
      <c r="G576" s="271">
        <f ca="1">VLOOKUP(A576,ÉV!$A$18:$B$65,2,0)</f>
        <v>0</v>
      </c>
      <c r="H576" s="271">
        <f ca="1">IF(OR(A576=1,AND(C576=ÉV!$I$2,D576&gt;ÉV!$J$2),C576&gt;ÉV!$I$2),0,INDEX(Pz!$B$2:$AM$48,A576-1,ÉV!$G$2-9)/100000*ÉV!$B$10)</f>
        <v>0</v>
      </c>
      <c r="I576" s="271" t="e">
        <f ca="1">INDEX(Pz!$B$2:$AM$48,HÓ!A576,ÉV!$G$2-9)/100000*ÉV!$B$10</f>
        <v>#REF!</v>
      </c>
      <c r="J576" s="273">
        <f ca="1">IF(OR(A576=1,A576=2,AND(C576=ÉV!$I$2,D576&gt;ÉV!$J$2),C576&gt;ÉV!$I$2),0,VLOOKUP(A576-2,ÉV!$A$18:$C$65,3,0))</f>
        <v>0</v>
      </c>
      <c r="K576" s="273">
        <f ca="1">IF(OR(A576=1,AND(C576=ÉV!$I$2,D576&gt;ÉV!$J$2),C576&gt;ÉV!$I$2),0,VLOOKUP(A576-1,ÉV!$A$18:$C$65,3,0))</f>
        <v>0</v>
      </c>
      <c r="L576" s="273">
        <f ca="1">VLOOKUP(A576,ÉV!$A$18:$C$65,3,0)*IF(OR(AND(C576=ÉV!$I$2,D576&gt;ÉV!$J$2),C576&gt;ÉV!$I$2),0,1)</f>
        <v>0</v>
      </c>
      <c r="M576" s="273">
        <f ca="1">(K576*(12-B576)/12+L576*B576/12)*IF(A576&gt;ÉV!$G$2,0,1)+IF(A576&gt;ÉV!$G$2,M575,0)*IF(OR(AND(C576=ÉV!$I$2,D576&gt;ÉV!$J$2),C576&gt;ÉV!$I$2),0,1)</f>
        <v>0</v>
      </c>
      <c r="N576" s="274" t="e">
        <f ca="1">IF(AND(C576=1,D576&lt;12),0,1)*IF(D576=12,MAX(0,F576-E576-0.003)*0.9*((K576+I576)*(B576/12)+(J576+H576)*(1-B576/12))+MAX(0,F576-0.003)*0.9*N575+N575,IF(AND(C576=ÉV!$I$2,D576=ÉV!$J$2),(M576+N575)*MAX(0,F576-0.003)*0.9*(D576/12)+N575,N575))*IF(OR(C576&gt;ÉV!$I$2,AND(C576=ÉV!$I$2,D576&gt;ÉV!$J$2)),0,1)</f>
        <v>#REF!</v>
      </c>
      <c r="O576" s="313">
        <f ca="1">IF(MAX(AF$2:AF575)=2,      0,IF(OR(AC576=7, AF576=2),    SUM(AE$2:AE576),    O575)   )</f>
        <v>0</v>
      </c>
      <c r="P576" s="271">
        <f ca="1">IF(D576=12,V576+P575+P575*(F576-0.003)*0.9,IF(AND(C576=ÉV!$I$2,D576=ÉV!$J$2),V576+P575+P575*(F576-0.003)*0.9*D576/12,P575))*IF(OR(C576&gt;ÉV!$I$2,AND(C576=ÉV!$I$2,D576&gt;ÉV!$J$2)),0,1)</f>
        <v>0</v>
      </c>
      <c r="Q576" s="275" t="e">
        <f ca="1">(N576+P576)*IF(OR(AND(C576=ÉV!$I$2,D576&gt;ÉV!$J$2),C576&gt;ÉV!$I$2),0,1)</f>
        <v>#REF!</v>
      </c>
      <c r="R576" s="271" t="e">
        <f ca="1">(MAX(0,F576-E576-0.003)*0.9*((K576+I576)*(1/12)))*IF(OR(C576&gt;ÉV!$I$2,AND(C576=ÉV!$I$2,D576&gt;ÉV!$J$2)),0,1)</f>
        <v>#REF!</v>
      </c>
      <c r="S576" s="271">
        <f ca="1">(MAX(0,F576-0.003)*0.9*((O576)*(1/12)))*IF(OR(C576&gt;ÉV!$I$2,AND(C576=ÉV!$I$2,D576&gt;ÉV!$J$2)),0,1)</f>
        <v>0</v>
      </c>
      <c r="T576" s="271" t="e">
        <f ca="1">(MAX(0,F576-0.003)*0.9*((Q575)*(1/12)))*IF(OR(C576&gt;ÉV!$I$2,AND(C576=ÉV!$I$2,D576&gt;ÉV!$J$2)),0,1)</f>
        <v>#REF!</v>
      </c>
      <c r="U576" s="271" t="e">
        <f ca="1">IF($D576=1,R576,R576+U575)*IF(OR(C576&gt;ÉV!$I$2,AND(C576=ÉV!$I$2,D576&gt;ÉV!$J$2)),0,1)</f>
        <v>#REF!</v>
      </c>
      <c r="V576" s="271">
        <f ca="1">IF($D576=1,S576,S576+V575)*IF(OR(C576&gt;ÉV!$I$2,AND(C576=ÉV!$I$2,D576&gt;ÉV!$J$2)),0,1)</f>
        <v>0</v>
      </c>
      <c r="W576" s="271" t="e">
        <f ca="1">IF($D576=1,T576,T576+W575)*IF(OR(C576&gt;ÉV!$I$2,AND(C576=ÉV!$I$2,D576&gt;ÉV!$J$2)),0,1)</f>
        <v>#REF!</v>
      </c>
      <c r="X576" s="271" t="e">
        <f ca="1">IF(OR(D576=12,AND(C576=ÉV!$I$2,D576=ÉV!$J$2)),SUM(U576:W576)+X575,X575)*IF(OR(C576&gt;ÉV!$I$2,AND(C576=ÉV!$I$2,D576&gt;ÉV!$J$2)),0,1)</f>
        <v>#REF!</v>
      </c>
      <c r="Y576" s="271" t="e">
        <f t="shared" ca="1" si="92"/>
        <v>#REF!</v>
      </c>
      <c r="Z576" s="265">
        <f t="shared" si="93"/>
        <v>10</v>
      </c>
      <c r="AA576" s="272">
        <f t="shared" ca="1" si="94"/>
        <v>0</v>
      </c>
      <c r="AB576" s="265">
        <f t="shared" ca="1" si="98"/>
        <v>2065</v>
      </c>
      <c r="AC576" s="265">
        <f t="shared" ca="1" si="99"/>
        <v>1</v>
      </c>
      <c r="AD576" s="276">
        <f ca="1">IF(     OR(               AND(MAX(AF$6:AF576)&lt;2,  AC576=12),                 AF576=2),                   SUMIF(AB:AB,AB576,AA:AA),                       0)</f>
        <v>0</v>
      </c>
      <c r="AE576" s="277">
        <f t="shared" ca="1" si="100"/>
        <v>0</v>
      </c>
      <c r="AF576" s="277">
        <f t="shared" ca="1" si="95"/>
        <v>0</v>
      </c>
      <c r="AG576" s="402">
        <f ca="1">IF(  AND(AC576=AdóHó,   MAX(AF$1:AF575)&lt;2),   SUMIF(AB:AB,AB576-1,AE:AE),0  )
+ IF(AND(AC576&lt;AdóHó,                            AF576=2),   SUMIF(AB:AB,AB576-1,AE:AE),0  )
+ IF(                                                                  AF576=2,    SUMIF(AB:AB,AB576,AE:AE   ),0  )</f>
        <v>0</v>
      </c>
      <c r="AH576" s="272">
        <f ca="1">SUM(AG$2:AG576)</f>
        <v>1139324.2410681627</v>
      </c>
    </row>
    <row r="577" spans="1:34">
      <c r="A577" s="265">
        <f t="shared" si="101"/>
        <v>48</v>
      </c>
      <c r="B577" s="265">
        <f t="shared" si="102"/>
        <v>11</v>
      </c>
      <c r="C577" s="265">
        <f t="shared" ca="1" si="96"/>
        <v>49</v>
      </c>
      <c r="D577" s="265">
        <f t="shared" ca="1" si="97"/>
        <v>2</v>
      </c>
      <c r="E577" s="266">
        <v>5.0000000000000001E-3</v>
      </c>
      <c r="F577" s="267">
        <f>ÉV!$B$12</f>
        <v>0</v>
      </c>
      <c r="G577" s="271">
        <f ca="1">VLOOKUP(A577,ÉV!$A$18:$B$65,2,0)</f>
        <v>0</v>
      </c>
      <c r="H577" s="271">
        <f ca="1">IF(OR(A577=1,AND(C577=ÉV!$I$2,D577&gt;ÉV!$J$2),C577&gt;ÉV!$I$2),0,INDEX(Pz!$B$2:$AM$48,A577-1,ÉV!$G$2-9)/100000*ÉV!$B$10)</f>
        <v>0</v>
      </c>
      <c r="I577" s="271" t="e">
        <f ca="1">INDEX(Pz!$B$2:$AM$48,HÓ!A577,ÉV!$G$2-9)/100000*ÉV!$B$10</f>
        <v>#REF!</v>
      </c>
      <c r="J577" s="273">
        <f ca="1">IF(OR(A577=1,A577=2,AND(C577=ÉV!$I$2,D577&gt;ÉV!$J$2),C577&gt;ÉV!$I$2),0,VLOOKUP(A577-2,ÉV!$A$18:$C$65,3,0))</f>
        <v>0</v>
      </c>
      <c r="K577" s="273">
        <f ca="1">IF(OR(A577=1,AND(C577=ÉV!$I$2,D577&gt;ÉV!$J$2),C577&gt;ÉV!$I$2),0,VLOOKUP(A577-1,ÉV!$A$18:$C$65,3,0))</f>
        <v>0</v>
      </c>
      <c r="L577" s="273">
        <f ca="1">VLOOKUP(A577,ÉV!$A$18:$C$65,3,0)*IF(OR(AND(C577=ÉV!$I$2,D577&gt;ÉV!$J$2),C577&gt;ÉV!$I$2),0,1)</f>
        <v>0</v>
      </c>
      <c r="M577" s="273">
        <f ca="1">(K577*(12-B577)/12+L577*B577/12)*IF(A577&gt;ÉV!$G$2,0,1)+IF(A577&gt;ÉV!$G$2,M576,0)*IF(OR(AND(C577=ÉV!$I$2,D577&gt;ÉV!$J$2),C577&gt;ÉV!$I$2),0,1)</f>
        <v>0</v>
      </c>
      <c r="N577" s="274" t="e">
        <f ca="1">IF(AND(C577=1,D577&lt;12),0,1)*IF(D577=12,MAX(0,F577-E577-0.003)*0.9*((K577+I577)*(B577/12)+(J577+H577)*(1-B577/12))+MAX(0,F577-0.003)*0.9*N576+N576,IF(AND(C577=ÉV!$I$2,D577=ÉV!$J$2),(M577+N576)*MAX(0,F577-0.003)*0.9*(D577/12)+N576,N576))*IF(OR(C577&gt;ÉV!$I$2,AND(C577=ÉV!$I$2,D577&gt;ÉV!$J$2)),0,1)</f>
        <v>#REF!</v>
      </c>
      <c r="O577" s="313">
        <f ca="1">IF(MAX(AF$2:AF576)=2,      0,IF(OR(AC577=7, AF577=2),    SUM(AE$2:AE577),    O576)   )</f>
        <v>0</v>
      </c>
      <c r="P577" s="271">
        <f ca="1">IF(D577=12,V577+P576+P576*(F577-0.003)*0.9,IF(AND(C577=ÉV!$I$2,D577=ÉV!$J$2),V577+P576+P576*(F577-0.003)*0.9*D577/12,P576))*IF(OR(C577&gt;ÉV!$I$2,AND(C577=ÉV!$I$2,D577&gt;ÉV!$J$2)),0,1)</f>
        <v>0</v>
      </c>
      <c r="Q577" s="275" t="e">
        <f ca="1">(N577+P577)*IF(OR(AND(C577=ÉV!$I$2,D577&gt;ÉV!$J$2),C577&gt;ÉV!$I$2),0,1)</f>
        <v>#REF!</v>
      </c>
      <c r="R577" s="271" t="e">
        <f ca="1">(MAX(0,F577-E577-0.003)*0.9*((K577+I577)*(1/12)))*IF(OR(C577&gt;ÉV!$I$2,AND(C577=ÉV!$I$2,D577&gt;ÉV!$J$2)),0,1)</f>
        <v>#REF!</v>
      </c>
      <c r="S577" s="271">
        <f ca="1">(MAX(0,F577-0.003)*0.9*((O577)*(1/12)))*IF(OR(C577&gt;ÉV!$I$2,AND(C577=ÉV!$I$2,D577&gt;ÉV!$J$2)),0,1)</f>
        <v>0</v>
      </c>
      <c r="T577" s="271" t="e">
        <f ca="1">(MAX(0,F577-0.003)*0.9*((Q576)*(1/12)))*IF(OR(C577&gt;ÉV!$I$2,AND(C577=ÉV!$I$2,D577&gt;ÉV!$J$2)),0,1)</f>
        <v>#REF!</v>
      </c>
      <c r="U577" s="271" t="e">
        <f ca="1">IF($D577=1,R577,R577+U576)*IF(OR(C577&gt;ÉV!$I$2,AND(C577=ÉV!$I$2,D577&gt;ÉV!$J$2)),0,1)</f>
        <v>#REF!</v>
      </c>
      <c r="V577" s="271">
        <f ca="1">IF($D577=1,S577,S577+V576)*IF(OR(C577&gt;ÉV!$I$2,AND(C577=ÉV!$I$2,D577&gt;ÉV!$J$2)),0,1)</f>
        <v>0</v>
      </c>
      <c r="W577" s="271" t="e">
        <f ca="1">IF($D577=1,T577,T577+W576)*IF(OR(C577&gt;ÉV!$I$2,AND(C577=ÉV!$I$2,D577&gt;ÉV!$J$2)),0,1)</f>
        <v>#REF!</v>
      </c>
      <c r="X577" s="271" t="e">
        <f ca="1">IF(OR(D577=12,AND(C577=ÉV!$I$2,D577=ÉV!$J$2)),SUM(U577:W577)+X576,X576)*IF(OR(C577&gt;ÉV!$I$2,AND(C577=ÉV!$I$2,D577&gt;ÉV!$J$2)),0,1)</f>
        <v>#REF!</v>
      </c>
      <c r="Y577" s="271" t="e">
        <f t="shared" ca="1" si="92"/>
        <v>#REF!</v>
      </c>
      <c r="Z577" s="265">
        <f t="shared" si="93"/>
        <v>11</v>
      </c>
      <c r="AA577" s="272">
        <f t="shared" ca="1" si="94"/>
        <v>0</v>
      </c>
      <c r="AB577" s="265">
        <f t="shared" ca="1" si="98"/>
        <v>2065</v>
      </c>
      <c r="AC577" s="265">
        <f t="shared" ca="1" si="99"/>
        <v>2</v>
      </c>
      <c r="AD577" s="276">
        <f ca="1">IF(     OR(               AND(MAX(AF$6:AF577)&lt;2,  AC577=12),                 AF577=2),                   SUMIF(AB:AB,AB577,AA:AA),                       0)</f>
        <v>0</v>
      </c>
      <c r="AE577" s="277">
        <f t="shared" ca="1" si="100"/>
        <v>0</v>
      </c>
      <c r="AF577" s="277">
        <f t="shared" ca="1" si="95"/>
        <v>0</v>
      </c>
      <c r="AG577" s="402">
        <f ca="1">IF(  AND(AC577=AdóHó,   MAX(AF$1:AF576)&lt;2),   SUMIF(AB:AB,AB577-1,AE:AE),0  )
+ IF(AND(AC577&lt;AdóHó,                            AF577=2),   SUMIF(AB:AB,AB577-1,AE:AE),0  )
+ IF(                                                                  AF577=2,    SUMIF(AB:AB,AB577,AE:AE   ),0  )</f>
        <v>0</v>
      </c>
      <c r="AH577" s="272">
        <f ca="1">SUM(AG$2:AG577)</f>
        <v>1139324.2410681627</v>
      </c>
    </row>
    <row r="578" spans="1:34">
      <c r="A578" s="265">
        <f t="shared" si="101"/>
        <v>48</v>
      </c>
      <c r="B578" s="265">
        <f t="shared" si="102"/>
        <v>12</v>
      </c>
      <c r="C578" s="265">
        <f ca="1">IF(D577=12,C577+1,C577)</f>
        <v>49</v>
      </c>
      <c r="D578" s="265">
        <f ca="1">IF(D577=12,1,D577+1)</f>
        <v>3</v>
      </c>
      <c r="E578" s="266">
        <v>5.0000000000000001E-3</v>
      </c>
      <c r="F578" s="267">
        <f>ÉV!$B$12</f>
        <v>0</v>
      </c>
      <c r="G578" s="271">
        <f ca="1">VLOOKUP(A578,ÉV!$A$18:$B$65,2,0)</f>
        <v>0</v>
      </c>
      <c r="H578" s="271"/>
      <c r="I578" s="271" t="e">
        <f ca="1">INDEX(Pz!$B$2:$AM$48,HÓ!A578,ÉV!$G$2-9)/100000*ÉV!$B$10</f>
        <v>#REF!</v>
      </c>
      <c r="J578" s="273"/>
      <c r="K578" s="273">
        <f ca="1">IF(OR(A578=1,A578&gt;ÉV!$G$2),0,VLOOKUP(A578-1,ÉV!$A$18:$C$65,3,0))</f>
        <v>0</v>
      </c>
      <c r="L578" s="273">
        <f ca="1">VLOOKUP(A578,ÉV!$A$18:$C$65,3,0)</f>
        <v>0</v>
      </c>
      <c r="M578" s="273">
        <f ca="1">K578*(12-B578)/12+L578*B578/12</f>
        <v>0</v>
      </c>
      <c r="N578" s="274" t="e">
        <f ca="1">IF(AND(A578=1,B578&lt;12),0,1)*IF(B578=12,MAX(0,F578-E578-0.003)*0.9*(K578+I578)+MAX(0,F578)*N577+N577,N577)</f>
        <v>#REF!</v>
      </c>
      <c r="O578" s="313">
        <f ca="1">IF(MAX(AF$2:AF577)=2,      0,IF(OR(AC578=7, AF578=2),    SUM(AE$2:AE578),    O577)   )</f>
        <v>0</v>
      </c>
      <c r="P578" s="271">
        <f ca="1">((O578+SUM($P$2:P577))*ÉV!$B$12/12)*IF(OR(AND(C578=ÉV!$I$2,D578&gt;ÉV!$J$2),C578&gt;ÉV!$I$2),0,1)</f>
        <v>0</v>
      </c>
      <c r="Q578" s="275" t="e">
        <f ca="1">(N578+SUM($P$2:P578))*IF(OR(AND(C578=ÉV!$I$2,D578&gt;ÉV!$J$2),C578&gt;ÉV!$I$2),0,1)</f>
        <v>#REF!</v>
      </c>
    </row>
  </sheetData>
  <autoFilter ref="A1:Y578"/>
  <conditionalFormatting sqref="C1:AG1048576">
    <cfRule type="expression" dxfId="7" priority="12">
      <formula>$D1=12</formula>
    </cfRule>
  </conditionalFormatting>
  <conditionalFormatting sqref="D1:AG1048576">
    <cfRule type="expression" dxfId="6" priority="11">
      <formula>$D1=7</formula>
    </cfRule>
  </conditionalFormatting>
  <conditionalFormatting sqref="A1:AA1048576">
    <cfRule type="expression" dxfId="5" priority="10">
      <formula>$B1=12</formula>
    </cfRule>
  </conditionalFormatting>
  <conditionalFormatting sqref="AD3:AF3 AD4:AE577 AD3:AD577 AF3:AF577">
    <cfRule type="expression" dxfId="4" priority="4">
      <formula>$BK3&lt;&gt;$BK2</formula>
    </cfRule>
  </conditionalFormatting>
  <conditionalFormatting sqref="AD3:AF3 AD4:AE577 AD3:AD577 AF3:AF577">
    <cfRule type="expression" dxfId="3" priority="2">
      <formula>$BO3=1</formula>
    </cfRule>
    <cfRule type="expression" dxfId="2" priority="3">
      <formula>$BO3=2</formula>
    </cfRule>
  </conditionalFormatting>
  <conditionalFormatting sqref="A1:AF1048576">
    <cfRule type="expression" dxfId="1" priority="9">
      <formula>$AF1=2</formula>
    </cfRule>
  </conditionalFormatting>
  <conditionalFormatting sqref="AC1:AC1048576">
    <cfRule type="cellIs" dxfId="0" priority="1" operator="equal">
      <formula>AdóHó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046"/>
  <sheetViews>
    <sheetView workbookViewId="0">
      <selection activeCell="C15" sqref="C15"/>
    </sheetView>
  </sheetViews>
  <sheetFormatPr defaultRowHeight="15"/>
  <cols>
    <col min="5" max="5" width="9.7109375" bestFit="1" customWidth="1"/>
  </cols>
  <sheetData>
    <row r="1" spans="1:7">
      <c r="A1" t="s">
        <v>0</v>
      </c>
      <c r="B1" t="s">
        <v>3</v>
      </c>
      <c r="C1" t="s">
        <v>4</v>
      </c>
      <c r="D1" t="s">
        <v>5</v>
      </c>
      <c r="E1" t="s">
        <v>6</v>
      </c>
      <c r="F1" t="s">
        <v>1</v>
      </c>
      <c r="G1" t="s">
        <v>2</v>
      </c>
    </row>
    <row r="2" spans="1:7">
      <c r="A2">
        <v>208</v>
      </c>
      <c r="B2">
        <v>0</v>
      </c>
      <c r="C2">
        <v>10</v>
      </c>
      <c r="D2">
        <v>1</v>
      </c>
      <c r="E2" t="str">
        <f>CONCATENATE(C2,D2)</f>
        <v>101</v>
      </c>
      <c r="F2">
        <v>4285</v>
      </c>
      <c r="G2">
        <v>2042</v>
      </c>
    </row>
    <row r="3" spans="1:7">
      <c r="A3">
        <v>208</v>
      </c>
      <c r="B3">
        <v>0</v>
      </c>
      <c r="C3">
        <v>10</v>
      </c>
      <c r="D3">
        <v>2</v>
      </c>
      <c r="E3" t="str">
        <f t="shared" ref="E3:E66" si="0">CONCATENATE(C3,D3)</f>
        <v>102</v>
      </c>
      <c r="F3">
        <v>15733</v>
      </c>
      <c r="G3">
        <v>7557</v>
      </c>
    </row>
    <row r="4" spans="1:7">
      <c r="A4">
        <v>208</v>
      </c>
      <c r="B4">
        <v>0</v>
      </c>
      <c r="C4">
        <v>10</v>
      </c>
      <c r="D4">
        <v>3</v>
      </c>
      <c r="E4" t="str">
        <f t="shared" si="0"/>
        <v>103</v>
      </c>
      <c r="F4">
        <v>27126</v>
      </c>
      <c r="G4">
        <v>15747</v>
      </c>
    </row>
    <row r="5" spans="1:7">
      <c r="A5">
        <v>208</v>
      </c>
      <c r="B5">
        <v>0</v>
      </c>
      <c r="C5">
        <v>10</v>
      </c>
      <c r="D5">
        <v>4</v>
      </c>
      <c r="E5" t="str">
        <f t="shared" si="0"/>
        <v>104</v>
      </c>
      <c r="F5">
        <v>38412</v>
      </c>
      <c r="G5">
        <v>24419</v>
      </c>
    </row>
    <row r="6" spans="1:7">
      <c r="A6">
        <v>208</v>
      </c>
      <c r="B6">
        <v>0</v>
      </c>
      <c r="C6">
        <v>10</v>
      </c>
      <c r="D6">
        <v>5</v>
      </c>
      <c r="E6" t="str">
        <f t="shared" si="0"/>
        <v>105</v>
      </c>
      <c r="F6">
        <v>49537</v>
      </c>
      <c r="G6">
        <v>33267</v>
      </c>
    </row>
    <row r="7" spans="1:7">
      <c r="A7">
        <v>208</v>
      </c>
      <c r="B7">
        <v>0</v>
      </c>
      <c r="C7">
        <v>10</v>
      </c>
      <c r="D7">
        <v>6</v>
      </c>
      <c r="E7" t="str">
        <f t="shared" si="0"/>
        <v>106</v>
      </c>
      <c r="F7">
        <v>60441</v>
      </c>
      <c r="G7">
        <v>42296</v>
      </c>
    </row>
    <row r="8" spans="1:7">
      <c r="A8">
        <v>208</v>
      </c>
      <c r="B8">
        <v>0</v>
      </c>
      <c r="C8">
        <v>10</v>
      </c>
      <c r="D8">
        <v>7</v>
      </c>
      <c r="E8" t="str">
        <f t="shared" si="0"/>
        <v>107</v>
      </c>
      <c r="F8">
        <v>71067</v>
      </c>
      <c r="G8">
        <v>51508</v>
      </c>
    </row>
    <row r="9" spans="1:7">
      <c r="A9">
        <v>208</v>
      </c>
      <c r="B9">
        <v>0</v>
      </c>
      <c r="C9">
        <v>10</v>
      </c>
      <c r="D9">
        <v>8</v>
      </c>
      <c r="E9" t="str">
        <f t="shared" si="0"/>
        <v>108</v>
      </c>
      <c r="F9">
        <v>81359</v>
      </c>
      <c r="G9">
        <v>64700</v>
      </c>
    </row>
    <row r="10" spans="1:7">
      <c r="A10">
        <v>208</v>
      </c>
      <c r="B10">
        <v>0</v>
      </c>
      <c r="C10">
        <v>10</v>
      </c>
      <c r="D10">
        <v>9</v>
      </c>
      <c r="E10" t="str">
        <f t="shared" si="0"/>
        <v>109</v>
      </c>
      <c r="F10">
        <v>91024</v>
      </c>
      <c r="G10">
        <v>79199</v>
      </c>
    </row>
    <row r="11" spans="1:7">
      <c r="A11">
        <v>208</v>
      </c>
      <c r="B11">
        <v>0</v>
      </c>
      <c r="C11">
        <v>11</v>
      </c>
      <c r="D11">
        <v>1</v>
      </c>
      <c r="E11" t="str">
        <f t="shared" si="0"/>
        <v>111</v>
      </c>
      <c r="F11">
        <v>3308</v>
      </c>
      <c r="G11">
        <v>1835</v>
      </c>
    </row>
    <row r="12" spans="1:7">
      <c r="A12">
        <v>208</v>
      </c>
      <c r="B12">
        <v>0</v>
      </c>
      <c r="C12">
        <v>11</v>
      </c>
      <c r="D12">
        <v>2</v>
      </c>
      <c r="E12" t="str">
        <f t="shared" si="0"/>
        <v>112</v>
      </c>
      <c r="F12">
        <v>13719</v>
      </c>
      <c r="G12">
        <v>7649</v>
      </c>
    </row>
    <row r="13" spans="1:7">
      <c r="A13">
        <v>208</v>
      </c>
      <c r="B13">
        <v>0</v>
      </c>
      <c r="C13">
        <v>11</v>
      </c>
      <c r="D13">
        <v>3</v>
      </c>
      <c r="E13" t="str">
        <f t="shared" si="0"/>
        <v>113</v>
      </c>
      <c r="F13">
        <v>24109</v>
      </c>
      <c r="G13">
        <v>14155</v>
      </c>
    </row>
    <row r="14" spans="1:7">
      <c r="A14">
        <v>208</v>
      </c>
      <c r="B14">
        <v>0</v>
      </c>
      <c r="C14">
        <v>11</v>
      </c>
      <c r="D14">
        <v>4</v>
      </c>
      <c r="E14" t="str">
        <f t="shared" si="0"/>
        <v>114</v>
      </c>
      <c r="F14">
        <v>34435</v>
      </c>
      <c r="G14">
        <v>21950</v>
      </c>
    </row>
    <row r="15" spans="1:7">
      <c r="A15">
        <v>208</v>
      </c>
      <c r="B15">
        <v>0</v>
      </c>
      <c r="C15">
        <v>11</v>
      </c>
      <c r="D15">
        <v>5</v>
      </c>
      <c r="E15" t="str">
        <f t="shared" si="0"/>
        <v>115</v>
      </c>
      <c r="F15">
        <v>44649</v>
      </c>
      <c r="G15">
        <v>29904</v>
      </c>
    </row>
    <row r="16" spans="1:7">
      <c r="A16">
        <v>208</v>
      </c>
      <c r="B16">
        <v>0</v>
      </c>
      <c r="C16">
        <v>11</v>
      </c>
      <c r="D16">
        <v>6</v>
      </c>
      <c r="E16" t="str">
        <f t="shared" si="0"/>
        <v>116</v>
      </c>
      <c r="F16">
        <v>54700</v>
      </c>
      <c r="G16">
        <v>38019</v>
      </c>
    </row>
    <row r="17" spans="1:7">
      <c r="A17">
        <v>208</v>
      </c>
      <c r="B17">
        <v>0</v>
      </c>
      <c r="C17">
        <v>11</v>
      </c>
      <c r="D17">
        <v>7</v>
      </c>
      <c r="E17" t="str">
        <f t="shared" si="0"/>
        <v>117</v>
      </c>
      <c r="F17">
        <v>64534</v>
      </c>
      <c r="G17">
        <v>46301</v>
      </c>
    </row>
    <row r="18" spans="1:7">
      <c r="A18">
        <v>208</v>
      </c>
      <c r="B18">
        <v>0</v>
      </c>
      <c r="C18">
        <v>11</v>
      </c>
      <c r="D18">
        <v>8</v>
      </c>
      <c r="E18" t="str">
        <f t="shared" si="0"/>
        <v>118</v>
      </c>
      <c r="F18">
        <v>74098</v>
      </c>
      <c r="G18">
        <v>57069</v>
      </c>
    </row>
    <row r="19" spans="1:7">
      <c r="A19">
        <v>208</v>
      </c>
      <c r="B19">
        <v>0</v>
      </c>
      <c r="C19">
        <v>11</v>
      </c>
      <c r="D19">
        <v>9</v>
      </c>
      <c r="E19" t="str">
        <f t="shared" si="0"/>
        <v>119</v>
      </c>
      <c r="F19">
        <v>83341</v>
      </c>
      <c r="G19">
        <v>68854</v>
      </c>
    </row>
    <row r="20" spans="1:7">
      <c r="A20">
        <v>208</v>
      </c>
      <c r="B20">
        <v>0</v>
      </c>
      <c r="C20">
        <v>11</v>
      </c>
      <c r="D20">
        <v>10</v>
      </c>
      <c r="E20" t="str">
        <f t="shared" si="0"/>
        <v>1110</v>
      </c>
      <c r="F20">
        <v>91994</v>
      </c>
      <c r="G20">
        <v>81499</v>
      </c>
    </row>
    <row r="21" spans="1:7">
      <c r="A21">
        <v>208</v>
      </c>
      <c r="B21">
        <v>0</v>
      </c>
      <c r="C21">
        <v>12</v>
      </c>
      <c r="D21">
        <v>1</v>
      </c>
      <c r="E21" t="str">
        <f t="shared" si="0"/>
        <v>121</v>
      </c>
      <c r="F21">
        <v>2489</v>
      </c>
      <c r="G21">
        <v>1663</v>
      </c>
    </row>
    <row r="22" spans="1:7">
      <c r="A22">
        <v>208</v>
      </c>
      <c r="B22">
        <v>0</v>
      </c>
      <c r="C22">
        <v>12</v>
      </c>
      <c r="D22">
        <v>2</v>
      </c>
      <c r="E22" t="str">
        <f t="shared" si="0"/>
        <v>122</v>
      </c>
      <c r="F22">
        <v>12024</v>
      </c>
      <c r="G22">
        <v>8045</v>
      </c>
    </row>
    <row r="23" spans="1:7">
      <c r="A23">
        <v>208</v>
      </c>
      <c r="B23">
        <v>0</v>
      </c>
      <c r="C23">
        <v>12</v>
      </c>
      <c r="D23">
        <v>3</v>
      </c>
      <c r="E23" t="str">
        <f t="shared" si="0"/>
        <v>123</v>
      </c>
      <c r="F23">
        <v>21566</v>
      </c>
      <c r="G23">
        <v>12830</v>
      </c>
    </row>
    <row r="24" spans="1:7">
      <c r="A24">
        <v>208</v>
      </c>
      <c r="B24">
        <v>0</v>
      </c>
      <c r="C24">
        <v>12</v>
      </c>
      <c r="D24">
        <v>4</v>
      </c>
      <c r="E24" t="str">
        <f t="shared" si="0"/>
        <v>124</v>
      </c>
      <c r="F24">
        <v>31077</v>
      </c>
      <c r="G24">
        <v>19896</v>
      </c>
    </row>
    <row r="25" spans="1:7">
      <c r="A25">
        <v>208</v>
      </c>
      <c r="B25">
        <v>0</v>
      </c>
      <c r="C25">
        <v>12</v>
      </c>
      <c r="D25">
        <v>5</v>
      </c>
      <c r="E25" t="str">
        <f t="shared" si="0"/>
        <v>125</v>
      </c>
      <c r="F25">
        <v>40516</v>
      </c>
      <c r="G25">
        <v>27106</v>
      </c>
    </row>
    <row r="26" spans="1:7">
      <c r="A26">
        <v>208</v>
      </c>
      <c r="B26">
        <v>0</v>
      </c>
      <c r="C26">
        <v>12</v>
      </c>
      <c r="D26">
        <v>6</v>
      </c>
      <c r="E26" t="str">
        <f t="shared" si="0"/>
        <v>126</v>
      </c>
      <c r="F26">
        <v>49838</v>
      </c>
      <c r="G26">
        <v>34463</v>
      </c>
    </row>
    <row r="27" spans="1:7">
      <c r="A27">
        <v>208</v>
      </c>
      <c r="B27">
        <v>0</v>
      </c>
      <c r="C27">
        <v>12</v>
      </c>
      <c r="D27">
        <v>7</v>
      </c>
      <c r="E27" t="str">
        <f t="shared" si="0"/>
        <v>127</v>
      </c>
      <c r="F27">
        <v>58996</v>
      </c>
      <c r="G27">
        <v>41969</v>
      </c>
    </row>
    <row r="28" spans="1:7">
      <c r="A28">
        <v>208</v>
      </c>
      <c r="B28">
        <v>0</v>
      </c>
      <c r="C28">
        <v>12</v>
      </c>
      <c r="D28">
        <v>8</v>
      </c>
      <c r="E28" t="str">
        <f t="shared" si="0"/>
        <v>128</v>
      </c>
      <c r="F28">
        <v>67939</v>
      </c>
      <c r="G28">
        <v>49629</v>
      </c>
    </row>
    <row r="29" spans="1:7">
      <c r="A29">
        <v>208</v>
      </c>
      <c r="B29">
        <v>0</v>
      </c>
      <c r="C29">
        <v>12</v>
      </c>
      <c r="D29">
        <v>9</v>
      </c>
      <c r="E29" t="str">
        <f t="shared" si="0"/>
        <v>129</v>
      </c>
      <c r="F29">
        <v>76619</v>
      </c>
      <c r="G29">
        <v>59775</v>
      </c>
    </row>
    <row r="30" spans="1:7">
      <c r="A30">
        <v>208</v>
      </c>
      <c r="B30">
        <v>0</v>
      </c>
      <c r="C30">
        <v>12</v>
      </c>
      <c r="D30">
        <v>10</v>
      </c>
      <c r="E30" t="str">
        <f t="shared" si="0"/>
        <v>1210</v>
      </c>
      <c r="F30">
        <v>84989</v>
      </c>
      <c r="G30">
        <v>70794</v>
      </c>
    </row>
    <row r="31" spans="1:7">
      <c r="A31">
        <v>208</v>
      </c>
      <c r="B31">
        <v>0</v>
      </c>
      <c r="C31">
        <v>12</v>
      </c>
      <c r="D31">
        <v>11</v>
      </c>
      <c r="E31" t="str">
        <f t="shared" si="0"/>
        <v>1211</v>
      </c>
      <c r="F31">
        <v>92801</v>
      </c>
      <c r="G31">
        <v>82537</v>
      </c>
    </row>
    <row r="32" spans="1:7">
      <c r="A32">
        <v>208</v>
      </c>
      <c r="B32">
        <v>0</v>
      </c>
      <c r="C32">
        <v>13</v>
      </c>
      <c r="D32">
        <v>1</v>
      </c>
      <c r="E32" t="str">
        <f t="shared" si="0"/>
        <v>131</v>
      </c>
      <c r="F32">
        <v>1872</v>
      </c>
      <c r="G32">
        <v>1518</v>
      </c>
    </row>
    <row r="33" spans="1:7">
      <c r="A33">
        <v>208</v>
      </c>
      <c r="B33">
        <v>0</v>
      </c>
      <c r="C33">
        <v>13</v>
      </c>
      <c r="D33">
        <v>2</v>
      </c>
      <c r="E33" t="str">
        <f t="shared" si="0"/>
        <v>132</v>
      </c>
      <c r="F33">
        <v>10509</v>
      </c>
      <c r="G33">
        <v>8489</v>
      </c>
    </row>
    <row r="34" spans="1:7">
      <c r="A34">
        <v>208</v>
      </c>
      <c r="B34">
        <v>0</v>
      </c>
      <c r="C34">
        <v>13</v>
      </c>
      <c r="D34">
        <v>3</v>
      </c>
      <c r="E34" t="str">
        <f t="shared" si="0"/>
        <v>133</v>
      </c>
      <c r="F34">
        <v>19327</v>
      </c>
      <c r="G34">
        <v>11711</v>
      </c>
    </row>
    <row r="35" spans="1:7">
      <c r="A35">
        <v>208</v>
      </c>
      <c r="B35">
        <v>0</v>
      </c>
      <c r="C35">
        <v>13</v>
      </c>
      <c r="D35">
        <v>4</v>
      </c>
      <c r="E35" t="str">
        <f t="shared" si="0"/>
        <v>134</v>
      </c>
      <c r="F35">
        <v>28142</v>
      </c>
      <c r="G35">
        <v>18161</v>
      </c>
    </row>
    <row r="36" spans="1:7">
      <c r="A36">
        <v>208</v>
      </c>
      <c r="B36">
        <v>0</v>
      </c>
      <c r="C36">
        <v>13</v>
      </c>
      <c r="D36">
        <v>5</v>
      </c>
      <c r="E36" t="str">
        <f t="shared" si="0"/>
        <v>135</v>
      </c>
      <c r="F36">
        <v>36916</v>
      </c>
      <c r="G36">
        <v>24742</v>
      </c>
    </row>
    <row r="37" spans="1:7">
      <c r="A37">
        <v>208</v>
      </c>
      <c r="B37">
        <v>0</v>
      </c>
      <c r="C37">
        <v>13</v>
      </c>
      <c r="D37">
        <v>6</v>
      </c>
      <c r="E37" t="str">
        <f t="shared" si="0"/>
        <v>136</v>
      </c>
      <c r="F37">
        <v>45611</v>
      </c>
      <c r="G37">
        <v>31458</v>
      </c>
    </row>
    <row r="38" spans="1:7">
      <c r="A38">
        <v>208</v>
      </c>
      <c r="B38">
        <v>0</v>
      </c>
      <c r="C38">
        <v>13</v>
      </c>
      <c r="D38">
        <v>7</v>
      </c>
      <c r="E38" t="str">
        <f t="shared" si="0"/>
        <v>137</v>
      </c>
      <c r="F38">
        <v>54186</v>
      </c>
      <c r="G38">
        <v>38311</v>
      </c>
    </row>
    <row r="39" spans="1:7">
      <c r="A39">
        <v>208</v>
      </c>
      <c r="B39">
        <v>0</v>
      </c>
      <c r="C39">
        <v>13</v>
      </c>
      <c r="D39">
        <v>8</v>
      </c>
      <c r="E39" t="str">
        <f t="shared" si="0"/>
        <v>138</v>
      </c>
      <c r="F39">
        <v>62596</v>
      </c>
      <c r="G39">
        <v>45303</v>
      </c>
    </row>
    <row r="40" spans="1:7">
      <c r="A40">
        <v>208</v>
      </c>
      <c r="B40">
        <v>0</v>
      </c>
      <c r="C40">
        <v>13</v>
      </c>
      <c r="D40">
        <v>9</v>
      </c>
      <c r="E40" t="str">
        <f t="shared" si="0"/>
        <v>139</v>
      </c>
      <c r="F40">
        <v>70793</v>
      </c>
      <c r="G40">
        <v>52439</v>
      </c>
    </row>
    <row r="41" spans="1:7">
      <c r="A41">
        <v>208</v>
      </c>
      <c r="B41">
        <v>0</v>
      </c>
      <c r="C41">
        <v>13</v>
      </c>
      <c r="D41">
        <v>10</v>
      </c>
      <c r="E41" t="str">
        <f t="shared" si="0"/>
        <v>1310</v>
      </c>
      <c r="F41">
        <v>78732</v>
      </c>
      <c r="G41">
        <v>62040</v>
      </c>
    </row>
    <row r="42" spans="1:7">
      <c r="A42">
        <v>208</v>
      </c>
      <c r="B42">
        <v>0</v>
      </c>
      <c r="C42">
        <v>13</v>
      </c>
      <c r="D42">
        <v>11</v>
      </c>
      <c r="E42" t="str">
        <f t="shared" si="0"/>
        <v>1311</v>
      </c>
      <c r="F42">
        <v>86371</v>
      </c>
      <c r="G42">
        <v>72406</v>
      </c>
    </row>
    <row r="43" spans="1:7">
      <c r="A43">
        <v>208</v>
      </c>
      <c r="B43">
        <v>0</v>
      </c>
      <c r="C43">
        <v>13</v>
      </c>
      <c r="D43">
        <v>12</v>
      </c>
      <c r="E43" t="str">
        <f t="shared" si="0"/>
        <v>1312</v>
      </c>
      <c r="F43">
        <v>93478</v>
      </c>
      <c r="G43">
        <v>83394</v>
      </c>
    </row>
    <row r="44" spans="1:7">
      <c r="A44">
        <v>208</v>
      </c>
      <c r="B44">
        <v>0</v>
      </c>
      <c r="C44">
        <v>14</v>
      </c>
      <c r="D44">
        <v>1</v>
      </c>
      <c r="E44" t="str">
        <f t="shared" si="0"/>
        <v>141</v>
      </c>
      <c r="F44">
        <v>1734</v>
      </c>
      <c r="G44">
        <v>1394</v>
      </c>
    </row>
    <row r="45" spans="1:7">
      <c r="A45">
        <v>208</v>
      </c>
      <c r="B45">
        <v>0</v>
      </c>
      <c r="C45">
        <v>14</v>
      </c>
      <c r="D45">
        <v>2</v>
      </c>
      <c r="E45" t="str">
        <f t="shared" si="0"/>
        <v>142</v>
      </c>
      <c r="F45">
        <v>9269</v>
      </c>
      <c r="G45">
        <v>7415</v>
      </c>
    </row>
    <row r="46" spans="1:7">
      <c r="A46">
        <v>208</v>
      </c>
      <c r="B46">
        <v>0</v>
      </c>
      <c r="C46">
        <v>14</v>
      </c>
      <c r="D46">
        <v>3</v>
      </c>
      <c r="E46" t="str">
        <f t="shared" si="0"/>
        <v>143</v>
      </c>
      <c r="F46">
        <v>17449</v>
      </c>
      <c r="G46">
        <v>10754</v>
      </c>
    </row>
    <row r="47" spans="1:7">
      <c r="A47">
        <v>208</v>
      </c>
      <c r="B47">
        <v>0</v>
      </c>
      <c r="C47">
        <v>14</v>
      </c>
      <c r="D47">
        <v>4</v>
      </c>
      <c r="E47" t="str">
        <f t="shared" si="0"/>
        <v>144</v>
      </c>
      <c r="F47">
        <v>25648</v>
      </c>
      <c r="G47">
        <v>16677</v>
      </c>
    </row>
    <row r="48" spans="1:7">
      <c r="A48">
        <v>208</v>
      </c>
      <c r="B48">
        <v>0</v>
      </c>
      <c r="C48">
        <v>14</v>
      </c>
      <c r="D48">
        <v>5</v>
      </c>
      <c r="E48" t="str">
        <f t="shared" si="0"/>
        <v>145</v>
      </c>
      <c r="F48">
        <v>33832</v>
      </c>
      <c r="G48">
        <v>22720</v>
      </c>
    </row>
    <row r="49" spans="1:7">
      <c r="A49">
        <v>208</v>
      </c>
      <c r="B49">
        <v>0</v>
      </c>
      <c r="C49">
        <v>14</v>
      </c>
      <c r="D49">
        <v>6</v>
      </c>
      <c r="E49" t="str">
        <f t="shared" si="0"/>
        <v>146</v>
      </c>
      <c r="F49">
        <v>41969</v>
      </c>
      <c r="G49">
        <v>28887</v>
      </c>
    </row>
    <row r="50" spans="1:7">
      <c r="A50">
        <v>208</v>
      </c>
      <c r="B50">
        <v>0</v>
      </c>
      <c r="C50">
        <v>14</v>
      </c>
      <c r="D50">
        <v>7</v>
      </c>
      <c r="E50" t="str">
        <f t="shared" si="0"/>
        <v>147</v>
      </c>
      <c r="F50">
        <v>50021</v>
      </c>
      <c r="G50">
        <v>35180</v>
      </c>
    </row>
    <row r="51" spans="1:7">
      <c r="A51">
        <v>208</v>
      </c>
      <c r="B51">
        <v>0</v>
      </c>
      <c r="C51">
        <v>14</v>
      </c>
      <c r="D51">
        <v>8</v>
      </c>
      <c r="E51" t="str">
        <f t="shared" si="0"/>
        <v>148</v>
      </c>
      <c r="F51">
        <v>57949</v>
      </c>
      <c r="G51">
        <v>41602</v>
      </c>
    </row>
    <row r="52" spans="1:7">
      <c r="A52">
        <v>208</v>
      </c>
      <c r="B52">
        <v>0</v>
      </c>
      <c r="C52">
        <v>14</v>
      </c>
      <c r="D52">
        <v>9</v>
      </c>
      <c r="E52" t="str">
        <f t="shared" si="0"/>
        <v>149</v>
      </c>
      <c r="F52">
        <v>65712</v>
      </c>
      <c r="G52">
        <v>48155</v>
      </c>
    </row>
    <row r="53" spans="1:7">
      <c r="A53">
        <v>208</v>
      </c>
      <c r="B53">
        <v>0</v>
      </c>
      <c r="C53">
        <v>14</v>
      </c>
      <c r="D53">
        <v>10</v>
      </c>
      <c r="E53" t="str">
        <f t="shared" si="0"/>
        <v>1410</v>
      </c>
      <c r="F53">
        <v>73263</v>
      </c>
      <c r="G53">
        <v>56452</v>
      </c>
    </row>
    <row r="54" spans="1:7">
      <c r="A54">
        <v>208</v>
      </c>
      <c r="B54">
        <v>0</v>
      </c>
      <c r="C54">
        <v>14</v>
      </c>
      <c r="D54">
        <v>11</v>
      </c>
      <c r="E54" t="str">
        <f t="shared" si="0"/>
        <v>1411</v>
      </c>
      <c r="F54">
        <v>80561</v>
      </c>
      <c r="G54">
        <v>65319</v>
      </c>
    </row>
    <row r="55" spans="1:7">
      <c r="A55">
        <v>208</v>
      </c>
      <c r="B55">
        <v>0</v>
      </c>
      <c r="C55">
        <v>14</v>
      </c>
      <c r="D55">
        <v>12</v>
      </c>
      <c r="E55" t="str">
        <f t="shared" si="0"/>
        <v>1412</v>
      </c>
      <c r="F55">
        <v>87567</v>
      </c>
      <c r="G55">
        <v>74769</v>
      </c>
    </row>
    <row r="56" spans="1:7">
      <c r="A56">
        <v>208</v>
      </c>
      <c r="B56">
        <v>0</v>
      </c>
      <c r="C56">
        <v>14</v>
      </c>
      <c r="D56">
        <v>13</v>
      </c>
      <c r="E56" t="str">
        <f t="shared" si="0"/>
        <v>1413</v>
      </c>
      <c r="F56">
        <v>94063</v>
      </c>
      <c r="G56">
        <v>84664</v>
      </c>
    </row>
    <row r="57" spans="1:7">
      <c r="A57">
        <v>208</v>
      </c>
      <c r="B57">
        <v>0</v>
      </c>
      <c r="C57">
        <v>15</v>
      </c>
      <c r="D57">
        <v>1</v>
      </c>
      <c r="E57" t="str">
        <f t="shared" si="0"/>
        <v>151</v>
      </c>
      <c r="F57">
        <v>1612</v>
      </c>
      <c r="G57">
        <v>1287</v>
      </c>
    </row>
    <row r="58" spans="1:7">
      <c r="A58">
        <v>208</v>
      </c>
      <c r="B58">
        <v>0</v>
      </c>
      <c r="C58">
        <v>15</v>
      </c>
      <c r="D58">
        <v>2</v>
      </c>
      <c r="E58" t="str">
        <f t="shared" si="0"/>
        <v>152</v>
      </c>
      <c r="F58">
        <v>8187</v>
      </c>
      <c r="G58">
        <v>6493</v>
      </c>
    </row>
    <row r="59" spans="1:7">
      <c r="A59">
        <v>208</v>
      </c>
      <c r="B59">
        <v>0</v>
      </c>
      <c r="C59">
        <v>15</v>
      </c>
      <c r="D59">
        <v>3</v>
      </c>
      <c r="E59" t="str">
        <f t="shared" si="0"/>
        <v>153</v>
      </c>
      <c r="F59">
        <v>15805</v>
      </c>
      <c r="G59">
        <v>9925</v>
      </c>
    </row>
    <row r="60" spans="1:7">
      <c r="A60">
        <v>208</v>
      </c>
      <c r="B60">
        <v>0</v>
      </c>
      <c r="C60">
        <v>15</v>
      </c>
      <c r="D60">
        <v>4</v>
      </c>
      <c r="E60" t="str">
        <f t="shared" si="0"/>
        <v>154</v>
      </c>
      <c r="F60">
        <v>23458</v>
      </c>
      <c r="G60">
        <v>15392</v>
      </c>
    </row>
    <row r="61" spans="1:7">
      <c r="A61">
        <v>208</v>
      </c>
      <c r="B61">
        <v>0</v>
      </c>
      <c r="C61">
        <v>15</v>
      </c>
      <c r="D61">
        <v>5</v>
      </c>
      <c r="E61" t="str">
        <f t="shared" si="0"/>
        <v>155</v>
      </c>
      <c r="F61">
        <v>31119</v>
      </c>
      <c r="G61">
        <v>20971</v>
      </c>
    </row>
    <row r="62" spans="1:7">
      <c r="A62">
        <v>208</v>
      </c>
      <c r="B62">
        <v>0</v>
      </c>
      <c r="C62">
        <v>15</v>
      </c>
      <c r="D62">
        <v>6</v>
      </c>
      <c r="E62" t="str">
        <f t="shared" si="0"/>
        <v>156</v>
      </c>
      <c r="F62">
        <v>38759</v>
      </c>
      <c r="G62">
        <v>26663</v>
      </c>
    </row>
    <row r="63" spans="1:7">
      <c r="A63">
        <v>208</v>
      </c>
      <c r="B63">
        <v>0</v>
      </c>
      <c r="C63">
        <v>15</v>
      </c>
      <c r="D63">
        <v>7</v>
      </c>
      <c r="E63" t="str">
        <f t="shared" si="0"/>
        <v>157</v>
      </c>
      <c r="F63">
        <v>46343</v>
      </c>
      <c r="G63">
        <v>32472</v>
      </c>
    </row>
    <row r="64" spans="1:7">
      <c r="A64">
        <v>208</v>
      </c>
      <c r="B64">
        <v>0</v>
      </c>
      <c r="C64">
        <v>15</v>
      </c>
      <c r="D64">
        <v>8</v>
      </c>
      <c r="E64" t="str">
        <f t="shared" si="0"/>
        <v>158</v>
      </c>
      <c r="F64">
        <v>53839</v>
      </c>
      <c r="G64">
        <v>38400</v>
      </c>
    </row>
    <row r="65" spans="1:7">
      <c r="A65">
        <v>208</v>
      </c>
      <c r="B65">
        <v>0</v>
      </c>
      <c r="C65">
        <v>15</v>
      </c>
      <c r="D65">
        <v>9</v>
      </c>
      <c r="E65" t="str">
        <f t="shared" si="0"/>
        <v>159</v>
      </c>
      <c r="F65">
        <v>61208</v>
      </c>
      <c r="G65">
        <v>44448</v>
      </c>
    </row>
    <row r="66" spans="1:7">
      <c r="A66">
        <v>208</v>
      </c>
      <c r="B66">
        <v>0</v>
      </c>
      <c r="C66">
        <v>15</v>
      </c>
      <c r="D66">
        <v>10</v>
      </c>
      <c r="E66" t="str">
        <f t="shared" si="0"/>
        <v>1510</v>
      </c>
      <c r="F66">
        <v>68409</v>
      </c>
      <c r="G66">
        <v>50621</v>
      </c>
    </row>
    <row r="67" spans="1:7">
      <c r="A67">
        <v>208</v>
      </c>
      <c r="B67">
        <v>0</v>
      </c>
      <c r="C67">
        <v>15</v>
      </c>
      <c r="D67">
        <v>11</v>
      </c>
      <c r="E67" t="str">
        <f t="shared" ref="E67:E130" si="1">CONCATENATE(C67,D67)</f>
        <v>1511</v>
      </c>
      <c r="F67">
        <v>75401</v>
      </c>
      <c r="G67">
        <v>58539</v>
      </c>
    </row>
    <row r="68" spans="1:7">
      <c r="A68">
        <v>208</v>
      </c>
      <c r="B68">
        <v>0</v>
      </c>
      <c r="C68">
        <v>15</v>
      </c>
      <c r="D68">
        <v>12</v>
      </c>
      <c r="E68" t="str">
        <f t="shared" si="1"/>
        <v>1512</v>
      </c>
      <c r="F68">
        <v>82145</v>
      </c>
      <c r="G68">
        <v>66969</v>
      </c>
    </row>
    <row r="69" spans="1:7">
      <c r="A69">
        <v>208</v>
      </c>
      <c r="B69">
        <v>0</v>
      </c>
      <c r="C69">
        <v>15</v>
      </c>
      <c r="D69">
        <v>13</v>
      </c>
      <c r="E69" t="str">
        <f t="shared" si="1"/>
        <v>1513</v>
      </c>
      <c r="F69">
        <v>88603</v>
      </c>
      <c r="G69">
        <v>75922</v>
      </c>
    </row>
    <row r="70" spans="1:7">
      <c r="A70">
        <v>208</v>
      </c>
      <c r="B70">
        <v>0</v>
      </c>
      <c r="C70">
        <v>15</v>
      </c>
      <c r="D70">
        <v>14</v>
      </c>
      <c r="E70" t="str">
        <f t="shared" si="1"/>
        <v>1514</v>
      </c>
      <c r="F70">
        <v>94570</v>
      </c>
      <c r="G70">
        <v>85267</v>
      </c>
    </row>
    <row r="71" spans="1:7">
      <c r="A71">
        <v>208</v>
      </c>
      <c r="B71">
        <v>0</v>
      </c>
      <c r="C71">
        <v>16</v>
      </c>
      <c r="D71">
        <v>1</v>
      </c>
      <c r="E71" t="str">
        <f t="shared" si="1"/>
        <v>161</v>
      </c>
      <c r="F71">
        <v>1503</v>
      </c>
      <c r="G71">
        <v>1193</v>
      </c>
    </row>
    <row r="72" spans="1:7">
      <c r="A72">
        <v>208</v>
      </c>
      <c r="B72">
        <v>0</v>
      </c>
      <c r="C72">
        <v>16</v>
      </c>
      <c r="D72">
        <v>2</v>
      </c>
      <c r="E72" t="str">
        <f t="shared" si="1"/>
        <v>162</v>
      </c>
      <c r="F72">
        <v>7235</v>
      </c>
      <c r="G72">
        <v>5694</v>
      </c>
    </row>
    <row r="73" spans="1:7">
      <c r="A73">
        <v>208</v>
      </c>
      <c r="B73">
        <v>0</v>
      </c>
      <c r="C73">
        <v>16</v>
      </c>
      <c r="D73">
        <v>3</v>
      </c>
      <c r="E73" t="str">
        <f t="shared" si="1"/>
        <v>163</v>
      </c>
      <c r="F73">
        <v>14352</v>
      </c>
      <c r="G73">
        <v>9202</v>
      </c>
    </row>
    <row r="74" spans="1:7">
      <c r="A74">
        <v>208</v>
      </c>
      <c r="B74">
        <v>0</v>
      </c>
      <c r="C74">
        <v>16</v>
      </c>
      <c r="D74">
        <v>4</v>
      </c>
      <c r="E74" t="str">
        <f t="shared" si="1"/>
        <v>164</v>
      </c>
      <c r="F74">
        <v>21519</v>
      </c>
      <c r="G74">
        <v>14271</v>
      </c>
    </row>
    <row r="75" spans="1:7">
      <c r="A75">
        <v>208</v>
      </c>
      <c r="B75">
        <v>0</v>
      </c>
      <c r="C75">
        <v>16</v>
      </c>
      <c r="D75">
        <v>5</v>
      </c>
      <c r="E75" t="str">
        <f t="shared" si="1"/>
        <v>165</v>
      </c>
      <c r="F75">
        <v>28711</v>
      </c>
      <c r="G75">
        <v>19443</v>
      </c>
    </row>
    <row r="76" spans="1:7">
      <c r="A76">
        <v>208</v>
      </c>
      <c r="B76">
        <v>0</v>
      </c>
      <c r="C76">
        <v>16</v>
      </c>
      <c r="D76">
        <v>6</v>
      </c>
      <c r="E76" t="str">
        <f t="shared" si="1"/>
        <v>166</v>
      </c>
      <c r="F76">
        <v>35903</v>
      </c>
      <c r="G76">
        <v>24721</v>
      </c>
    </row>
    <row r="77" spans="1:7">
      <c r="A77">
        <v>208</v>
      </c>
      <c r="B77">
        <v>0</v>
      </c>
      <c r="C77">
        <v>16</v>
      </c>
      <c r="D77">
        <v>7</v>
      </c>
      <c r="E77" t="str">
        <f t="shared" si="1"/>
        <v>167</v>
      </c>
      <c r="F77">
        <v>43066</v>
      </c>
      <c r="G77">
        <v>30106</v>
      </c>
    </row>
    <row r="78" spans="1:7">
      <c r="A78">
        <v>208</v>
      </c>
      <c r="B78">
        <v>0</v>
      </c>
      <c r="C78">
        <v>16</v>
      </c>
      <c r="D78">
        <v>8</v>
      </c>
      <c r="E78" t="str">
        <f t="shared" si="1"/>
        <v>168</v>
      </c>
      <c r="F78">
        <v>50168</v>
      </c>
      <c r="G78">
        <v>35602</v>
      </c>
    </row>
    <row r="79" spans="1:7">
      <c r="A79">
        <v>208</v>
      </c>
      <c r="B79">
        <v>0</v>
      </c>
      <c r="C79">
        <v>16</v>
      </c>
      <c r="D79">
        <v>9</v>
      </c>
      <c r="E79" t="str">
        <f t="shared" si="1"/>
        <v>169</v>
      </c>
      <c r="F79">
        <v>57177</v>
      </c>
      <c r="G79">
        <v>41211</v>
      </c>
    </row>
    <row r="80" spans="1:7">
      <c r="A80">
        <v>208</v>
      </c>
      <c r="B80">
        <v>0</v>
      </c>
      <c r="C80">
        <v>16</v>
      </c>
      <c r="D80">
        <v>10</v>
      </c>
      <c r="E80" t="str">
        <f t="shared" si="1"/>
        <v>1610</v>
      </c>
      <c r="F80">
        <v>64057</v>
      </c>
      <c r="G80">
        <v>46934</v>
      </c>
    </row>
    <row r="81" spans="1:7">
      <c r="A81">
        <v>208</v>
      </c>
      <c r="B81">
        <v>0</v>
      </c>
      <c r="C81">
        <v>16</v>
      </c>
      <c r="D81">
        <v>11</v>
      </c>
      <c r="E81" t="str">
        <f t="shared" si="1"/>
        <v>1611</v>
      </c>
      <c r="F81">
        <v>70768</v>
      </c>
      <c r="G81">
        <v>52774</v>
      </c>
    </row>
    <row r="82" spans="1:7">
      <c r="A82">
        <v>208</v>
      </c>
      <c r="B82">
        <v>0</v>
      </c>
      <c r="C82">
        <v>16</v>
      </c>
      <c r="D82">
        <v>12</v>
      </c>
      <c r="E82" t="str">
        <f t="shared" si="1"/>
        <v>1612</v>
      </c>
      <c r="F82">
        <v>77271</v>
      </c>
      <c r="G82">
        <v>60354</v>
      </c>
    </row>
    <row r="83" spans="1:7">
      <c r="A83">
        <v>208</v>
      </c>
      <c r="B83">
        <v>0</v>
      </c>
      <c r="C83">
        <v>16</v>
      </c>
      <c r="D83">
        <v>13</v>
      </c>
      <c r="E83" t="str">
        <f t="shared" si="1"/>
        <v>1613</v>
      </c>
      <c r="F83">
        <v>83530</v>
      </c>
      <c r="G83">
        <v>68398</v>
      </c>
    </row>
    <row r="84" spans="1:7">
      <c r="A84">
        <v>208</v>
      </c>
      <c r="B84">
        <v>0</v>
      </c>
      <c r="C84">
        <v>16</v>
      </c>
      <c r="D84">
        <v>14</v>
      </c>
      <c r="E84" t="str">
        <f t="shared" si="1"/>
        <v>1614</v>
      </c>
      <c r="F84">
        <v>89509</v>
      </c>
      <c r="G84">
        <v>76917</v>
      </c>
    </row>
    <row r="85" spans="1:7">
      <c r="A85">
        <v>208</v>
      </c>
      <c r="B85">
        <v>0</v>
      </c>
      <c r="C85">
        <v>16</v>
      </c>
      <c r="D85">
        <v>15</v>
      </c>
      <c r="E85" t="str">
        <f t="shared" si="1"/>
        <v>1615</v>
      </c>
      <c r="F85">
        <v>95014</v>
      </c>
      <c r="G85">
        <v>85786</v>
      </c>
    </row>
    <row r="86" spans="1:7">
      <c r="A86">
        <v>208</v>
      </c>
      <c r="B86">
        <v>0</v>
      </c>
      <c r="C86">
        <v>17</v>
      </c>
      <c r="D86">
        <v>1</v>
      </c>
      <c r="E86" t="str">
        <f t="shared" si="1"/>
        <v>171</v>
      </c>
      <c r="F86">
        <v>1407</v>
      </c>
      <c r="G86">
        <v>1110</v>
      </c>
    </row>
    <row r="87" spans="1:7">
      <c r="A87">
        <v>208</v>
      </c>
      <c r="B87">
        <v>0</v>
      </c>
      <c r="C87">
        <v>17</v>
      </c>
      <c r="D87">
        <v>2</v>
      </c>
      <c r="E87" t="str">
        <f t="shared" si="1"/>
        <v>172</v>
      </c>
      <c r="F87">
        <v>6391</v>
      </c>
      <c r="G87">
        <v>4998</v>
      </c>
    </row>
    <row r="88" spans="1:7">
      <c r="A88">
        <v>208</v>
      </c>
      <c r="B88">
        <v>0</v>
      </c>
      <c r="C88">
        <v>17</v>
      </c>
      <c r="D88">
        <v>3</v>
      </c>
      <c r="E88" t="str">
        <f t="shared" si="1"/>
        <v>173</v>
      </c>
      <c r="F88">
        <v>13060</v>
      </c>
      <c r="G88">
        <v>8565</v>
      </c>
    </row>
    <row r="89" spans="1:7">
      <c r="A89">
        <v>208</v>
      </c>
      <c r="B89">
        <v>0</v>
      </c>
      <c r="C89">
        <v>17</v>
      </c>
      <c r="D89">
        <v>4</v>
      </c>
      <c r="E89" t="str">
        <f t="shared" si="1"/>
        <v>174</v>
      </c>
      <c r="F89">
        <v>19788</v>
      </c>
      <c r="G89">
        <v>13283</v>
      </c>
    </row>
    <row r="90" spans="1:7">
      <c r="A90">
        <v>208</v>
      </c>
      <c r="B90">
        <v>0</v>
      </c>
      <c r="C90">
        <v>17</v>
      </c>
      <c r="D90">
        <v>5</v>
      </c>
      <c r="E90" t="str">
        <f t="shared" si="1"/>
        <v>175</v>
      </c>
      <c r="F90">
        <v>26557</v>
      </c>
      <c r="G90">
        <v>18097</v>
      </c>
    </row>
    <row r="91" spans="1:7">
      <c r="A91">
        <v>208</v>
      </c>
      <c r="B91">
        <v>0</v>
      </c>
      <c r="C91">
        <v>17</v>
      </c>
      <c r="D91">
        <v>6</v>
      </c>
      <c r="E91" t="str">
        <f t="shared" si="1"/>
        <v>176</v>
      </c>
      <c r="F91">
        <v>33343</v>
      </c>
      <c r="G91">
        <v>23009</v>
      </c>
    </row>
    <row r="92" spans="1:7">
      <c r="A92">
        <v>208</v>
      </c>
      <c r="B92">
        <v>0</v>
      </c>
      <c r="C92">
        <v>17</v>
      </c>
      <c r="D92">
        <v>7</v>
      </c>
      <c r="E92" t="str">
        <f t="shared" si="1"/>
        <v>177</v>
      </c>
      <c r="F92">
        <v>40121</v>
      </c>
      <c r="G92">
        <v>28023</v>
      </c>
    </row>
    <row r="93" spans="1:7">
      <c r="A93">
        <v>208</v>
      </c>
      <c r="B93">
        <v>0</v>
      </c>
      <c r="C93">
        <v>17</v>
      </c>
      <c r="D93">
        <v>8</v>
      </c>
      <c r="E93" t="str">
        <f t="shared" si="1"/>
        <v>178</v>
      </c>
      <c r="F93">
        <v>46864</v>
      </c>
      <c r="G93">
        <v>33138</v>
      </c>
    </row>
    <row r="94" spans="1:7">
      <c r="A94">
        <v>208</v>
      </c>
      <c r="B94">
        <v>0</v>
      </c>
      <c r="C94">
        <v>17</v>
      </c>
      <c r="D94">
        <v>9</v>
      </c>
      <c r="E94" t="str">
        <f t="shared" si="1"/>
        <v>179</v>
      </c>
      <c r="F94">
        <v>53541</v>
      </c>
      <c r="G94">
        <v>38359</v>
      </c>
    </row>
    <row r="95" spans="1:7">
      <c r="A95">
        <v>208</v>
      </c>
      <c r="B95">
        <v>0</v>
      </c>
      <c r="C95">
        <v>17</v>
      </c>
      <c r="D95">
        <v>10</v>
      </c>
      <c r="E95" t="str">
        <f t="shared" si="1"/>
        <v>1710</v>
      </c>
      <c r="F95">
        <v>60121</v>
      </c>
      <c r="G95">
        <v>43686</v>
      </c>
    </row>
    <row r="96" spans="1:7">
      <c r="A96">
        <v>208</v>
      </c>
      <c r="B96">
        <v>0</v>
      </c>
      <c r="C96">
        <v>17</v>
      </c>
      <c r="D96">
        <v>11</v>
      </c>
      <c r="E96" t="str">
        <f t="shared" si="1"/>
        <v>1711</v>
      </c>
      <c r="F96">
        <v>66569</v>
      </c>
      <c r="G96">
        <v>49123</v>
      </c>
    </row>
    <row r="97" spans="1:7">
      <c r="A97">
        <v>208</v>
      </c>
      <c r="B97">
        <v>0</v>
      </c>
      <c r="C97">
        <v>17</v>
      </c>
      <c r="D97">
        <v>12</v>
      </c>
      <c r="E97" t="str">
        <f t="shared" si="1"/>
        <v>1712</v>
      </c>
      <c r="F97">
        <v>72849</v>
      </c>
      <c r="G97">
        <v>55888</v>
      </c>
    </row>
    <row r="98" spans="1:7">
      <c r="A98">
        <v>208</v>
      </c>
      <c r="B98">
        <v>0</v>
      </c>
      <c r="C98">
        <v>17</v>
      </c>
      <c r="D98">
        <v>13</v>
      </c>
      <c r="E98" t="str">
        <f t="shared" si="1"/>
        <v>1713</v>
      </c>
      <c r="F98">
        <v>78921</v>
      </c>
      <c r="G98">
        <v>63022</v>
      </c>
    </row>
    <row r="99" spans="1:7">
      <c r="A99">
        <v>208</v>
      </c>
      <c r="B99">
        <v>0</v>
      </c>
      <c r="C99">
        <v>17</v>
      </c>
      <c r="D99">
        <v>14</v>
      </c>
      <c r="E99" t="str">
        <f t="shared" si="1"/>
        <v>1714</v>
      </c>
      <c r="F99">
        <v>84752</v>
      </c>
      <c r="G99">
        <v>70532</v>
      </c>
    </row>
    <row r="100" spans="1:7">
      <c r="A100">
        <v>208</v>
      </c>
      <c r="B100">
        <v>0</v>
      </c>
      <c r="C100">
        <v>17</v>
      </c>
      <c r="D100">
        <v>15</v>
      </c>
      <c r="E100" t="str">
        <f t="shared" si="1"/>
        <v>1715</v>
      </c>
      <c r="F100">
        <v>90307</v>
      </c>
      <c r="G100">
        <v>78426</v>
      </c>
    </row>
    <row r="101" spans="1:7">
      <c r="A101">
        <v>208</v>
      </c>
      <c r="B101">
        <v>0</v>
      </c>
      <c r="C101">
        <v>17</v>
      </c>
      <c r="D101">
        <v>16</v>
      </c>
      <c r="E101" t="str">
        <f t="shared" si="1"/>
        <v>1716</v>
      </c>
      <c r="F101">
        <v>95405</v>
      </c>
      <c r="G101">
        <v>86584</v>
      </c>
    </row>
    <row r="102" spans="1:7">
      <c r="A102">
        <v>208</v>
      </c>
      <c r="B102">
        <v>0</v>
      </c>
      <c r="C102">
        <v>18</v>
      </c>
      <c r="D102">
        <v>1</v>
      </c>
      <c r="E102" t="str">
        <f t="shared" si="1"/>
        <v>181</v>
      </c>
      <c r="F102">
        <v>1320</v>
      </c>
      <c r="G102">
        <v>1037</v>
      </c>
    </row>
    <row r="103" spans="1:7">
      <c r="A103">
        <v>208</v>
      </c>
      <c r="B103">
        <v>0</v>
      </c>
      <c r="C103">
        <v>18</v>
      </c>
      <c r="D103">
        <v>2</v>
      </c>
      <c r="E103" t="str">
        <f t="shared" si="1"/>
        <v>182</v>
      </c>
      <c r="F103">
        <v>5638</v>
      </c>
      <c r="G103">
        <v>4385</v>
      </c>
    </row>
    <row r="104" spans="1:7">
      <c r="A104">
        <v>208</v>
      </c>
      <c r="B104">
        <v>0</v>
      </c>
      <c r="C104">
        <v>18</v>
      </c>
      <c r="D104">
        <v>3</v>
      </c>
      <c r="E104" t="str">
        <f t="shared" si="1"/>
        <v>183</v>
      </c>
      <c r="F104">
        <v>11902</v>
      </c>
      <c r="G104">
        <v>8000</v>
      </c>
    </row>
    <row r="105" spans="1:7">
      <c r="A105">
        <v>208</v>
      </c>
      <c r="B105">
        <v>0</v>
      </c>
      <c r="C105">
        <v>18</v>
      </c>
      <c r="D105">
        <v>4</v>
      </c>
      <c r="E105" t="str">
        <f t="shared" si="1"/>
        <v>184</v>
      </c>
      <c r="F105">
        <v>18234</v>
      </c>
      <c r="G105">
        <v>12406</v>
      </c>
    </row>
    <row r="106" spans="1:7">
      <c r="A106">
        <v>208</v>
      </c>
      <c r="B106">
        <v>0</v>
      </c>
      <c r="C106">
        <v>18</v>
      </c>
      <c r="D106">
        <v>5</v>
      </c>
      <c r="E106" t="str">
        <f t="shared" si="1"/>
        <v>185</v>
      </c>
      <c r="F106">
        <v>24618</v>
      </c>
      <c r="G106">
        <v>16903</v>
      </c>
    </row>
    <row r="107" spans="1:7">
      <c r="A107">
        <v>208</v>
      </c>
      <c r="B107">
        <v>0</v>
      </c>
      <c r="C107">
        <v>18</v>
      </c>
      <c r="D107">
        <v>6</v>
      </c>
      <c r="E107" t="str">
        <f t="shared" si="1"/>
        <v>186</v>
      </c>
      <c r="F107">
        <v>31033</v>
      </c>
      <c r="G107">
        <v>21491</v>
      </c>
    </row>
    <row r="108" spans="1:7">
      <c r="A108">
        <v>208</v>
      </c>
      <c r="B108">
        <v>0</v>
      </c>
      <c r="C108">
        <v>18</v>
      </c>
      <c r="D108">
        <v>7</v>
      </c>
      <c r="E108" t="str">
        <f t="shared" si="1"/>
        <v>187</v>
      </c>
      <c r="F108">
        <v>37458</v>
      </c>
      <c r="G108">
        <v>26174</v>
      </c>
    </row>
    <row r="109" spans="1:7">
      <c r="A109">
        <v>208</v>
      </c>
      <c r="B109">
        <v>0</v>
      </c>
      <c r="C109">
        <v>18</v>
      </c>
      <c r="D109">
        <v>8</v>
      </c>
      <c r="E109" t="str">
        <f t="shared" si="1"/>
        <v>188</v>
      </c>
      <c r="F109">
        <v>43869</v>
      </c>
      <c r="G109">
        <v>30952</v>
      </c>
    </row>
    <row r="110" spans="1:7">
      <c r="A110">
        <v>208</v>
      </c>
      <c r="B110">
        <v>0</v>
      </c>
      <c r="C110">
        <v>18</v>
      </c>
      <c r="D110">
        <v>9</v>
      </c>
      <c r="E110" t="str">
        <f t="shared" si="1"/>
        <v>189</v>
      </c>
      <c r="F110">
        <v>50239</v>
      </c>
      <c r="G110">
        <v>35829</v>
      </c>
    </row>
    <row r="111" spans="1:7">
      <c r="A111">
        <v>208</v>
      </c>
      <c r="B111">
        <v>0</v>
      </c>
      <c r="C111">
        <v>18</v>
      </c>
      <c r="D111">
        <v>10</v>
      </c>
      <c r="E111" t="str">
        <f t="shared" si="1"/>
        <v>1810</v>
      </c>
      <c r="F111">
        <v>56538</v>
      </c>
      <c r="G111">
        <v>40808</v>
      </c>
    </row>
    <row r="112" spans="1:7">
      <c r="A112">
        <v>208</v>
      </c>
      <c r="B112">
        <v>0</v>
      </c>
      <c r="C112">
        <v>18</v>
      </c>
      <c r="D112">
        <v>11</v>
      </c>
      <c r="E112" t="str">
        <f t="shared" si="1"/>
        <v>1811</v>
      </c>
      <c r="F112">
        <v>62737</v>
      </c>
      <c r="G112">
        <v>45888</v>
      </c>
    </row>
    <row r="113" spans="1:7">
      <c r="A113">
        <v>208</v>
      </c>
      <c r="B113">
        <v>0</v>
      </c>
      <c r="C113">
        <v>18</v>
      </c>
      <c r="D113">
        <v>12</v>
      </c>
      <c r="E113" t="str">
        <f t="shared" si="1"/>
        <v>1812</v>
      </c>
      <c r="F113">
        <v>68802</v>
      </c>
      <c r="G113">
        <v>51071</v>
      </c>
    </row>
    <row r="114" spans="1:7">
      <c r="A114">
        <v>208</v>
      </c>
      <c r="B114">
        <v>0</v>
      </c>
      <c r="C114">
        <v>18</v>
      </c>
      <c r="D114">
        <v>13</v>
      </c>
      <c r="E114" t="str">
        <f t="shared" si="1"/>
        <v>1813</v>
      </c>
      <c r="F114">
        <v>74697</v>
      </c>
      <c r="G114">
        <v>57584</v>
      </c>
    </row>
    <row r="115" spans="1:7">
      <c r="A115">
        <v>208</v>
      </c>
      <c r="B115">
        <v>0</v>
      </c>
      <c r="C115">
        <v>18</v>
      </c>
      <c r="D115">
        <v>14</v>
      </c>
      <c r="E115" t="str">
        <f t="shared" si="1"/>
        <v>1814</v>
      </c>
      <c r="F115">
        <v>80387</v>
      </c>
      <c r="G115">
        <v>64437</v>
      </c>
    </row>
    <row r="116" spans="1:7">
      <c r="A116">
        <v>208</v>
      </c>
      <c r="B116">
        <v>0</v>
      </c>
      <c r="C116">
        <v>18</v>
      </c>
      <c r="D116">
        <v>15</v>
      </c>
      <c r="E116" t="str">
        <f t="shared" si="1"/>
        <v>1815</v>
      </c>
      <c r="F116">
        <v>85838</v>
      </c>
      <c r="G116">
        <v>71637</v>
      </c>
    </row>
    <row r="117" spans="1:7">
      <c r="A117">
        <v>208</v>
      </c>
      <c r="B117">
        <v>0</v>
      </c>
      <c r="C117">
        <v>18</v>
      </c>
      <c r="D117">
        <v>16</v>
      </c>
      <c r="E117" t="str">
        <f t="shared" si="1"/>
        <v>1816</v>
      </c>
      <c r="F117">
        <v>91018</v>
      </c>
      <c r="G117">
        <v>79192</v>
      </c>
    </row>
    <row r="118" spans="1:7">
      <c r="A118">
        <v>208</v>
      </c>
      <c r="B118">
        <v>0</v>
      </c>
      <c r="C118">
        <v>18</v>
      </c>
      <c r="D118">
        <v>17</v>
      </c>
      <c r="E118" t="str">
        <f t="shared" si="1"/>
        <v>1817</v>
      </c>
      <c r="F118">
        <v>95753</v>
      </c>
      <c r="G118">
        <v>86984</v>
      </c>
    </row>
    <row r="119" spans="1:7">
      <c r="A119">
        <v>208</v>
      </c>
      <c r="B119">
        <v>0</v>
      </c>
      <c r="C119">
        <v>19</v>
      </c>
      <c r="D119">
        <v>1</v>
      </c>
      <c r="E119" t="str">
        <f t="shared" si="1"/>
        <v>191</v>
      </c>
      <c r="F119">
        <v>1242</v>
      </c>
      <c r="G119">
        <v>972</v>
      </c>
    </row>
    <row r="120" spans="1:7">
      <c r="A120">
        <v>208</v>
      </c>
      <c r="B120">
        <v>0</v>
      </c>
      <c r="C120">
        <v>19</v>
      </c>
      <c r="D120">
        <v>2</v>
      </c>
      <c r="E120" t="str">
        <f t="shared" si="1"/>
        <v>192</v>
      </c>
      <c r="F120">
        <v>4965</v>
      </c>
      <c r="G120">
        <v>3844</v>
      </c>
    </row>
    <row r="121" spans="1:7">
      <c r="A121">
        <v>208</v>
      </c>
      <c r="B121">
        <v>0</v>
      </c>
      <c r="C121">
        <v>19</v>
      </c>
      <c r="D121">
        <v>3</v>
      </c>
      <c r="E121" t="str">
        <f t="shared" si="1"/>
        <v>193</v>
      </c>
      <c r="F121">
        <v>10860</v>
      </c>
      <c r="G121">
        <v>7544</v>
      </c>
    </row>
    <row r="122" spans="1:7">
      <c r="A122">
        <v>208</v>
      </c>
      <c r="B122">
        <v>0</v>
      </c>
      <c r="C122">
        <v>19</v>
      </c>
      <c r="D122">
        <v>4</v>
      </c>
      <c r="E122" t="str">
        <f t="shared" si="1"/>
        <v>194</v>
      </c>
      <c r="F122">
        <v>16830</v>
      </c>
      <c r="G122">
        <v>11657</v>
      </c>
    </row>
    <row r="123" spans="1:7">
      <c r="A123">
        <v>208</v>
      </c>
      <c r="B123">
        <v>0</v>
      </c>
      <c r="C123">
        <v>19</v>
      </c>
      <c r="D123">
        <v>5</v>
      </c>
      <c r="E123" t="str">
        <f t="shared" si="1"/>
        <v>195</v>
      </c>
      <c r="F123">
        <v>22862</v>
      </c>
      <c r="G123">
        <v>15868</v>
      </c>
    </row>
    <row r="124" spans="1:7">
      <c r="A124">
        <v>208</v>
      </c>
      <c r="B124">
        <v>0</v>
      </c>
      <c r="C124">
        <v>19</v>
      </c>
      <c r="D124">
        <v>6</v>
      </c>
      <c r="E124" t="str">
        <f t="shared" si="1"/>
        <v>196</v>
      </c>
      <c r="F124">
        <v>28937</v>
      </c>
      <c r="G124">
        <v>20168</v>
      </c>
    </row>
    <row r="125" spans="1:7">
      <c r="A125">
        <v>208</v>
      </c>
      <c r="B125">
        <v>0</v>
      </c>
      <c r="C125">
        <v>19</v>
      </c>
      <c r="D125">
        <v>7</v>
      </c>
      <c r="E125" t="str">
        <f t="shared" si="1"/>
        <v>197</v>
      </c>
      <c r="F125">
        <v>35036</v>
      </c>
      <c r="G125">
        <v>24556</v>
      </c>
    </row>
    <row r="126" spans="1:7">
      <c r="A126">
        <v>208</v>
      </c>
      <c r="B126">
        <v>0</v>
      </c>
      <c r="C126">
        <v>19</v>
      </c>
      <c r="D126">
        <v>8</v>
      </c>
      <c r="E126" t="str">
        <f t="shared" si="1"/>
        <v>198</v>
      </c>
      <c r="F126">
        <v>41139</v>
      </c>
      <c r="G126">
        <v>29035</v>
      </c>
    </row>
    <row r="127" spans="1:7">
      <c r="A127">
        <v>208</v>
      </c>
      <c r="B127">
        <v>0</v>
      </c>
      <c r="C127">
        <v>19</v>
      </c>
      <c r="D127">
        <v>9</v>
      </c>
      <c r="E127" t="str">
        <f t="shared" si="1"/>
        <v>199</v>
      </c>
      <c r="F127">
        <v>47222</v>
      </c>
      <c r="G127">
        <v>33604</v>
      </c>
    </row>
    <row r="128" spans="1:7">
      <c r="A128">
        <v>208</v>
      </c>
      <c r="B128">
        <v>0</v>
      </c>
      <c r="C128">
        <v>19</v>
      </c>
      <c r="D128">
        <v>10</v>
      </c>
      <c r="E128" t="str">
        <f t="shared" si="1"/>
        <v>1910</v>
      </c>
      <c r="F128">
        <v>53258</v>
      </c>
      <c r="G128">
        <v>38267</v>
      </c>
    </row>
    <row r="129" spans="1:7">
      <c r="A129">
        <v>208</v>
      </c>
      <c r="B129">
        <v>0</v>
      </c>
      <c r="C129">
        <v>19</v>
      </c>
      <c r="D129">
        <v>11</v>
      </c>
      <c r="E129" t="str">
        <f t="shared" si="1"/>
        <v>1911</v>
      </c>
      <c r="F129">
        <v>59219</v>
      </c>
      <c r="G129">
        <v>43024</v>
      </c>
    </row>
    <row r="130" spans="1:7">
      <c r="A130">
        <v>208</v>
      </c>
      <c r="B130">
        <v>0</v>
      </c>
      <c r="C130">
        <v>19</v>
      </c>
      <c r="D130">
        <v>12</v>
      </c>
      <c r="E130" t="str">
        <f t="shared" si="1"/>
        <v>1912</v>
      </c>
      <c r="F130">
        <v>65077</v>
      </c>
      <c r="G130">
        <v>47878</v>
      </c>
    </row>
    <row r="131" spans="1:7">
      <c r="A131">
        <v>208</v>
      </c>
      <c r="B131">
        <v>0</v>
      </c>
      <c r="C131">
        <v>19</v>
      </c>
      <c r="D131">
        <v>13</v>
      </c>
      <c r="E131" t="str">
        <f t="shared" ref="E131:E194" si="2">CONCATENATE(C131,D131)</f>
        <v>1913</v>
      </c>
      <c r="F131">
        <v>70799</v>
      </c>
      <c r="G131">
        <v>52831</v>
      </c>
    </row>
    <row r="132" spans="1:7">
      <c r="A132">
        <v>208</v>
      </c>
      <c r="B132">
        <v>0</v>
      </c>
      <c r="C132">
        <v>19</v>
      </c>
      <c r="D132">
        <v>14</v>
      </c>
      <c r="E132" t="str">
        <f t="shared" si="2"/>
        <v>1914</v>
      </c>
      <c r="F132">
        <v>76351</v>
      </c>
      <c r="G132">
        <v>59117</v>
      </c>
    </row>
    <row r="133" spans="1:7">
      <c r="A133">
        <v>208</v>
      </c>
      <c r="B133">
        <v>0</v>
      </c>
      <c r="C133">
        <v>19</v>
      </c>
      <c r="D133">
        <v>15</v>
      </c>
      <c r="E133" t="str">
        <f t="shared" si="2"/>
        <v>1915</v>
      </c>
      <c r="F133">
        <v>81698</v>
      </c>
      <c r="G133">
        <v>65719</v>
      </c>
    </row>
    <row r="134" spans="1:7">
      <c r="A134">
        <v>208</v>
      </c>
      <c r="B134">
        <v>0</v>
      </c>
      <c r="C134">
        <v>19</v>
      </c>
      <c r="D134">
        <v>16</v>
      </c>
      <c r="E134" t="str">
        <f t="shared" si="2"/>
        <v>1916</v>
      </c>
      <c r="F134">
        <v>86809</v>
      </c>
      <c r="G134">
        <v>72643</v>
      </c>
    </row>
    <row r="135" spans="1:7">
      <c r="A135">
        <v>208</v>
      </c>
      <c r="B135">
        <v>0</v>
      </c>
      <c r="C135">
        <v>19</v>
      </c>
      <c r="D135">
        <v>17</v>
      </c>
      <c r="E135" t="str">
        <f t="shared" si="2"/>
        <v>1917</v>
      </c>
      <c r="F135">
        <v>91653</v>
      </c>
      <c r="G135">
        <v>79896</v>
      </c>
    </row>
    <row r="136" spans="1:7">
      <c r="A136">
        <v>208</v>
      </c>
      <c r="B136">
        <v>0</v>
      </c>
      <c r="C136">
        <v>19</v>
      </c>
      <c r="D136">
        <v>18</v>
      </c>
      <c r="E136" t="str">
        <f t="shared" si="2"/>
        <v>1918</v>
      </c>
      <c r="F136">
        <v>96064</v>
      </c>
      <c r="G136">
        <v>87366</v>
      </c>
    </row>
    <row r="137" spans="1:7">
      <c r="A137">
        <v>208</v>
      </c>
      <c r="B137">
        <v>0</v>
      </c>
      <c r="C137">
        <v>20</v>
      </c>
      <c r="D137">
        <v>1</v>
      </c>
      <c r="E137" t="str">
        <f t="shared" si="2"/>
        <v>201</v>
      </c>
      <c r="F137">
        <v>1171</v>
      </c>
      <c r="G137">
        <v>913</v>
      </c>
    </row>
    <row r="138" spans="1:7">
      <c r="A138">
        <v>208</v>
      </c>
      <c r="B138">
        <v>0</v>
      </c>
      <c r="C138">
        <v>20</v>
      </c>
      <c r="D138">
        <v>2</v>
      </c>
      <c r="E138" t="str">
        <f t="shared" si="2"/>
        <v>202</v>
      </c>
      <c r="F138">
        <v>4359</v>
      </c>
      <c r="G138">
        <v>3363</v>
      </c>
    </row>
    <row r="139" spans="1:7">
      <c r="A139">
        <v>208</v>
      </c>
      <c r="B139">
        <v>0</v>
      </c>
      <c r="C139">
        <v>20</v>
      </c>
      <c r="D139">
        <v>3</v>
      </c>
      <c r="E139" t="str">
        <f t="shared" si="2"/>
        <v>203</v>
      </c>
      <c r="F139">
        <v>9918</v>
      </c>
      <c r="G139">
        <v>7361</v>
      </c>
    </row>
    <row r="140" spans="1:7">
      <c r="A140">
        <v>208</v>
      </c>
      <c r="B140">
        <v>0</v>
      </c>
      <c r="C140">
        <v>20</v>
      </c>
      <c r="D140">
        <v>4</v>
      </c>
      <c r="E140" t="str">
        <f t="shared" si="2"/>
        <v>204</v>
      </c>
      <c r="F140">
        <v>15557</v>
      </c>
      <c r="G140">
        <v>11074</v>
      </c>
    </row>
    <row r="141" spans="1:7">
      <c r="A141">
        <v>208</v>
      </c>
      <c r="B141">
        <v>0</v>
      </c>
      <c r="C141">
        <v>20</v>
      </c>
      <c r="D141">
        <v>5</v>
      </c>
      <c r="E141" t="str">
        <f t="shared" si="2"/>
        <v>205</v>
      </c>
      <c r="F141">
        <v>21264</v>
      </c>
      <c r="G141">
        <v>14987</v>
      </c>
    </row>
    <row r="142" spans="1:7">
      <c r="A142">
        <v>208</v>
      </c>
      <c r="B142">
        <v>0</v>
      </c>
      <c r="C142">
        <v>20</v>
      </c>
      <c r="D142">
        <v>6</v>
      </c>
      <c r="E142" t="str">
        <f t="shared" si="2"/>
        <v>206</v>
      </c>
      <c r="F142">
        <v>27025</v>
      </c>
      <c r="G142">
        <v>19007</v>
      </c>
    </row>
    <row r="143" spans="1:7">
      <c r="A143">
        <v>208</v>
      </c>
      <c r="B143">
        <v>0</v>
      </c>
      <c r="C143">
        <v>20</v>
      </c>
      <c r="D143">
        <v>7</v>
      </c>
      <c r="E143" t="str">
        <f t="shared" si="2"/>
        <v>207</v>
      </c>
      <c r="F143">
        <v>32822</v>
      </c>
      <c r="G143">
        <v>23119</v>
      </c>
    </row>
    <row r="144" spans="1:7">
      <c r="A144">
        <v>208</v>
      </c>
      <c r="B144">
        <v>0</v>
      </c>
      <c r="C144">
        <v>20</v>
      </c>
      <c r="D144">
        <v>8</v>
      </c>
      <c r="E144" t="str">
        <f t="shared" si="2"/>
        <v>208</v>
      </c>
      <c r="F144">
        <v>38638</v>
      </c>
      <c r="G144">
        <v>27319</v>
      </c>
    </row>
    <row r="145" spans="1:7">
      <c r="A145">
        <v>208</v>
      </c>
      <c r="B145">
        <v>0</v>
      </c>
      <c r="C145">
        <v>20</v>
      </c>
      <c r="D145">
        <v>9</v>
      </c>
      <c r="E145" t="str">
        <f t="shared" si="2"/>
        <v>209</v>
      </c>
      <c r="F145">
        <v>44451</v>
      </c>
      <c r="G145">
        <v>31608</v>
      </c>
    </row>
    <row r="146" spans="1:7">
      <c r="A146">
        <v>208</v>
      </c>
      <c r="B146">
        <v>0</v>
      </c>
      <c r="C146">
        <v>20</v>
      </c>
      <c r="D146">
        <v>10</v>
      </c>
      <c r="E146" t="str">
        <f t="shared" si="2"/>
        <v>2010</v>
      </c>
      <c r="F146">
        <v>50238</v>
      </c>
      <c r="G146">
        <v>35985</v>
      </c>
    </row>
    <row r="147" spans="1:7">
      <c r="A147">
        <v>208</v>
      </c>
      <c r="B147">
        <v>0</v>
      </c>
      <c r="C147">
        <v>20</v>
      </c>
      <c r="D147">
        <v>11</v>
      </c>
      <c r="E147" t="str">
        <f t="shared" si="2"/>
        <v>2011</v>
      </c>
      <c r="F147">
        <v>55974</v>
      </c>
      <c r="G147">
        <v>40452</v>
      </c>
    </row>
    <row r="148" spans="1:7">
      <c r="A148">
        <v>208</v>
      </c>
      <c r="B148">
        <v>0</v>
      </c>
      <c r="C148">
        <v>20</v>
      </c>
      <c r="D148">
        <v>12</v>
      </c>
      <c r="E148" t="str">
        <f t="shared" si="2"/>
        <v>2012</v>
      </c>
      <c r="F148">
        <v>61631</v>
      </c>
      <c r="G148">
        <v>45010</v>
      </c>
    </row>
    <row r="149" spans="1:7">
      <c r="A149">
        <v>208</v>
      </c>
      <c r="B149">
        <v>0</v>
      </c>
      <c r="C149">
        <v>20</v>
      </c>
      <c r="D149">
        <v>13</v>
      </c>
      <c r="E149" t="str">
        <f t="shared" si="2"/>
        <v>2013</v>
      </c>
      <c r="F149">
        <v>67183</v>
      </c>
      <c r="G149">
        <v>49662</v>
      </c>
    </row>
    <row r="150" spans="1:7">
      <c r="A150">
        <v>208</v>
      </c>
      <c r="B150">
        <v>0</v>
      </c>
      <c r="C150">
        <v>20</v>
      </c>
      <c r="D150">
        <v>14</v>
      </c>
      <c r="E150" t="str">
        <f t="shared" si="2"/>
        <v>2014</v>
      </c>
      <c r="F150">
        <v>72596</v>
      </c>
      <c r="G150">
        <v>55391</v>
      </c>
    </row>
    <row r="151" spans="1:7">
      <c r="A151">
        <v>208</v>
      </c>
      <c r="B151">
        <v>0</v>
      </c>
      <c r="C151">
        <v>20</v>
      </c>
      <c r="D151">
        <v>15</v>
      </c>
      <c r="E151" t="str">
        <f t="shared" si="2"/>
        <v>2015</v>
      </c>
      <c r="F151">
        <v>77840</v>
      </c>
      <c r="G151">
        <v>61382</v>
      </c>
    </row>
    <row r="152" spans="1:7">
      <c r="A152">
        <v>208</v>
      </c>
      <c r="B152">
        <v>0</v>
      </c>
      <c r="C152">
        <v>20</v>
      </c>
      <c r="D152">
        <v>16</v>
      </c>
      <c r="E152" t="str">
        <f t="shared" si="2"/>
        <v>2016</v>
      </c>
      <c r="F152">
        <v>82878</v>
      </c>
      <c r="G152">
        <v>67640</v>
      </c>
    </row>
    <row r="153" spans="1:7">
      <c r="A153">
        <v>208</v>
      </c>
      <c r="B153">
        <v>0</v>
      </c>
      <c r="C153">
        <v>20</v>
      </c>
      <c r="D153">
        <v>17</v>
      </c>
      <c r="E153" t="str">
        <f t="shared" si="2"/>
        <v>2017</v>
      </c>
      <c r="F153">
        <v>87683</v>
      </c>
      <c r="G153">
        <v>74170</v>
      </c>
    </row>
    <row r="154" spans="1:7">
      <c r="A154">
        <v>208</v>
      </c>
      <c r="B154">
        <v>0</v>
      </c>
      <c r="C154">
        <v>20</v>
      </c>
      <c r="D154">
        <v>18</v>
      </c>
      <c r="E154" t="str">
        <f t="shared" si="2"/>
        <v>2018</v>
      </c>
      <c r="F154">
        <v>92225</v>
      </c>
      <c r="G154">
        <v>80977</v>
      </c>
    </row>
    <row r="155" spans="1:7">
      <c r="A155">
        <v>208</v>
      </c>
      <c r="B155">
        <v>0</v>
      </c>
      <c r="C155">
        <v>20</v>
      </c>
      <c r="D155">
        <v>19</v>
      </c>
      <c r="E155" t="str">
        <f t="shared" si="2"/>
        <v>2019</v>
      </c>
      <c r="F155">
        <v>96344</v>
      </c>
      <c r="G155">
        <v>87953</v>
      </c>
    </row>
    <row r="156" spans="1:7">
      <c r="A156">
        <v>208</v>
      </c>
      <c r="B156">
        <v>0</v>
      </c>
      <c r="C156">
        <v>21</v>
      </c>
      <c r="D156">
        <v>1</v>
      </c>
      <c r="E156" t="str">
        <f t="shared" si="2"/>
        <v>211</v>
      </c>
      <c r="F156">
        <v>1098</v>
      </c>
      <c r="G156">
        <v>856</v>
      </c>
    </row>
    <row r="157" spans="1:7">
      <c r="A157">
        <v>208</v>
      </c>
      <c r="B157">
        <v>0</v>
      </c>
      <c r="C157">
        <v>21</v>
      </c>
      <c r="D157">
        <v>2</v>
      </c>
      <c r="E157" t="str">
        <f t="shared" si="2"/>
        <v>212</v>
      </c>
      <c r="F157">
        <v>4098</v>
      </c>
      <c r="G157">
        <v>3156</v>
      </c>
    </row>
    <row r="158" spans="1:7">
      <c r="A158">
        <v>208</v>
      </c>
      <c r="B158">
        <v>0</v>
      </c>
      <c r="C158">
        <v>21</v>
      </c>
      <c r="D158">
        <v>3</v>
      </c>
      <c r="E158" t="str">
        <f t="shared" si="2"/>
        <v>213</v>
      </c>
      <c r="F158">
        <v>9330</v>
      </c>
      <c r="G158">
        <v>6899</v>
      </c>
    </row>
    <row r="159" spans="1:7">
      <c r="A159">
        <v>208</v>
      </c>
      <c r="B159">
        <v>0</v>
      </c>
      <c r="C159">
        <v>21</v>
      </c>
      <c r="D159">
        <v>4</v>
      </c>
      <c r="E159" t="str">
        <f t="shared" si="2"/>
        <v>214</v>
      </c>
      <c r="F159">
        <v>14646</v>
      </c>
      <c r="G159">
        <v>10381</v>
      </c>
    </row>
    <row r="160" spans="1:7">
      <c r="A160">
        <v>208</v>
      </c>
      <c r="B160">
        <v>0</v>
      </c>
      <c r="C160">
        <v>21</v>
      </c>
      <c r="D160">
        <v>5</v>
      </c>
      <c r="E160" t="str">
        <f t="shared" si="2"/>
        <v>215</v>
      </c>
      <c r="F160">
        <v>20034</v>
      </c>
      <c r="G160">
        <v>14051</v>
      </c>
    </row>
    <row r="161" spans="1:7">
      <c r="A161">
        <v>208</v>
      </c>
      <c r="B161">
        <v>0</v>
      </c>
      <c r="C161">
        <v>21</v>
      </c>
      <c r="D161">
        <v>6</v>
      </c>
      <c r="E161" t="str">
        <f t="shared" si="2"/>
        <v>216</v>
      </c>
      <c r="F161">
        <v>25484</v>
      </c>
      <c r="G161">
        <v>17819</v>
      </c>
    </row>
    <row r="162" spans="1:7">
      <c r="A162">
        <v>208</v>
      </c>
      <c r="B162">
        <v>0</v>
      </c>
      <c r="C162">
        <v>21</v>
      </c>
      <c r="D162">
        <v>7</v>
      </c>
      <c r="E162" t="str">
        <f t="shared" si="2"/>
        <v>217</v>
      </c>
      <c r="F162">
        <v>30981</v>
      </c>
      <c r="G162">
        <v>21674</v>
      </c>
    </row>
    <row r="163" spans="1:7">
      <c r="A163">
        <v>208</v>
      </c>
      <c r="B163">
        <v>0</v>
      </c>
      <c r="C163">
        <v>21</v>
      </c>
      <c r="D163">
        <v>8</v>
      </c>
      <c r="E163" t="str">
        <f t="shared" si="2"/>
        <v>218</v>
      </c>
      <c r="F163">
        <v>36508</v>
      </c>
      <c r="G163">
        <v>25612</v>
      </c>
    </row>
    <row r="164" spans="1:7">
      <c r="A164">
        <v>208</v>
      </c>
      <c r="B164">
        <v>0</v>
      </c>
      <c r="C164">
        <v>21</v>
      </c>
      <c r="D164">
        <v>9</v>
      </c>
      <c r="E164" t="str">
        <f t="shared" si="2"/>
        <v>219</v>
      </c>
      <c r="F164">
        <v>42048</v>
      </c>
      <c r="G164">
        <v>29632</v>
      </c>
    </row>
    <row r="165" spans="1:7">
      <c r="A165">
        <v>208</v>
      </c>
      <c r="B165">
        <v>0</v>
      </c>
      <c r="C165">
        <v>21</v>
      </c>
      <c r="D165">
        <v>10</v>
      </c>
      <c r="E165" t="str">
        <f t="shared" si="2"/>
        <v>2110</v>
      </c>
      <c r="F165">
        <v>47580</v>
      </c>
      <c r="G165">
        <v>33736</v>
      </c>
    </row>
    <row r="166" spans="1:7">
      <c r="A166">
        <v>208</v>
      </c>
      <c r="B166">
        <v>0</v>
      </c>
      <c r="C166">
        <v>21</v>
      </c>
      <c r="D166">
        <v>11</v>
      </c>
      <c r="E166" t="str">
        <f t="shared" si="2"/>
        <v>2111</v>
      </c>
      <c r="F166">
        <v>53082</v>
      </c>
      <c r="G166">
        <v>37923</v>
      </c>
    </row>
    <row r="167" spans="1:7">
      <c r="A167">
        <v>208</v>
      </c>
      <c r="B167">
        <v>0</v>
      </c>
      <c r="C167">
        <v>21</v>
      </c>
      <c r="D167">
        <v>12</v>
      </c>
      <c r="E167" t="str">
        <f t="shared" si="2"/>
        <v>2112</v>
      </c>
      <c r="F167">
        <v>58529</v>
      </c>
      <c r="G167">
        <v>42197</v>
      </c>
    </row>
    <row r="168" spans="1:7">
      <c r="A168">
        <v>208</v>
      </c>
      <c r="B168">
        <v>0</v>
      </c>
      <c r="C168">
        <v>21</v>
      </c>
      <c r="D168">
        <v>13</v>
      </c>
      <c r="E168" t="str">
        <f t="shared" si="2"/>
        <v>2113</v>
      </c>
      <c r="F168">
        <v>63895</v>
      </c>
      <c r="G168">
        <v>46557</v>
      </c>
    </row>
    <row r="169" spans="1:7">
      <c r="A169">
        <v>208</v>
      </c>
      <c r="B169">
        <v>0</v>
      </c>
      <c r="C169">
        <v>21</v>
      </c>
      <c r="D169">
        <v>14</v>
      </c>
      <c r="E169" t="str">
        <f t="shared" si="2"/>
        <v>2114</v>
      </c>
      <c r="F169">
        <v>69154</v>
      </c>
      <c r="G169">
        <v>51007</v>
      </c>
    </row>
    <row r="170" spans="1:7">
      <c r="A170">
        <v>208</v>
      </c>
      <c r="B170">
        <v>0</v>
      </c>
      <c r="C170">
        <v>21</v>
      </c>
      <c r="D170">
        <v>15</v>
      </c>
      <c r="E170" t="str">
        <f t="shared" si="2"/>
        <v>2115</v>
      </c>
      <c r="F170">
        <v>74274</v>
      </c>
      <c r="G170">
        <v>56566</v>
      </c>
    </row>
    <row r="171" spans="1:7">
      <c r="A171">
        <v>208</v>
      </c>
      <c r="B171">
        <v>0</v>
      </c>
      <c r="C171">
        <v>21</v>
      </c>
      <c r="D171">
        <v>16</v>
      </c>
      <c r="E171" t="str">
        <f t="shared" si="2"/>
        <v>2116</v>
      </c>
      <c r="F171">
        <v>79224</v>
      </c>
      <c r="G171">
        <v>62379</v>
      </c>
    </row>
    <row r="172" spans="1:7">
      <c r="A172">
        <v>208</v>
      </c>
      <c r="B172">
        <v>0</v>
      </c>
      <c r="C172">
        <v>21</v>
      </c>
      <c r="D172">
        <v>17</v>
      </c>
      <c r="E172" t="str">
        <f t="shared" si="2"/>
        <v>2117</v>
      </c>
      <c r="F172">
        <v>83973</v>
      </c>
      <c r="G172">
        <v>68450</v>
      </c>
    </row>
    <row r="173" spans="1:7">
      <c r="A173">
        <v>208</v>
      </c>
      <c r="B173">
        <v>0</v>
      </c>
      <c r="C173">
        <v>21</v>
      </c>
      <c r="D173">
        <v>18</v>
      </c>
      <c r="E173" t="str">
        <f t="shared" si="2"/>
        <v>2118</v>
      </c>
      <c r="F173">
        <v>88491</v>
      </c>
      <c r="G173">
        <v>74785</v>
      </c>
    </row>
    <row r="174" spans="1:7">
      <c r="A174">
        <v>208</v>
      </c>
      <c r="B174">
        <v>0</v>
      </c>
      <c r="C174">
        <v>21</v>
      </c>
      <c r="D174">
        <v>19</v>
      </c>
      <c r="E174" t="str">
        <f t="shared" si="2"/>
        <v>2119</v>
      </c>
      <c r="F174">
        <v>92751</v>
      </c>
      <c r="G174">
        <v>81389</v>
      </c>
    </row>
    <row r="175" spans="1:7">
      <c r="A175">
        <v>208</v>
      </c>
      <c r="B175">
        <v>0</v>
      </c>
      <c r="C175">
        <v>21</v>
      </c>
      <c r="D175">
        <v>20</v>
      </c>
      <c r="E175" t="str">
        <f t="shared" si="2"/>
        <v>2120</v>
      </c>
      <c r="F175">
        <v>96600</v>
      </c>
      <c r="G175">
        <v>88158</v>
      </c>
    </row>
    <row r="176" spans="1:7">
      <c r="A176">
        <v>208</v>
      </c>
      <c r="B176">
        <v>0</v>
      </c>
      <c r="C176">
        <v>22</v>
      </c>
      <c r="D176">
        <v>1</v>
      </c>
      <c r="E176" t="str">
        <f t="shared" si="2"/>
        <v>221</v>
      </c>
      <c r="F176">
        <v>1032</v>
      </c>
      <c r="G176">
        <v>804</v>
      </c>
    </row>
    <row r="177" spans="1:7">
      <c r="A177">
        <v>208</v>
      </c>
      <c r="B177">
        <v>0</v>
      </c>
      <c r="C177">
        <v>22</v>
      </c>
      <c r="D177">
        <v>2</v>
      </c>
      <c r="E177" t="str">
        <f t="shared" si="2"/>
        <v>222</v>
      </c>
      <c r="F177">
        <v>3860</v>
      </c>
      <c r="G177">
        <v>2969</v>
      </c>
    </row>
    <row r="178" spans="1:7">
      <c r="A178">
        <v>208</v>
      </c>
      <c r="B178">
        <v>0</v>
      </c>
      <c r="C178">
        <v>22</v>
      </c>
      <c r="D178">
        <v>3</v>
      </c>
      <c r="E178" t="str">
        <f t="shared" si="2"/>
        <v>223</v>
      </c>
      <c r="F178">
        <v>8794</v>
      </c>
      <c r="G178">
        <v>6483</v>
      </c>
    </row>
    <row r="179" spans="1:7">
      <c r="A179">
        <v>208</v>
      </c>
      <c r="B179">
        <v>0</v>
      </c>
      <c r="C179">
        <v>22</v>
      </c>
      <c r="D179">
        <v>4</v>
      </c>
      <c r="E179" t="str">
        <f t="shared" si="2"/>
        <v>224</v>
      </c>
      <c r="F179">
        <v>13813</v>
      </c>
      <c r="G179">
        <v>9756</v>
      </c>
    </row>
    <row r="180" spans="1:7">
      <c r="A180">
        <v>208</v>
      </c>
      <c r="B180">
        <v>0</v>
      </c>
      <c r="C180">
        <v>22</v>
      </c>
      <c r="D180">
        <v>5</v>
      </c>
      <c r="E180" t="str">
        <f t="shared" si="2"/>
        <v>225</v>
      </c>
      <c r="F180">
        <v>18909</v>
      </c>
      <c r="G180">
        <v>13205</v>
      </c>
    </row>
    <row r="181" spans="1:7">
      <c r="A181">
        <v>208</v>
      </c>
      <c r="B181">
        <v>0</v>
      </c>
      <c r="C181">
        <v>22</v>
      </c>
      <c r="D181">
        <v>6</v>
      </c>
      <c r="E181" t="str">
        <f t="shared" si="2"/>
        <v>226</v>
      </c>
      <c r="F181">
        <v>24071</v>
      </c>
      <c r="G181">
        <v>16748</v>
      </c>
    </row>
    <row r="182" spans="1:7">
      <c r="A182">
        <v>208</v>
      </c>
      <c r="B182">
        <v>0</v>
      </c>
      <c r="C182">
        <v>22</v>
      </c>
      <c r="D182">
        <v>7</v>
      </c>
      <c r="E182" t="str">
        <f t="shared" si="2"/>
        <v>227</v>
      </c>
      <c r="F182">
        <v>29289</v>
      </c>
      <c r="G182">
        <v>20371</v>
      </c>
    </row>
    <row r="183" spans="1:7">
      <c r="A183">
        <v>208</v>
      </c>
      <c r="B183">
        <v>0</v>
      </c>
      <c r="C183">
        <v>22</v>
      </c>
      <c r="D183">
        <v>8</v>
      </c>
      <c r="E183" t="str">
        <f t="shared" si="2"/>
        <v>228</v>
      </c>
      <c r="F183">
        <v>34547</v>
      </c>
      <c r="G183">
        <v>24072</v>
      </c>
    </row>
    <row r="184" spans="1:7">
      <c r="A184">
        <v>208</v>
      </c>
      <c r="B184">
        <v>0</v>
      </c>
      <c r="C184">
        <v>22</v>
      </c>
      <c r="D184">
        <v>9</v>
      </c>
      <c r="E184" t="str">
        <f t="shared" si="2"/>
        <v>229</v>
      </c>
      <c r="F184">
        <v>39831</v>
      </c>
      <c r="G184">
        <v>27851</v>
      </c>
    </row>
    <row r="185" spans="1:7">
      <c r="A185">
        <v>208</v>
      </c>
      <c r="B185">
        <v>0</v>
      </c>
      <c r="C185">
        <v>22</v>
      </c>
      <c r="D185">
        <v>10</v>
      </c>
      <c r="E185" t="str">
        <f t="shared" si="2"/>
        <v>2210</v>
      </c>
      <c r="F185">
        <v>45121</v>
      </c>
      <c r="G185">
        <v>31707</v>
      </c>
    </row>
    <row r="186" spans="1:7">
      <c r="A186">
        <v>208</v>
      </c>
      <c r="B186">
        <v>0</v>
      </c>
      <c r="C186">
        <v>22</v>
      </c>
      <c r="D186">
        <v>11</v>
      </c>
      <c r="E186" t="str">
        <f t="shared" si="2"/>
        <v>2211</v>
      </c>
      <c r="F186">
        <v>50400</v>
      </c>
      <c r="G186">
        <v>35643</v>
      </c>
    </row>
    <row r="187" spans="1:7">
      <c r="A187">
        <v>208</v>
      </c>
      <c r="B187">
        <v>0</v>
      </c>
      <c r="C187">
        <v>22</v>
      </c>
      <c r="D187">
        <v>12</v>
      </c>
      <c r="E187" t="str">
        <f t="shared" si="2"/>
        <v>2212</v>
      </c>
      <c r="F187">
        <v>55645</v>
      </c>
      <c r="G187">
        <v>39660</v>
      </c>
    </row>
    <row r="188" spans="1:7">
      <c r="A188">
        <v>208</v>
      </c>
      <c r="B188">
        <v>0</v>
      </c>
      <c r="C188">
        <v>22</v>
      </c>
      <c r="D188">
        <v>13</v>
      </c>
      <c r="E188" t="str">
        <f t="shared" si="2"/>
        <v>2213</v>
      </c>
      <c r="F188">
        <v>60832</v>
      </c>
      <c r="G188">
        <v>43758</v>
      </c>
    </row>
    <row r="189" spans="1:7">
      <c r="A189">
        <v>208</v>
      </c>
      <c r="B189">
        <v>0</v>
      </c>
      <c r="C189">
        <v>22</v>
      </c>
      <c r="D189">
        <v>14</v>
      </c>
      <c r="E189" t="str">
        <f t="shared" si="2"/>
        <v>2214</v>
      </c>
      <c r="F189">
        <v>65935</v>
      </c>
      <c r="G189">
        <v>47939</v>
      </c>
    </row>
    <row r="190" spans="1:7">
      <c r="A190">
        <v>208</v>
      </c>
      <c r="B190">
        <v>0</v>
      </c>
      <c r="C190">
        <v>22</v>
      </c>
      <c r="D190">
        <v>15</v>
      </c>
      <c r="E190" t="str">
        <f t="shared" si="2"/>
        <v>2215</v>
      </c>
      <c r="F190">
        <v>70929</v>
      </c>
      <c r="G190">
        <v>52206</v>
      </c>
    </row>
    <row r="191" spans="1:7">
      <c r="A191">
        <v>208</v>
      </c>
      <c r="B191">
        <v>0</v>
      </c>
      <c r="C191">
        <v>22</v>
      </c>
      <c r="D191">
        <v>16</v>
      </c>
      <c r="E191" t="str">
        <f t="shared" si="2"/>
        <v>2216</v>
      </c>
      <c r="F191">
        <v>75785</v>
      </c>
      <c r="G191">
        <v>57614</v>
      </c>
    </row>
    <row r="192" spans="1:7">
      <c r="A192">
        <v>208</v>
      </c>
      <c r="B192">
        <v>0</v>
      </c>
      <c r="C192">
        <v>22</v>
      </c>
      <c r="D192">
        <v>17</v>
      </c>
      <c r="E192" t="str">
        <f t="shared" si="2"/>
        <v>2217</v>
      </c>
      <c r="F192">
        <v>80472</v>
      </c>
      <c r="G192">
        <v>63268</v>
      </c>
    </row>
    <row r="193" spans="1:7">
      <c r="A193">
        <v>208</v>
      </c>
      <c r="B193">
        <v>0</v>
      </c>
      <c r="C193">
        <v>22</v>
      </c>
      <c r="D193">
        <v>18</v>
      </c>
      <c r="E193" t="str">
        <f t="shared" si="2"/>
        <v>2218</v>
      </c>
      <c r="F193">
        <v>84958</v>
      </c>
      <c r="G193">
        <v>69173</v>
      </c>
    </row>
    <row r="194" spans="1:7">
      <c r="A194">
        <v>208</v>
      </c>
      <c r="B194">
        <v>0</v>
      </c>
      <c r="C194">
        <v>22</v>
      </c>
      <c r="D194">
        <v>19</v>
      </c>
      <c r="E194" t="str">
        <f t="shared" si="2"/>
        <v>2219</v>
      </c>
      <c r="F194">
        <v>89218</v>
      </c>
      <c r="G194">
        <v>75335</v>
      </c>
    </row>
    <row r="195" spans="1:7">
      <c r="A195">
        <v>208</v>
      </c>
      <c r="B195">
        <v>0</v>
      </c>
      <c r="C195">
        <v>22</v>
      </c>
      <c r="D195">
        <v>20</v>
      </c>
      <c r="E195" t="str">
        <f t="shared" ref="E195:E258" si="3">CONCATENATE(C195,D195)</f>
        <v>2220</v>
      </c>
      <c r="F195">
        <v>93224</v>
      </c>
      <c r="G195">
        <v>81757</v>
      </c>
    </row>
    <row r="196" spans="1:7">
      <c r="A196">
        <v>208</v>
      </c>
      <c r="B196">
        <v>0</v>
      </c>
      <c r="C196">
        <v>22</v>
      </c>
      <c r="D196">
        <v>21</v>
      </c>
      <c r="E196" t="str">
        <f t="shared" si="3"/>
        <v>2221</v>
      </c>
      <c r="F196">
        <v>96831</v>
      </c>
      <c r="G196">
        <v>88342</v>
      </c>
    </row>
    <row r="197" spans="1:7">
      <c r="A197">
        <v>208</v>
      </c>
      <c r="B197">
        <v>0</v>
      </c>
      <c r="C197">
        <v>23</v>
      </c>
      <c r="D197">
        <v>1</v>
      </c>
      <c r="E197" t="str">
        <f t="shared" si="3"/>
        <v>231</v>
      </c>
      <c r="F197">
        <v>971</v>
      </c>
      <c r="G197">
        <v>758</v>
      </c>
    </row>
    <row r="198" spans="1:7">
      <c r="A198">
        <v>208</v>
      </c>
      <c r="B198">
        <v>0</v>
      </c>
      <c r="C198">
        <v>23</v>
      </c>
      <c r="D198">
        <v>2</v>
      </c>
      <c r="E198" t="str">
        <f t="shared" si="3"/>
        <v>232</v>
      </c>
      <c r="F198">
        <v>3641</v>
      </c>
      <c r="G198">
        <v>2800</v>
      </c>
    </row>
    <row r="199" spans="1:7">
      <c r="A199">
        <v>208</v>
      </c>
      <c r="B199">
        <v>0</v>
      </c>
      <c r="C199">
        <v>23</v>
      </c>
      <c r="D199">
        <v>3</v>
      </c>
      <c r="E199" t="str">
        <f t="shared" si="3"/>
        <v>233</v>
      </c>
      <c r="F199">
        <v>8303</v>
      </c>
      <c r="G199">
        <v>6106</v>
      </c>
    </row>
    <row r="200" spans="1:7">
      <c r="A200">
        <v>208</v>
      </c>
      <c r="B200">
        <v>0</v>
      </c>
      <c r="C200">
        <v>23</v>
      </c>
      <c r="D200">
        <v>4</v>
      </c>
      <c r="E200" t="str">
        <f t="shared" si="3"/>
        <v>234</v>
      </c>
      <c r="F200">
        <v>13050</v>
      </c>
      <c r="G200">
        <v>9190</v>
      </c>
    </row>
    <row r="201" spans="1:7">
      <c r="A201">
        <v>208</v>
      </c>
      <c r="B201">
        <v>0</v>
      </c>
      <c r="C201">
        <v>23</v>
      </c>
      <c r="D201">
        <v>5</v>
      </c>
      <c r="E201" t="str">
        <f t="shared" si="3"/>
        <v>235</v>
      </c>
      <c r="F201">
        <v>17875</v>
      </c>
      <c r="G201">
        <v>12440</v>
      </c>
    </row>
    <row r="202" spans="1:7">
      <c r="A202">
        <v>208</v>
      </c>
      <c r="B202">
        <v>0</v>
      </c>
      <c r="C202">
        <v>23</v>
      </c>
      <c r="D202">
        <v>6</v>
      </c>
      <c r="E202" t="str">
        <f t="shared" si="3"/>
        <v>236</v>
      </c>
      <c r="F202">
        <v>22771</v>
      </c>
      <c r="G202">
        <v>15777</v>
      </c>
    </row>
    <row r="203" spans="1:7">
      <c r="A203">
        <v>208</v>
      </c>
      <c r="B203">
        <v>0</v>
      </c>
      <c r="C203">
        <v>23</v>
      </c>
      <c r="D203">
        <v>7</v>
      </c>
      <c r="E203" t="str">
        <f t="shared" si="3"/>
        <v>237</v>
      </c>
      <c r="F203">
        <v>27728</v>
      </c>
      <c r="G203">
        <v>19190</v>
      </c>
    </row>
    <row r="204" spans="1:7">
      <c r="A204">
        <v>208</v>
      </c>
      <c r="B204">
        <v>0</v>
      </c>
      <c r="C204">
        <v>23</v>
      </c>
      <c r="D204">
        <v>8</v>
      </c>
      <c r="E204" t="str">
        <f t="shared" si="3"/>
        <v>238</v>
      </c>
      <c r="F204">
        <v>32735</v>
      </c>
      <c r="G204">
        <v>22677</v>
      </c>
    </row>
    <row r="205" spans="1:7">
      <c r="A205">
        <v>208</v>
      </c>
      <c r="B205">
        <v>0</v>
      </c>
      <c r="C205">
        <v>23</v>
      </c>
      <c r="D205">
        <v>9</v>
      </c>
      <c r="E205" t="str">
        <f t="shared" si="3"/>
        <v>239</v>
      </c>
      <c r="F205">
        <v>37778</v>
      </c>
      <c r="G205">
        <v>26237</v>
      </c>
    </row>
    <row r="206" spans="1:7">
      <c r="A206">
        <v>208</v>
      </c>
      <c r="B206">
        <v>0</v>
      </c>
      <c r="C206">
        <v>23</v>
      </c>
      <c r="D206">
        <v>10</v>
      </c>
      <c r="E206" t="str">
        <f t="shared" si="3"/>
        <v>2310</v>
      </c>
      <c r="F206">
        <v>42840</v>
      </c>
      <c r="G206">
        <v>29870</v>
      </c>
    </row>
    <row r="207" spans="1:7">
      <c r="A207">
        <v>208</v>
      </c>
      <c r="B207">
        <v>0</v>
      </c>
      <c r="C207">
        <v>23</v>
      </c>
      <c r="D207">
        <v>11</v>
      </c>
      <c r="E207" t="str">
        <f t="shared" si="3"/>
        <v>2311</v>
      </c>
      <c r="F207">
        <v>47905</v>
      </c>
      <c r="G207">
        <v>33578</v>
      </c>
    </row>
    <row r="208" spans="1:7">
      <c r="A208">
        <v>208</v>
      </c>
      <c r="B208">
        <v>0</v>
      </c>
      <c r="C208">
        <v>23</v>
      </c>
      <c r="D208">
        <v>12</v>
      </c>
      <c r="E208" t="str">
        <f t="shared" si="3"/>
        <v>2312</v>
      </c>
      <c r="F208">
        <v>52954</v>
      </c>
      <c r="G208">
        <v>37361</v>
      </c>
    </row>
    <row r="209" spans="1:7">
      <c r="A209">
        <v>208</v>
      </c>
      <c r="B209">
        <v>0</v>
      </c>
      <c r="C209">
        <v>23</v>
      </c>
      <c r="D209">
        <v>13</v>
      </c>
      <c r="E209" t="str">
        <f t="shared" si="3"/>
        <v>2313</v>
      </c>
      <c r="F209">
        <v>57966</v>
      </c>
      <c r="G209">
        <v>41222</v>
      </c>
    </row>
    <row r="210" spans="1:7">
      <c r="A210">
        <v>208</v>
      </c>
      <c r="B210">
        <v>0</v>
      </c>
      <c r="C210">
        <v>23</v>
      </c>
      <c r="D210">
        <v>14</v>
      </c>
      <c r="E210" t="str">
        <f t="shared" si="3"/>
        <v>2314</v>
      </c>
      <c r="F210">
        <v>62917</v>
      </c>
      <c r="G210">
        <v>45161</v>
      </c>
    </row>
    <row r="211" spans="1:7">
      <c r="A211">
        <v>208</v>
      </c>
      <c r="B211">
        <v>0</v>
      </c>
      <c r="C211">
        <v>23</v>
      </c>
      <c r="D211">
        <v>15</v>
      </c>
      <c r="E211" t="str">
        <f t="shared" si="3"/>
        <v>2315</v>
      </c>
      <c r="F211">
        <v>67782</v>
      </c>
      <c r="G211">
        <v>49180</v>
      </c>
    </row>
    <row r="212" spans="1:7">
      <c r="A212">
        <v>208</v>
      </c>
      <c r="B212">
        <v>0</v>
      </c>
      <c r="C212">
        <v>23</v>
      </c>
      <c r="D212">
        <v>16</v>
      </c>
      <c r="E212" t="str">
        <f t="shared" si="3"/>
        <v>2316</v>
      </c>
      <c r="F212">
        <v>72537</v>
      </c>
      <c r="G212">
        <v>54171</v>
      </c>
    </row>
    <row r="213" spans="1:7">
      <c r="A213">
        <v>208</v>
      </c>
      <c r="B213">
        <v>0</v>
      </c>
      <c r="C213">
        <v>23</v>
      </c>
      <c r="D213">
        <v>17</v>
      </c>
      <c r="E213" t="str">
        <f t="shared" si="3"/>
        <v>2317</v>
      </c>
      <c r="F213">
        <v>77153</v>
      </c>
      <c r="G213">
        <v>59378</v>
      </c>
    </row>
    <row r="214" spans="1:7">
      <c r="A214">
        <v>208</v>
      </c>
      <c r="B214">
        <v>0</v>
      </c>
      <c r="C214">
        <v>23</v>
      </c>
      <c r="D214">
        <v>18</v>
      </c>
      <c r="E214" t="str">
        <f t="shared" si="3"/>
        <v>2318</v>
      </c>
      <c r="F214">
        <v>81601</v>
      </c>
      <c r="G214">
        <v>64806</v>
      </c>
    </row>
    <row r="215" spans="1:7">
      <c r="A215">
        <v>208</v>
      </c>
      <c r="B215">
        <v>0</v>
      </c>
      <c r="C215">
        <v>23</v>
      </c>
      <c r="D215">
        <v>19</v>
      </c>
      <c r="E215" t="str">
        <f t="shared" si="3"/>
        <v>2319</v>
      </c>
      <c r="F215">
        <v>85850</v>
      </c>
      <c r="G215">
        <v>70459</v>
      </c>
    </row>
    <row r="216" spans="1:7">
      <c r="A216">
        <v>208</v>
      </c>
      <c r="B216">
        <v>0</v>
      </c>
      <c r="C216">
        <v>23</v>
      </c>
      <c r="D216">
        <v>20</v>
      </c>
      <c r="E216" t="str">
        <f t="shared" si="3"/>
        <v>2320</v>
      </c>
      <c r="F216">
        <v>89876</v>
      </c>
      <c r="G216">
        <v>76340</v>
      </c>
    </row>
    <row r="217" spans="1:7">
      <c r="A217">
        <v>208</v>
      </c>
      <c r="B217">
        <v>0</v>
      </c>
      <c r="C217">
        <v>23</v>
      </c>
      <c r="D217">
        <v>21</v>
      </c>
      <c r="E217" t="str">
        <f t="shared" si="3"/>
        <v>2321</v>
      </c>
      <c r="F217">
        <v>93652</v>
      </c>
      <c r="G217">
        <v>82455</v>
      </c>
    </row>
    <row r="218" spans="1:7">
      <c r="A218">
        <v>208</v>
      </c>
      <c r="B218">
        <v>0</v>
      </c>
      <c r="C218">
        <v>23</v>
      </c>
      <c r="D218">
        <v>22</v>
      </c>
      <c r="E218" t="str">
        <f t="shared" si="3"/>
        <v>2322</v>
      </c>
      <c r="F218">
        <v>97039</v>
      </c>
      <c r="G218">
        <v>88708</v>
      </c>
    </row>
    <row r="219" spans="1:7">
      <c r="A219">
        <v>208</v>
      </c>
      <c r="B219">
        <v>0</v>
      </c>
      <c r="C219">
        <v>24</v>
      </c>
      <c r="D219">
        <v>1</v>
      </c>
      <c r="E219" t="str">
        <f t="shared" si="3"/>
        <v>241</v>
      </c>
      <c r="F219">
        <v>915</v>
      </c>
      <c r="G219">
        <v>715</v>
      </c>
    </row>
    <row r="220" spans="1:7">
      <c r="A220">
        <v>208</v>
      </c>
      <c r="B220">
        <v>0</v>
      </c>
      <c r="C220">
        <v>24</v>
      </c>
      <c r="D220">
        <v>2</v>
      </c>
      <c r="E220" t="str">
        <f t="shared" si="3"/>
        <v>242</v>
      </c>
      <c r="F220">
        <v>3440</v>
      </c>
      <c r="G220">
        <v>2646</v>
      </c>
    </row>
    <row r="221" spans="1:7">
      <c r="A221">
        <v>208</v>
      </c>
      <c r="B221">
        <v>0</v>
      </c>
      <c r="C221">
        <v>24</v>
      </c>
      <c r="D221">
        <v>3</v>
      </c>
      <c r="E221" t="str">
        <f t="shared" si="3"/>
        <v>243</v>
      </c>
      <c r="F221">
        <v>7850</v>
      </c>
      <c r="G221">
        <v>5763</v>
      </c>
    </row>
    <row r="222" spans="1:7">
      <c r="A222">
        <v>208</v>
      </c>
      <c r="B222">
        <v>0</v>
      </c>
      <c r="C222">
        <v>24</v>
      </c>
      <c r="D222">
        <v>4</v>
      </c>
      <c r="E222" t="str">
        <f t="shared" si="3"/>
        <v>244</v>
      </c>
      <c r="F222">
        <v>12346</v>
      </c>
      <c r="G222">
        <v>8676</v>
      </c>
    </row>
    <row r="223" spans="1:7">
      <c r="A223">
        <v>208</v>
      </c>
      <c r="B223">
        <v>0</v>
      </c>
      <c r="C223">
        <v>24</v>
      </c>
      <c r="D223">
        <v>5</v>
      </c>
      <c r="E223" t="str">
        <f t="shared" si="3"/>
        <v>245</v>
      </c>
      <c r="F223">
        <v>16923</v>
      </c>
      <c r="G223">
        <v>11743</v>
      </c>
    </row>
    <row r="224" spans="1:7">
      <c r="A224">
        <v>208</v>
      </c>
      <c r="B224">
        <v>0</v>
      </c>
      <c r="C224">
        <v>24</v>
      </c>
      <c r="D224">
        <v>6</v>
      </c>
      <c r="E224" t="str">
        <f t="shared" si="3"/>
        <v>246</v>
      </c>
      <c r="F224">
        <v>21572</v>
      </c>
      <c r="G224">
        <v>14893</v>
      </c>
    </row>
    <row r="225" spans="1:7">
      <c r="A225">
        <v>208</v>
      </c>
      <c r="B225">
        <v>0</v>
      </c>
      <c r="C225">
        <v>24</v>
      </c>
      <c r="D225">
        <v>7</v>
      </c>
      <c r="E225" t="str">
        <f t="shared" si="3"/>
        <v>247</v>
      </c>
      <c r="F225">
        <v>26286</v>
      </c>
      <c r="G225">
        <v>18116</v>
      </c>
    </row>
    <row r="226" spans="1:7">
      <c r="A226">
        <v>208</v>
      </c>
      <c r="B226">
        <v>0</v>
      </c>
      <c r="C226">
        <v>24</v>
      </c>
      <c r="D226">
        <v>8</v>
      </c>
      <c r="E226" t="str">
        <f t="shared" si="3"/>
        <v>248</v>
      </c>
      <c r="F226">
        <v>31056</v>
      </c>
      <c r="G226">
        <v>21408</v>
      </c>
    </row>
    <row r="227" spans="1:7">
      <c r="A227">
        <v>208</v>
      </c>
      <c r="B227">
        <v>0</v>
      </c>
      <c r="C227">
        <v>24</v>
      </c>
      <c r="D227">
        <v>9</v>
      </c>
      <c r="E227" t="str">
        <f t="shared" si="3"/>
        <v>249</v>
      </c>
      <c r="F227">
        <v>35871</v>
      </c>
      <c r="G227">
        <v>24768</v>
      </c>
    </row>
    <row r="228" spans="1:7">
      <c r="A228">
        <v>208</v>
      </c>
      <c r="B228">
        <v>0</v>
      </c>
      <c r="C228">
        <v>24</v>
      </c>
      <c r="D228">
        <v>10</v>
      </c>
      <c r="E228" t="str">
        <f t="shared" si="3"/>
        <v>2410</v>
      </c>
      <c r="F228">
        <v>40717</v>
      </c>
      <c r="G228">
        <v>28198</v>
      </c>
    </row>
    <row r="229" spans="1:7">
      <c r="A229">
        <v>208</v>
      </c>
      <c r="B229">
        <v>0</v>
      </c>
      <c r="C229">
        <v>24</v>
      </c>
      <c r="D229">
        <v>11</v>
      </c>
      <c r="E229" t="str">
        <f t="shared" si="3"/>
        <v>2411</v>
      </c>
      <c r="F229">
        <v>45578</v>
      </c>
      <c r="G229">
        <v>31698</v>
      </c>
    </row>
    <row r="230" spans="1:7">
      <c r="A230">
        <v>208</v>
      </c>
      <c r="B230">
        <v>0</v>
      </c>
      <c r="C230">
        <v>24</v>
      </c>
      <c r="D230">
        <v>12</v>
      </c>
      <c r="E230" t="str">
        <f t="shared" si="3"/>
        <v>2412</v>
      </c>
      <c r="F230">
        <v>50437</v>
      </c>
      <c r="G230">
        <v>35269</v>
      </c>
    </row>
    <row r="231" spans="1:7">
      <c r="A231">
        <v>208</v>
      </c>
      <c r="B231">
        <v>0</v>
      </c>
      <c r="C231">
        <v>24</v>
      </c>
      <c r="D231">
        <v>13</v>
      </c>
      <c r="E231" t="str">
        <f t="shared" si="3"/>
        <v>2413</v>
      </c>
      <c r="F231">
        <v>55277</v>
      </c>
      <c r="G231">
        <v>38914</v>
      </c>
    </row>
    <row r="232" spans="1:7">
      <c r="A232">
        <v>208</v>
      </c>
      <c r="B232">
        <v>0</v>
      </c>
      <c r="C232">
        <v>24</v>
      </c>
      <c r="D232">
        <v>14</v>
      </c>
      <c r="E232" t="str">
        <f t="shared" si="3"/>
        <v>2414</v>
      </c>
      <c r="F232">
        <v>60077</v>
      </c>
      <c r="G232">
        <v>42632</v>
      </c>
    </row>
    <row r="233" spans="1:7">
      <c r="A233">
        <v>208</v>
      </c>
      <c r="B233">
        <v>0</v>
      </c>
      <c r="C233">
        <v>24</v>
      </c>
      <c r="D233">
        <v>15</v>
      </c>
      <c r="E233" t="str">
        <f t="shared" si="3"/>
        <v>2415</v>
      </c>
      <c r="F233">
        <v>64813</v>
      </c>
      <c r="G233">
        <v>46426</v>
      </c>
    </row>
    <row r="234" spans="1:7">
      <c r="A234">
        <v>208</v>
      </c>
      <c r="B234">
        <v>0</v>
      </c>
      <c r="C234">
        <v>24</v>
      </c>
      <c r="D234">
        <v>16</v>
      </c>
      <c r="E234" t="str">
        <f t="shared" si="3"/>
        <v>2416</v>
      </c>
      <c r="F234">
        <v>69461</v>
      </c>
      <c r="G234">
        <v>50296</v>
      </c>
    </row>
    <row r="235" spans="1:7">
      <c r="A235">
        <v>208</v>
      </c>
      <c r="B235">
        <v>0</v>
      </c>
      <c r="C235">
        <v>24</v>
      </c>
      <c r="D235">
        <v>17</v>
      </c>
      <c r="E235" t="str">
        <f t="shared" si="3"/>
        <v>2417</v>
      </c>
      <c r="F235">
        <v>73998</v>
      </c>
      <c r="G235">
        <v>55166</v>
      </c>
    </row>
    <row r="236" spans="1:7">
      <c r="A236">
        <v>208</v>
      </c>
      <c r="B236">
        <v>0</v>
      </c>
      <c r="C236">
        <v>24</v>
      </c>
      <c r="D236">
        <v>18</v>
      </c>
      <c r="E236" t="str">
        <f t="shared" si="3"/>
        <v>2418</v>
      </c>
      <c r="F236">
        <v>78396</v>
      </c>
      <c r="G236">
        <v>60246</v>
      </c>
    </row>
    <row r="237" spans="1:7">
      <c r="A237">
        <v>208</v>
      </c>
      <c r="B237">
        <v>0</v>
      </c>
      <c r="C237">
        <v>24</v>
      </c>
      <c r="D237">
        <v>19</v>
      </c>
      <c r="E237" t="str">
        <f t="shared" si="3"/>
        <v>2419</v>
      </c>
      <c r="F237">
        <v>82627</v>
      </c>
      <c r="G237">
        <v>65542</v>
      </c>
    </row>
    <row r="238" spans="1:7">
      <c r="A238">
        <v>208</v>
      </c>
      <c r="B238">
        <v>0</v>
      </c>
      <c r="C238">
        <v>24</v>
      </c>
      <c r="D238">
        <v>20</v>
      </c>
      <c r="E238" t="str">
        <f t="shared" si="3"/>
        <v>2420</v>
      </c>
      <c r="F238">
        <v>86661</v>
      </c>
      <c r="G238">
        <v>71056</v>
      </c>
    </row>
    <row r="239" spans="1:7">
      <c r="A239">
        <v>208</v>
      </c>
      <c r="B239">
        <v>0</v>
      </c>
      <c r="C239">
        <v>24</v>
      </c>
      <c r="D239">
        <v>21</v>
      </c>
      <c r="E239" t="str">
        <f t="shared" si="3"/>
        <v>2421</v>
      </c>
      <c r="F239">
        <v>90474</v>
      </c>
      <c r="G239">
        <v>76793</v>
      </c>
    </row>
    <row r="240" spans="1:7">
      <c r="A240">
        <v>208</v>
      </c>
      <c r="B240">
        <v>0</v>
      </c>
      <c r="C240">
        <v>24</v>
      </c>
      <c r="D240">
        <v>22</v>
      </c>
      <c r="E240" t="str">
        <f t="shared" si="3"/>
        <v>2422</v>
      </c>
      <c r="F240">
        <v>94042</v>
      </c>
      <c r="G240">
        <v>82759</v>
      </c>
    </row>
    <row r="241" spans="1:7">
      <c r="A241">
        <v>208</v>
      </c>
      <c r="B241">
        <v>0</v>
      </c>
      <c r="C241">
        <v>24</v>
      </c>
      <c r="D241">
        <v>23</v>
      </c>
      <c r="E241" t="str">
        <f t="shared" si="3"/>
        <v>2423</v>
      </c>
      <c r="F241">
        <v>97229</v>
      </c>
      <c r="G241">
        <v>88860</v>
      </c>
    </row>
    <row r="242" spans="1:7">
      <c r="A242">
        <v>208</v>
      </c>
      <c r="B242">
        <v>0</v>
      </c>
      <c r="C242">
        <v>25</v>
      </c>
      <c r="D242">
        <v>1</v>
      </c>
      <c r="E242" t="str">
        <f t="shared" si="3"/>
        <v>251</v>
      </c>
      <c r="F242">
        <v>864</v>
      </c>
      <c r="G242">
        <v>677</v>
      </c>
    </row>
    <row r="243" spans="1:7">
      <c r="A243">
        <v>208</v>
      </c>
      <c r="B243">
        <v>0</v>
      </c>
      <c r="C243">
        <v>25</v>
      </c>
      <c r="D243">
        <v>2</v>
      </c>
      <c r="E243" t="str">
        <f t="shared" si="3"/>
        <v>252</v>
      </c>
      <c r="F243">
        <v>3255</v>
      </c>
      <c r="G243">
        <v>2505</v>
      </c>
    </row>
    <row r="244" spans="1:7">
      <c r="A244">
        <v>208</v>
      </c>
      <c r="B244">
        <v>0</v>
      </c>
      <c r="C244">
        <v>25</v>
      </c>
      <c r="D244">
        <v>3</v>
      </c>
      <c r="E244" t="str">
        <f t="shared" si="3"/>
        <v>253</v>
      </c>
      <c r="F244">
        <v>7431</v>
      </c>
      <c r="G244">
        <v>5451</v>
      </c>
    </row>
    <row r="245" spans="1:7">
      <c r="A245">
        <v>208</v>
      </c>
      <c r="B245">
        <v>0</v>
      </c>
      <c r="C245">
        <v>25</v>
      </c>
      <c r="D245">
        <v>4</v>
      </c>
      <c r="E245" t="str">
        <f t="shared" si="3"/>
        <v>254</v>
      </c>
      <c r="F245">
        <v>11695</v>
      </c>
      <c r="G245">
        <v>8205</v>
      </c>
    </row>
    <row r="246" spans="1:7">
      <c r="A246">
        <v>208</v>
      </c>
      <c r="B246">
        <v>0</v>
      </c>
      <c r="C246">
        <v>25</v>
      </c>
      <c r="D246">
        <v>5</v>
      </c>
      <c r="E246" t="str">
        <f t="shared" si="3"/>
        <v>255</v>
      </c>
      <c r="F246">
        <v>16041</v>
      </c>
      <c r="G246">
        <v>11107</v>
      </c>
    </row>
    <row r="247" spans="1:7">
      <c r="A247">
        <v>208</v>
      </c>
      <c r="B247">
        <v>0</v>
      </c>
      <c r="C247">
        <v>25</v>
      </c>
      <c r="D247">
        <v>6</v>
      </c>
      <c r="E247" t="str">
        <f t="shared" si="3"/>
        <v>256</v>
      </c>
      <c r="F247">
        <v>20462</v>
      </c>
      <c r="G247">
        <v>14087</v>
      </c>
    </row>
    <row r="248" spans="1:7">
      <c r="A248">
        <v>208</v>
      </c>
      <c r="B248">
        <v>0</v>
      </c>
      <c r="C248">
        <v>25</v>
      </c>
      <c r="D248">
        <v>7</v>
      </c>
      <c r="E248" t="str">
        <f t="shared" si="3"/>
        <v>257</v>
      </c>
      <c r="F248">
        <v>24949</v>
      </c>
      <c r="G248">
        <v>17134</v>
      </c>
    </row>
    <row r="249" spans="1:7">
      <c r="A249">
        <v>208</v>
      </c>
      <c r="B249">
        <v>0</v>
      </c>
      <c r="C249">
        <v>25</v>
      </c>
      <c r="D249">
        <v>8</v>
      </c>
      <c r="E249" t="str">
        <f t="shared" si="3"/>
        <v>258</v>
      </c>
      <c r="F249">
        <v>29497</v>
      </c>
      <c r="G249">
        <v>20248</v>
      </c>
    </row>
    <row r="250" spans="1:7">
      <c r="A250">
        <v>208</v>
      </c>
      <c r="B250">
        <v>0</v>
      </c>
      <c r="C250">
        <v>25</v>
      </c>
      <c r="D250">
        <v>9</v>
      </c>
      <c r="E250" t="str">
        <f t="shared" si="3"/>
        <v>259</v>
      </c>
      <c r="F250">
        <v>34096</v>
      </c>
      <c r="G250">
        <v>23426</v>
      </c>
    </row>
    <row r="251" spans="1:7">
      <c r="A251">
        <v>208</v>
      </c>
      <c r="B251">
        <v>0</v>
      </c>
      <c r="C251">
        <v>25</v>
      </c>
      <c r="D251">
        <v>10</v>
      </c>
      <c r="E251" t="str">
        <f t="shared" si="3"/>
        <v>2510</v>
      </c>
      <c r="F251">
        <v>38735</v>
      </c>
      <c r="G251">
        <v>26670</v>
      </c>
    </row>
    <row r="252" spans="1:7">
      <c r="A252">
        <v>208</v>
      </c>
      <c r="B252">
        <v>0</v>
      </c>
      <c r="C252">
        <v>25</v>
      </c>
      <c r="D252">
        <v>11</v>
      </c>
      <c r="E252" t="str">
        <f t="shared" si="3"/>
        <v>2511</v>
      </c>
      <c r="F252">
        <v>43401</v>
      </c>
      <c r="G252">
        <v>29981</v>
      </c>
    </row>
    <row r="253" spans="1:7">
      <c r="A253">
        <v>208</v>
      </c>
      <c r="B253">
        <v>0</v>
      </c>
      <c r="C253">
        <v>25</v>
      </c>
      <c r="D253">
        <v>12</v>
      </c>
      <c r="E253" t="str">
        <f t="shared" si="3"/>
        <v>2512</v>
      </c>
      <c r="F253">
        <v>48078</v>
      </c>
      <c r="G253">
        <v>33359</v>
      </c>
    </row>
    <row r="254" spans="1:7">
      <c r="A254">
        <v>208</v>
      </c>
      <c r="B254">
        <v>0</v>
      </c>
      <c r="C254">
        <v>25</v>
      </c>
      <c r="D254">
        <v>13</v>
      </c>
      <c r="E254" t="str">
        <f t="shared" si="3"/>
        <v>2513</v>
      </c>
      <c r="F254">
        <v>52750</v>
      </c>
      <c r="G254">
        <v>36805</v>
      </c>
    </row>
    <row r="255" spans="1:7">
      <c r="A255">
        <v>208</v>
      </c>
      <c r="B255">
        <v>0</v>
      </c>
      <c r="C255">
        <v>25</v>
      </c>
      <c r="D255">
        <v>14</v>
      </c>
      <c r="E255" t="str">
        <f t="shared" si="3"/>
        <v>2514</v>
      </c>
      <c r="F255">
        <v>57399</v>
      </c>
      <c r="G255">
        <v>40322</v>
      </c>
    </row>
    <row r="256" spans="1:7">
      <c r="A256">
        <v>208</v>
      </c>
      <c r="B256">
        <v>0</v>
      </c>
      <c r="C256">
        <v>25</v>
      </c>
      <c r="D256">
        <v>15</v>
      </c>
      <c r="E256" t="str">
        <f t="shared" si="3"/>
        <v>2515</v>
      </c>
      <c r="F256">
        <v>62004</v>
      </c>
      <c r="G256">
        <v>43910</v>
      </c>
    </row>
    <row r="257" spans="1:7">
      <c r="A257">
        <v>208</v>
      </c>
      <c r="B257">
        <v>0</v>
      </c>
      <c r="C257">
        <v>25</v>
      </c>
      <c r="D257">
        <v>16</v>
      </c>
      <c r="E257" t="str">
        <f t="shared" si="3"/>
        <v>2516</v>
      </c>
      <c r="F257">
        <v>66544</v>
      </c>
      <c r="G257">
        <v>47571</v>
      </c>
    </row>
    <row r="258" spans="1:7">
      <c r="A258">
        <v>208</v>
      </c>
      <c r="B258">
        <v>0</v>
      </c>
      <c r="C258">
        <v>25</v>
      </c>
      <c r="D258">
        <v>17</v>
      </c>
      <c r="E258" t="str">
        <f t="shared" si="3"/>
        <v>2517</v>
      </c>
      <c r="F258">
        <v>70994</v>
      </c>
      <c r="G258">
        <v>51306</v>
      </c>
    </row>
    <row r="259" spans="1:7">
      <c r="A259">
        <v>208</v>
      </c>
      <c r="B259">
        <v>0</v>
      </c>
      <c r="C259">
        <v>25</v>
      </c>
      <c r="D259">
        <v>18</v>
      </c>
      <c r="E259" t="str">
        <f t="shared" ref="E259:E322" si="4">CONCATENATE(C259,D259)</f>
        <v>2518</v>
      </c>
      <c r="F259">
        <v>75332</v>
      </c>
      <c r="G259">
        <v>56066</v>
      </c>
    </row>
    <row r="260" spans="1:7">
      <c r="A260">
        <v>208</v>
      </c>
      <c r="B260">
        <v>0</v>
      </c>
      <c r="C260">
        <v>25</v>
      </c>
      <c r="D260">
        <v>19</v>
      </c>
      <c r="E260" t="str">
        <f t="shared" si="4"/>
        <v>2519</v>
      </c>
      <c r="F260">
        <v>79531</v>
      </c>
      <c r="G260">
        <v>61031</v>
      </c>
    </row>
    <row r="261" spans="1:7">
      <c r="A261">
        <v>208</v>
      </c>
      <c r="B261">
        <v>0</v>
      </c>
      <c r="C261">
        <v>25</v>
      </c>
      <c r="D261">
        <v>20</v>
      </c>
      <c r="E261" t="str">
        <f t="shared" si="4"/>
        <v>2520</v>
      </c>
      <c r="F261">
        <v>83564</v>
      </c>
      <c r="G261">
        <v>66207</v>
      </c>
    </row>
    <row r="262" spans="1:7">
      <c r="A262">
        <v>208</v>
      </c>
      <c r="B262">
        <v>0</v>
      </c>
      <c r="C262">
        <v>25</v>
      </c>
      <c r="D262">
        <v>21</v>
      </c>
      <c r="E262" t="str">
        <f t="shared" si="4"/>
        <v>2521</v>
      </c>
      <c r="F262">
        <v>87401</v>
      </c>
      <c r="G262">
        <v>71596</v>
      </c>
    </row>
    <row r="263" spans="1:7">
      <c r="A263">
        <v>208</v>
      </c>
      <c r="B263">
        <v>0</v>
      </c>
      <c r="C263">
        <v>25</v>
      </c>
      <c r="D263">
        <v>22</v>
      </c>
      <c r="E263" t="str">
        <f t="shared" si="4"/>
        <v>2522</v>
      </c>
      <c r="F263">
        <v>91019</v>
      </c>
      <c r="G263">
        <v>77203</v>
      </c>
    </row>
    <row r="264" spans="1:7">
      <c r="A264">
        <v>208</v>
      </c>
      <c r="B264">
        <v>0</v>
      </c>
      <c r="C264">
        <v>25</v>
      </c>
      <c r="D264">
        <v>23</v>
      </c>
      <c r="E264" t="str">
        <f t="shared" si="4"/>
        <v>2523</v>
      </c>
      <c r="F264">
        <v>94397</v>
      </c>
      <c r="G264">
        <v>83033</v>
      </c>
    </row>
    <row r="265" spans="1:7">
      <c r="A265">
        <v>208</v>
      </c>
      <c r="B265">
        <v>0</v>
      </c>
      <c r="C265">
        <v>25</v>
      </c>
      <c r="D265">
        <v>24</v>
      </c>
      <c r="E265" t="str">
        <f t="shared" si="4"/>
        <v>2524</v>
      </c>
      <c r="F265">
        <v>97402</v>
      </c>
      <c r="G265">
        <v>88997</v>
      </c>
    </row>
    <row r="266" spans="1:7">
      <c r="A266">
        <v>208</v>
      </c>
      <c r="B266">
        <v>0</v>
      </c>
      <c r="C266">
        <v>26</v>
      </c>
      <c r="D266">
        <v>1</v>
      </c>
      <c r="E266" t="str">
        <f t="shared" si="4"/>
        <v>261</v>
      </c>
      <c r="F266">
        <v>817</v>
      </c>
      <c r="G266">
        <v>641</v>
      </c>
    </row>
    <row r="267" spans="1:7">
      <c r="A267">
        <v>208</v>
      </c>
      <c r="B267">
        <v>0</v>
      </c>
      <c r="C267">
        <v>26</v>
      </c>
      <c r="D267">
        <v>2</v>
      </c>
      <c r="E267" t="str">
        <f t="shared" si="4"/>
        <v>262</v>
      </c>
      <c r="F267">
        <v>3082</v>
      </c>
      <c r="G267">
        <v>2376</v>
      </c>
    </row>
    <row r="268" spans="1:7">
      <c r="A268">
        <v>208</v>
      </c>
      <c r="B268">
        <v>0</v>
      </c>
      <c r="C268">
        <v>26</v>
      </c>
      <c r="D268">
        <v>3</v>
      </c>
      <c r="E268" t="str">
        <f t="shared" si="4"/>
        <v>263</v>
      </c>
      <c r="F268">
        <v>7042</v>
      </c>
      <c r="G268">
        <v>5164</v>
      </c>
    </row>
    <row r="269" spans="1:7">
      <c r="A269">
        <v>208</v>
      </c>
      <c r="B269">
        <v>0</v>
      </c>
      <c r="C269">
        <v>26</v>
      </c>
      <c r="D269">
        <v>4</v>
      </c>
      <c r="E269" t="str">
        <f t="shared" si="4"/>
        <v>264</v>
      </c>
      <c r="F269">
        <v>11091</v>
      </c>
      <c r="G269">
        <v>7775</v>
      </c>
    </row>
    <row r="270" spans="1:7">
      <c r="A270">
        <v>208</v>
      </c>
      <c r="B270">
        <v>0</v>
      </c>
      <c r="C270">
        <v>26</v>
      </c>
      <c r="D270">
        <v>5</v>
      </c>
      <c r="E270" t="str">
        <f t="shared" si="4"/>
        <v>265</v>
      </c>
      <c r="F270">
        <v>15222</v>
      </c>
      <c r="G270">
        <v>10524</v>
      </c>
    </row>
    <row r="271" spans="1:7">
      <c r="A271">
        <v>208</v>
      </c>
      <c r="B271">
        <v>0</v>
      </c>
      <c r="C271">
        <v>26</v>
      </c>
      <c r="D271">
        <v>6</v>
      </c>
      <c r="E271" t="str">
        <f t="shared" si="4"/>
        <v>266</v>
      </c>
      <c r="F271">
        <v>19429</v>
      </c>
      <c r="G271">
        <v>13347</v>
      </c>
    </row>
    <row r="272" spans="1:7">
      <c r="A272">
        <v>208</v>
      </c>
      <c r="B272">
        <v>0</v>
      </c>
      <c r="C272">
        <v>26</v>
      </c>
      <c r="D272">
        <v>7</v>
      </c>
      <c r="E272" t="str">
        <f t="shared" si="4"/>
        <v>267</v>
      </c>
      <c r="F272">
        <v>23706</v>
      </c>
      <c r="G272">
        <v>16234</v>
      </c>
    </row>
    <row r="273" spans="1:7">
      <c r="A273">
        <v>208</v>
      </c>
      <c r="B273">
        <v>0</v>
      </c>
      <c r="C273">
        <v>26</v>
      </c>
      <c r="D273">
        <v>8</v>
      </c>
      <c r="E273" t="str">
        <f t="shared" si="4"/>
        <v>268</v>
      </c>
      <c r="F273">
        <v>28046</v>
      </c>
      <c r="G273">
        <v>19184</v>
      </c>
    </row>
    <row r="274" spans="1:7">
      <c r="A274">
        <v>208</v>
      </c>
      <c r="B274">
        <v>0</v>
      </c>
      <c r="C274">
        <v>26</v>
      </c>
      <c r="D274">
        <v>9</v>
      </c>
      <c r="E274" t="str">
        <f t="shared" si="4"/>
        <v>269</v>
      </c>
      <c r="F274">
        <v>32441</v>
      </c>
      <c r="G274">
        <v>22196</v>
      </c>
    </row>
    <row r="275" spans="1:7">
      <c r="A275">
        <v>208</v>
      </c>
      <c r="B275">
        <v>0</v>
      </c>
      <c r="C275">
        <v>26</v>
      </c>
      <c r="D275">
        <v>10</v>
      </c>
      <c r="E275" t="str">
        <f t="shared" si="4"/>
        <v>2610</v>
      </c>
      <c r="F275">
        <v>36883</v>
      </c>
      <c r="G275">
        <v>25270</v>
      </c>
    </row>
    <row r="276" spans="1:7">
      <c r="A276">
        <v>208</v>
      </c>
      <c r="B276">
        <v>0</v>
      </c>
      <c r="C276">
        <v>26</v>
      </c>
      <c r="D276">
        <v>11</v>
      </c>
      <c r="E276" t="str">
        <f t="shared" si="4"/>
        <v>2611</v>
      </c>
      <c r="F276">
        <v>41361</v>
      </c>
      <c r="G276">
        <v>28406</v>
      </c>
    </row>
    <row r="277" spans="1:7">
      <c r="A277">
        <v>208</v>
      </c>
      <c r="B277">
        <v>0</v>
      </c>
      <c r="C277">
        <v>26</v>
      </c>
      <c r="D277">
        <v>12</v>
      </c>
      <c r="E277" t="str">
        <f t="shared" si="4"/>
        <v>2612</v>
      </c>
      <c r="F277">
        <v>45862</v>
      </c>
      <c r="G277">
        <v>31607</v>
      </c>
    </row>
    <row r="278" spans="1:7">
      <c r="A278">
        <v>208</v>
      </c>
      <c r="B278">
        <v>0</v>
      </c>
      <c r="C278">
        <v>26</v>
      </c>
      <c r="D278">
        <v>13</v>
      </c>
      <c r="E278" t="str">
        <f t="shared" si="4"/>
        <v>2613</v>
      </c>
      <c r="F278">
        <v>50370</v>
      </c>
      <c r="G278">
        <v>34872</v>
      </c>
    </row>
    <row r="279" spans="1:7">
      <c r="A279">
        <v>208</v>
      </c>
      <c r="B279">
        <v>0</v>
      </c>
      <c r="C279">
        <v>26</v>
      </c>
      <c r="D279">
        <v>14</v>
      </c>
      <c r="E279" t="str">
        <f t="shared" si="4"/>
        <v>2614</v>
      </c>
      <c r="F279">
        <v>54869</v>
      </c>
      <c r="G279">
        <v>38204</v>
      </c>
    </row>
    <row r="280" spans="1:7">
      <c r="A280">
        <v>208</v>
      </c>
      <c r="B280">
        <v>0</v>
      </c>
      <c r="C280">
        <v>26</v>
      </c>
      <c r="D280">
        <v>15</v>
      </c>
      <c r="E280" t="str">
        <f t="shared" si="4"/>
        <v>2615</v>
      </c>
      <c r="F280">
        <v>59343</v>
      </c>
      <c r="G280">
        <v>41604</v>
      </c>
    </row>
    <row r="281" spans="1:7">
      <c r="A281">
        <v>208</v>
      </c>
      <c r="B281">
        <v>0</v>
      </c>
      <c r="C281">
        <v>26</v>
      </c>
      <c r="D281">
        <v>16</v>
      </c>
      <c r="E281" t="str">
        <f t="shared" si="4"/>
        <v>2616</v>
      </c>
      <c r="F281">
        <v>63770</v>
      </c>
      <c r="G281">
        <v>45072</v>
      </c>
    </row>
    <row r="282" spans="1:7">
      <c r="A282">
        <v>208</v>
      </c>
      <c r="B282">
        <v>0</v>
      </c>
      <c r="C282">
        <v>26</v>
      </c>
      <c r="D282">
        <v>17</v>
      </c>
      <c r="E282" t="str">
        <f t="shared" si="4"/>
        <v>2617</v>
      </c>
      <c r="F282">
        <v>68130</v>
      </c>
      <c r="G282">
        <v>48611</v>
      </c>
    </row>
    <row r="283" spans="1:7">
      <c r="A283">
        <v>208</v>
      </c>
      <c r="B283">
        <v>0</v>
      </c>
      <c r="C283">
        <v>26</v>
      </c>
      <c r="D283">
        <v>18</v>
      </c>
      <c r="E283" t="str">
        <f t="shared" si="4"/>
        <v>2618</v>
      </c>
      <c r="F283">
        <v>72398</v>
      </c>
      <c r="G283">
        <v>53038</v>
      </c>
    </row>
    <row r="284" spans="1:7">
      <c r="A284">
        <v>208</v>
      </c>
      <c r="B284">
        <v>0</v>
      </c>
      <c r="C284">
        <v>26</v>
      </c>
      <c r="D284">
        <v>19</v>
      </c>
      <c r="E284" t="str">
        <f t="shared" si="4"/>
        <v>2619</v>
      </c>
      <c r="F284">
        <v>76554</v>
      </c>
      <c r="G284">
        <v>57648</v>
      </c>
    </row>
    <row r="285" spans="1:7">
      <c r="A285">
        <v>208</v>
      </c>
      <c r="B285">
        <v>0</v>
      </c>
      <c r="C285">
        <v>26</v>
      </c>
      <c r="D285">
        <v>20</v>
      </c>
      <c r="E285" t="str">
        <f t="shared" si="4"/>
        <v>2620</v>
      </c>
      <c r="F285">
        <v>80570</v>
      </c>
      <c r="G285">
        <v>62447</v>
      </c>
    </row>
    <row r="286" spans="1:7">
      <c r="A286">
        <v>208</v>
      </c>
      <c r="B286">
        <v>0</v>
      </c>
      <c r="C286">
        <v>26</v>
      </c>
      <c r="D286">
        <v>21</v>
      </c>
      <c r="E286" t="str">
        <f t="shared" si="4"/>
        <v>2621</v>
      </c>
      <c r="F286">
        <v>84421</v>
      </c>
      <c r="G286">
        <v>67436</v>
      </c>
    </row>
    <row r="287" spans="1:7">
      <c r="A287">
        <v>208</v>
      </c>
      <c r="B287">
        <v>0</v>
      </c>
      <c r="C287">
        <v>26</v>
      </c>
      <c r="D287">
        <v>22</v>
      </c>
      <c r="E287" t="str">
        <f t="shared" si="4"/>
        <v>2622</v>
      </c>
      <c r="F287">
        <v>88078</v>
      </c>
      <c r="G287">
        <v>72619</v>
      </c>
    </row>
    <row r="288" spans="1:7">
      <c r="A288">
        <v>208</v>
      </c>
      <c r="B288">
        <v>0</v>
      </c>
      <c r="C288">
        <v>26</v>
      </c>
      <c r="D288">
        <v>23</v>
      </c>
      <c r="E288" t="str">
        <f t="shared" si="4"/>
        <v>2623</v>
      </c>
      <c r="F288">
        <v>91519</v>
      </c>
      <c r="G288">
        <v>78001</v>
      </c>
    </row>
    <row r="289" spans="1:7">
      <c r="A289">
        <v>208</v>
      </c>
      <c r="B289">
        <v>0</v>
      </c>
      <c r="C289">
        <v>26</v>
      </c>
      <c r="D289">
        <v>24</v>
      </c>
      <c r="E289" t="str">
        <f t="shared" si="4"/>
        <v>2624</v>
      </c>
      <c r="F289">
        <v>94721</v>
      </c>
      <c r="G289">
        <v>83585</v>
      </c>
    </row>
    <row r="290" spans="1:7">
      <c r="A290">
        <v>208</v>
      </c>
      <c r="B290">
        <v>0</v>
      </c>
      <c r="C290">
        <v>26</v>
      </c>
      <c r="D290">
        <v>25</v>
      </c>
      <c r="E290" t="str">
        <f t="shared" si="4"/>
        <v>2625</v>
      </c>
      <c r="F290">
        <v>97560</v>
      </c>
      <c r="G290">
        <v>89287</v>
      </c>
    </row>
    <row r="291" spans="1:7">
      <c r="A291">
        <v>208</v>
      </c>
      <c r="B291">
        <v>0</v>
      </c>
      <c r="C291">
        <v>27</v>
      </c>
      <c r="D291">
        <v>1</v>
      </c>
      <c r="E291" t="str">
        <f t="shared" si="4"/>
        <v>271</v>
      </c>
      <c r="F291">
        <v>773</v>
      </c>
      <c r="G291">
        <v>609</v>
      </c>
    </row>
    <row r="292" spans="1:7">
      <c r="A292">
        <v>208</v>
      </c>
      <c r="B292">
        <v>0</v>
      </c>
      <c r="C292">
        <v>27</v>
      </c>
      <c r="D292">
        <v>2</v>
      </c>
      <c r="E292" t="str">
        <f t="shared" si="4"/>
        <v>272</v>
      </c>
      <c r="F292">
        <v>2922</v>
      </c>
      <c r="G292">
        <v>2257</v>
      </c>
    </row>
    <row r="293" spans="1:7">
      <c r="A293">
        <v>208</v>
      </c>
      <c r="B293">
        <v>0</v>
      </c>
      <c r="C293">
        <v>27</v>
      </c>
      <c r="D293">
        <v>3</v>
      </c>
      <c r="E293" t="str">
        <f t="shared" si="4"/>
        <v>273</v>
      </c>
      <c r="F293">
        <v>6681</v>
      </c>
      <c r="G293">
        <v>4900</v>
      </c>
    </row>
    <row r="294" spans="1:7">
      <c r="A294">
        <v>208</v>
      </c>
      <c r="B294">
        <v>0</v>
      </c>
      <c r="C294">
        <v>27</v>
      </c>
      <c r="D294">
        <v>4</v>
      </c>
      <c r="E294" t="str">
        <f t="shared" si="4"/>
        <v>274</v>
      </c>
      <c r="F294">
        <v>10528</v>
      </c>
      <c r="G294">
        <v>7378</v>
      </c>
    </row>
    <row r="295" spans="1:7">
      <c r="A295">
        <v>208</v>
      </c>
      <c r="B295">
        <v>0</v>
      </c>
      <c r="C295">
        <v>27</v>
      </c>
      <c r="D295">
        <v>5</v>
      </c>
      <c r="E295" t="str">
        <f t="shared" si="4"/>
        <v>275</v>
      </c>
      <c r="F295">
        <v>14458</v>
      </c>
      <c r="G295">
        <v>9987</v>
      </c>
    </row>
    <row r="296" spans="1:7">
      <c r="A296">
        <v>208</v>
      </c>
      <c r="B296">
        <v>0</v>
      </c>
      <c r="C296">
        <v>27</v>
      </c>
      <c r="D296">
        <v>6</v>
      </c>
      <c r="E296" t="str">
        <f t="shared" si="4"/>
        <v>276</v>
      </c>
      <c r="F296">
        <v>18467</v>
      </c>
      <c r="G296">
        <v>12667</v>
      </c>
    </row>
    <row r="297" spans="1:7">
      <c r="A297">
        <v>208</v>
      </c>
      <c r="B297">
        <v>0</v>
      </c>
      <c r="C297">
        <v>27</v>
      </c>
      <c r="D297">
        <v>7</v>
      </c>
      <c r="E297" t="str">
        <f t="shared" si="4"/>
        <v>277</v>
      </c>
      <c r="F297">
        <v>22547</v>
      </c>
      <c r="G297">
        <v>15407</v>
      </c>
    </row>
    <row r="298" spans="1:7">
      <c r="A298">
        <v>208</v>
      </c>
      <c r="B298">
        <v>0</v>
      </c>
      <c r="C298">
        <v>27</v>
      </c>
      <c r="D298">
        <v>8</v>
      </c>
      <c r="E298" t="str">
        <f t="shared" si="4"/>
        <v>278</v>
      </c>
      <c r="F298">
        <v>26691</v>
      </c>
      <c r="G298">
        <v>18206</v>
      </c>
    </row>
    <row r="299" spans="1:7">
      <c r="A299">
        <v>208</v>
      </c>
      <c r="B299">
        <v>0</v>
      </c>
      <c r="C299">
        <v>27</v>
      </c>
      <c r="D299">
        <v>9</v>
      </c>
      <c r="E299" t="str">
        <f t="shared" si="4"/>
        <v>279</v>
      </c>
      <c r="F299">
        <v>30894</v>
      </c>
      <c r="G299">
        <v>21064</v>
      </c>
    </row>
    <row r="300" spans="1:7">
      <c r="A300">
        <v>208</v>
      </c>
      <c r="B300">
        <v>0</v>
      </c>
      <c r="C300">
        <v>27</v>
      </c>
      <c r="D300">
        <v>10</v>
      </c>
      <c r="E300" t="str">
        <f t="shared" si="4"/>
        <v>2710</v>
      </c>
      <c r="F300">
        <v>35148</v>
      </c>
      <c r="G300">
        <v>23981</v>
      </c>
    </row>
    <row r="301" spans="1:7">
      <c r="A301">
        <v>208</v>
      </c>
      <c r="B301">
        <v>0</v>
      </c>
      <c r="C301">
        <v>27</v>
      </c>
      <c r="D301">
        <v>11</v>
      </c>
      <c r="E301" t="str">
        <f t="shared" si="4"/>
        <v>2711</v>
      </c>
      <c r="F301">
        <v>39446</v>
      </c>
      <c r="G301">
        <v>26958</v>
      </c>
    </row>
    <row r="302" spans="1:7">
      <c r="A302">
        <v>208</v>
      </c>
      <c r="B302">
        <v>0</v>
      </c>
      <c r="C302">
        <v>27</v>
      </c>
      <c r="D302">
        <v>12</v>
      </c>
      <c r="E302" t="str">
        <f t="shared" si="4"/>
        <v>2712</v>
      </c>
      <c r="F302">
        <v>43776</v>
      </c>
      <c r="G302">
        <v>29995</v>
      </c>
    </row>
    <row r="303" spans="1:7">
      <c r="A303">
        <v>208</v>
      </c>
      <c r="B303">
        <v>0</v>
      </c>
      <c r="C303">
        <v>27</v>
      </c>
      <c r="D303">
        <v>13</v>
      </c>
      <c r="E303" t="str">
        <f t="shared" si="4"/>
        <v>2713</v>
      </c>
      <c r="F303">
        <v>48125</v>
      </c>
      <c r="G303">
        <v>33095</v>
      </c>
    </row>
    <row r="304" spans="1:7">
      <c r="A304">
        <v>208</v>
      </c>
      <c r="B304">
        <v>0</v>
      </c>
      <c r="C304">
        <v>27</v>
      </c>
      <c r="D304">
        <v>14</v>
      </c>
      <c r="E304" t="str">
        <f t="shared" si="4"/>
        <v>2714</v>
      </c>
      <c r="F304">
        <v>52477</v>
      </c>
      <c r="G304">
        <v>36256</v>
      </c>
    </row>
    <row r="305" spans="1:7">
      <c r="A305">
        <v>208</v>
      </c>
      <c r="B305">
        <v>0</v>
      </c>
      <c r="C305">
        <v>27</v>
      </c>
      <c r="D305">
        <v>15</v>
      </c>
      <c r="E305" t="str">
        <f t="shared" si="4"/>
        <v>2715</v>
      </c>
      <c r="F305">
        <v>56818</v>
      </c>
      <c r="G305">
        <v>39482</v>
      </c>
    </row>
    <row r="306" spans="1:7">
      <c r="A306">
        <v>208</v>
      </c>
      <c r="B306">
        <v>0</v>
      </c>
      <c r="C306">
        <v>27</v>
      </c>
      <c r="D306">
        <v>16</v>
      </c>
      <c r="E306" t="str">
        <f t="shared" si="4"/>
        <v>2716</v>
      </c>
      <c r="F306">
        <v>61130</v>
      </c>
      <c r="G306">
        <v>42774</v>
      </c>
    </row>
    <row r="307" spans="1:7">
      <c r="A307">
        <v>208</v>
      </c>
      <c r="B307">
        <v>0</v>
      </c>
      <c r="C307">
        <v>27</v>
      </c>
      <c r="D307">
        <v>17</v>
      </c>
      <c r="E307" t="str">
        <f t="shared" si="4"/>
        <v>2717</v>
      </c>
      <c r="F307">
        <v>65393</v>
      </c>
      <c r="G307">
        <v>46132</v>
      </c>
    </row>
    <row r="308" spans="1:7">
      <c r="A308">
        <v>208</v>
      </c>
      <c r="B308">
        <v>0</v>
      </c>
      <c r="C308">
        <v>27</v>
      </c>
      <c r="D308">
        <v>18</v>
      </c>
      <c r="E308" t="str">
        <f t="shared" si="4"/>
        <v>2718</v>
      </c>
      <c r="F308">
        <v>69588</v>
      </c>
      <c r="G308">
        <v>49557</v>
      </c>
    </row>
    <row r="309" spans="1:7">
      <c r="A309">
        <v>208</v>
      </c>
      <c r="B309">
        <v>0</v>
      </c>
      <c r="C309">
        <v>27</v>
      </c>
      <c r="D309">
        <v>19</v>
      </c>
      <c r="E309" t="str">
        <f t="shared" si="4"/>
        <v>2719</v>
      </c>
      <c r="F309">
        <v>73689</v>
      </c>
      <c r="G309">
        <v>53894</v>
      </c>
    </row>
    <row r="310" spans="1:7">
      <c r="A310">
        <v>208</v>
      </c>
      <c r="B310">
        <v>0</v>
      </c>
      <c r="C310">
        <v>27</v>
      </c>
      <c r="D310">
        <v>20</v>
      </c>
      <c r="E310" t="str">
        <f t="shared" si="4"/>
        <v>2720</v>
      </c>
      <c r="F310">
        <v>77677</v>
      </c>
      <c r="G310">
        <v>58411</v>
      </c>
    </row>
    <row r="311" spans="1:7">
      <c r="A311">
        <v>208</v>
      </c>
      <c r="B311">
        <v>0</v>
      </c>
      <c r="C311">
        <v>27</v>
      </c>
      <c r="D311">
        <v>21</v>
      </c>
      <c r="E311" t="str">
        <f t="shared" si="4"/>
        <v>2721</v>
      </c>
      <c r="F311">
        <v>81526</v>
      </c>
      <c r="G311">
        <v>63111</v>
      </c>
    </row>
    <row r="312" spans="1:7">
      <c r="A312">
        <v>208</v>
      </c>
      <c r="B312">
        <v>0</v>
      </c>
      <c r="C312">
        <v>27</v>
      </c>
      <c r="D312">
        <v>22</v>
      </c>
      <c r="E312" t="str">
        <f t="shared" si="4"/>
        <v>2722</v>
      </c>
      <c r="F312">
        <v>85209</v>
      </c>
      <c r="G312">
        <v>67997</v>
      </c>
    </row>
    <row r="313" spans="1:7">
      <c r="A313">
        <v>208</v>
      </c>
      <c r="B313">
        <v>0</v>
      </c>
      <c r="C313">
        <v>27</v>
      </c>
      <c r="D313">
        <v>23</v>
      </c>
      <c r="E313" t="str">
        <f t="shared" si="4"/>
        <v>2723</v>
      </c>
      <c r="F313">
        <v>88700</v>
      </c>
      <c r="G313">
        <v>73075</v>
      </c>
    </row>
    <row r="314" spans="1:7">
      <c r="A314">
        <v>208</v>
      </c>
      <c r="B314">
        <v>0</v>
      </c>
      <c r="C314">
        <v>27</v>
      </c>
      <c r="D314">
        <v>24</v>
      </c>
      <c r="E314" t="str">
        <f t="shared" si="4"/>
        <v>2724</v>
      </c>
      <c r="F314">
        <v>91978</v>
      </c>
      <c r="G314">
        <v>78346</v>
      </c>
    </row>
    <row r="315" spans="1:7">
      <c r="A315">
        <v>208</v>
      </c>
      <c r="B315">
        <v>0</v>
      </c>
      <c r="C315">
        <v>27</v>
      </c>
      <c r="D315">
        <v>25</v>
      </c>
      <c r="E315" t="str">
        <f t="shared" si="4"/>
        <v>2725</v>
      </c>
      <c r="F315">
        <v>95020</v>
      </c>
      <c r="G315">
        <v>83816</v>
      </c>
    </row>
    <row r="316" spans="1:7">
      <c r="A316">
        <v>208</v>
      </c>
      <c r="B316">
        <v>0</v>
      </c>
      <c r="C316">
        <v>27</v>
      </c>
      <c r="D316">
        <v>26</v>
      </c>
      <c r="E316" t="str">
        <f t="shared" si="4"/>
        <v>2726</v>
      </c>
      <c r="F316">
        <v>97705</v>
      </c>
      <c r="G316">
        <v>89402</v>
      </c>
    </row>
    <row r="317" spans="1:7">
      <c r="A317">
        <v>208</v>
      </c>
      <c r="B317">
        <v>0</v>
      </c>
      <c r="C317">
        <v>28</v>
      </c>
      <c r="D317">
        <v>1</v>
      </c>
      <c r="E317" t="str">
        <f t="shared" si="4"/>
        <v>281</v>
      </c>
      <c r="F317">
        <v>732</v>
      </c>
      <c r="G317">
        <v>578</v>
      </c>
    </row>
    <row r="318" spans="1:7">
      <c r="A318">
        <v>208</v>
      </c>
      <c r="B318">
        <v>0</v>
      </c>
      <c r="C318">
        <v>28</v>
      </c>
      <c r="D318">
        <v>2</v>
      </c>
      <c r="E318" t="str">
        <f t="shared" si="4"/>
        <v>282</v>
      </c>
      <c r="F318">
        <v>2773</v>
      </c>
      <c r="G318">
        <v>2147</v>
      </c>
    </row>
    <row r="319" spans="1:7">
      <c r="A319">
        <v>208</v>
      </c>
      <c r="B319">
        <v>0</v>
      </c>
      <c r="C319">
        <v>28</v>
      </c>
      <c r="D319">
        <v>3</v>
      </c>
      <c r="E319" t="str">
        <f t="shared" si="4"/>
        <v>283</v>
      </c>
      <c r="F319">
        <v>6343</v>
      </c>
      <c r="G319">
        <v>4657</v>
      </c>
    </row>
    <row r="320" spans="1:7">
      <c r="A320">
        <v>208</v>
      </c>
      <c r="B320">
        <v>0</v>
      </c>
      <c r="C320">
        <v>28</v>
      </c>
      <c r="D320">
        <v>4</v>
      </c>
      <c r="E320" t="str">
        <f t="shared" si="4"/>
        <v>284</v>
      </c>
      <c r="F320">
        <v>10002</v>
      </c>
      <c r="G320">
        <v>7013</v>
      </c>
    </row>
    <row r="321" spans="1:7">
      <c r="A321">
        <v>208</v>
      </c>
      <c r="B321">
        <v>0</v>
      </c>
      <c r="C321">
        <v>28</v>
      </c>
      <c r="D321">
        <v>5</v>
      </c>
      <c r="E321" t="str">
        <f t="shared" si="4"/>
        <v>285</v>
      </c>
      <c r="F321">
        <v>13745</v>
      </c>
      <c r="G321">
        <v>9493</v>
      </c>
    </row>
    <row r="322" spans="1:7">
      <c r="A322">
        <v>208</v>
      </c>
      <c r="B322">
        <v>0</v>
      </c>
      <c r="C322">
        <v>28</v>
      </c>
      <c r="D322">
        <v>6</v>
      </c>
      <c r="E322" t="str">
        <f t="shared" si="4"/>
        <v>286</v>
      </c>
      <c r="F322">
        <v>17566</v>
      </c>
      <c r="G322">
        <v>12039</v>
      </c>
    </row>
    <row r="323" spans="1:7">
      <c r="A323">
        <v>208</v>
      </c>
      <c r="B323">
        <v>0</v>
      </c>
      <c r="C323">
        <v>28</v>
      </c>
      <c r="D323">
        <v>7</v>
      </c>
      <c r="E323" t="str">
        <f t="shared" ref="E323:E386" si="5">CONCATENATE(C323,D323)</f>
        <v>287</v>
      </c>
      <c r="F323">
        <v>21461</v>
      </c>
      <c r="G323">
        <v>14644</v>
      </c>
    </row>
    <row r="324" spans="1:7">
      <c r="A324">
        <v>208</v>
      </c>
      <c r="B324">
        <v>0</v>
      </c>
      <c r="C324">
        <v>28</v>
      </c>
      <c r="D324">
        <v>8</v>
      </c>
      <c r="E324" t="str">
        <f t="shared" si="5"/>
        <v>288</v>
      </c>
      <c r="F324">
        <v>25423</v>
      </c>
      <c r="G324">
        <v>17304</v>
      </c>
    </row>
    <row r="325" spans="1:7">
      <c r="A325">
        <v>208</v>
      </c>
      <c r="B325">
        <v>0</v>
      </c>
      <c r="C325">
        <v>28</v>
      </c>
      <c r="D325">
        <v>9</v>
      </c>
      <c r="E325" t="str">
        <f t="shared" si="5"/>
        <v>289</v>
      </c>
      <c r="F325">
        <v>29446</v>
      </c>
      <c r="G325">
        <v>20020</v>
      </c>
    </row>
    <row r="326" spans="1:7">
      <c r="A326">
        <v>208</v>
      </c>
      <c r="B326">
        <v>0</v>
      </c>
      <c r="C326">
        <v>28</v>
      </c>
      <c r="D326">
        <v>10</v>
      </c>
      <c r="E326" t="str">
        <f t="shared" si="5"/>
        <v>2810</v>
      </c>
      <c r="F326">
        <v>33522</v>
      </c>
      <c r="G326">
        <v>22792</v>
      </c>
    </row>
    <row r="327" spans="1:7">
      <c r="A327">
        <v>208</v>
      </c>
      <c r="B327">
        <v>0</v>
      </c>
      <c r="C327">
        <v>28</v>
      </c>
      <c r="D327">
        <v>11</v>
      </c>
      <c r="E327" t="str">
        <f t="shared" si="5"/>
        <v>2811</v>
      </c>
      <c r="F327">
        <v>37647</v>
      </c>
      <c r="G327">
        <v>25622</v>
      </c>
    </row>
    <row r="328" spans="1:7">
      <c r="A328">
        <v>208</v>
      </c>
      <c r="B328">
        <v>0</v>
      </c>
      <c r="C328">
        <v>28</v>
      </c>
      <c r="D328">
        <v>12</v>
      </c>
      <c r="E328" t="str">
        <f t="shared" si="5"/>
        <v>2812</v>
      </c>
      <c r="F328">
        <v>41811</v>
      </c>
      <c r="G328">
        <v>28509</v>
      </c>
    </row>
    <row r="329" spans="1:7">
      <c r="A329">
        <v>208</v>
      </c>
      <c r="B329">
        <v>0</v>
      </c>
      <c r="C329">
        <v>28</v>
      </c>
      <c r="D329">
        <v>13</v>
      </c>
      <c r="E329" t="str">
        <f t="shared" si="5"/>
        <v>2813</v>
      </c>
      <c r="F329">
        <v>46004</v>
      </c>
      <c r="G329">
        <v>31454</v>
      </c>
    </row>
    <row r="330" spans="1:7">
      <c r="A330">
        <v>208</v>
      </c>
      <c r="B330">
        <v>0</v>
      </c>
      <c r="C330">
        <v>28</v>
      </c>
      <c r="D330">
        <v>14</v>
      </c>
      <c r="E330" t="str">
        <f t="shared" si="5"/>
        <v>2814</v>
      </c>
      <c r="F330">
        <v>50212</v>
      </c>
      <c r="G330">
        <v>34459</v>
      </c>
    </row>
    <row r="331" spans="1:7">
      <c r="A331">
        <v>208</v>
      </c>
      <c r="B331">
        <v>0</v>
      </c>
      <c r="C331">
        <v>28</v>
      </c>
      <c r="D331">
        <v>15</v>
      </c>
      <c r="E331" t="str">
        <f t="shared" si="5"/>
        <v>2815</v>
      </c>
      <c r="F331">
        <v>54421</v>
      </c>
      <c r="G331">
        <v>37525</v>
      </c>
    </row>
    <row r="332" spans="1:7">
      <c r="A332">
        <v>208</v>
      </c>
      <c r="B332">
        <v>0</v>
      </c>
      <c r="C332">
        <v>28</v>
      </c>
      <c r="D332">
        <v>16</v>
      </c>
      <c r="E332" t="str">
        <f t="shared" si="5"/>
        <v>2816</v>
      </c>
      <c r="F332">
        <v>58615</v>
      </c>
      <c r="G332">
        <v>40653</v>
      </c>
    </row>
    <row r="333" spans="1:7">
      <c r="A333">
        <v>208</v>
      </c>
      <c r="B333">
        <v>0</v>
      </c>
      <c r="C333">
        <v>28</v>
      </c>
      <c r="D333">
        <v>17</v>
      </c>
      <c r="E333" t="str">
        <f t="shared" si="5"/>
        <v>2817</v>
      </c>
      <c r="F333">
        <v>62778</v>
      </c>
      <c r="G333">
        <v>43845</v>
      </c>
    </row>
    <row r="334" spans="1:7">
      <c r="A334">
        <v>208</v>
      </c>
      <c r="B334">
        <v>0</v>
      </c>
      <c r="C334">
        <v>28</v>
      </c>
      <c r="D334">
        <v>18</v>
      </c>
      <c r="E334" t="str">
        <f t="shared" si="5"/>
        <v>2818</v>
      </c>
      <c r="F334">
        <v>66890</v>
      </c>
      <c r="G334">
        <v>47100</v>
      </c>
    </row>
    <row r="335" spans="1:7">
      <c r="A335">
        <v>208</v>
      </c>
      <c r="B335">
        <v>0</v>
      </c>
      <c r="C335">
        <v>28</v>
      </c>
      <c r="D335">
        <v>19</v>
      </c>
      <c r="E335" t="str">
        <f t="shared" si="5"/>
        <v>2819</v>
      </c>
      <c r="F335">
        <v>70932</v>
      </c>
      <c r="G335">
        <v>50422</v>
      </c>
    </row>
    <row r="336" spans="1:7">
      <c r="A336">
        <v>208</v>
      </c>
      <c r="B336">
        <v>0</v>
      </c>
      <c r="C336">
        <v>28</v>
      </c>
      <c r="D336">
        <v>20</v>
      </c>
      <c r="E336" t="str">
        <f t="shared" si="5"/>
        <v>2820</v>
      </c>
      <c r="F336">
        <v>74879</v>
      </c>
      <c r="G336">
        <v>54676</v>
      </c>
    </row>
    <row r="337" spans="1:7">
      <c r="A337">
        <v>208</v>
      </c>
      <c r="B337">
        <v>0</v>
      </c>
      <c r="C337">
        <v>28</v>
      </c>
      <c r="D337">
        <v>21</v>
      </c>
      <c r="E337" t="str">
        <f t="shared" si="5"/>
        <v>2821</v>
      </c>
      <c r="F337">
        <v>78712</v>
      </c>
      <c r="G337">
        <v>59107</v>
      </c>
    </row>
    <row r="338" spans="1:7">
      <c r="A338">
        <v>208</v>
      </c>
      <c r="B338">
        <v>0</v>
      </c>
      <c r="C338">
        <v>28</v>
      </c>
      <c r="D338">
        <v>22</v>
      </c>
      <c r="E338" t="str">
        <f t="shared" si="5"/>
        <v>2822</v>
      </c>
      <c r="F338">
        <v>82406</v>
      </c>
      <c r="G338">
        <v>63717</v>
      </c>
    </row>
    <row r="339" spans="1:7">
      <c r="A339">
        <v>208</v>
      </c>
      <c r="B339">
        <v>0</v>
      </c>
      <c r="C339">
        <v>28</v>
      </c>
      <c r="D339">
        <v>23</v>
      </c>
      <c r="E339" t="str">
        <f t="shared" si="5"/>
        <v>2823</v>
      </c>
      <c r="F339">
        <v>85935</v>
      </c>
      <c r="G339">
        <v>68510</v>
      </c>
    </row>
    <row r="340" spans="1:7">
      <c r="A340">
        <v>208</v>
      </c>
      <c r="B340">
        <v>0</v>
      </c>
      <c r="C340">
        <v>28</v>
      </c>
      <c r="D340">
        <v>24</v>
      </c>
      <c r="E340" t="str">
        <f t="shared" si="5"/>
        <v>2824</v>
      </c>
      <c r="F340">
        <v>89273</v>
      </c>
      <c r="G340">
        <v>73491</v>
      </c>
    </row>
    <row r="341" spans="1:7">
      <c r="A341">
        <v>208</v>
      </c>
      <c r="B341">
        <v>0</v>
      </c>
      <c r="C341">
        <v>28</v>
      </c>
      <c r="D341">
        <v>25</v>
      </c>
      <c r="E341" t="str">
        <f t="shared" si="5"/>
        <v>2825</v>
      </c>
      <c r="F341">
        <v>92400</v>
      </c>
      <c r="G341">
        <v>78662</v>
      </c>
    </row>
    <row r="342" spans="1:7">
      <c r="A342">
        <v>208</v>
      </c>
      <c r="B342">
        <v>0</v>
      </c>
      <c r="C342">
        <v>28</v>
      </c>
      <c r="D342">
        <v>26</v>
      </c>
      <c r="E342" t="str">
        <f t="shared" si="5"/>
        <v>2826</v>
      </c>
      <c r="F342">
        <v>95295</v>
      </c>
      <c r="G342">
        <v>84027</v>
      </c>
    </row>
    <row r="343" spans="1:7">
      <c r="A343">
        <v>208</v>
      </c>
      <c r="B343">
        <v>0</v>
      </c>
      <c r="C343">
        <v>28</v>
      </c>
      <c r="D343">
        <v>27</v>
      </c>
      <c r="E343" t="str">
        <f t="shared" si="5"/>
        <v>2827</v>
      </c>
      <c r="F343">
        <v>97839</v>
      </c>
      <c r="G343">
        <v>89508</v>
      </c>
    </row>
    <row r="344" spans="1:7">
      <c r="A344">
        <v>208</v>
      </c>
      <c r="B344">
        <v>0</v>
      </c>
      <c r="C344">
        <v>29</v>
      </c>
      <c r="D344">
        <v>1</v>
      </c>
      <c r="E344" t="str">
        <f t="shared" si="5"/>
        <v>291</v>
      </c>
      <c r="F344">
        <v>693</v>
      </c>
      <c r="G344">
        <v>551</v>
      </c>
    </row>
    <row r="345" spans="1:7">
      <c r="A345">
        <v>208</v>
      </c>
      <c r="B345">
        <v>0</v>
      </c>
      <c r="C345">
        <v>29</v>
      </c>
      <c r="D345">
        <v>2</v>
      </c>
      <c r="E345" t="str">
        <f t="shared" si="5"/>
        <v>292</v>
      </c>
      <c r="F345">
        <v>2633</v>
      </c>
      <c r="G345">
        <v>2045</v>
      </c>
    </row>
    <row r="346" spans="1:7">
      <c r="A346">
        <v>208</v>
      </c>
      <c r="B346">
        <v>0</v>
      </c>
      <c r="C346">
        <v>29</v>
      </c>
      <c r="D346">
        <v>3</v>
      </c>
      <c r="E346" t="str">
        <f t="shared" si="5"/>
        <v>293</v>
      </c>
      <c r="F346">
        <v>6028</v>
      </c>
      <c r="G346">
        <v>4432</v>
      </c>
    </row>
    <row r="347" spans="1:7">
      <c r="A347">
        <v>208</v>
      </c>
      <c r="B347">
        <v>0</v>
      </c>
      <c r="C347">
        <v>29</v>
      </c>
      <c r="D347">
        <v>4</v>
      </c>
      <c r="E347" t="str">
        <f t="shared" si="5"/>
        <v>294</v>
      </c>
      <c r="F347">
        <v>9510</v>
      </c>
      <c r="G347">
        <v>6674</v>
      </c>
    </row>
    <row r="348" spans="1:7">
      <c r="A348">
        <v>208</v>
      </c>
      <c r="B348">
        <v>0</v>
      </c>
      <c r="C348">
        <v>29</v>
      </c>
      <c r="D348">
        <v>5</v>
      </c>
      <c r="E348" t="str">
        <f t="shared" si="5"/>
        <v>295</v>
      </c>
      <c r="F348">
        <v>13077</v>
      </c>
      <c r="G348">
        <v>9035</v>
      </c>
    </row>
    <row r="349" spans="1:7">
      <c r="A349">
        <v>208</v>
      </c>
      <c r="B349">
        <v>0</v>
      </c>
      <c r="C349">
        <v>29</v>
      </c>
      <c r="D349">
        <v>6</v>
      </c>
      <c r="E349" t="str">
        <f t="shared" si="5"/>
        <v>296</v>
      </c>
      <c r="F349">
        <v>16722</v>
      </c>
      <c r="G349">
        <v>11459</v>
      </c>
    </row>
    <row r="350" spans="1:7">
      <c r="A350">
        <v>208</v>
      </c>
      <c r="B350">
        <v>0</v>
      </c>
      <c r="C350">
        <v>29</v>
      </c>
      <c r="D350">
        <v>7</v>
      </c>
      <c r="E350" t="str">
        <f t="shared" si="5"/>
        <v>297</v>
      </c>
      <c r="F350">
        <v>20443</v>
      </c>
      <c r="G350">
        <v>13938</v>
      </c>
    </row>
    <row r="351" spans="1:7">
      <c r="A351">
        <v>208</v>
      </c>
      <c r="B351">
        <v>0</v>
      </c>
      <c r="C351">
        <v>29</v>
      </c>
      <c r="D351">
        <v>8</v>
      </c>
      <c r="E351" t="str">
        <f t="shared" si="5"/>
        <v>298</v>
      </c>
      <c r="F351">
        <v>24233</v>
      </c>
      <c r="G351">
        <v>16470</v>
      </c>
    </row>
    <row r="352" spans="1:7">
      <c r="A352">
        <v>208</v>
      </c>
      <c r="B352">
        <v>0</v>
      </c>
      <c r="C352">
        <v>29</v>
      </c>
      <c r="D352">
        <v>9</v>
      </c>
      <c r="E352" t="str">
        <f t="shared" si="5"/>
        <v>299</v>
      </c>
      <c r="F352">
        <v>28085</v>
      </c>
      <c r="G352">
        <v>19055</v>
      </c>
    </row>
    <row r="353" spans="1:7">
      <c r="A353">
        <v>208</v>
      </c>
      <c r="B353">
        <v>0</v>
      </c>
      <c r="C353">
        <v>29</v>
      </c>
      <c r="D353">
        <v>10</v>
      </c>
      <c r="E353" t="str">
        <f t="shared" si="5"/>
        <v>2910</v>
      </c>
      <c r="F353">
        <v>31995</v>
      </c>
      <c r="G353">
        <v>21693</v>
      </c>
    </row>
    <row r="354" spans="1:7">
      <c r="A354">
        <v>208</v>
      </c>
      <c r="B354">
        <v>0</v>
      </c>
      <c r="C354">
        <v>29</v>
      </c>
      <c r="D354">
        <v>11</v>
      </c>
      <c r="E354" t="str">
        <f t="shared" si="5"/>
        <v>2911</v>
      </c>
      <c r="F354">
        <v>35954</v>
      </c>
      <c r="G354">
        <v>24385</v>
      </c>
    </row>
    <row r="355" spans="1:7">
      <c r="A355">
        <v>208</v>
      </c>
      <c r="B355">
        <v>0</v>
      </c>
      <c r="C355">
        <v>29</v>
      </c>
      <c r="D355">
        <v>12</v>
      </c>
      <c r="E355" t="str">
        <f t="shared" si="5"/>
        <v>2912</v>
      </c>
      <c r="F355">
        <v>39958</v>
      </c>
      <c r="G355">
        <v>27133</v>
      </c>
    </row>
    <row r="356" spans="1:7">
      <c r="A356">
        <v>208</v>
      </c>
      <c r="B356">
        <v>0</v>
      </c>
      <c r="C356">
        <v>29</v>
      </c>
      <c r="D356">
        <v>13</v>
      </c>
      <c r="E356" t="str">
        <f t="shared" si="5"/>
        <v>2913</v>
      </c>
      <c r="F356">
        <v>43999</v>
      </c>
      <c r="G356">
        <v>29936</v>
      </c>
    </row>
    <row r="357" spans="1:7">
      <c r="A357">
        <v>208</v>
      </c>
      <c r="B357">
        <v>0</v>
      </c>
      <c r="C357">
        <v>29</v>
      </c>
      <c r="D357">
        <v>14</v>
      </c>
      <c r="E357" t="str">
        <f t="shared" si="5"/>
        <v>2914</v>
      </c>
      <c r="F357">
        <v>48065</v>
      </c>
      <c r="G357">
        <v>32797</v>
      </c>
    </row>
    <row r="358" spans="1:7">
      <c r="A358">
        <v>208</v>
      </c>
      <c r="B358">
        <v>0</v>
      </c>
      <c r="C358">
        <v>29</v>
      </c>
      <c r="D358">
        <v>15</v>
      </c>
      <c r="E358" t="str">
        <f t="shared" si="5"/>
        <v>2915</v>
      </c>
      <c r="F358">
        <v>52143</v>
      </c>
      <c r="G358">
        <v>35715</v>
      </c>
    </row>
    <row r="359" spans="1:7">
      <c r="A359">
        <v>208</v>
      </c>
      <c r="B359">
        <v>0</v>
      </c>
      <c r="C359">
        <v>29</v>
      </c>
      <c r="D359">
        <v>16</v>
      </c>
      <c r="E359" t="str">
        <f t="shared" si="5"/>
        <v>2916</v>
      </c>
      <c r="F359">
        <v>56219</v>
      </c>
      <c r="G359">
        <v>38691</v>
      </c>
    </row>
    <row r="360" spans="1:7">
      <c r="A360">
        <v>208</v>
      </c>
      <c r="B360">
        <v>0</v>
      </c>
      <c r="C360">
        <v>29</v>
      </c>
      <c r="D360">
        <v>17</v>
      </c>
      <c r="E360" t="str">
        <f t="shared" si="5"/>
        <v>2917</v>
      </c>
      <c r="F360">
        <v>60278</v>
      </c>
      <c r="G360">
        <v>41728</v>
      </c>
    </row>
    <row r="361" spans="1:7">
      <c r="A361">
        <v>208</v>
      </c>
      <c r="B361">
        <v>0</v>
      </c>
      <c r="C361">
        <v>29</v>
      </c>
      <c r="D361">
        <v>18</v>
      </c>
      <c r="E361" t="str">
        <f t="shared" si="5"/>
        <v>2918</v>
      </c>
      <c r="F361">
        <v>64302</v>
      </c>
      <c r="G361">
        <v>44827</v>
      </c>
    </row>
    <row r="362" spans="1:7">
      <c r="A362">
        <v>208</v>
      </c>
      <c r="B362">
        <v>0</v>
      </c>
      <c r="C362">
        <v>29</v>
      </c>
      <c r="D362">
        <v>19</v>
      </c>
      <c r="E362" t="str">
        <f t="shared" si="5"/>
        <v>2919</v>
      </c>
      <c r="F362">
        <v>68275</v>
      </c>
      <c r="G362">
        <v>47988</v>
      </c>
    </row>
    <row r="363" spans="1:7">
      <c r="A363">
        <v>208</v>
      </c>
      <c r="B363">
        <v>0</v>
      </c>
      <c r="C363">
        <v>29</v>
      </c>
      <c r="D363">
        <v>20</v>
      </c>
      <c r="E363" t="str">
        <f t="shared" si="5"/>
        <v>2920</v>
      </c>
      <c r="F363">
        <v>72174</v>
      </c>
      <c r="G363">
        <v>51969</v>
      </c>
    </row>
    <row r="364" spans="1:7">
      <c r="A364">
        <v>208</v>
      </c>
      <c r="B364">
        <v>0</v>
      </c>
      <c r="C364">
        <v>29</v>
      </c>
      <c r="D364">
        <v>21</v>
      </c>
      <c r="E364" t="str">
        <f t="shared" si="5"/>
        <v>2921</v>
      </c>
      <c r="F364">
        <v>75979</v>
      </c>
      <c r="G364">
        <v>56109</v>
      </c>
    </row>
    <row r="365" spans="1:7">
      <c r="A365">
        <v>208</v>
      </c>
      <c r="B365">
        <v>0</v>
      </c>
      <c r="C365">
        <v>29</v>
      </c>
      <c r="D365">
        <v>22</v>
      </c>
      <c r="E365" t="str">
        <f t="shared" si="5"/>
        <v>2922</v>
      </c>
      <c r="F365">
        <v>79669</v>
      </c>
      <c r="G365">
        <v>60411</v>
      </c>
    </row>
    <row r="366" spans="1:7">
      <c r="A366">
        <v>208</v>
      </c>
      <c r="B366">
        <v>0</v>
      </c>
      <c r="C366">
        <v>29</v>
      </c>
      <c r="D366">
        <v>23</v>
      </c>
      <c r="E366" t="str">
        <f t="shared" si="5"/>
        <v>2923</v>
      </c>
      <c r="F366">
        <v>83219</v>
      </c>
      <c r="G366">
        <v>64879</v>
      </c>
    </row>
    <row r="367" spans="1:7">
      <c r="A367">
        <v>208</v>
      </c>
      <c r="B367">
        <v>0</v>
      </c>
      <c r="C367">
        <v>29</v>
      </c>
      <c r="D367">
        <v>24</v>
      </c>
      <c r="E367" t="str">
        <f t="shared" si="5"/>
        <v>2924</v>
      </c>
      <c r="F367">
        <v>86606</v>
      </c>
      <c r="G367">
        <v>69517</v>
      </c>
    </row>
    <row r="368" spans="1:7">
      <c r="A368">
        <v>208</v>
      </c>
      <c r="B368">
        <v>0</v>
      </c>
      <c r="C368">
        <v>29</v>
      </c>
      <c r="D368">
        <v>25</v>
      </c>
      <c r="E368" t="str">
        <f t="shared" si="5"/>
        <v>2925</v>
      </c>
      <c r="F368">
        <v>89803</v>
      </c>
      <c r="G368">
        <v>74326</v>
      </c>
    </row>
    <row r="369" spans="1:7">
      <c r="A369">
        <v>208</v>
      </c>
      <c r="B369">
        <v>0</v>
      </c>
      <c r="C369">
        <v>29</v>
      </c>
      <c r="D369">
        <v>26</v>
      </c>
      <c r="E369" t="str">
        <f t="shared" si="5"/>
        <v>2926</v>
      </c>
      <c r="F369">
        <v>92790</v>
      </c>
      <c r="G369">
        <v>79311</v>
      </c>
    </row>
    <row r="370" spans="1:7">
      <c r="A370">
        <v>208</v>
      </c>
      <c r="B370">
        <v>0</v>
      </c>
      <c r="C370">
        <v>29</v>
      </c>
      <c r="D370">
        <v>27</v>
      </c>
      <c r="E370" t="str">
        <f t="shared" si="5"/>
        <v>2927</v>
      </c>
      <c r="F370">
        <v>95548</v>
      </c>
      <c r="G370">
        <v>84476</v>
      </c>
    </row>
    <row r="371" spans="1:7">
      <c r="A371">
        <v>208</v>
      </c>
      <c r="B371">
        <v>0</v>
      </c>
      <c r="C371">
        <v>29</v>
      </c>
      <c r="D371">
        <v>28</v>
      </c>
      <c r="E371" t="str">
        <f t="shared" si="5"/>
        <v>2928</v>
      </c>
      <c r="F371">
        <v>97962</v>
      </c>
      <c r="G371">
        <v>89742</v>
      </c>
    </row>
    <row r="372" spans="1:7">
      <c r="A372">
        <v>208</v>
      </c>
      <c r="B372">
        <v>0</v>
      </c>
      <c r="C372">
        <v>30</v>
      </c>
      <c r="D372">
        <v>1</v>
      </c>
      <c r="E372" t="str">
        <f t="shared" si="5"/>
        <v>301</v>
      </c>
      <c r="F372">
        <v>658</v>
      </c>
      <c r="G372">
        <v>525</v>
      </c>
    </row>
    <row r="373" spans="1:7">
      <c r="A373">
        <v>208</v>
      </c>
      <c r="B373">
        <v>0</v>
      </c>
      <c r="C373">
        <v>30</v>
      </c>
      <c r="D373">
        <v>2</v>
      </c>
      <c r="E373" t="str">
        <f t="shared" si="5"/>
        <v>302</v>
      </c>
      <c r="F373">
        <v>2502</v>
      </c>
      <c r="G373">
        <v>1950</v>
      </c>
    </row>
    <row r="374" spans="1:7">
      <c r="A374">
        <v>208</v>
      </c>
      <c r="B374">
        <v>0</v>
      </c>
      <c r="C374">
        <v>30</v>
      </c>
      <c r="D374">
        <v>3</v>
      </c>
      <c r="E374" t="str">
        <f t="shared" si="5"/>
        <v>303</v>
      </c>
      <c r="F374">
        <v>5732</v>
      </c>
      <c r="G374">
        <v>4223</v>
      </c>
    </row>
    <row r="375" spans="1:7">
      <c r="A375">
        <v>208</v>
      </c>
      <c r="B375">
        <v>0</v>
      </c>
      <c r="C375">
        <v>30</v>
      </c>
      <c r="D375">
        <v>4</v>
      </c>
      <c r="E375" t="str">
        <f t="shared" si="5"/>
        <v>304</v>
      </c>
      <c r="F375">
        <v>9049</v>
      </c>
      <c r="G375">
        <v>6361</v>
      </c>
    </row>
    <row r="376" spans="1:7">
      <c r="A376">
        <v>208</v>
      </c>
      <c r="B376">
        <v>0</v>
      </c>
      <c r="C376">
        <v>30</v>
      </c>
      <c r="D376">
        <v>5</v>
      </c>
      <c r="E376" t="str">
        <f t="shared" si="5"/>
        <v>305</v>
      </c>
      <c r="F376">
        <v>12449</v>
      </c>
      <c r="G376">
        <v>8611</v>
      </c>
    </row>
    <row r="377" spans="1:7">
      <c r="A377">
        <v>208</v>
      </c>
      <c r="B377">
        <v>0</v>
      </c>
      <c r="C377">
        <v>30</v>
      </c>
      <c r="D377">
        <v>6</v>
      </c>
      <c r="E377" t="str">
        <f t="shared" si="5"/>
        <v>306</v>
      </c>
      <c r="F377">
        <v>15930</v>
      </c>
      <c r="G377">
        <v>10921</v>
      </c>
    </row>
    <row r="378" spans="1:7">
      <c r="A378">
        <v>208</v>
      </c>
      <c r="B378">
        <v>0</v>
      </c>
      <c r="C378">
        <v>30</v>
      </c>
      <c r="D378">
        <v>7</v>
      </c>
      <c r="E378" t="str">
        <f t="shared" si="5"/>
        <v>307</v>
      </c>
      <c r="F378">
        <v>19486</v>
      </c>
      <c r="G378">
        <v>13283</v>
      </c>
    </row>
    <row r="379" spans="1:7">
      <c r="A379">
        <v>208</v>
      </c>
      <c r="B379">
        <v>0</v>
      </c>
      <c r="C379">
        <v>30</v>
      </c>
      <c r="D379">
        <v>8</v>
      </c>
      <c r="E379" t="str">
        <f t="shared" si="5"/>
        <v>308</v>
      </c>
      <c r="F379">
        <v>23112</v>
      </c>
      <c r="G379">
        <v>15696</v>
      </c>
    </row>
    <row r="380" spans="1:7">
      <c r="A380">
        <v>208</v>
      </c>
      <c r="B380">
        <v>0</v>
      </c>
      <c r="C380">
        <v>30</v>
      </c>
      <c r="D380">
        <v>9</v>
      </c>
      <c r="E380" t="str">
        <f t="shared" si="5"/>
        <v>309</v>
      </c>
      <c r="F380">
        <v>26804</v>
      </c>
      <c r="G380">
        <v>18159</v>
      </c>
    </row>
    <row r="381" spans="1:7">
      <c r="A381">
        <v>208</v>
      </c>
      <c r="B381">
        <v>0</v>
      </c>
      <c r="C381">
        <v>30</v>
      </c>
      <c r="D381">
        <v>10</v>
      </c>
      <c r="E381" t="str">
        <f t="shared" si="5"/>
        <v>3010</v>
      </c>
      <c r="F381">
        <v>30555</v>
      </c>
      <c r="G381">
        <v>20673</v>
      </c>
    </row>
    <row r="382" spans="1:7">
      <c r="A382">
        <v>208</v>
      </c>
      <c r="B382">
        <v>0</v>
      </c>
      <c r="C382">
        <v>30</v>
      </c>
      <c r="D382">
        <v>11</v>
      </c>
      <c r="E382" t="str">
        <f t="shared" si="5"/>
        <v>3011</v>
      </c>
      <c r="F382">
        <v>34360</v>
      </c>
      <c r="G382">
        <v>23239</v>
      </c>
    </row>
    <row r="383" spans="1:7">
      <c r="A383">
        <v>208</v>
      </c>
      <c r="B383">
        <v>0</v>
      </c>
      <c r="C383">
        <v>30</v>
      </c>
      <c r="D383">
        <v>12</v>
      </c>
      <c r="E383" t="str">
        <f t="shared" si="5"/>
        <v>3012</v>
      </c>
      <c r="F383">
        <v>38211</v>
      </c>
      <c r="G383">
        <v>25857</v>
      </c>
    </row>
    <row r="384" spans="1:7">
      <c r="A384">
        <v>208</v>
      </c>
      <c r="B384">
        <v>0</v>
      </c>
      <c r="C384">
        <v>30</v>
      </c>
      <c r="D384">
        <v>13</v>
      </c>
      <c r="E384" t="str">
        <f t="shared" si="5"/>
        <v>3013</v>
      </c>
      <c r="F384">
        <v>42103</v>
      </c>
      <c r="G384">
        <v>28528</v>
      </c>
    </row>
    <row r="385" spans="1:7">
      <c r="A385">
        <v>208</v>
      </c>
      <c r="B385">
        <v>0</v>
      </c>
      <c r="C385">
        <v>30</v>
      </c>
      <c r="D385">
        <v>14</v>
      </c>
      <c r="E385" t="str">
        <f t="shared" si="5"/>
        <v>3014</v>
      </c>
      <c r="F385">
        <v>46028</v>
      </c>
      <c r="G385">
        <v>31254</v>
      </c>
    </row>
    <row r="386" spans="1:7">
      <c r="A386">
        <v>208</v>
      </c>
      <c r="B386">
        <v>0</v>
      </c>
      <c r="C386">
        <v>30</v>
      </c>
      <c r="D386">
        <v>15</v>
      </c>
      <c r="E386" t="str">
        <f t="shared" si="5"/>
        <v>3015</v>
      </c>
      <c r="F386">
        <v>49976</v>
      </c>
      <c r="G386">
        <v>34035</v>
      </c>
    </row>
    <row r="387" spans="1:7">
      <c r="A387">
        <v>208</v>
      </c>
      <c r="B387">
        <v>0</v>
      </c>
      <c r="C387">
        <v>30</v>
      </c>
      <c r="D387">
        <v>16</v>
      </c>
      <c r="E387" t="str">
        <f t="shared" ref="E387:E450" si="6">CONCATENATE(C387,D387)</f>
        <v>3016</v>
      </c>
      <c r="F387">
        <v>53933</v>
      </c>
      <c r="G387">
        <v>36872</v>
      </c>
    </row>
    <row r="388" spans="1:7">
      <c r="A388">
        <v>208</v>
      </c>
      <c r="B388">
        <v>0</v>
      </c>
      <c r="C388">
        <v>30</v>
      </c>
      <c r="D388">
        <v>17</v>
      </c>
      <c r="E388" t="str">
        <f t="shared" si="6"/>
        <v>3017</v>
      </c>
      <c r="F388">
        <v>57886</v>
      </c>
      <c r="G388">
        <v>39766</v>
      </c>
    </row>
    <row r="389" spans="1:7">
      <c r="A389">
        <v>208</v>
      </c>
      <c r="B389">
        <v>0</v>
      </c>
      <c r="C389">
        <v>30</v>
      </c>
      <c r="D389">
        <v>18</v>
      </c>
      <c r="E389" t="str">
        <f t="shared" si="6"/>
        <v>3018</v>
      </c>
      <c r="F389">
        <v>61819</v>
      </c>
      <c r="G389">
        <v>42718</v>
      </c>
    </row>
    <row r="390" spans="1:7">
      <c r="A390">
        <v>208</v>
      </c>
      <c r="B390">
        <v>0</v>
      </c>
      <c r="C390">
        <v>30</v>
      </c>
      <c r="D390">
        <v>19</v>
      </c>
      <c r="E390" t="str">
        <f t="shared" si="6"/>
        <v>3019</v>
      </c>
      <c r="F390">
        <v>65715</v>
      </c>
      <c r="G390">
        <v>45730</v>
      </c>
    </row>
    <row r="391" spans="1:7">
      <c r="A391">
        <v>208</v>
      </c>
      <c r="B391">
        <v>0</v>
      </c>
      <c r="C391">
        <v>30</v>
      </c>
      <c r="D391">
        <v>20</v>
      </c>
      <c r="E391" t="str">
        <f t="shared" si="6"/>
        <v>3020</v>
      </c>
      <c r="F391">
        <v>69558</v>
      </c>
      <c r="G391">
        <v>48803</v>
      </c>
    </row>
    <row r="392" spans="1:7">
      <c r="A392">
        <v>208</v>
      </c>
      <c r="B392">
        <v>0</v>
      </c>
      <c r="C392">
        <v>30</v>
      </c>
      <c r="D392">
        <v>21</v>
      </c>
      <c r="E392" t="str">
        <f t="shared" si="6"/>
        <v>3021</v>
      </c>
      <c r="F392">
        <v>73326</v>
      </c>
      <c r="G392">
        <v>52715</v>
      </c>
    </row>
    <row r="393" spans="1:7">
      <c r="A393">
        <v>208</v>
      </c>
      <c r="B393">
        <v>0</v>
      </c>
      <c r="C393">
        <v>30</v>
      </c>
      <c r="D393">
        <v>22</v>
      </c>
      <c r="E393" t="str">
        <f t="shared" si="6"/>
        <v>3022</v>
      </c>
      <c r="F393">
        <v>76998</v>
      </c>
      <c r="G393">
        <v>56783</v>
      </c>
    </row>
    <row r="394" spans="1:7">
      <c r="A394">
        <v>208</v>
      </c>
      <c r="B394">
        <v>0</v>
      </c>
      <c r="C394">
        <v>30</v>
      </c>
      <c r="D394">
        <v>23</v>
      </c>
      <c r="E394" t="str">
        <f t="shared" si="6"/>
        <v>3023</v>
      </c>
      <c r="F394">
        <v>80555</v>
      </c>
      <c r="G394">
        <v>61011</v>
      </c>
    </row>
    <row r="395" spans="1:7">
      <c r="A395">
        <v>208</v>
      </c>
      <c r="B395">
        <v>0</v>
      </c>
      <c r="C395">
        <v>30</v>
      </c>
      <c r="D395">
        <v>24</v>
      </c>
      <c r="E395" t="str">
        <f t="shared" si="6"/>
        <v>3024</v>
      </c>
      <c r="F395">
        <v>83973</v>
      </c>
      <c r="G395">
        <v>65401</v>
      </c>
    </row>
    <row r="396" spans="1:7">
      <c r="A396">
        <v>208</v>
      </c>
      <c r="B396">
        <v>0</v>
      </c>
      <c r="C396">
        <v>30</v>
      </c>
      <c r="D396">
        <v>25</v>
      </c>
      <c r="E396" t="str">
        <f t="shared" si="6"/>
        <v>3025</v>
      </c>
      <c r="F396">
        <v>87227</v>
      </c>
      <c r="G396">
        <v>69957</v>
      </c>
    </row>
    <row r="397" spans="1:7">
      <c r="A397">
        <v>208</v>
      </c>
      <c r="B397">
        <v>0</v>
      </c>
      <c r="C397">
        <v>30</v>
      </c>
      <c r="D397">
        <v>26</v>
      </c>
      <c r="E397" t="str">
        <f t="shared" si="6"/>
        <v>3026</v>
      </c>
      <c r="F397">
        <v>90293</v>
      </c>
      <c r="G397">
        <v>74683</v>
      </c>
    </row>
    <row r="398" spans="1:7">
      <c r="A398">
        <v>208</v>
      </c>
      <c r="B398">
        <v>0</v>
      </c>
      <c r="C398">
        <v>30</v>
      </c>
      <c r="D398">
        <v>27</v>
      </c>
      <c r="E398" t="str">
        <f t="shared" si="6"/>
        <v>3027</v>
      </c>
      <c r="F398">
        <v>93152</v>
      </c>
      <c r="G398">
        <v>79581</v>
      </c>
    </row>
    <row r="399" spans="1:7">
      <c r="A399">
        <v>208</v>
      </c>
      <c r="B399">
        <v>0</v>
      </c>
      <c r="C399">
        <v>30</v>
      </c>
      <c r="D399">
        <v>28</v>
      </c>
      <c r="E399" t="str">
        <f t="shared" si="6"/>
        <v>3028</v>
      </c>
      <c r="F399">
        <v>95783</v>
      </c>
      <c r="G399">
        <v>84656</v>
      </c>
    </row>
    <row r="400" spans="1:7">
      <c r="A400">
        <v>208</v>
      </c>
      <c r="B400">
        <v>0</v>
      </c>
      <c r="C400">
        <v>30</v>
      </c>
      <c r="D400">
        <v>29</v>
      </c>
      <c r="E400" t="str">
        <f t="shared" si="6"/>
        <v>3029</v>
      </c>
      <c r="F400">
        <v>98076</v>
      </c>
      <c r="G400">
        <v>89833</v>
      </c>
    </row>
    <row r="401" spans="1:7">
      <c r="A401">
        <v>208</v>
      </c>
      <c r="B401">
        <v>0</v>
      </c>
      <c r="C401">
        <v>31</v>
      </c>
      <c r="D401">
        <v>1</v>
      </c>
      <c r="E401" t="str">
        <f t="shared" si="6"/>
        <v>311</v>
      </c>
      <c r="F401">
        <v>625</v>
      </c>
      <c r="G401">
        <v>501</v>
      </c>
    </row>
    <row r="402" spans="1:7">
      <c r="A402">
        <v>208</v>
      </c>
      <c r="B402">
        <v>0</v>
      </c>
      <c r="C402">
        <v>31</v>
      </c>
      <c r="D402">
        <v>2</v>
      </c>
      <c r="E402" t="str">
        <f t="shared" si="6"/>
        <v>312</v>
      </c>
      <c r="F402">
        <v>2380</v>
      </c>
      <c r="G402">
        <v>1862</v>
      </c>
    </row>
    <row r="403" spans="1:7">
      <c r="A403">
        <v>208</v>
      </c>
      <c r="B403">
        <v>0</v>
      </c>
      <c r="C403">
        <v>31</v>
      </c>
      <c r="D403">
        <v>3</v>
      </c>
      <c r="E403" t="str">
        <f t="shared" si="6"/>
        <v>313</v>
      </c>
      <c r="F403">
        <v>5455</v>
      </c>
      <c r="G403">
        <v>4029</v>
      </c>
    </row>
    <row r="404" spans="1:7">
      <c r="A404">
        <v>208</v>
      </c>
      <c r="B404">
        <v>0</v>
      </c>
      <c r="C404">
        <v>31</v>
      </c>
      <c r="D404">
        <v>4</v>
      </c>
      <c r="E404" t="str">
        <f t="shared" si="6"/>
        <v>314</v>
      </c>
      <c r="F404">
        <v>8616</v>
      </c>
      <c r="G404">
        <v>6069</v>
      </c>
    </row>
    <row r="405" spans="1:7">
      <c r="A405">
        <v>208</v>
      </c>
      <c r="B405">
        <v>0</v>
      </c>
      <c r="C405">
        <v>31</v>
      </c>
      <c r="D405">
        <v>5</v>
      </c>
      <c r="E405" t="str">
        <f t="shared" si="6"/>
        <v>315</v>
      </c>
      <c r="F405">
        <v>11860</v>
      </c>
      <c r="G405">
        <v>8216</v>
      </c>
    </row>
    <row r="406" spans="1:7">
      <c r="A406">
        <v>208</v>
      </c>
      <c r="B406">
        <v>0</v>
      </c>
      <c r="C406">
        <v>31</v>
      </c>
      <c r="D406">
        <v>6</v>
      </c>
      <c r="E406" t="str">
        <f t="shared" si="6"/>
        <v>316</v>
      </c>
      <c r="F406">
        <v>15184</v>
      </c>
      <c r="G406">
        <v>10420</v>
      </c>
    </row>
    <row r="407" spans="1:7">
      <c r="A407">
        <v>208</v>
      </c>
      <c r="B407">
        <v>0</v>
      </c>
      <c r="C407">
        <v>31</v>
      </c>
      <c r="D407">
        <v>7</v>
      </c>
      <c r="E407" t="str">
        <f t="shared" si="6"/>
        <v>317</v>
      </c>
      <c r="F407">
        <v>18584</v>
      </c>
      <c r="G407">
        <v>12674</v>
      </c>
    </row>
    <row r="408" spans="1:7">
      <c r="A408">
        <v>208</v>
      </c>
      <c r="B408">
        <v>0</v>
      </c>
      <c r="C408">
        <v>31</v>
      </c>
      <c r="D408">
        <v>8</v>
      </c>
      <c r="E408" t="str">
        <f t="shared" si="6"/>
        <v>318</v>
      </c>
      <c r="F408">
        <v>22056</v>
      </c>
      <c r="G408">
        <v>14976</v>
      </c>
    </row>
    <row r="409" spans="1:7">
      <c r="A409">
        <v>208</v>
      </c>
      <c r="B409">
        <v>0</v>
      </c>
      <c r="C409">
        <v>31</v>
      </c>
      <c r="D409">
        <v>9</v>
      </c>
      <c r="E409" t="str">
        <f t="shared" si="6"/>
        <v>319</v>
      </c>
      <c r="F409">
        <v>25595</v>
      </c>
      <c r="G409">
        <v>17327</v>
      </c>
    </row>
    <row r="410" spans="1:7">
      <c r="A410">
        <v>208</v>
      </c>
      <c r="B410">
        <v>0</v>
      </c>
      <c r="C410">
        <v>31</v>
      </c>
      <c r="D410">
        <v>10</v>
      </c>
      <c r="E410" t="str">
        <f t="shared" si="6"/>
        <v>3110</v>
      </c>
      <c r="F410">
        <v>29195</v>
      </c>
      <c r="G410">
        <v>19725</v>
      </c>
    </row>
    <row r="411" spans="1:7">
      <c r="A411">
        <v>208</v>
      </c>
      <c r="B411">
        <v>0</v>
      </c>
      <c r="C411">
        <v>31</v>
      </c>
      <c r="D411">
        <v>11</v>
      </c>
      <c r="E411" t="str">
        <f t="shared" si="6"/>
        <v>3111</v>
      </c>
      <c r="F411">
        <v>32852</v>
      </c>
      <c r="G411">
        <v>22173</v>
      </c>
    </row>
    <row r="412" spans="1:7">
      <c r="A412">
        <v>208</v>
      </c>
      <c r="B412">
        <v>0</v>
      </c>
      <c r="C412">
        <v>31</v>
      </c>
      <c r="D412">
        <v>12</v>
      </c>
      <c r="E412" t="str">
        <f t="shared" si="6"/>
        <v>3112</v>
      </c>
      <c r="F412">
        <v>36558</v>
      </c>
      <c r="G412">
        <v>24671</v>
      </c>
    </row>
    <row r="413" spans="1:7">
      <c r="A413">
        <v>208</v>
      </c>
      <c r="B413">
        <v>0</v>
      </c>
      <c r="C413">
        <v>31</v>
      </c>
      <c r="D413">
        <v>13</v>
      </c>
      <c r="E413" t="str">
        <f t="shared" si="6"/>
        <v>3113</v>
      </c>
      <c r="F413">
        <v>40308</v>
      </c>
      <c r="G413">
        <v>27219</v>
      </c>
    </row>
    <row r="414" spans="1:7">
      <c r="A414">
        <v>208</v>
      </c>
      <c r="B414">
        <v>0</v>
      </c>
      <c r="C414">
        <v>31</v>
      </c>
      <c r="D414">
        <v>14</v>
      </c>
      <c r="E414" t="str">
        <f t="shared" si="6"/>
        <v>3114</v>
      </c>
      <c r="F414">
        <v>44096</v>
      </c>
      <c r="G414">
        <v>29820</v>
      </c>
    </row>
    <row r="415" spans="1:7">
      <c r="A415">
        <v>208</v>
      </c>
      <c r="B415">
        <v>0</v>
      </c>
      <c r="C415">
        <v>31</v>
      </c>
      <c r="D415">
        <v>15</v>
      </c>
      <c r="E415" t="str">
        <f t="shared" si="6"/>
        <v>3115</v>
      </c>
      <c r="F415">
        <v>47915</v>
      </c>
      <c r="G415">
        <v>32473</v>
      </c>
    </row>
    <row r="416" spans="1:7">
      <c r="A416">
        <v>208</v>
      </c>
      <c r="B416">
        <v>0</v>
      </c>
      <c r="C416">
        <v>31</v>
      </c>
      <c r="D416">
        <v>16</v>
      </c>
      <c r="E416" t="str">
        <f t="shared" si="6"/>
        <v>3116</v>
      </c>
      <c r="F416">
        <v>51753</v>
      </c>
      <c r="G416">
        <v>35180</v>
      </c>
    </row>
    <row r="417" spans="1:7">
      <c r="A417">
        <v>208</v>
      </c>
      <c r="B417">
        <v>0</v>
      </c>
      <c r="C417">
        <v>31</v>
      </c>
      <c r="D417">
        <v>17</v>
      </c>
      <c r="E417" t="str">
        <f t="shared" si="6"/>
        <v>3117</v>
      </c>
      <c r="F417">
        <v>55598</v>
      </c>
      <c r="G417">
        <v>37941</v>
      </c>
    </row>
    <row r="418" spans="1:7">
      <c r="A418">
        <v>208</v>
      </c>
      <c r="B418">
        <v>0</v>
      </c>
      <c r="C418">
        <v>31</v>
      </c>
      <c r="D418">
        <v>18</v>
      </c>
      <c r="E418" t="str">
        <f t="shared" si="6"/>
        <v>3118</v>
      </c>
      <c r="F418">
        <v>59435</v>
      </c>
      <c r="G418">
        <v>40757</v>
      </c>
    </row>
    <row r="419" spans="1:7">
      <c r="A419">
        <v>208</v>
      </c>
      <c r="B419">
        <v>0</v>
      </c>
      <c r="C419">
        <v>31</v>
      </c>
      <c r="D419">
        <v>19</v>
      </c>
      <c r="E419" t="str">
        <f t="shared" si="6"/>
        <v>3119</v>
      </c>
      <c r="F419">
        <v>63251</v>
      </c>
      <c r="G419">
        <v>43631</v>
      </c>
    </row>
    <row r="420" spans="1:7">
      <c r="A420">
        <v>208</v>
      </c>
      <c r="B420">
        <v>0</v>
      </c>
      <c r="C420">
        <v>31</v>
      </c>
      <c r="D420">
        <v>20</v>
      </c>
      <c r="E420" t="str">
        <f t="shared" si="6"/>
        <v>3120</v>
      </c>
      <c r="F420">
        <v>67028</v>
      </c>
      <c r="G420">
        <v>46562</v>
      </c>
    </row>
    <row r="421" spans="1:7">
      <c r="A421">
        <v>208</v>
      </c>
      <c r="B421">
        <v>0</v>
      </c>
      <c r="C421">
        <v>31</v>
      </c>
      <c r="D421">
        <v>21</v>
      </c>
      <c r="E421" t="str">
        <f t="shared" si="6"/>
        <v>3121</v>
      </c>
      <c r="F421">
        <v>70750</v>
      </c>
      <c r="G421">
        <v>49553</v>
      </c>
    </row>
    <row r="422" spans="1:7">
      <c r="A422">
        <v>208</v>
      </c>
      <c r="B422">
        <v>0</v>
      </c>
      <c r="C422">
        <v>31</v>
      </c>
      <c r="D422">
        <v>22</v>
      </c>
      <c r="E422" t="str">
        <f t="shared" si="6"/>
        <v>3122</v>
      </c>
      <c r="F422">
        <v>74396</v>
      </c>
      <c r="G422">
        <v>53402</v>
      </c>
    </row>
    <row r="423" spans="1:7">
      <c r="A423">
        <v>208</v>
      </c>
      <c r="B423">
        <v>0</v>
      </c>
      <c r="C423">
        <v>31</v>
      </c>
      <c r="D423">
        <v>23</v>
      </c>
      <c r="E423" t="str">
        <f t="shared" si="6"/>
        <v>3123</v>
      </c>
      <c r="F423">
        <v>77945</v>
      </c>
      <c r="G423">
        <v>57403</v>
      </c>
    </row>
    <row r="424" spans="1:7">
      <c r="A424">
        <v>208</v>
      </c>
      <c r="B424">
        <v>0</v>
      </c>
      <c r="C424">
        <v>31</v>
      </c>
      <c r="D424">
        <v>24</v>
      </c>
      <c r="E424" t="str">
        <f t="shared" si="6"/>
        <v>3124</v>
      </c>
      <c r="F424">
        <v>81379</v>
      </c>
      <c r="G424">
        <v>61562</v>
      </c>
    </row>
    <row r="425" spans="1:7">
      <c r="A425">
        <v>208</v>
      </c>
      <c r="B425">
        <v>0</v>
      </c>
      <c r="C425">
        <v>31</v>
      </c>
      <c r="D425">
        <v>25</v>
      </c>
      <c r="E425" t="str">
        <f t="shared" si="6"/>
        <v>3125</v>
      </c>
      <c r="F425">
        <v>84673</v>
      </c>
      <c r="G425">
        <v>65881</v>
      </c>
    </row>
    <row r="426" spans="1:7">
      <c r="A426">
        <v>208</v>
      </c>
      <c r="B426">
        <v>0</v>
      </c>
      <c r="C426">
        <v>31</v>
      </c>
      <c r="D426">
        <v>26</v>
      </c>
      <c r="E426" t="str">
        <f t="shared" si="6"/>
        <v>3126</v>
      </c>
      <c r="F426">
        <v>87804</v>
      </c>
      <c r="G426">
        <v>70363</v>
      </c>
    </row>
    <row r="427" spans="1:7">
      <c r="A427">
        <v>208</v>
      </c>
      <c r="B427">
        <v>0</v>
      </c>
      <c r="C427">
        <v>31</v>
      </c>
      <c r="D427">
        <v>27</v>
      </c>
      <c r="E427" t="str">
        <f t="shared" si="6"/>
        <v>3127</v>
      </c>
      <c r="F427">
        <v>90748</v>
      </c>
      <c r="G427">
        <v>75011</v>
      </c>
    </row>
    <row r="428" spans="1:7">
      <c r="A428">
        <v>208</v>
      </c>
      <c r="B428">
        <v>0</v>
      </c>
      <c r="C428">
        <v>31</v>
      </c>
      <c r="D428">
        <v>28</v>
      </c>
      <c r="E428" t="str">
        <f t="shared" si="6"/>
        <v>3128</v>
      </c>
      <c r="F428">
        <v>93487</v>
      </c>
      <c r="G428">
        <v>79830</v>
      </c>
    </row>
    <row r="429" spans="1:7">
      <c r="A429">
        <v>208</v>
      </c>
      <c r="B429">
        <v>0</v>
      </c>
      <c r="C429">
        <v>31</v>
      </c>
      <c r="D429">
        <v>29</v>
      </c>
      <c r="E429" t="str">
        <f t="shared" si="6"/>
        <v>3129</v>
      </c>
      <c r="F429">
        <v>96001</v>
      </c>
      <c r="G429">
        <v>84823</v>
      </c>
    </row>
    <row r="430" spans="1:7">
      <c r="A430">
        <v>208</v>
      </c>
      <c r="B430">
        <v>0</v>
      </c>
      <c r="C430">
        <v>31</v>
      </c>
      <c r="D430">
        <v>30</v>
      </c>
      <c r="E430" t="str">
        <f t="shared" si="6"/>
        <v>3130</v>
      </c>
      <c r="F430">
        <v>98182</v>
      </c>
      <c r="G430">
        <v>89916</v>
      </c>
    </row>
    <row r="431" spans="1:7">
      <c r="A431">
        <v>208</v>
      </c>
      <c r="B431">
        <v>0</v>
      </c>
      <c r="C431">
        <v>32</v>
      </c>
      <c r="D431">
        <v>1</v>
      </c>
      <c r="E431" t="str">
        <f t="shared" si="6"/>
        <v>321</v>
      </c>
      <c r="F431">
        <v>593</v>
      </c>
      <c r="G431">
        <v>478</v>
      </c>
    </row>
    <row r="432" spans="1:7">
      <c r="A432">
        <v>208</v>
      </c>
      <c r="B432">
        <v>0</v>
      </c>
      <c r="C432">
        <v>32</v>
      </c>
      <c r="D432">
        <v>2</v>
      </c>
      <c r="E432" t="str">
        <f t="shared" si="6"/>
        <v>322</v>
      </c>
      <c r="F432">
        <v>2265</v>
      </c>
      <c r="G432">
        <v>1780</v>
      </c>
    </row>
    <row r="433" spans="1:7">
      <c r="A433">
        <v>208</v>
      </c>
      <c r="B433">
        <v>0</v>
      </c>
      <c r="C433">
        <v>32</v>
      </c>
      <c r="D433">
        <v>3</v>
      </c>
      <c r="E433" t="str">
        <f t="shared" si="6"/>
        <v>323</v>
      </c>
      <c r="F433">
        <v>5194</v>
      </c>
      <c r="G433">
        <v>3849</v>
      </c>
    </row>
    <row r="434" spans="1:7">
      <c r="A434">
        <v>208</v>
      </c>
      <c r="B434">
        <v>0</v>
      </c>
      <c r="C434">
        <v>32</v>
      </c>
      <c r="D434">
        <v>4</v>
      </c>
      <c r="E434" t="str">
        <f t="shared" si="6"/>
        <v>324</v>
      </c>
      <c r="F434">
        <v>8208</v>
      </c>
      <c r="G434">
        <v>5798</v>
      </c>
    </row>
    <row r="435" spans="1:7">
      <c r="A435">
        <v>208</v>
      </c>
      <c r="B435">
        <v>0</v>
      </c>
      <c r="C435">
        <v>32</v>
      </c>
      <c r="D435">
        <v>5</v>
      </c>
      <c r="E435" t="str">
        <f t="shared" si="6"/>
        <v>325</v>
      </c>
      <c r="F435">
        <v>11304</v>
      </c>
      <c r="G435">
        <v>7848</v>
      </c>
    </row>
    <row r="436" spans="1:7">
      <c r="A436">
        <v>208</v>
      </c>
      <c r="B436">
        <v>0</v>
      </c>
      <c r="C436">
        <v>32</v>
      </c>
      <c r="D436">
        <v>6</v>
      </c>
      <c r="E436" t="str">
        <f t="shared" si="6"/>
        <v>326</v>
      </c>
      <c r="F436">
        <v>14480</v>
      </c>
      <c r="G436">
        <v>9954</v>
      </c>
    </row>
    <row r="437" spans="1:7">
      <c r="A437">
        <v>208</v>
      </c>
      <c r="B437">
        <v>0</v>
      </c>
      <c r="C437">
        <v>32</v>
      </c>
      <c r="D437">
        <v>7</v>
      </c>
      <c r="E437" t="str">
        <f t="shared" si="6"/>
        <v>327</v>
      </c>
      <c r="F437">
        <v>17733</v>
      </c>
      <c r="G437">
        <v>12107</v>
      </c>
    </row>
    <row r="438" spans="1:7">
      <c r="A438">
        <v>208</v>
      </c>
      <c r="B438">
        <v>0</v>
      </c>
      <c r="C438">
        <v>32</v>
      </c>
      <c r="D438">
        <v>8</v>
      </c>
      <c r="E438" t="str">
        <f t="shared" si="6"/>
        <v>328</v>
      </c>
      <c r="F438">
        <v>21058</v>
      </c>
      <c r="G438">
        <v>14306</v>
      </c>
    </row>
    <row r="439" spans="1:7">
      <c r="A439">
        <v>208</v>
      </c>
      <c r="B439">
        <v>0</v>
      </c>
      <c r="C439">
        <v>32</v>
      </c>
      <c r="D439">
        <v>9</v>
      </c>
      <c r="E439" t="str">
        <f t="shared" si="6"/>
        <v>329</v>
      </c>
      <c r="F439">
        <v>24451</v>
      </c>
      <c r="G439">
        <v>16551</v>
      </c>
    </row>
    <row r="440" spans="1:7">
      <c r="A440">
        <v>208</v>
      </c>
      <c r="B440">
        <v>0</v>
      </c>
      <c r="C440">
        <v>32</v>
      </c>
      <c r="D440">
        <v>10</v>
      </c>
      <c r="E440" t="str">
        <f t="shared" si="6"/>
        <v>3210</v>
      </c>
      <c r="F440">
        <v>27909</v>
      </c>
      <c r="G440">
        <v>18842</v>
      </c>
    </row>
    <row r="441" spans="1:7">
      <c r="A441">
        <v>208</v>
      </c>
      <c r="B441">
        <v>0</v>
      </c>
      <c r="C441">
        <v>32</v>
      </c>
      <c r="D441">
        <v>11</v>
      </c>
      <c r="E441" t="str">
        <f t="shared" si="6"/>
        <v>3211</v>
      </c>
      <c r="F441">
        <v>31424</v>
      </c>
      <c r="G441">
        <v>21180</v>
      </c>
    </row>
    <row r="442" spans="1:7">
      <c r="A442">
        <v>208</v>
      </c>
      <c r="B442">
        <v>0</v>
      </c>
      <c r="C442">
        <v>32</v>
      </c>
      <c r="D442">
        <v>12</v>
      </c>
      <c r="E442" t="str">
        <f t="shared" si="6"/>
        <v>3212</v>
      </c>
      <c r="F442">
        <v>34993</v>
      </c>
      <c r="G442">
        <v>23566</v>
      </c>
    </row>
    <row r="443" spans="1:7">
      <c r="A443">
        <v>208</v>
      </c>
      <c r="B443">
        <v>0</v>
      </c>
      <c r="C443">
        <v>32</v>
      </c>
      <c r="D443">
        <v>13</v>
      </c>
      <c r="E443" t="str">
        <f t="shared" si="6"/>
        <v>3213</v>
      </c>
      <c r="F443">
        <v>38608</v>
      </c>
      <c r="G443">
        <v>26000</v>
      </c>
    </row>
    <row r="444" spans="1:7">
      <c r="A444">
        <v>208</v>
      </c>
      <c r="B444">
        <v>0</v>
      </c>
      <c r="C444">
        <v>32</v>
      </c>
      <c r="D444">
        <v>14</v>
      </c>
      <c r="E444" t="str">
        <f t="shared" si="6"/>
        <v>3214</v>
      </c>
      <c r="F444">
        <v>42263</v>
      </c>
      <c r="G444">
        <v>28483</v>
      </c>
    </row>
    <row r="445" spans="1:7">
      <c r="A445">
        <v>208</v>
      </c>
      <c r="B445">
        <v>0</v>
      </c>
      <c r="C445">
        <v>32</v>
      </c>
      <c r="D445">
        <v>15</v>
      </c>
      <c r="E445" t="str">
        <f t="shared" si="6"/>
        <v>3215</v>
      </c>
      <c r="F445">
        <v>45954</v>
      </c>
      <c r="G445">
        <v>31017</v>
      </c>
    </row>
    <row r="446" spans="1:7">
      <c r="A446">
        <v>208</v>
      </c>
      <c r="B446">
        <v>0</v>
      </c>
      <c r="C446">
        <v>32</v>
      </c>
      <c r="D446">
        <v>16</v>
      </c>
      <c r="E446" t="str">
        <f t="shared" si="6"/>
        <v>3216</v>
      </c>
      <c r="F446">
        <v>49673</v>
      </c>
      <c r="G446">
        <v>33603</v>
      </c>
    </row>
    <row r="447" spans="1:7">
      <c r="A447">
        <v>208</v>
      </c>
      <c r="B447">
        <v>0</v>
      </c>
      <c r="C447">
        <v>32</v>
      </c>
      <c r="D447">
        <v>17</v>
      </c>
      <c r="E447" t="str">
        <f t="shared" si="6"/>
        <v>3217</v>
      </c>
      <c r="F447">
        <v>53408</v>
      </c>
      <c r="G447">
        <v>36240</v>
      </c>
    </row>
    <row r="448" spans="1:7">
      <c r="A448">
        <v>208</v>
      </c>
      <c r="B448">
        <v>0</v>
      </c>
      <c r="C448">
        <v>32</v>
      </c>
      <c r="D448">
        <v>18</v>
      </c>
      <c r="E448" t="str">
        <f t="shared" si="6"/>
        <v>3218</v>
      </c>
      <c r="F448">
        <v>57148</v>
      </c>
      <c r="G448">
        <v>38930</v>
      </c>
    </row>
    <row r="449" spans="1:7">
      <c r="A449">
        <v>208</v>
      </c>
      <c r="B449">
        <v>0</v>
      </c>
      <c r="C449">
        <v>32</v>
      </c>
      <c r="D449">
        <v>19</v>
      </c>
      <c r="E449" t="str">
        <f t="shared" si="6"/>
        <v>3219</v>
      </c>
      <c r="F449">
        <v>60879</v>
      </c>
      <c r="G449">
        <v>41675</v>
      </c>
    </row>
    <row r="450" spans="1:7">
      <c r="A450">
        <v>208</v>
      </c>
      <c r="B450">
        <v>0</v>
      </c>
      <c r="C450">
        <v>32</v>
      </c>
      <c r="D450">
        <v>20</v>
      </c>
      <c r="E450" t="str">
        <f t="shared" si="6"/>
        <v>3220</v>
      </c>
      <c r="F450">
        <v>64585</v>
      </c>
      <c r="G450">
        <v>44475</v>
      </c>
    </row>
    <row r="451" spans="1:7">
      <c r="A451">
        <v>208</v>
      </c>
      <c r="B451">
        <v>0</v>
      </c>
      <c r="C451">
        <v>32</v>
      </c>
      <c r="D451">
        <v>21</v>
      </c>
      <c r="E451" t="str">
        <f t="shared" ref="E451:E514" si="7">CONCATENATE(C451,D451)</f>
        <v>3221</v>
      </c>
      <c r="F451">
        <v>68251</v>
      </c>
      <c r="G451">
        <v>47331</v>
      </c>
    </row>
    <row r="452" spans="1:7">
      <c r="A452">
        <v>208</v>
      </c>
      <c r="B452">
        <v>0</v>
      </c>
      <c r="C452">
        <v>32</v>
      </c>
      <c r="D452">
        <v>22</v>
      </c>
      <c r="E452" t="str">
        <f t="shared" si="7"/>
        <v>3222</v>
      </c>
      <c r="F452">
        <v>71860</v>
      </c>
      <c r="G452">
        <v>50949</v>
      </c>
    </row>
    <row r="453" spans="1:7">
      <c r="A453">
        <v>208</v>
      </c>
      <c r="B453">
        <v>0</v>
      </c>
      <c r="C453">
        <v>32</v>
      </c>
      <c r="D453">
        <v>23</v>
      </c>
      <c r="E453" t="str">
        <f t="shared" si="7"/>
        <v>3223</v>
      </c>
      <c r="F453">
        <v>75392</v>
      </c>
      <c r="G453">
        <v>54708</v>
      </c>
    </row>
    <row r="454" spans="1:7">
      <c r="A454">
        <v>208</v>
      </c>
      <c r="B454">
        <v>0</v>
      </c>
      <c r="C454">
        <v>32</v>
      </c>
      <c r="D454">
        <v>24</v>
      </c>
      <c r="E454" t="str">
        <f t="shared" si="7"/>
        <v>3224</v>
      </c>
      <c r="F454">
        <v>78826</v>
      </c>
      <c r="G454">
        <v>58609</v>
      </c>
    </row>
    <row r="455" spans="1:7">
      <c r="A455">
        <v>208</v>
      </c>
      <c r="B455">
        <v>0</v>
      </c>
      <c r="C455">
        <v>32</v>
      </c>
      <c r="D455">
        <v>25</v>
      </c>
      <c r="E455" t="str">
        <f t="shared" si="7"/>
        <v>3225</v>
      </c>
      <c r="F455">
        <v>82145</v>
      </c>
      <c r="G455">
        <v>62657</v>
      </c>
    </row>
    <row r="456" spans="1:7">
      <c r="A456">
        <v>208</v>
      </c>
      <c r="B456">
        <v>0</v>
      </c>
      <c r="C456">
        <v>32</v>
      </c>
      <c r="D456">
        <v>26</v>
      </c>
      <c r="E456" t="str">
        <f t="shared" si="7"/>
        <v>3226</v>
      </c>
      <c r="F456">
        <v>85324</v>
      </c>
      <c r="G456">
        <v>66854</v>
      </c>
    </row>
    <row r="457" spans="1:7">
      <c r="A457">
        <v>208</v>
      </c>
      <c r="B457">
        <v>0</v>
      </c>
      <c r="C457">
        <v>32</v>
      </c>
      <c r="D457">
        <v>27</v>
      </c>
      <c r="E457" t="str">
        <f t="shared" si="7"/>
        <v>3227</v>
      </c>
      <c r="F457">
        <v>88341</v>
      </c>
      <c r="G457">
        <v>71203</v>
      </c>
    </row>
    <row r="458" spans="1:7">
      <c r="A458">
        <v>208</v>
      </c>
      <c r="B458">
        <v>0</v>
      </c>
      <c r="C458">
        <v>32</v>
      </c>
      <c r="D458">
        <v>28</v>
      </c>
      <c r="E458" t="str">
        <f t="shared" si="7"/>
        <v>3228</v>
      </c>
      <c r="F458">
        <v>91172</v>
      </c>
      <c r="G458">
        <v>75707</v>
      </c>
    </row>
    <row r="459" spans="1:7">
      <c r="A459">
        <v>208</v>
      </c>
      <c r="B459">
        <v>0</v>
      </c>
      <c r="C459">
        <v>32</v>
      </c>
      <c r="D459">
        <v>29</v>
      </c>
      <c r="E459" t="str">
        <f t="shared" si="7"/>
        <v>3229</v>
      </c>
      <c r="F459">
        <v>93799</v>
      </c>
      <c r="G459">
        <v>80370</v>
      </c>
    </row>
    <row r="460" spans="1:7">
      <c r="A460">
        <v>208</v>
      </c>
      <c r="B460">
        <v>0</v>
      </c>
      <c r="C460">
        <v>32</v>
      </c>
      <c r="D460">
        <v>30</v>
      </c>
      <c r="E460" t="str">
        <f t="shared" si="7"/>
        <v>3230</v>
      </c>
      <c r="F460">
        <v>96204</v>
      </c>
      <c r="G460">
        <v>85195</v>
      </c>
    </row>
    <row r="461" spans="1:7">
      <c r="A461">
        <v>208</v>
      </c>
      <c r="B461">
        <v>0</v>
      </c>
      <c r="C461">
        <v>32</v>
      </c>
      <c r="D461">
        <v>31</v>
      </c>
      <c r="E461" t="str">
        <f t="shared" si="7"/>
        <v>3231</v>
      </c>
      <c r="F461">
        <v>98281</v>
      </c>
      <c r="G461">
        <v>90110</v>
      </c>
    </row>
    <row r="462" spans="1:7">
      <c r="A462">
        <v>208</v>
      </c>
      <c r="B462">
        <v>0</v>
      </c>
      <c r="C462">
        <v>33</v>
      </c>
      <c r="D462">
        <v>1</v>
      </c>
      <c r="E462" t="str">
        <f t="shared" si="7"/>
        <v>331</v>
      </c>
      <c r="F462">
        <v>564</v>
      </c>
      <c r="G462">
        <v>457</v>
      </c>
    </row>
    <row r="463" spans="1:7">
      <c r="A463">
        <v>208</v>
      </c>
      <c r="B463">
        <v>0</v>
      </c>
      <c r="C463">
        <v>33</v>
      </c>
      <c r="D463">
        <v>2</v>
      </c>
      <c r="E463" t="str">
        <f t="shared" si="7"/>
        <v>332</v>
      </c>
      <c r="F463">
        <v>2157</v>
      </c>
      <c r="G463">
        <v>1703</v>
      </c>
    </row>
    <row r="464" spans="1:7">
      <c r="A464">
        <v>208</v>
      </c>
      <c r="B464">
        <v>0</v>
      </c>
      <c r="C464">
        <v>33</v>
      </c>
      <c r="D464">
        <v>3</v>
      </c>
      <c r="E464" t="str">
        <f t="shared" si="7"/>
        <v>333</v>
      </c>
      <c r="F464">
        <v>4948</v>
      </c>
      <c r="G464">
        <v>3680</v>
      </c>
    </row>
    <row r="465" spans="1:7">
      <c r="A465">
        <v>208</v>
      </c>
      <c r="B465">
        <v>0</v>
      </c>
      <c r="C465">
        <v>33</v>
      </c>
      <c r="D465">
        <v>4</v>
      </c>
      <c r="E465" t="str">
        <f t="shared" si="7"/>
        <v>334</v>
      </c>
      <c r="F465">
        <v>7823</v>
      </c>
      <c r="G465">
        <v>5544</v>
      </c>
    </row>
    <row r="466" spans="1:7">
      <c r="A466">
        <v>208</v>
      </c>
      <c r="B466">
        <v>0</v>
      </c>
      <c r="C466">
        <v>33</v>
      </c>
      <c r="D466">
        <v>5</v>
      </c>
      <c r="E466" t="str">
        <f t="shared" si="7"/>
        <v>335</v>
      </c>
      <c r="F466">
        <v>10780</v>
      </c>
      <c r="G466">
        <v>7505</v>
      </c>
    </row>
    <row r="467" spans="1:7">
      <c r="A467">
        <v>208</v>
      </c>
      <c r="B467">
        <v>0</v>
      </c>
      <c r="C467">
        <v>33</v>
      </c>
      <c r="D467">
        <v>6</v>
      </c>
      <c r="E467" t="str">
        <f t="shared" si="7"/>
        <v>336</v>
      </c>
      <c r="F467">
        <v>13816</v>
      </c>
      <c r="G467">
        <v>9518</v>
      </c>
    </row>
    <row r="468" spans="1:7">
      <c r="A468">
        <v>208</v>
      </c>
      <c r="B468">
        <v>0</v>
      </c>
      <c r="C468">
        <v>33</v>
      </c>
      <c r="D468">
        <v>7</v>
      </c>
      <c r="E468" t="str">
        <f t="shared" si="7"/>
        <v>337</v>
      </c>
      <c r="F468">
        <v>16929</v>
      </c>
      <c r="G468">
        <v>11577</v>
      </c>
    </row>
    <row r="469" spans="1:7">
      <c r="A469">
        <v>208</v>
      </c>
      <c r="B469">
        <v>0</v>
      </c>
      <c r="C469">
        <v>33</v>
      </c>
      <c r="D469">
        <v>8</v>
      </c>
      <c r="E469" t="str">
        <f t="shared" si="7"/>
        <v>338</v>
      </c>
      <c r="F469">
        <v>20114</v>
      </c>
      <c r="G469">
        <v>13680</v>
      </c>
    </row>
    <row r="470" spans="1:7">
      <c r="A470">
        <v>208</v>
      </c>
      <c r="B470">
        <v>0</v>
      </c>
      <c r="C470">
        <v>33</v>
      </c>
      <c r="D470">
        <v>9</v>
      </c>
      <c r="E470" t="str">
        <f t="shared" si="7"/>
        <v>339</v>
      </c>
      <c r="F470">
        <v>23369</v>
      </c>
      <c r="G470">
        <v>15827</v>
      </c>
    </row>
    <row r="471" spans="1:7">
      <c r="A471">
        <v>208</v>
      </c>
      <c r="B471">
        <v>0</v>
      </c>
      <c r="C471">
        <v>33</v>
      </c>
      <c r="D471">
        <v>10</v>
      </c>
      <c r="E471" t="str">
        <f t="shared" si="7"/>
        <v>3310</v>
      </c>
      <c r="F471">
        <v>26689</v>
      </c>
      <c r="G471">
        <v>18017</v>
      </c>
    </row>
    <row r="472" spans="1:7">
      <c r="A472">
        <v>208</v>
      </c>
      <c r="B472">
        <v>0</v>
      </c>
      <c r="C472">
        <v>33</v>
      </c>
      <c r="D472">
        <v>11</v>
      </c>
      <c r="E472" t="str">
        <f t="shared" si="7"/>
        <v>3311</v>
      </c>
      <c r="F472">
        <v>30070</v>
      </c>
      <c r="G472">
        <v>20253</v>
      </c>
    </row>
    <row r="473" spans="1:7">
      <c r="A473">
        <v>208</v>
      </c>
      <c r="B473">
        <v>0</v>
      </c>
      <c r="C473">
        <v>33</v>
      </c>
      <c r="D473">
        <v>12</v>
      </c>
      <c r="E473" t="str">
        <f t="shared" si="7"/>
        <v>3312</v>
      </c>
      <c r="F473">
        <v>33506</v>
      </c>
      <c r="G473">
        <v>22534</v>
      </c>
    </row>
    <row r="474" spans="1:7">
      <c r="A474">
        <v>208</v>
      </c>
      <c r="B474">
        <v>0</v>
      </c>
      <c r="C474">
        <v>33</v>
      </c>
      <c r="D474">
        <v>13</v>
      </c>
      <c r="E474" t="str">
        <f t="shared" si="7"/>
        <v>3313</v>
      </c>
      <c r="F474">
        <v>36992</v>
      </c>
      <c r="G474">
        <v>24861</v>
      </c>
    </row>
    <row r="475" spans="1:7">
      <c r="A475">
        <v>208</v>
      </c>
      <c r="B475">
        <v>0</v>
      </c>
      <c r="C475">
        <v>33</v>
      </c>
      <c r="D475">
        <v>14</v>
      </c>
      <c r="E475" t="str">
        <f t="shared" si="7"/>
        <v>3314</v>
      </c>
      <c r="F475">
        <v>40521</v>
      </c>
      <c r="G475">
        <v>27236</v>
      </c>
    </row>
    <row r="476" spans="1:7">
      <c r="A476">
        <v>208</v>
      </c>
      <c r="B476">
        <v>0</v>
      </c>
      <c r="C476">
        <v>33</v>
      </c>
      <c r="D476">
        <v>15</v>
      </c>
      <c r="E476" t="str">
        <f t="shared" si="7"/>
        <v>3315</v>
      </c>
      <c r="F476">
        <v>44089</v>
      </c>
      <c r="G476">
        <v>29658</v>
      </c>
    </row>
    <row r="477" spans="1:7">
      <c r="A477">
        <v>208</v>
      </c>
      <c r="B477">
        <v>0</v>
      </c>
      <c r="C477">
        <v>33</v>
      </c>
      <c r="D477">
        <v>16</v>
      </c>
      <c r="E477" t="str">
        <f t="shared" si="7"/>
        <v>3316</v>
      </c>
      <c r="F477">
        <v>47688</v>
      </c>
      <c r="G477">
        <v>32130</v>
      </c>
    </row>
    <row r="478" spans="1:7">
      <c r="A478">
        <v>208</v>
      </c>
      <c r="B478">
        <v>0</v>
      </c>
      <c r="C478">
        <v>33</v>
      </c>
      <c r="D478">
        <v>17</v>
      </c>
      <c r="E478" t="str">
        <f t="shared" si="7"/>
        <v>3317</v>
      </c>
      <c r="F478">
        <v>51314</v>
      </c>
      <c r="G478">
        <v>34652</v>
      </c>
    </row>
    <row r="479" spans="1:7">
      <c r="A479">
        <v>208</v>
      </c>
      <c r="B479">
        <v>0</v>
      </c>
      <c r="C479">
        <v>33</v>
      </c>
      <c r="D479">
        <v>18</v>
      </c>
      <c r="E479" t="str">
        <f t="shared" si="7"/>
        <v>3318</v>
      </c>
      <c r="F479">
        <v>54953</v>
      </c>
      <c r="G479">
        <v>37224</v>
      </c>
    </row>
    <row r="480" spans="1:7">
      <c r="A480">
        <v>208</v>
      </c>
      <c r="B480">
        <v>0</v>
      </c>
      <c r="C480">
        <v>33</v>
      </c>
      <c r="D480">
        <v>19</v>
      </c>
      <c r="E480" t="str">
        <f t="shared" si="7"/>
        <v>3319</v>
      </c>
      <c r="F480">
        <v>58595</v>
      </c>
      <c r="G480">
        <v>39848</v>
      </c>
    </row>
    <row r="481" spans="1:7">
      <c r="A481">
        <v>208</v>
      </c>
      <c r="B481">
        <v>0</v>
      </c>
      <c r="C481">
        <v>33</v>
      </c>
      <c r="D481">
        <v>20</v>
      </c>
      <c r="E481" t="str">
        <f t="shared" si="7"/>
        <v>3320</v>
      </c>
      <c r="F481">
        <v>62226</v>
      </c>
      <c r="G481">
        <v>42525</v>
      </c>
    </row>
    <row r="482" spans="1:7">
      <c r="A482">
        <v>208</v>
      </c>
      <c r="B482">
        <v>0</v>
      </c>
      <c r="C482">
        <v>33</v>
      </c>
      <c r="D482">
        <v>21</v>
      </c>
      <c r="E482" t="str">
        <f t="shared" si="7"/>
        <v>3321</v>
      </c>
      <c r="F482">
        <v>65830</v>
      </c>
      <c r="G482">
        <v>45256</v>
      </c>
    </row>
    <row r="483" spans="1:7">
      <c r="A483">
        <v>208</v>
      </c>
      <c r="B483">
        <v>0</v>
      </c>
      <c r="C483">
        <v>33</v>
      </c>
      <c r="D483">
        <v>22</v>
      </c>
      <c r="E483" t="str">
        <f t="shared" si="7"/>
        <v>3322</v>
      </c>
      <c r="F483">
        <v>69392</v>
      </c>
      <c r="G483">
        <v>48041</v>
      </c>
    </row>
    <row r="484" spans="1:7">
      <c r="A484">
        <v>208</v>
      </c>
      <c r="B484">
        <v>0</v>
      </c>
      <c r="C484">
        <v>33</v>
      </c>
      <c r="D484">
        <v>23</v>
      </c>
      <c r="E484" t="str">
        <f t="shared" si="7"/>
        <v>3323</v>
      </c>
      <c r="F484">
        <v>72896</v>
      </c>
      <c r="G484">
        <v>51606</v>
      </c>
    </row>
    <row r="485" spans="1:7">
      <c r="A485">
        <v>208</v>
      </c>
      <c r="B485">
        <v>0</v>
      </c>
      <c r="C485">
        <v>33</v>
      </c>
      <c r="D485">
        <v>24</v>
      </c>
      <c r="E485" t="str">
        <f t="shared" si="7"/>
        <v>3324</v>
      </c>
      <c r="F485">
        <v>76321</v>
      </c>
      <c r="G485">
        <v>55308</v>
      </c>
    </row>
    <row r="486" spans="1:7">
      <c r="A486">
        <v>208</v>
      </c>
      <c r="B486">
        <v>0</v>
      </c>
      <c r="C486">
        <v>33</v>
      </c>
      <c r="D486">
        <v>25</v>
      </c>
      <c r="E486" t="str">
        <f t="shared" si="7"/>
        <v>3325</v>
      </c>
      <c r="F486">
        <v>79649</v>
      </c>
      <c r="G486">
        <v>59151</v>
      </c>
    </row>
    <row r="487" spans="1:7">
      <c r="A487">
        <v>208</v>
      </c>
      <c r="B487">
        <v>0</v>
      </c>
      <c r="C487">
        <v>33</v>
      </c>
      <c r="D487">
        <v>26</v>
      </c>
      <c r="E487" t="str">
        <f t="shared" si="7"/>
        <v>3326</v>
      </c>
      <c r="F487">
        <v>82860</v>
      </c>
      <c r="G487">
        <v>63138</v>
      </c>
    </row>
    <row r="488" spans="1:7">
      <c r="A488">
        <v>208</v>
      </c>
      <c r="B488">
        <v>0</v>
      </c>
      <c r="C488">
        <v>33</v>
      </c>
      <c r="D488">
        <v>27</v>
      </c>
      <c r="E488" t="str">
        <f t="shared" si="7"/>
        <v>3327</v>
      </c>
      <c r="F488">
        <v>85931</v>
      </c>
      <c r="G488">
        <v>67272</v>
      </c>
    </row>
    <row r="489" spans="1:7">
      <c r="A489">
        <v>208</v>
      </c>
      <c r="B489">
        <v>0</v>
      </c>
      <c r="C489">
        <v>33</v>
      </c>
      <c r="D489">
        <v>28</v>
      </c>
      <c r="E489" t="str">
        <f t="shared" si="7"/>
        <v>3328</v>
      </c>
      <c r="F489">
        <v>88841</v>
      </c>
      <c r="G489">
        <v>71555</v>
      </c>
    </row>
    <row r="490" spans="1:7">
      <c r="A490">
        <v>208</v>
      </c>
      <c r="B490">
        <v>0</v>
      </c>
      <c r="C490">
        <v>33</v>
      </c>
      <c r="D490">
        <v>29</v>
      </c>
      <c r="E490" t="str">
        <f t="shared" si="7"/>
        <v>3329</v>
      </c>
      <c r="F490">
        <v>91567</v>
      </c>
      <c r="G490">
        <v>75992</v>
      </c>
    </row>
    <row r="491" spans="1:7">
      <c r="A491">
        <v>208</v>
      </c>
      <c r="B491">
        <v>0</v>
      </c>
      <c r="C491">
        <v>33</v>
      </c>
      <c r="D491">
        <v>30</v>
      </c>
      <c r="E491" t="str">
        <f t="shared" si="7"/>
        <v>3330</v>
      </c>
      <c r="F491">
        <v>94089</v>
      </c>
      <c r="G491">
        <v>80586</v>
      </c>
    </row>
    <row r="492" spans="1:7">
      <c r="A492">
        <v>208</v>
      </c>
      <c r="B492">
        <v>0</v>
      </c>
      <c r="C492">
        <v>33</v>
      </c>
      <c r="D492">
        <v>31</v>
      </c>
      <c r="E492" t="str">
        <f t="shared" si="7"/>
        <v>3331</v>
      </c>
      <c r="F492">
        <v>96392</v>
      </c>
      <c r="G492">
        <v>85339</v>
      </c>
    </row>
    <row r="493" spans="1:7">
      <c r="A493">
        <v>208</v>
      </c>
      <c r="B493">
        <v>0</v>
      </c>
      <c r="C493">
        <v>33</v>
      </c>
      <c r="D493">
        <v>32</v>
      </c>
      <c r="E493" t="str">
        <f t="shared" si="7"/>
        <v>3332</v>
      </c>
      <c r="F493">
        <v>98372</v>
      </c>
      <c r="G493">
        <v>90182</v>
      </c>
    </row>
    <row r="494" spans="1:7">
      <c r="A494">
        <v>208</v>
      </c>
      <c r="B494">
        <v>0</v>
      </c>
      <c r="C494">
        <v>34</v>
      </c>
      <c r="D494">
        <v>1</v>
      </c>
      <c r="E494" t="str">
        <f t="shared" si="7"/>
        <v>341</v>
      </c>
      <c r="F494">
        <v>537</v>
      </c>
      <c r="G494">
        <v>438</v>
      </c>
    </row>
    <row r="495" spans="1:7">
      <c r="A495">
        <v>208</v>
      </c>
      <c r="B495">
        <v>0</v>
      </c>
      <c r="C495">
        <v>34</v>
      </c>
      <c r="D495">
        <v>2</v>
      </c>
      <c r="E495" t="str">
        <f t="shared" si="7"/>
        <v>342</v>
      </c>
      <c r="F495">
        <v>2055</v>
      </c>
      <c r="G495">
        <v>1631</v>
      </c>
    </row>
    <row r="496" spans="1:7">
      <c r="A496">
        <v>208</v>
      </c>
      <c r="B496">
        <v>0</v>
      </c>
      <c r="C496">
        <v>34</v>
      </c>
      <c r="D496">
        <v>3</v>
      </c>
      <c r="E496" t="str">
        <f t="shared" si="7"/>
        <v>343</v>
      </c>
      <c r="F496">
        <v>4717</v>
      </c>
      <c r="G496">
        <v>3522</v>
      </c>
    </row>
    <row r="497" spans="1:7">
      <c r="A497">
        <v>208</v>
      </c>
      <c r="B497">
        <v>0</v>
      </c>
      <c r="C497">
        <v>34</v>
      </c>
      <c r="D497">
        <v>4</v>
      </c>
      <c r="E497" t="str">
        <f t="shared" si="7"/>
        <v>344</v>
      </c>
      <c r="F497">
        <v>7461</v>
      </c>
      <c r="G497">
        <v>5307</v>
      </c>
    </row>
    <row r="498" spans="1:7">
      <c r="A498">
        <v>208</v>
      </c>
      <c r="B498">
        <v>0</v>
      </c>
      <c r="C498">
        <v>34</v>
      </c>
      <c r="D498">
        <v>5</v>
      </c>
      <c r="E498" t="str">
        <f t="shared" si="7"/>
        <v>345</v>
      </c>
      <c r="F498">
        <v>10285</v>
      </c>
      <c r="G498">
        <v>7184</v>
      </c>
    </row>
    <row r="499" spans="1:7">
      <c r="A499">
        <v>208</v>
      </c>
      <c r="B499">
        <v>0</v>
      </c>
      <c r="C499">
        <v>34</v>
      </c>
      <c r="D499">
        <v>6</v>
      </c>
      <c r="E499" t="str">
        <f t="shared" si="7"/>
        <v>346</v>
      </c>
      <c r="F499">
        <v>13188</v>
      </c>
      <c r="G499">
        <v>9111</v>
      </c>
    </row>
    <row r="500" spans="1:7">
      <c r="A500">
        <v>208</v>
      </c>
      <c r="B500">
        <v>0</v>
      </c>
      <c r="C500">
        <v>34</v>
      </c>
      <c r="D500">
        <v>7</v>
      </c>
      <c r="E500" t="str">
        <f t="shared" si="7"/>
        <v>347</v>
      </c>
      <c r="F500">
        <v>16168</v>
      </c>
      <c r="G500">
        <v>11082</v>
      </c>
    </row>
    <row r="501" spans="1:7">
      <c r="A501">
        <v>208</v>
      </c>
      <c r="B501">
        <v>0</v>
      </c>
      <c r="C501">
        <v>34</v>
      </c>
      <c r="D501">
        <v>8</v>
      </c>
      <c r="E501" t="str">
        <f t="shared" si="7"/>
        <v>348</v>
      </c>
      <c r="F501">
        <v>19220</v>
      </c>
      <c r="G501">
        <v>13094</v>
      </c>
    </row>
    <row r="502" spans="1:7">
      <c r="A502">
        <v>208</v>
      </c>
      <c r="B502">
        <v>0</v>
      </c>
      <c r="C502">
        <v>34</v>
      </c>
      <c r="D502">
        <v>9</v>
      </c>
      <c r="E502" t="str">
        <f t="shared" si="7"/>
        <v>349</v>
      </c>
      <c r="F502">
        <v>22343</v>
      </c>
      <c r="G502">
        <v>15149</v>
      </c>
    </row>
    <row r="503" spans="1:7">
      <c r="A503">
        <v>208</v>
      </c>
      <c r="B503">
        <v>0</v>
      </c>
      <c r="C503">
        <v>34</v>
      </c>
      <c r="D503">
        <v>10</v>
      </c>
      <c r="E503" t="str">
        <f t="shared" si="7"/>
        <v>3410</v>
      </c>
      <c r="F503">
        <v>25532</v>
      </c>
      <c r="G503">
        <v>17246</v>
      </c>
    </row>
    <row r="504" spans="1:7">
      <c r="A504">
        <v>208</v>
      </c>
      <c r="B504">
        <v>0</v>
      </c>
      <c r="C504">
        <v>34</v>
      </c>
      <c r="D504">
        <v>11</v>
      </c>
      <c r="E504" t="str">
        <f t="shared" si="7"/>
        <v>3411</v>
      </c>
      <c r="F504">
        <v>28784</v>
      </c>
      <c r="G504">
        <v>19385</v>
      </c>
    </row>
    <row r="505" spans="1:7">
      <c r="A505">
        <v>208</v>
      </c>
      <c r="B505">
        <v>0</v>
      </c>
      <c r="C505">
        <v>34</v>
      </c>
      <c r="D505">
        <v>12</v>
      </c>
      <c r="E505" t="str">
        <f t="shared" si="7"/>
        <v>3412</v>
      </c>
      <c r="F505">
        <v>32093</v>
      </c>
      <c r="G505">
        <v>21568</v>
      </c>
    </row>
    <row r="506" spans="1:7">
      <c r="A506">
        <v>208</v>
      </c>
      <c r="B506">
        <v>0</v>
      </c>
      <c r="C506">
        <v>34</v>
      </c>
      <c r="D506">
        <v>13</v>
      </c>
      <c r="E506" t="str">
        <f t="shared" si="7"/>
        <v>3413</v>
      </c>
      <c r="F506">
        <v>35454</v>
      </c>
      <c r="G506">
        <v>23796</v>
      </c>
    </row>
    <row r="507" spans="1:7">
      <c r="A507">
        <v>208</v>
      </c>
      <c r="B507">
        <v>0</v>
      </c>
      <c r="C507">
        <v>34</v>
      </c>
      <c r="D507">
        <v>14</v>
      </c>
      <c r="E507" t="str">
        <f t="shared" si="7"/>
        <v>3414</v>
      </c>
      <c r="F507">
        <v>38862</v>
      </c>
      <c r="G507">
        <v>26068</v>
      </c>
    </row>
    <row r="508" spans="1:7">
      <c r="A508">
        <v>208</v>
      </c>
      <c r="B508">
        <v>0</v>
      </c>
      <c r="C508">
        <v>34</v>
      </c>
      <c r="D508">
        <v>15</v>
      </c>
      <c r="E508" t="str">
        <f t="shared" si="7"/>
        <v>3415</v>
      </c>
      <c r="F508">
        <v>42312</v>
      </c>
      <c r="G508">
        <v>28387</v>
      </c>
    </row>
    <row r="509" spans="1:7">
      <c r="A509">
        <v>208</v>
      </c>
      <c r="B509">
        <v>0</v>
      </c>
      <c r="C509">
        <v>34</v>
      </c>
      <c r="D509">
        <v>16</v>
      </c>
      <c r="E509" t="str">
        <f t="shared" si="7"/>
        <v>3416</v>
      </c>
      <c r="F509">
        <v>45796</v>
      </c>
      <c r="G509">
        <v>30752</v>
      </c>
    </row>
    <row r="510" spans="1:7">
      <c r="A510">
        <v>208</v>
      </c>
      <c r="B510">
        <v>0</v>
      </c>
      <c r="C510">
        <v>34</v>
      </c>
      <c r="D510">
        <v>17</v>
      </c>
      <c r="E510" t="str">
        <f t="shared" si="7"/>
        <v>3417</v>
      </c>
      <c r="F510">
        <v>49311</v>
      </c>
      <c r="G510">
        <v>33165</v>
      </c>
    </row>
    <row r="511" spans="1:7">
      <c r="A511">
        <v>208</v>
      </c>
      <c r="B511">
        <v>0</v>
      </c>
      <c r="C511">
        <v>34</v>
      </c>
      <c r="D511">
        <v>18</v>
      </c>
      <c r="E511" t="str">
        <f t="shared" si="7"/>
        <v>3418</v>
      </c>
      <c r="F511">
        <v>52849</v>
      </c>
      <c r="G511">
        <v>35628</v>
      </c>
    </row>
    <row r="512" spans="1:7">
      <c r="A512">
        <v>208</v>
      </c>
      <c r="B512">
        <v>0</v>
      </c>
      <c r="C512">
        <v>34</v>
      </c>
      <c r="D512">
        <v>19</v>
      </c>
      <c r="E512" t="str">
        <f t="shared" si="7"/>
        <v>3419</v>
      </c>
      <c r="F512">
        <v>56399</v>
      </c>
      <c r="G512">
        <v>38139</v>
      </c>
    </row>
    <row r="513" spans="1:7">
      <c r="A513">
        <v>208</v>
      </c>
      <c r="B513">
        <v>0</v>
      </c>
      <c r="C513">
        <v>34</v>
      </c>
      <c r="D513">
        <v>20</v>
      </c>
      <c r="E513" t="str">
        <f t="shared" si="7"/>
        <v>3420</v>
      </c>
      <c r="F513">
        <v>59949</v>
      </c>
      <c r="G513">
        <v>40701</v>
      </c>
    </row>
    <row r="514" spans="1:7">
      <c r="A514">
        <v>208</v>
      </c>
      <c r="B514">
        <v>0</v>
      </c>
      <c r="C514">
        <v>34</v>
      </c>
      <c r="D514">
        <v>21</v>
      </c>
      <c r="E514" t="str">
        <f t="shared" si="7"/>
        <v>3421</v>
      </c>
      <c r="F514">
        <v>63485</v>
      </c>
      <c r="G514">
        <v>43314</v>
      </c>
    </row>
    <row r="515" spans="1:7">
      <c r="A515">
        <v>208</v>
      </c>
      <c r="B515">
        <v>0</v>
      </c>
      <c r="C515">
        <v>34</v>
      </c>
      <c r="D515">
        <v>22</v>
      </c>
      <c r="E515" t="str">
        <f t="shared" ref="E515:E578" si="8">CONCATENATE(C515,D515)</f>
        <v>3422</v>
      </c>
      <c r="F515">
        <v>66993</v>
      </c>
      <c r="G515">
        <v>45980</v>
      </c>
    </row>
    <row r="516" spans="1:7">
      <c r="A516">
        <v>208</v>
      </c>
      <c r="B516">
        <v>0</v>
      </c>
      <c r="C516">
        <v>34</v>
      </c>
      <c r="D516">
        <v>23</v>
      </c>
      <c r="E516" t="str">
        <f t="shared" si="8"/>
        <v>3423</v>
      </c>
      <c r="F516">
        <v>70459</v>
      </c>
      <c r="G516">
        <v>48699</v>
      </c>
    </row>
    <row r="517" spans="1:7">
      <c r="A517">
        <v>208</v>
      </c>
      <c r="B517">
        <v>0</v>
      </c>
      <c r="C517">
        <v>34</v>
      </c>
      <c r="D517">
        <v>24</v>
      </c>
      <c r="E517" t="str">
        <f t="shared" si="8"/>
        <v>3424</v>
      </c>
      <c r="F517">
        <v>73864</v>
      </c>
      <c r="G517">
        <v>52214</v>
      </c>
    </row>
    <row r="518" spans="1:7">
      <c r="A518">
        <v>208</v>
      </c>
      <c r="B518">
        <v>0</v>
      </c>
      <c r="C518">
        <v>34</v>
      </c>
      <c r="D518">
        <v>25</v>
      </c>
      <c r="E518" t="str">
        <f t="shared" si="8"/>
        <v>3425</v>
      </c>
      <c r="F518">
        <v>77190</v>
      </c>
      <c r="G518">
        <v>55864</v>
      </c>
    </row>
    <row r="519" spans="1:7">
      <c r="A519">
        <v>208</v>
      </c>
      <c r="B519">
        <v>0</v>
      </c>
      <c r="C519">
        <v>34</v>
      </c>
      <c r="D519">
        <v>26</v>
      </c>
      <c r="E519" t="str">
        <f t="shared" si="8"/>
        <v>3426</v>
      </c>
      <c r="F519">
        <v>80417</v>
      </c>
      <c r="G519">
        <v>59653</v>
      </c>
    </row>
    <row r="520" spans="1:7">
      <c r="A520">
        <v>208</v>
      </c>
      <c r="B520">
        <v>0</v>
      </c>
      <c r="C520">
        <v>34</v>
      </c>
      <c r="D520">
        <v>27</v>
      </c>
      <c r="E520" t="str">
        <f t="shared" si="8"/>
        <v>3427</v>
      </c>
      <c r="F520">
        <v>83527</v>
      </c>
      <c r="G520">
        <v>63583</v>
      </c>
    </row>
    <row r="521" spans="1:7">
      <c r="A521">
        <v>208</v>
      </c>
      <c r="B521">
        <v>0</v>
      </c>
      <c r="C521">
        <v>34</v>
      </c>
      <c r="D521">
        <v>28</v>
      </c>
      <c r="E521" t="str">
        <f t="shared" si="8"/>
        <v>3428</v>
      </c>
      <c r="F521">
        <v>86498</v>
      </c>
      <c r="G521">
        <v>67659</v>
      </c>
    </row>
    <row r="522" spans="1:7">
      <c r="A522">
        <v>208</v>
      </c>
      <c r="B522">
        <v>0</v>
      </c>
      <c r="C522">
        <v>34</v>
      </c>
      <c r="D522">
        <v>29</v>
      </c>
      <c r="E522" t="str">
        <f t="shared" si="8"/>
        <v>3429</v>
      </c>
      <c r="F522">
        <v>89309</v>
      </c>
      <c r="G522">
        <v>71882</v>
      </c>
    </row>
    <row r="523" spans="1:7">
      <c r="A523">
        <v>208</v>
      </c>
      <c r="B523">
        <v>0</v>
      </c>
      <c r="C523">
        <v>34</v>
      </c>
      <c r="D523">
        <v>30</v>
      </c>
      <c r="E523" t="str">
        <f t="shared" si="8"/>
        <v>3430</v>
      </c>
      <c r="F523">
        <v>91935</v>
      </c>
      <c r="G523">
        <v>76256</v>
      </c>
    </row>
    <row r="524" spans="1:7">
      <c r="A524">
        <v>208</v>
      </c>
      <c r="B524">
        <v>0</v>
      </c>
      <c r="C524">
        <v>34</v>
      </c>
      <c r="D524">
        <v>31</v>
      </c>
      <c r="E524" t="str">
        <f t="shared" si="8"/>
        <v>3431</v>
      </c>
      <c r="F524">
        <v>94361</v>
      </c>
      <c r="G524">
        <v>80785</v>
      </c>
    </row>
    <row r="525" spans="1:7">
      <c r="A525">
        <v>208</v>
      </c>
      <c r="B525">
        <v>0</v>
      </c>
      <c r="C525">
        <v>34</v>
      </c>
      <c r="D525">
        <v>32</v>
      </c>
      <c r="E525" t="str">
        <f t="shared" si="8"/>
        <v>3432</v>
      </c>
      <c r="F525">
        <v>96569</v>
      </c>
      <c r="G525">
        <v>85472</v>
      </c>
    </row>
    <row r="526" spans="1:7">
      <c r="A526">
        <v>208</v>
      </c>
      <c r="B526">
        <v>0</v>
      </c>
      <c r="C526">
        <v>34</v>
      </c>
      <c r="D526">
        <v>33</v>
      </c>
      <c r="E526" t="str">
        <f t="shared" si="8"/>
        <v>3433</v>
      </c>
      <c r="F526">
        <v>98458</v>
      </c>
      <c r="G526">
        <v>90249</v>
      </c>
    </row>
    <row r="527" spans="1:7">
      <c r="A527">
        <v>208</v>
      </c>
      <c r="B527">
        <v>0</v>
      </c>
      <c r="C527">
        <v>35</v>
      </c>
      <c r="D527">
        <v>1</v>
      </c>
      <c r="E527" t="str">
        <f t="shared" si="8"/>
        <v>351</v>
      </c>
      <c r="F527">
        <v>511</v>
      </c>
      <c r="G527">
        <v>419</v>
      </c>
    </row>
    <row r="528" spans="1:7">
      <c r="A528">
        <v>208</v>
      </c>
      <c r="B528">
        <v>0</v>
      </c>
      <c r="C528">
        <v>35</v>
      </c>
      <c r="D528">
        <v>2</v>
      </c>
      <c r="E528" t="str">
        <f t="shared" si="8"/>
        <v>352</v>
      </c>
      <c r="F528">
        <v>1959</v>
      </c>
      <c r="G528">
        <v>1563</v>
      </c>
    </row>
    <row r="529" spans="1:7">
      <c r="A529">
        <v>208</v>
      </c>
      <c r="B529">
        <v>0</v>
      </c>
      <c r="C529">
        <v>35</v>
      </c>
      <c r="D529">
        <v>3</v>
      </c>
      <c r="E529" t="str">
        <f t="shared" si="8"/>
        <v>353</v>
      </c>
      <c r="F529">
        <v>4499</v>
      </c>
      <c r="G529">
        <v>3375</v>
      </c>
    </row>
    <row r="530" spans="1:7">
      <c r="A530">
        <v>208</v>
      </c>
      <c r="B530">
        <v>0</v>
      </c>
      <c r="C530">
        <v>35</v>
      </c>
      <c r="D530">
        <v>4</v>
      </c>
      <c r="E530" t="str">
        <f t="shared" si="8"/>
        <v>354</v>
      </c>
      <c r="F530">
        <v>7119</v>
      </c>
      <c r="G530">
        <v>5084</v>
      </c>
    </row>
    <row r="531" spans="1:7">
      <c r="A531">
        <v>208</v>
      </c>
      <c r="B531">
        <v>0</v>
      </c>
      <c r="C531">
        <v>35</v>
      </c>
      <c r="D531">
        <v>5</v>
      </c>
      <c r="E531" t="str">
        <f t="shared" si="8"/>
        <v>355</v>
      </c>
      <c r="F531">
        <v>9817</v>
      </c>
      <c r="G531">
        <v>6883</v>
      </c>
    </row>
    <row r="532" spans="1:7">
      <c r="A532">
        <v>208</v>
      </c>
      <c r="B532">
        <v>0</v>
      </c>
      <c r="C532">
        <v>35</v>
      </c>
      <c r="D532">
        <v>6</v>
      </c>
      <c r="E532" t="str">
        <f t="shared" si="8"/>
        <v>356</v>
      </c>
      <c r="F532">
        <v>12594</v>
      </c>
      <c r="G532">
        <v>8729</v>
      </c>
    </row>
    <row r="533" spans="1:7">
      <c r="A533">
        <v>208</v>
      </c>
      <c r="B533">
        <v>0</v>
      </c>
      <c r="C533">
        <v>35</v>
      </c>
      <c r="D533">
        <v>7</v>
      </c>
      <c r="E533" t="str">
        <f t="shared" si="8"/>
        <v>357</v>
      </c>
      <c r="F533">
        <v>15447</v>
      </c>
      <c r="G533">
        <v>10617</v>
      </c>
    </row>
    <row r="534" spans="1:7">
      <c r="A534">
        <v>208</v>
      </c>
      <c r="B534">
        <v>0</v>
      </c>
      <c r="C534">
        <v>35</v>
      </c>
      <c r="D534">
        <v>8</v>
      </c>
      <c r="E534" t="str">
        <f t="shared" si="8"/>
        <v>358</v>
      </c>
      <c r="F534">
        <v>18373</v>
      </c>
      <c r="G534">
        <v>12545</v>
      </c>
    </row>
    <row r="535" spans="1:7">
      <c r="A535">
        <v>208</v>
      </c>
      <c r="B535">
        <v>0</v>
      </c>
      <c r="C535">
        <v>35</v>
      </c>
      <c r="D535">
        <v>9</v>
      </c>
      <c r="E535" t="str">
        <f t="shared" si="8"/>
        <v>359</v>
      </c>
      <c r="F535">
        <v>21369</v>
      </c>
      <c r="G535">
        <v>14514</v>
      </c>
    </row>
    <row r="536" spans="1:7">
      <c r="A536">
        <v>208</v>
      </c>
      <c r="B536">
        <v>0</v>
      </c>
      <c r="C536">
        <v>35</v>
      </c>
      <c r="D536">
        <v>10</v>
      </c>
      <c r="E536" t="str">
        <f t="shared" si="8"/>
        <v>3510</v>
      </c>
      <c r="F536">
        <v>24433</v>
      </c>
      <c r="G536">
        <v>16522</v>
      </c>
    </row>
    <row r="537" spans="1:7">
      <c r="A537">
        <v>208</v>
      </c>
      <c r="B537">
        <v>0</v>
      </c>
      <c r="C537">
        <v>35</v>
      </c>
      <c r="D537">
        <v>11</v>
      </c>
      <c r="E537" t="str">
        <f t="shared" si="8"/>
        <v>3511</v>
      </c>
      <c r="F537">
        <v>27560</v>
      </c>
      <c r="G537">
        <v>18572</v>
      </c>
    </row>
    <row r="538" spans="1:7">
      <c r="A538">
        <v>208</v>
      </c>
      <c r="B538">
        <v>0</v>
      </c>
      <c r="C538">
        <v>35</v>
      </c>
      <c r="D538">
        <v>12</v>
      </c>
      <c r="E538" t="str">
        <f t="shared" si="8"/>
        <v>3512</v>
      </c>
      <c r="F538">
        <v>30747</v>
      </c>
      <c r="G538">
        <v>20664</v>
      </c>
    </row>
    <row r="539" spans="1:7">
      <c r="A539">
        <v>208</v>
      </c>
      <c r="B539">
        <v>0</v>
      </c>
      <c r="C539">
        <v>35</v>
      </c>
      <c r="D539">
        <v>13</v>
      </c>
      <c r="E539" t="str">
        <f t="shared" si="8"/>
        <v>3513</v>
      </c>
      <c r="F539">
        <v>33989</v>
      </c>
      <c r="G539">
        <v>22797</v>
      </c>
    </row>
    <row r="540" spans="1:7">
      <c r="A540">
        <v>208</v>
      </c>
      <c r="B540">
        <v>0</v>
      </c>
      <c r="C540">
        <v>35</v>
      </c>
      <c r="D540">
        <v>14</v>
      </c>
      <c r="E540" t="str">
        <f t="shared" si="8"/>
        <v>3514</v>
      </c>
      <c r="F540">
        <v>37280</v>
      </c>
      <c r="G540">
        <v>24974</v>
      </c>
    </row>
    <row r="541" spans="1:7">
      <c r="A541">
        <v>208</v>
      </c>
      <c r="B541">
        <v>0</v>
      </c>
      <c r="C541">
        <v>35</v>
      </c>
      <c r="D541">
        <v>15</v>
      </c>
      <c r="E541" t="str">
        <f t="shared" si="8"/>
        <v>3515</v>
      </c>
      <c r="F541">
        <v>40616</v>
      </c>
      <c r="G541">
        <v>27195</v>
      </c>
    </row>
    <row r="542" spans="1:7">
      <c r="A542">
        <v>208</v>
      </c>
      <c r="B542">
        <v>0</v>
      </c>
      <c r="C542">
        <v>35</v>
      </c>
      <c r="D542">
        <v>16</v>
      </c>
      <c r="E542" t="str">
        <f t="shared" si="8"/>
        <v>3516</v>
      </c>
      <c r="F542">
        <v>43990</v>
      </c>
      <c r="G542">
        <v>29461</v>
      </c>
    </row>
    <row r="543" spans="1:7">
      <c r="A543">
        <v>208</v>
      </c>
      <c r="B543">
        <v>0</v>
      </c>
      <c r="C543">
        <v>35</v>
      </c>
      <c r="D543">
        <v>17</v>
      </c>
      <c r="E543" t="str">
        <f t="shared" si="8"/>
        <v>3517</v>
      </c>
      <c r="F543">
        <v>47397</v>
      </c>
      <c r="G543">
        <v>31772</v>
      </c>
    </row>
    <row r="544" spans="1:7">
      <c r="A544">
        <v>208</v>
      </c>
      <c r="B544">
        <v>0</v>
      </c>
      <c r="C544">
        <v>35</v>
      </c>
      <c r="D544">
        <v>18</v>
      </c>
      <c r="E544" t="str">
        <f t="shared" si="8"/>
        <v>3518</v>
      </c>
      <c r="F544">
        <v>50832</v>
      </c>
      <c r="G544">
        <v>34131</v>
      </c>
    </row>
    <row r="545" spans="1:7">
      <c r="A545">
        <v>208</v>
      </c>
      <c r="B545">
        <v>0</v>
      </c>
      <c r="C545">
        <v>35</v>
      </c>
      <c r="D545">
        <v>19</v>
      </c>
      <c r="E545" t="str">
        <f t="shared" si="8"/>
        <v>3519</v>
      </c>
      <c r="F545">
        <v>54287</v>
      </c>
      <c r="G545">
        <v>36537</v>
      </c>
    </row>
    <row r="546" spans="1:7">
      <c r="A546">
        <v>208</v>
      </c>
      <c r="B546">
        <v>0</v>
      </c>
      <c r="C546">
        <v>35</v>
      </c>
      <c r="D546">
        <v>20</v>
      </c>
      <c r="E546" t="str">
        <f t="shared" si="8"/>
        <v>3520</v>
      </c>
      <c r="F546">
        <v>57753</v>
      </c>
      <c r="G546">
        <v>38991</v>
      </c>
    </row>
    <row r="547" spans="1:7">
      <c r="A547">
        <v>208</v>
      </c>
      <c r="B547">
        <v>0</v>
      </c>
      <c r="C547">
        <v>35</v>
      </c>
      <c r="D547">
        <v>21</v>
      </c>
      <c r="E547" t="str">
        <f t="shared" si="8"/>
        <v>3521</v>
      </c>
      <c r="F547">
        <v>61217</v>
      </c>
      <c r="G547">
        <v>41494</v>
      </c>
    </row>
    <row r="548" spans="1:7">
      <c r="A548">
        <v>208</v>
      </c>
      <c r="B548">
        <v>0</v>
      </c>
      <c r="C548">
        <v>35</v>
      </c>
      <c r="D548">
        <v>22</v>
      </c>
      <c r="E548" t="str">
        <f t="shared" si="8"/>
        <v>3522</v>
      </c>
      <c r="F548">
        <v>64665</v>
      </c>
      <c r="G548">
        <v>44048</v>
      </c>
    </row>
    <row r="549" spans="1:7">
      <c r="A549">
        <v>208</v>
      </c>
      <c r="B549">
        <v>0</v>
      </c>
      <c r="C549">
        <v>35</v>
      </c>
      <c r="D549">
        <v>23</v>
      </c>
      <c r="E549" t="str">
        <f t="shared" si="8"/>
        <v>3523</v>
      </c>
      <c r="F549">
        <v>68084</v>
      </c>
      <c r="G549">
        <v>46652</v>
      </c>
    </row>
    <row r="550" spans="1:7">
      <c r="A550">
        <v>208</v>
      </c>
      <c r="B550">
        <v>0</v>
      </c>
      <c r="C550">
        <v>35</v>
      </c>
      <c r="D550">
        <v>24</v>
      </c>
      <c r="E550" t="str">
        <f t="shared" si="8"/>
        <v>3524</v>
      </c>
      <c r="F550">
        <v>71458</v>
      </c>
      <c r="G550">
        <v>49970</v>
      </c>
    </row>
    <row r="551" spans="1:7">
      <c r="A551">
        <v>208</v>
      </c>
      <c r="B551">
        <v>0</v>
      </c>
      <c r="C551">
        <v>35</v>
      </c>
      <c r="D551">
        <v>25</v>
      </c>
      <c r="E551" t="str">
        <f t="shared" si="8"/>
        <v>3525</v>
      </c>
      <c r="F551">
        <v>74770</v>
      </c>
      <c r="G551">
        <v>53413</v>
      </c>
    </row>
    <row r="552" spans="1:7">
      <c r="A552">
        <v>208</v>
      </c>
      <c r="B552">
        <v>0</v>
      </c>
      <c r="C552">
        <v>35</v>
      </c>
      <c r="D552">
        <v>26</v>
      </c>
      <c r="E552" t="str">
        <f t="shared" si="8"/>
        <v>3526</v>
      </c>
      <c r="F552">
        <v>78003</v>
      </c>
      <c r="G552">
        <v>56982</v>
      </c>
    </row>
    <row r="553" spans="1:7">
      <c r="A553">
        <v>208</v>
      </c>
      <c r="B553">
        <v>0</v>
      </c>
      <c r="C553">
        <v>35</v>
      </c>
      <c r="D553">
        <v>27</v>
      </c>
      <c r="E553" t="str">
        <f t="shared" si="8"/>
        <v>3527</v>
      </c>
      <c r="F553">
        <v>81136</v>
      </c>
      <c r="G553">
        <v>60683</v>
      </c>
    </row>
    <row r="554" spans="1:7">
      <c r="A554">
        <v>208</v>
      </c>
      <c r="B554">
        <v>0</v>
      </c>
      <c r="C554">
        <v>35</v>
      </c>
      <c r="D554">
        <v>28</v>
      </c>
      <c r="E554" t="str">
        <f t="shared" si="8"/>
        <v>3528</v>
      </c>
      <c r="F554">
        <v>84152</v>
      </c>
      <c r="G554">
        <v>64516</v>
      </c>
    </row>
    <row r="555" spans="1:7">
      <c r="A555">
        <v>208</v>
      </c>
      <c r="B555">
        <v>0</v>
      </c>
      <c r="C555">
        <v>35</v>
      </c>
      <c r="D555">
        <v>29</v>
      </c>
      <c r="E555" t="str">
        <f t="shared" si="8"/>
        <v>3529</v>
      </c>
      <c r="F555">
        <v>87029</v>
      </c>
      <c r="G555">
        <v>68486</v>
      </c>
    </row>
    <row r="556" spans="1:7">
      <c r="A556">
        <v>208</v>
      </c>
      <c r="B556">
        <v>0</v>
      </c>
      <c r="C556">
        <v>35</v>
      </c>
      <c r="D556">
        <v>30</v>
      </c>
      <c r="E556" t="str">
        <f t="shared" si="8"/>
        <v>3530</v>
      </c>
      <c r="F556">
        <v>89746</v>
      </c>
      <c r="G556">
        <v>72595</v>
      </c>
    </row>
    <row r="557" spans="1:7">
      <c r="A557">
        <v>208</v>
      </c>
      <c r="B557">
        <v>0</v>
      </c>
      <c r="C557">
        <v>35</v>
      </c>
      <c r="D557">
        <v>31</v>
      </c>
      <c r="E557" t="str">
        <f t="shared" si="8"/>
        <v>3531</v>
      </c>
      <c r="F557">
        <v>92280</v>
      </c>
      <c r="G557">
        <v>76846</v>
      </c>
    </row>
    <row r="558" spans="1:7">
      <c r="A558">
        <v>208</v>
      </c>
      <c r="B558">
        <v>0</v>
      </c>
      <c r="C558">
        <v>35</v>
      </c>
      <c r="D558">
        <v>32</v>
      </c>
      <c r="E558" t="str">
        <f t="shared" si="8"/>
        <v>3532</v>
      </c>
      <c r="F558">
        <v>94615</v>
      </c>
      <c r="G558">
        <v>81242</v>
      </c>
    </row>
    <row r="559" spans="1:7">
      <c r="A559">
        <v>208</v>
      </c>
      <c r="B559">
        <v>0</v>
      </c>
      <c r="C559">
        <v>35</v>
      </c>
      <c r="D559">
        <v>33</v>
      </c>
      <c r="E559" t="str">
        <f t="shared" si="8"/>
        <v>3533</v>
      </c>
      <c r="F559">
        <v>96733</v>
      </c>
      <c r="G559">
        <v>85786</v>
      </c>
    </row>
    <row r="560" spans="1:7">
      <c r="A560">
        <v>208</v>
      </c>
      <c r="B560">
        <v>0</v>
      </c>
      <c r="C560">
        <v>35</v>
      </c>
      <c r="D560">
        <v>34</v>
      </c>
      <c r="E560" t="str">
        <f t="shared" si="8"/>
        <v>3534</v>
      </c>
      <c r="F560">
        <v>98538</v>
      </c>
      <c r="G560">
        <v>90413</v>
      </c>
    </row>
    <row r="561" spans="1:7">
      <c r="A561">
        <v>208</v>
      </c>
      <c r="B561">
        <v>0</v>
      </c>
      <c r="C561">
        <v>36</v>
      </c>
      <c r="D561">
        <v>1</v>
      </c>
      <c r="E561" t="str">
        <f t="shared" si="8"/>
        <v>361</v>
      </c>
      <c r="F561">
        <v>487</v>
      </c>
      <c r="G561">
        <v>402</v>
      </c>
    </row>
    <row r="562" spans="1:7">
      <c r="A562">
        <v>208</v>
      </c>
      <c r="B562">
        <v>0</v>
      </c>
      <c r="C562">
        <v>36</v>
      </c>
      <c r="D562">
        <v>2</v>
      </c>
      <c r="E562" t="str">
        <f t="shared" si="8"/>
        <v>362</v>
      </c>
      <c r="F562">
        <v>1869</v>
      </c>
      <c r="G562">
        <v>1499</v>
      </c>
    </row>
    <row r="563" spans="1:7">
      <c r="A563">
        <v>208</v>
      </c>
      <c r="B563">
        <v>0</v>
      </c>
      <c r="C563">
        <v>36</v>
      </c>
      <c r="D563">
        <v>3</v>
      </c>
      <c r="E563" t="str">
        <f t="shared" si="8"/>
        <v>363</v>
      </c>
      <c r="F563">
        <v>4294</v>
      </c>
      <c r="G563">
        <v>3236</v>
      </c>
    </row>
    <row r="564" spans="1:7">
      <c r="A564">
        <v>208</v>
      </c>
      <c r="B564">
        <v>0</v>
      </c>
      <c r="C564">
        <v>36</v>
      </c>
      <c r="D564">
        <v>4</v>
      </c>
      <c r="E564" t="str">
        <f t="shared" si="8"/>
        <v>364</v>
      </c>
      <c r="F564">
        <v>6796</v>
      </c>
      <c r="G564">
        <v>4875</v>
      </c>
    </row>
    <row r="565" spans="1:7">
      <c r="A565">
        <v>208</v>
      </c>
      <c r="B565">
        <v>0</v>
      </c>
      <c r="C565">
        <v>36</v>
      </c>
      <c r="D565">
        <v>5</v>
      </c>
      <c r="E565" t="str">
        <f t="shared" si="8"/>
        <v>365</v>
      </c>
      <c r="F565">
        <v>9376</v>
      </c>
      <c r="G565">
        <v>6600</v>
      </c>
    </row>
    <row r="566" spans="1:7">
      <c r="A566">
        <v>208</v>
      </c>
      <c r="B566">
        <v>0</v>
      </c>
      <c r="C566">
        <v>36</v>
      </c>
      <c r="D566">
        <v>6</v>
      </c>
      <c r="E566" t="str">
        <f t="shared" si="8"/>
        <v>366</v>
      </c>
      <c r="F566">
        <v>12032</v>
      </c>
      <c r="G566">
        <v>8371</v>
      </c>
    </row>
    <row r="567" spans="1:7">
      <c r="A567">
        <v>208</v>
      </c>
      <c r="B567">
        <v>0</v>
      </c>
      <c r="C567">
        <v>36</v>
      </c>
      <c r="D567">
        <v>7</v>
      </c>
      <c r="E567" t="str">
        <f t="shared" si="8"/>
        <v>367</v>
      </c>
      <c r="F567">
        <v>14763</v>
      </c>
      <c r="G567">
        <v>10181</v>
      </c>
    </row>
    <row r="568" spans="1:7">
      <c r="A568">
        <v>208</v>
      </c>
      <c r="B568">
        <v>0</v>
      </c>
      <c r="C568">
        <v>36</v>
      </c>
      <c r="D568">
        <v>8</v>
      </c>
      <c r="E568" t="str">
        <f t="shared" si="8"/>
        <v>368</v>
      </c>
      <c r="F568">
        <v>17568</v>
      </c>
      <c r="G568">
        <v>12030</v>
      </c>
    </row>
    <row r="569" spans="1:7">
      <c r="A569">
        <v>208</v>
      </c>
      <c r="B569">
        <v>0</v>
      </c>
      <c r="C569">
        <v>36</v>
      </c>
      <c r="D569">
        <v>9</v>
      </c>
      <c r="E569" t="str">
        <f t="shared" si="8"/>
        <v>369</v>
      </c>
      <c r="F569">
        <v>20444</v>
      </c>
      <c r="G569">
        <v>13917</v>
      </c>
    </row>
    <row r="570" spans="1:7">
      <c r="A570">
        <v>208</v>
      </c>
      <c r="B570">
        <v>0</v>
      </c>
      <c r="C570">
        <v>36</v>
      </c>
      <c r="D570">
        <v>10</v>
      </c>
      <c r="E570" t="str">
        <f t="shared" si="8"/>
        <v>3610</v>
      </c>
      <c r="F570">
        <v>23388</v>
      </c>
      <c r="G570">
        <v>15843</v>
      </c>
    </row>
    <row r="571" spans="1:7">
      <c r="A571">
        <v>208</v>
      </c>
      <c r="B571">
        <v>0</v>
      </c>
      <c r="C571">
        <v>36</v>
      </c>
      <c r="D571">
        <v>11</v>
      </c>
      <c r="E571" t="str">
        <f t="shared" si="8"/>
        <v>3611</v>
      </c>
      <c r="F571">
        <v>26396</v>
      </c>
      <c r="G571">
        <v>17809</v>
      </c>
    </row>
    <row r="572" spans="1:7">
      <c r="A572">
        <v>208</v>
      </c>
      <c r="B572">
        <v>0</v>
      </c>
      <c r="C572">
        <v>36</v>
      </c>
      <c r="D572">
        <v>12</v>
      </c>
      <c r="E572" t="str">
        <f t="shared" si="8"/>
        <v>3612</v>
      </c>
      <c r="F572">
        <v>29465</v>
      </c>
      <c r="G572">
        <v>19814</v>
      </c>
    </row>
    <row r="573" spans="1:7">
      <c r="A573">
        <v>208</v>
      </c>
      <c r="B573">
        <v>0</v>
      </c>
      <c r="C573">
        <v>36</v>
      </c>
      <c r="D573">
        <v>13</v>
      </c>
      <c r="E573" t="str">
        <f t="shared" si="8"/>
        <v>3613</v>
      </c>
      <c r="F573">
        <v>32591</v>
      </c>
      <c r="G573">
        <v>21860</v>
      </c>
    </row>
    <row r="574" spans="1:7">
      <c r="A574">
        <v>208</v>
      </c>
      <c r="B574">
        <v>0</v>
      </c>
      <c r="C574">
        <v>36</v>
      </c>
      <c r="D574">
        <v>14</v>
      </c>
      <c r="E574" t="str">
        <f t="shared" si="8"/>
        <v>3614</v>
      </c>
      <c r="F574">
        <v>35770</v>
      </c>
      <c r="G574">
        <v>23947</v>
      </c>
    </row>
    <row r="575" spans="1:7">
      <c r="A575">
        <v>208</v>
      </c>
      <c r="B575">
        <v>0</v>
      </c>
      <c r="C575">
        <v>36</v>
      </c>
      <c r="D575">
        <v>15</v>
      </c>
      <c r="E575" t="str">
        <f t="shared" si="8"/>
        <v>3615</v>
      </c>
      <c r="F575">
        <v>38995</v>
      </c>
      <c r="G575">
        <v>26076</v>
      </c>
    </row>
    <row r="576" spans="1:7">
      <c r="A576">
        <v>208</v>
      </c>
      <c r="B576">
        <v>0</v>
      </c>
      <c r="C576">
        <v>36</v>
      </c>
      <c r="D576">
        <v>16</v>
      </c>
      <c r="E576" t="str">
        <f t="shared" si="8"/>
        <v>3616</v>
      </c>
      <c r="F576">
        <v>42262</v>
      </c>
      <c r="G576">
        <v>28249</v>
      </c>
    </row>
    <row r="577" spans="1:7">
      <c r="A577">
        <v>208</v>
      </c>
      <c r="B577">
        <v>0</v>
      </c>
      <c r="C577">
        <v>36</v>
      </c>
      <c r="D577">
        <v>17</v>
      </c>
      <c r="E577" t="str">
        <f t="shared" si="8"/>
        <v>3617</v>
      </c>
      <c r="F577">
        <v>45566</v>
      </c>
      <c r="G577">
        <v>30465</v>
      </c>
    </row>
    <row r="578" spans="1:7">
      <c r="A578">
        <v>208</v>
      </c>
      <c r="B578">
        <v>0</v>
      </c>
      <c r="C578">
        <v>36</v>
      </c>
      <c r="D578">
        <v>18</v>
      </c>
      <c r="E578" t="str">
        <f t="shared" si="8"/>
        <v>3618</v>
      </c>
      <c r="F578">
        <v>48899</v>
      </c>
      <c r="G578">
        <v>32726</v>
      </c>
    </row>
    <row r="579" spans="1:7">
      <c r="A579">
        <v>208</v>
      </c>
      <c r="B579">
        <v>0</v>
      </c>
      <c r="C579">
        <v>36</v>
      </c>
      <c r="D579">
        <v>19</v>
      </c>
      <c r="E579" t="str">
        <f t="shared" ref="E579:E642" si="9">CONCATENATE(C579,D579)</f>
        <v>3619</v>
      </c>
      <c r="F579">
        <v>52259</v>
      </c>
      <c r="G579">
        <v>35032</v>
      </c>
    </row>
    <row r="580" spans="1:7">
      <c r="A580">
        <v>208</v>
      </c>
      <c r="B580">
        <v>0</v>
      </c>
      <c r="C580">
        <v>36</v>
      </c>
      <c r="D580">
        <v>20</v>
      </c>
      <c r="E580" t="str">
        <f t="shared" si="9"/>
        <v>3620</v>
      </c>
      <c r="F580">
        <v>55638</v>
      </c>
      <c r="G580">
        <v>37385</v>
      </c>
    </row>
    <row r="581" spans="1:7">
      <c r="A581">
        <v>208</v>
      </c>
      <c r="B581">
        <v>0</v>
      </c>
      <c r="C581">
        <v>36</v>
      </c>
      <c r="D581">
        <v>21</v>
      </c>
      <c r="E581" t="str">
        <f t="shared" si="9"/>
        <v>3621</v>
      </c>
      <c r="F581">
        <v>59024</v>
      </c>
      <c r="G581">
        <v>39785</v>
      </c>
    </row>
    <row r="582" spans="1:7">
      <c r="A582">
        <v>208</v>
      </c>
      <c r="B582">
        <v>0</v>
      </c>
      <c r="C582">
        <v>36</v>
      </c>
      <c r="D582">
        <v>22</v>
      </c>
      <c r="E582" t="str">
        <f t="shared" si="9"/>
        <v>3622</v>
      </c>
      <c r="F582">
        <v>62407</v>
      </c>
      <c r="G582">
        <v>42233</v>
      </c>
    </row>
    <row r="583" spans="1:7">
      <c r="A583">
        <v>208</v>
      </c>
      <c r="B583">
        <v>0</v>
      </c>
      <c r="C583">
        <v>36</v>
      </c>
      <c r="D583">
        <v>23</v>
      </c>
      <c r="E583" t="str">
        <f t="shared" si="9"/>
        <v>3623</v>
      </c>
      <c r="F583">
        <v>65773</v>
      </c>
      <c r="G583">
        <v>44731</v>
      </c>
    </row>
    <row r="584" spans="1:7">
      <c r="A584">
        <v>208</v>
      </c>
      <c r="B584">
        <v>0</v>
      </c>
      <c r="C584">
        <v>36</v>
      </c>
      <c r="D584">
        <v>24</v>
      </c>
      <c r="E584" t="str">
        <f t="shared" si="9"/>
        <v>3624</v>
      </c>
      <c r="F584">
        <v>69107</v>
      </c>
      <c r="G584">
        <v>47278</v>
      </c>
    </row>
    <row r="585" spans="1:7">
      <c r="A585">
        <v>208</v>
      </c>
      <c r="B585">
        <v>0</v>
      </c>
      <c r="C585">
        <v>36</v>
      </c>
      <c r="D585">
        <v>25</v>
      </c>
      <c r="E585" t="str">
        <f t="shared" si="9"/>
        <v>3625</v>
      </c>
      <c r="F585">
        <v>72395</v>
      </c>
      <c r="G585">
        <v>50553</v>
      </c>
    </row>
    <row r="586" spans="1:7">
      <c r="A586">
        <v>208</v>
      </c>
      <c r="B586">
        <v>0</v>
      </c>
      <c r="C586">
        <v>36</v>
      </c>
      <c r="D586">
        <v>26</v>
      </c>
      <c r="E586" t="str">
        <f t="shared" si="9"/>
        <v>3626</v>
      </c>
      <c r="F586">
        <v>75621</v>
      </c>
      <c r="G586">
        <v>53950</v>
      </c>
    </row>
    <row r="587" spans="1:7">
      <c r="A587">
        <v>208</v>
      </c>
      <c r="B587">
        <v>0</v>
      </c>
      <c r="C587">
        <v>36</v>
      </c>
      <c r="D587">
        <v>27</v>
      </c>
      <c r="E587" t="str">
        <f t="shared" si="9"/>
        <v>3627</v>
      </c>
      <c r="F587">
        <v>78766</v>
      </c>
      <c r="G587">
        <v>57473</v>
      </c>
    </row>
    <row r="588" spans="1:7">
      <c r="A588">
        <v>208</v>
      </c>
      <c r="B588">
        <v>0</v>
      </c>
      <c r="C588">
        <v>36</v>
      </c>
      <c r="D588">
        <v>28</v>
      </c>
      <c r="E588" t="str">
        <f t="shared" si="9"/>
        <v>3628</v>
      </c>
      <c r="F588">
        <v>81811</v>
      </c>
      <c r="G588">
        <v>61125</v>
      </c>
    </row>
    <row r="589" spans="1:7">
      <c r="A589">
        <v>208</v>
      </c>
      <c r="B589">
        <v>0</v>
      </c>
      <c r="C589">
        <v>36</v>
      </c>
      <c r="D589">
        <v>29</v>
      </c>
      <c r="E589" t="str">
        <f t="shared" si="9"/>
        <v>3629</v>
      </c>
      <c r="F589">
        <v>84738</v>
      </c>
      <c r="G589">
        <v>64909</v>
      </c>
    </row>
    <row r="590" spans="1:7">
      <c r="A590">
        <v>208</v>
      </c>
      <c r="B590">
        <v>0</v>
      </c>
      <c r="C590">
        <v>36</v>
      </c>
      <c r="D590">
        <v>30</v>
      </c>
      <c r="E590" t="str">
        <f t="shared" si="9"/>
        <v>3630</v>
      </c>
      <c r="F590">
        <v>87527</v>
      </c>
      <c r="G590">
        <v>68827</v>
      </c>
    </row>
    <row r="591" spans="1:7">
      <c r="A591">
        <v>208</v>
      </c>
      <c r="B591">
        <v>0</v>
      </c>
      <c r="C591">
        <v>36</v>
      </c>
      <c r="D591">
        <v>31</v>
      </c>
      <c r="E591" t="str">
        <f t="shared" si="9"/>
        <v>3631</v>
      </c>
      <c r="F591">
        <v>90156</v>
      </c>
      <c r="G591">
        <v>72882</v>
      </c>
    </row>
    <row r="592" spans="1:7">
      <c r="A592">
        <v>208</v>
      </c>
      <c r="B592">
        <v>0</v>
      </c>
      <c r="C592">
        <v>36</v>
      </c>
      <c r="D592">
        <v>32</v>
      </c>
      <c r="E592" t="str">
        <f t="shared" si="9"/>
        <v>3632</v>
      </c>
      <c r="F592">
        <v>92603</v>
      </c>
      <c r="G592">
        <v>77078</v>
      </c>
    </row>
    <row r="593" spans="1:7">
      <c r="A593">
        <v>208</v>
      </c>
      <c r="B593">
        <v>0</v>
      </c>
      <c r="C593">
        <v>36</v>
      </c>
      <c r="D593">
        <v>33</v>
      </c>
      <c r="E593" t="str">
        <f t="shared" si="9"/>
        <v>3633</v>
      </c>
      <c r="F593">
        <v>94852</v>
      </c>
      <c r="G593">
        <v>81417</v>
      </c>
    </row>
    <row r="594" spans="1:7">
      <c r="A594">
        <v>208</v>
      </c>
      <c r="B594">
        <v>0</v>
      </c>
      <c r="C594">
        <v>36</v>
      </c>
      <c r="D594">
        <v>34</v>
      </c>
      <c r="E594" t="str">
        <f t="shared" si="9"/>
        <v>3634</v>
      </c>
      <c r="F594">
        <v>96888</v>
      </c>
      <c r="G594">
        <v>85903</v>
      </c>
    </row>
    <row r="595" spans="1:7">
      <c r="A595">
        <v>208</v>
      </c>
      <c r="B595">
        <v>0</v>
      </c>
      <c r="C595">
        <v>36</v>
      </c>
      <c r="D595">
        <v>35</v>
      </c>
      <c r="E595" t="str">
        <f t="shared" si="9"/>
        <v>3635</v>
      </c>
      <c r="F595">
        <v>98613</v>
      </c>
      <c r="G595">
        <v>90472</v>
      </c>
    </row>
    <row r="596" spans="1:7">
      <c r="A596">
        <v>208</v>
      </c>
      <c r="B596">
        <v>0</v>
      </c>
      <c r="C596">
        <v>37</v>
      </c>
      <c r="D596">
        <v>1</v>
      </c>
      <c r="E596" t="str">
        <f t="shared" si="9"/>
        <v>371</v>
      </c>
      <c r="F596">
        <v>465</v>
      </c>
      <c r="G596">
        <v>386</v>
      </c>
    </row>
    <row r="597" spans="1:7">
      <c r="A597">
        <v>208</v>
      </c>
      <c r="B597">
        <v>0</v>
      </c>
      <c r="C597">
        <v>37</v>
      </c>
      <c r="D597">
        <v>2</v>
      </c>
      <c r="E597" t="str">
        <f t="shared" si="9"/>
        <v>372</v>
      </c>
      <c r="F597">
        <v>1784</v>
      </c>
      <c r="G597">
        <v>1439</v>
      </c>
    </row>
    <row r="598" spans="1:7">
      <c r="A598">
        <v>208</v>
      </c>
      <c r="B598">
        <v>0</v>
      </c>
      <c r="C598">
        <v>37</v>
      </c>
      <c r="D598">
        <v>3</v>
      </c>
      <c r="E598" t="str">
        <f t="shared" si="9"/>
        <v>373</v>
      </c>
      <c r="F598">
        <v>4101</v>
      </c>
      <c r="G598">
        <v>3105</v>
      </c>
    </row>
    <row r="599" spans="1:7">
      <c r="A599">
        <v>208</v>
      </c>
      <c r="B599">
        <v>0</v>
      </c>
      <c r="C599">
        <v>37</v>
      </c>
      <c r="D599">
        <v>4</v>
      </c>
      <c r="E599" t="str">
        <f t="shared" si="9"/>
        <v>374</v>
      </c>
      <c r="F599">
        <v>6492</v>
      </c>
      <c r="G599">
        <v>4679</v>
      </c>
    </row>
    <row r="600" spans="1:7">
      <c r="A600">
        <v>208</v>
      </c>
      <c r="B600">
        <v>0</v>
      </c>
      <c r="C600">
        <v>37</v>
      </c>
      <c r="D600">
        <v>5</v>
      </c>
      <c r="E600" t="str">
        <f t="shared" si="9"/>
        <v>375</v>
      </c>
      <c r="F600">
        <v>8958</v>
      </c>
      <c r="G600">
        <v>6334</v>
      </c>
    </row>
    <row r="601" spans="1:7">
      <c r="A601">
        <v>208</v>
      </c>
      <c r="B601">
        <v>0</v>
      </c>
      <c r="C601">
        <v>37</v>
      </c>
      <c r="D601">
        <v>6</v>
      </c>
      <c r="E601" t="str">
        <f t="shared" si="9"/>
        <v>376</v>
      </c>
      <c r="F601">
        <v>11499</v>
      </c>
      <c r="G601">
        <v>8033</v>
      </c>
    </row>
    <row r="602" spans="1:7">
      <c r="A602">
        <v>208</v>
      </c>
      <c r="B602">
        <v>0</v>
      </c>
      <c r="C602">
        <v>37</v>
      </c>
      <c r="D602">
        <v>7</v>
      </c>
      <c r="E602" t="str">
        <f t="shared" si="9"/>
        <v>377</v>
      </c>
      <c r="F602">
        <v>14115</v>
      </c>
      <c r="G602">
        <v>9771</v>
      </c>
    </row>
    <row r="603" spans="1:7">
      <c r="A603">
        <v>208</v>
      </c>
      <c r="B603">
        <v>0</v>
      </c>
      <c r="C603">
        <v>37</v>
      </c>
      <c r="D603">
        <v>8</v>
      </c>
      <c r="E603" t="str">
        <f t="shared" si="9"/>
        <v>378</v>
      </c>
      <c r="F603">
        <v>16804</v>
      </c>
      <c r="G603">
        <v>11545</v>
      </c>
    </row>
    <row r="604" spans="1:7">
      <c r="A604">
        <v>208</v>
      </c>
      <c r="B604">
        <v>0</v>
      </c>
      <c r="C604">
        <v>37</v>
      </c>
      <c r="D604">
        <v>9</v>
      </c>
      <c r="E604" t="str">
        <f t="shared" si="9"/>
        <v>379</v>
      </c>
      <c r="F604">
        <v>19564</v>
      </c>
      <c r="G604">
        <v>13356</v>
      </c>
    </row>
    <row r="605" spans="1:7">
      <c r="A605">
        <v>208</v>
      </c>
      <c r="B605">
        <v>0</v>
      </c>
      <c r="C605">
        <v>37</v>
      </c>
      <c r="D605">
        <v>10</v>
      </c>
      <c r="E605" t="str">
        <f t="shared" si="9"/>
        <v>3710</v>
      </c>
      <c r="F605">
        <v>22393</v>
      </c>
      <c r="G605">
        <v>15205</v>
      </c>
    </row>
    <row r="606" spans="1:7">
      <c r="A606">
        <v>208</v>
      </c>
      <c r="B606">
        <v>0</v>
      </c>
      <c r="C606">
        <v>37</v>
      </c>
      <c r="D606">
        <v>11</v>
      </c>
      <c r="E606" t="str">
        <f t="shared" si="9"/>
        <v>3711</v>
      </c>
      <c r="F606">
        <v>25287</v>
      </c>
      <c r="G606">
        <v>17091</v>
      </c>
    </row>
    <row r="607" spans="1:7">
      <c r="A607">
        <v>208</v>
      </c>
      <c r="B607">
        <v>0</v>
      </c>
      <c r="C607">
        <v>37</v>
      </c>
      <c r="D607">
        <v>12</v>
      </c>
      <c r="E607" t="str">
        <f t="shared" si="9"/>
        <v>3712</v>
      </c>
      <c r="F607">
        <v>28243</v>
      </c>
      <c r="G607">
        <v>19015</v>
      </c>
    </row>
    <row r="608" spans="1:7">
      <c r="A608">
        <v>208</v>
      </c>
      <c r="B608">
        <v>0</v>
      </c>
      <c r="C608">
        <v>37</v>
      </c>
      <c r="D608">
        <v>13</v>
      </c>
      <c r="E608" t="str">
        <f t="shared" si="9"/>
        <v>3713</v>
      </c>
      <c r="F608">
        <v>31257</v>
      </c>
      <c r="G608">
        <v>20978</v>
      </c>
    </row>
    <row r="609" spans="1:7">
      <c r="A609">
        <v>208</v>
      </c>
      <c r="B609">
        <v>0</v>
      </c>
      <c r="C609">
        <v>37</v>
      </c>
      <c r="D609">
        <v>14</v>
      </c>
      <c r="E609" t="str">
        <f t="shared" si="9"/>
        <v>3714</v>
      </c>
      <c r="F609">
        <v>34326</v>
      </c>
      <c r="G609">
        <v>22981</v>
      </c>
    </row>
    <row r="610" spans="1:7">
      <c r="A610">
        <v>208</v>
      </c>
      <c r="B610">
        <v>0</v>
      </c>
      <c r="C610">
        <v>37</v>
      </c>
      <c r="D610">
        <v>15</v>
      </c>
      <c r="E610" t="str">
        <f t="shared" si="9"/>
        <v>3715</v>
      </c>
      <c r="F610">
        <v>37445</v>
      </c>
      <c r="G610">
        <v>25024</v>
      </c>
    </row>
    <row r="611" spans="1:7">
      <c r="A611">
        <v>208</v>
      </c>
      <c r="B611">
        <v>0</v>
      </c>
      <c r="C611">
        <v>37</v>
      </c>
      <c r="D611">
        <v>16</v>
      </c>
      <c r="E611" t="str">
        <f t="shared" si="9"/>
        <v>3716</v>
      </c>
      <c r="F611">
        <v>40608</v>
      </c>
      <c r="G611">
        <v>27109</v>
      </c>
    </row>
    <row r="612" spans="1:7">
      <c r="A612">
        <v>208</v>
      </c>
      <c r="B612">
        <v>0</v>
      </c>
      <c r="C612">
        <v>37</v>
      </c>
      <c r="D612">
        <v>17</v>
      </c>
      <c r="E612" t="str">
        <f t="shared" si="9"/>
        <v>3717</v>
      </c>
      <c r="F612">
        <v>43811</v>
      </c>
      <c r="G612">
        <v>29235</v>
      </c>
    </row>
    <row r="613" spans="1:7">
      <c r="A613">
        <v>208</v>
      </c>
      <c r="B613">
        <v>0</v>
      </c>
      <c r="C613">
        <v>37</v>
      </c>
      <c r="D613">
        <v>18</v>
      </c>
      <c r="E613" t="str">
        <f t="shared" si="9"/>
        <v>3718</v>
      </c>
      <c r="F613">
        <v>47047</v>
      </c>
      <c r="G613">
        <v>31404</v>
      </c>
    </row>
    <row r="614" spans="1:7">
      <c r="A614">
        <v>208</v>
      </c>
      <c r="B614">
        <v>0</v>
      </c>
      <c r="C614">
        <v>37</v>
      </c>
      <c r="D614">
        <v>19</v>
      </c>
      <c r="E614" t="str">
        <f t="shared" si="9"/>
        <v>3719</v>
      </c>
      <c r="F614">
        <v>50312</v>
      </c>
      <c r="G614">
        <v>33617</v>
      </c>
    </row>
    <row r="615" spans="1:7">
      <c r="A615">
        <v>208</v>
      </c>
      <c r="B615">
        <v>0</v>
      </c>
      <c r="C615">
        <v>37</v>
      </c>
      <c r="D615">
        <v>20</v>
      </c>
      <c r="E615" t="str">
        <f t="shared" si="9"/>
        <v>3720</v>
      </c>
      <c r="F615">
        <v>53601</v>
      </c>
      <c r="G615">
        <v>35875</v>
      </c>
    </row>
    <row r="616" spans="1:7">
      <c r="A616">
        <v>208</v>
      </c>
      <c r="B616">
        <v>0</v>
      </c>
      <c r="C616">
        <v>37</v>
      </c>
      <c r="D616">
        <v>21</v>
      </c>
      <c r="E616" t="str">
        <f t="shared" si="9"/>
        <v>3721</v>
      </c>
      <c r="F616">
        <v>56907</v>
      </c>
      <c r="G616">
        <v>38178</v>
      </c>
    </row>
    <row r="617" spans="1:7">
      <c r="A617">
        <v>208</v>
      </c>
      <c r="B617">
        <v>0</v>
      </c>
      <c r="C617">
        <v>37</v>
      </c>
      <c r="D617">
        <v>22</v>
      </c>
      <c r="E617" t="str">
        <f t="shared" si="9"/>
        <v>3722</v>
      </c>
      <c r="F617">
        <v>60219</v>
      </c>
      <c r="G617">
        <v>40527</v>
      </c>
    </row>
    <row r="618" spans="1:7">
      <c r="A618">
        <v>208</v>
      </c>
      <c r="B618">
        <v>0</v>
      </c>
      <c r="C618">
        <v>37</v>
      </c>
      <c r="D618">
        <v>23</v>
      </c>
      <c r="E618" t="str">
        <f t="shared" si="9"/>
        <v>3723</v>
      </c>
      <c r="F618">
        <v>63526</v>
      </c>
      <c r="G618">
        <v>42923</v>
      </c>
    </row>
    <row r="619" spans="1:7">
      <c r="A619">
        <v>208</v>
      </c>
      <c r="B619">
        <v>0</v>
      </c>
      <c r="C619">
        <v>37</v>
      </c>
      <c r="D619">
        <v>24</v>
      </c>
      <c r="E619" t="str">
        <f t="shared" si="9"/>
        <v>3724</v>
      </c>
      <c r="F619">
        <v>66813</v>
      </c>
      <c r="G619">
        <v>45367</v>
      </c>
    </row>
    <row r="620" spans="1:7">
      <c r="A620">
        <v>208</v>
      </c>
      <c r="B620">
        <v>0</v>
      </c>
      <c r="C620">
        <v>37</v>
      </c>
      <c r="D620">
        <v>25</v>
      </c>
      <c r="E620" t="str">
        <f t="shared" si="9"/>
        <v>3725</v>
      </c>
      <c r="F620">
        <v>70068</v>
      </c>
      <c r="G620">
        <v>47860</v>
      </c>
    </row>
    <row r="621" spans="1:7">
      <c r="A621">
        <v>208</v>
      </c>
      <c r="B621">
        <v>0</v>
      </c>
      <c r="C621">
        <v>37</v>
      </c>
      <c r="D621">
        <v>26</v>
      </c>
      <c r="E621" t="str">
        <f t="shared" si="9"/>
        <v>3726</v>
      </c>
      <c r="F621">
        <v>73276</v>
      </c>
      <c r="G621">
        <v>51095</v>
      </c>
    </row>
    <row r="622" spans="1:7">
      <c r="A622">
        <v>208</v>
      </c>
      <c r="B622">
        <v>0</v>
      </c>
      <c r="C622">
        <v>37</v>
      </c>
      <c r="D622">
        <v>27</v>
      </c>
      <c r="E622" t="str">
        <f t="shared" si="9"/>
        <v>3727</v>
      </c>
      <c r="F622">
        <v>76420</v>
      </c>
      <c r="G622">
        <v>54451</v>
      </c>
    </row>
    <row r="623" spans="1:7">
      <c r="A623">
        <v>208</v>
      </c>
      <c r="B623">
        <v>0</v>
      </c>
      <c r="C623">
        <v>37</v>
      </c>
      <c r="D623">
        <v>28</v>
      </c>
      <c r="E623" t="str">
        <f t="shared" si="9"/>
        <v>3728</v>
      </c>
      <c r="F623">
        <v>79482</v>
      </c>
      <c r="G623">
        <v>57931</v>
      </c>
    </row>
    <row r="624" spans="1:7">
      <c r="A624">
        <v>208</v>
      </c>
      <c r="B624">
        <v>0</v>
      </c>
      <c r="C624">
        <v>37</v>
      </c>
      <c r="D624">
        <v>29</v>
      </c>
      <c r="E624" t="str">
        <f t="shared" si="9"/>
        <v>3729</v>
      </c>
      <c r="F624">
        <v>82444</v>
      </c>
      <c r="G624">
        <v>61537</v>
      </c>
    </row>
    <row r="625" spans="1:7">
      <c r="A625">
        <v>208</v>
      </c>
      <c r="B625">
        <v>0</v>
      </c>
      <c r="C625">
        <v>37</v>
      </c>
      <c r="D625">
        <v>30</v>
      </c>
      <c r="E625" t="str">
        <f t="shared" si="9"/>
        <v>3730</v>
      </c>
      <c r="F625">
        <v>85289</v>
      </c>
      <c r="G625">
        <v>65274</v>
      </c>
    </row>
    <row r="626" spans="1:7">
      <c r="A626">
        <v>208</v>
      </c>
      <c r="B626">
        <v>0</v>
      </c>
      <c r="C626">
        <v>37</v>
      </c>
      <c r="D626">
        <v>31</v>
      </c>
      <c r="E626" t="str">
        <f t="shared" si="9"/>
        <v>3731</v>
      </c>
      <c r="F626">
        <v>87994</v>
      </c>
      <c r="G626">
        <v>69144</v>
      </c>
    </row>
    <row r="627" spans="1:7">
      <c r="A627">
        <v>208</v>
      </c>
      <c r="B627">
        <v>0</v>
      </c>
      <c r="C627">
        <v>37</v>
      </c>
      <c r="D627">
        <v>32</v>
      </c>
      <c r="E627" t="str">
        <f t="shared" si="9"/>
        <v>3732</v>
      </c>
      <c r="F627">
        <v>90541</v>
      </c>
      <c r="G627">
        <v>73149</v>
      </c>
    </row>
    <row r="628" spans="1:7">
      <c r="A628">
        <v>208</v>
      </c>
      <c r="B628">
        <v>0</v>
      </c>
      <c r="C628">
        <v>37</v>
      </c>
      <c r="D628">
        <v>33</v>
      </c>
      <c r="E628" t="str">
        <f t="shared" si="9"/>
        <v>3733</v>
      </c>
      <c r="F628">
        <v>92907</v>
      </c>
      <c r="G628">
        <v>77294</v>
      </c>
    </row>
    <row r="629" spans="1:7">
      <c r="A629">
        <v>208</v>
      </c>
      <c r="B629">
        <v>0</v>
      </c>
      <c r="C629">
        <v>37</v>
      </c>
      <c r="D629">
        <v>34</v>
      </c>
      <c r="E629" t="str">
        <f t="shared" si="9"/>
        <v>3734</v>
      </c>
      <c r="F629">
        <v>95076</v>
      </c>
      <c r="G629">
        <v>81580</v>
      </c>
    </row>
    <row r="630" spans="1:7">
      <c r="A630">
        <v>208</v>
      </c>
      <c r="B630">
        <v>0</v>
      </c>
      <c r="C630">
        <v>37</v>
      </c>
      <c r="D630">
        <v>35</v>
      </c>
      <c r="E630" t="str">
        <f t="shared" si="9"/>
        <v>3735</v>
      </c>
      <c r="F630">
        <v>97032</v>
      </c>
      <c r="G630">
        <v>86012</v>
      </c>
    </row>
    <row r="631" spans="1:7">
      <c r="A631">
        <v>208</v>
      </c>
      <c r="B631">
        <v>0</v>
      </c>
      <c r="C631">
        <v>37</v>
      </c>
      <c r="D631">
        <v>36</v>
      </c>
      <c r="E631" t="str">
        <f t="shared" si="9"/>
        <v>3736</v>
      </c>
      <c r="F631">
        <v>98683</v>
      </c>
      <c r="G631">
        <v>90526</v>
      </c>
    </row>
    <row r="632" spans="1:7">
      <c r="A632">
        <v>208</v>
      </c>
      <c r="B632">
        <v>0</v>
      </c>
      <c r="C632">
        <v>38</v>
      </c>
      <c r="D632">
        <v>1</v>
      </c>
      <c r="E632" t="str">
        <f t="shared" si="9"/>
        <v>381</v>
      </c>
      <c r="F632">
        <v>443</v>
      </c>
      <c r="G632">
        <v>371</v>
      </c>
    </row>
    <row r="633" spans="1:7">
      <c r="A633">
        <v>208</v>
      </c>
      <c r="B633">
        <v>0</v>
      </c>
      <c r="C633">
        <v>38</v>
      </c>
      <c r="D633">
        <v>2</v>
      </c>
      <c r="E633" t="str">
        <f t="shared" si="9"/>
        <v>382</v>
      </c>
      <c r="F633">
        <v>1704</v>
      </c>
      <c r="G633">
        <v>1383</v>
      </c>
    </row>
    <row r="634" spans="1:7">
      <c r="A634">
        <v>208</v>
      </c>
      <c r="B634">
        <v>0</v>
      </c>
      <c r="C634">
        <v>38</v>
      </c>
      <c r="D634">
        <v>3</v>
      </c>
      <c r="E634" t="str">
        <f t="shared" si="9"/>
        <v>383</v>
      </c>
      <c r="F634">
        <v>3918</v>
      </c>
      <c r="G634">
        <v>2982</v>
      </c>
    </row>
    <row r="635" spans="1:7">
      <c r="A635">
        <v>208</v>
      </c>
      <c r="B635">
        <v>0</v>
      </c>
      <c r="C635">
        <v>38</v>
      </c>
      <c r="D635">
        <v>4</v>
      </c>
      <c r="E635" t="str">
        <f t="shared" si="9"/>
        <v>384</v>
      </c>
      <c r="F635">
        <v>6204</v>
      </c>
      <c r="G635">
        <v>4494</v>
      </c>
    </row>
    <row r="636" spans="1:7">
      <c r="A636">
        <v>208</v>
      </c>
      <c r="B636">
        <v>0</v>
      </c>
      <c r="C636">
        <v>38</v>
      </c>
      <c r="D636">
        <v>5</v>
      </c>
      <c r="E636" t="str">
        <f t="shared" si="9"/>
        <v>385</v>
      </c>
      <c r="F636">
        <v>8563</v>
      </c>
      <c r="G636">
        <v>6084</v>
      </c>
    </row>
    <row r="637" spans="1:7">
      <c r="A637">
        <v>208</v>
      </c>
      <c r="B637">
        <v>0</v>
      </c>
      <c r="C637">
        <v>38</v>
      </c>
      <c r="D637">
        <v>6</v>
      </c>
      <c r="E637" t="str">
        <f t="shared" si="9"/>
        <v>386</v>
      </c>
      <c r="F637">
        <v>10996</v>
      </c>
      <c r="G637">
        <v>7716</v>
      </c>
    </row>
    <row r="638" spans="1:7">
      <c r="A638">
        <v>208</v>
      </c>
      <c r="B638">
        <v>0</v>
      </c>
      <c r="C638">
        <v>38</v>
      </c>
      <c r="D638">
        <v>7</v>
      </c>
      <c r="E638" t="str">
        <f t="shared" si="9"/>
        <v>387</v>
      </c>
      <c r="F638">
        <v>13501</v>
      </c>
      <c r="G638">
        <v>9384</v>
      </c>
    </row>
    <row r="639" spans="1:7">
      <c r="A639">
        <v>208</v>
      </c>
      <c r="B639">
        <v>0</v>
      </c>
      <c r="C639">
        <v>38</v>
      </c>
      <c r="D639">
        <v>8</v>
      </c>
      <c r="E639" t="str">
        <f t="shared" si="9"/>
        <v>388</v>
      </c>
      <c r="F639">
        <v>16079</v>
      </c>
      <c r="G639">
        <v>11088</v>
      </c>
    </row>
    <row r="640" spans="1:7">
      <c r="A640">
        <v>208</v>
      </c>
      <c r="B640">
        <v>0</v>
      </c>
      <c r="C640">
        <v>38</v>
      </c>
      <c r="D640">
        <v>9</v>
      </c>
      <c r="E640" t="str">
        <f t="shared" si="9"/>
        <v>389</v>
      </c>
      <c r="F640">
        <v>18728</v>
      </c>
      <c r="G640">
        <v>12828</v>
      </c>
    </row>
    <row r="641" spans="1:7">
      <c r="A641">
        <v>208</v>
      </c>
      <c r="B641">
        <v>0</v>
      </c>
      <c r="C641">
        <v>38</v>
      </c>
      <c r="D641">
        <v>10</v>
      </c>
      <c r="E641" t="str">
        <f t="shared" si="9"/>
        <v>3810</v>
      </c>
      <c r="F641">
        <v>21446</v>
      </c>
      <c r="G641">
        <v>14603</v>
      </c>
    </row>
    <row r="642" spans="1:7">
      <c r="A642">
        <v>208</v>
      </c>
      <c r="B642">
        <v>0</v>
      </c>
      <c r="C642">
        <v>38</v>
      </c>
      <c r="D642">
        <v>11</v>
      </c>
      <c r="E642" t="str">
        <f t="shared" si="9"/>
        <v>3811</v>
      </c>
      <c r="F642">
        <v>24230</v>
      </c>
      <c r="G642">
        <v>16414</v>
      </c>
    </row>
    <row r="643" spans="1:7">
      <c r="A643">
        <v>208</v>
      </c>
      <c r="B643">
        <v>0</v>
      </c>
      <c r="C643">
        <v>38</v>
      </c>
      <c r="D643">
        <v>12</v>
      </c>
      <c r="E643" t="str">
        <f t="shared" ref="E643:E706" si="10">CONCATENATE(C643,D643)</f>
        <v>3812</v>
      </c>
      <c r="F643">
        <v>27076</v>
      </c>
      <c r="G643">
        <v>18262</v>
      </c>
    </row>
    <row r="644" spans="1:7">
      <c r="A644">
        <v>208</v>
      </c>
      <c r="B644">
        <v>0</v>
      </c>
      <c r="C644">
        <v>38</v>
      </c>
      <c r="D644">
        <v>13</v>
      </c>
      <c r="E644" t="str">
        <f t="shared" si="10"/>
        <v>3813</v>
      </c>
      <c r="F644">
        <v>29983</v>
      </c>
      <c r="G644">
        <v>20148</v>
      </c>
    </row>
    <row r="645" spans="1:7">
      <c r="A645">
        <v>208</v>
      </c>
      <c r="B645">
        <v>0</v>
      </c>
      <c r="C645">
        <v>38</v>
      </c>
      <c r="D645">
        <v>14</v>
      </c>
      <c r="E645" t="str">
        <f t="shared" si="10"/>
        <v>3814</v>
      </c>
      <c r="F645">
        <v>32945</v>
      </c>
      <c r="G645">
        <v>22071</v>
      </c>
    </row>
    <row r="646" spans="1:7">
      <c r="A646">
        <v>208</v>
      </c>
      <c r="B646">
        <v>0</v>
      </c>
      <c r="C646">
        <v>38</v>
      </c>
      <c r="D646">
        <v>15</v>
      </c>
      <c r="E646" t="str">
        <f t="shared" si="10"/>
        <v>3815</v>
      </c>
      <c r="F646">
        <v>35960</v>
      </c>
      <c r="G646">
        <v>24033</v>
      </c>
    </row>
    <row r="647" spans="1:7">
      <c r="A647">
        <v>208</v>
      </c>
      <c r="B647">
        <v>0</v>
      </c>
      <c r="C647">
        <v>38</v>
      </c>
      <c r="D647">
        <v>16</v>
      </c>
      <c r="E647" t="str">
        <f t="shared" si="10"/>
        <v>3816</v>
      </c>
      <c r="F647">
        <v>39023</v>
      </c>
      <c r="G647">
        <v>26035</v>
      </c>
    </row>
    <row r="648" spans="1:7">
      <c r="A648">
        <v>208</v>
      </c>
      <c r="B648">
        <v>0</v>
      </c>
      <c r="C648">
        <v>38</v>
      </c>
      <c r="D648">
        <v>17</v>
      </c>
      <c r="E648" t="str">
        <f t="shared" si="10"/>
        <v>3817</v>
      </c>
      <c r="F648">
        <v>42127</v>
      </c>
      <c r="G648">
        <v>28077</v>
      </c>
    </row>
    <row r="649" spans="1:7">
      <c r="A649">
        <v>208</v>
      </c>
      <c r="B649">
        <v>0</v>
      </c>
      <c r="C649">
        <v>38</v>
      </c>
      <c r="D649">
        <v>18</v>
      </c>
      <c r="E649" t="str">
        <f t="shared" si="10"/>
        <v>3818</v>
      </c>
      <c r="F649">
        <v>45269</v>
      </c>
      <c r="G649">
        <v>30160</v>
      </c>
    </row>
    <row r="650" spans="1:7">
      <c r="A650">
        <v>208</v>
      </c>
      <c r="B650">
        <v>0</v>
      </c>
      <c r="C650">
        <v>38</v>
      </c>
      <c r="D650">
        <v>19</v>
      </c>
      <c r="E650" t="str">
        <f t="shared" si="10"/>
        <v>3819</v>
      </c>
      <c r="F650">
        <v>48443</v>
      </c>
      <c r="G650">
        <v>32285</v>
      </c>
    </row>
    <row r="651" spans="1:7">
      <c r="A651">
        <v>208</v>
      </c>
      <c r="B651">
        <v>0</v>
      </c>
      <c r="C651">
        <v>38</v>
      </c>
      <c r="D651">
        <v>20</v>
      </c>
      <c r="E651" t="str">
        <f t="shared" si="10"/>
        <v>3820</v>
      </c>
      <c r="F651">
        <v>51643</v>
      </c>
      <c r="G651">
        <v>34452</v>
      </c>
    </row>
    <row r="652" spans="1:7">
      <c r="A652">
        <v>208</v>
      </c>
      <c r="B652">
        <v>0</v>
      </c>
      <c r="C652">
        <v>38</v>
      </c>
      <c r="D652">
        <v>21</v>
      </c>
      <c r="E652" t="str">
        <f t="shared" si="10"/>
        <v>3821</v>
      </c>
      <c r="F652">
        <v>54865</v>
      </c>
      <c r="G652">
        <v>36664</v>
      </c>
    </row>
    <row r="653" spans="1:7">
      <c r="A653">
        <v>208</v>
      </c>
      <c r="B653">
        <v>0</v>
      </c>
      <c r="C653">
        <v>38</v>
      </c>
      <c r="D653">
        <v>22</v>
      </c>
      <c r="E653" t="str">
        <f t="shared" si="10"/>
        <v>3822</v>
      </c>
      <c r="F653">
        <v>58102</v>
      </c>
      <c r="G653">
        <v>38919</v>
      </c>
    </row>
    <row r="654" spans="1:7">
      <c r="A654">
        <v>208</v>
      </c>
      <c r="B654">
        <v>0</v>
      </c>
      <c r="C654">
        <v>38</v>
      </c>
      <c r="D654">
        <v>23</v>
      </c>
      <c r="E654" t="str">
        <f t="shared" si="10"/>
        <v>3823</v>
      </c>
      <c r="F654">
        <v>61344</v>
      </c>
      <c r="G654">
        <v>41220</v>
      </c>
    </row>
    <row r="655" spans="1:7">
      <c r="A655">
        <v>208</v>
      </c>
      <c r="B655">
        <v>0</v>
      </c>
      <c r="C655">
        <v>38</v>
      </c>
      <c r="D655">
        <v>24</v>
      </c>
      <c r="E655" t="str">
        <f t="shared" si="10"/>
        <v>3824</v>
      </c>
      <c r="F655">
        <v>64579</v>
      </c>
      <c r="G655">
        <v>43567</v>
      </c>
    </row>
    <row r="656" spans="1:7">
      <c r="A656">
        <v>208</v>
      </c>
      <c r="B656">
        <v>0</v>
      </c>
      <c r="C656">
        <v>38</v>
      </c>
      <c r="D656">
        <v>25</v>
      </c>
      <c r="E656" t="str">
        <f t="shared" si="10"/>
        <v>3825</v>
      </c>
      <c r="F656">
        <v>67793</v>
      </c>
      <c r="G656">
        <v>45961</v>
      </c>
    </row>
    <row r="657" spans="1:7">
      <c r="A657">
        <v>208</v>
      </c>
      <c r="B657">
        <v>0</v>
      </c>
      <c r="C657">
        <v>38</v>
      </c>
      <c r="D657">
        <v>26</v>
      </c>
      <c r="E657" t="str">
        <f t="shared" si="10"/>
        <v>3826</v>
      </c>
      <c r="F657">
        <v>70973</v>
      </c>
      <c r="G657">
        <v>49025</v>
      </c>
    </row>
    <row r="658" spans="1:7">
      <c r="A658">
        <v>208</v>
      </c>
      <c r="B658">
        <v>0</v>
      </c>
      <c r="C658">
        <v>38</v>
      </c>
      <c r="D658">
        <v>27</v>
      </c>
      <c r="E658" t="str">
        <f t="shared" si="10"/>
        <v>3827</v>
      </c>
      <c r="F658">
        <v>74104</v>
      </c>
      <c r="G658">
        <v>52201</v>
      </c>
    </row>
    <row r="659" spans="1:7">
      <c r="A659">
        <v>208</v>
      </c>
      <c r="B659">
        <v>0</v>
      </c>
      <c r="C659">
        <v>38</v>
      </c>
      <c r="D659">
        <v>28</v>
      </c>
      <c r="E659" t="str">
        <f t="shared" si="10"/>
        <v>3828</v>
      </c>
      <c r="F659">
        <v>77172</v>
      </c>
      <c r="G659">
        <v>55491</v>
      </c>
    </row>
    <row r="660" spans="1:7">
      <c r="A660">
        <v>208</v>
      </c>
      <c r="B660">
        <v>0</v>
      </c>
      <c r="C660">
        <v>38</v>
      </c>
      <c r="D660">
        <v>29</v>
      </c>
      <c r="E660" t="str">
        <f t="shared" si="10"/>
        <v>3829</v>
      </c>
      <c r="F660">
        <v>80157</v>
      </c>
      <c r="G660">
        <v>58899</v>
      </c>
    </row>
    <row r="661" spans="1:7">
      <c r="A661">
        <v>208</v>
      </c>
      <c r="B661">
        <v>0</v>
      </c>
      <c r="C661">
        <v>38</v>
      </c>
      <c r="D661">
        <v>30</v>
      </c>
      <c r="E661" t="str">
        <f t="shared" si="10"/>
        <v>3830</v>
      </c>
      <c r="F661">
        <v>83040</v>
      </c>
      <c r="G661">
        <v>62427</v>
      </c>
    </row>
    <row r="662" spans="1:7">
      <c r="A662">
        <v>208</v>
      </c>
      <c r="B662">
        <v>0</v>
      </c>
      <c r="C662">
        <v>38</v>
      </c>
      <c r="D662">
        <v>31</v>
      </c>
      <c r="E662" t="str">
        <f t="shared" si="10"/>
        <v>3831</v>
      </c>
      <c r="F662">
        <v>85806</v>
      </c>
      <c r="G662">
        <v>66079</v>
      </c>
    </row>
    <row r="663" spans="1:7">
      <c r="A663">
        <v>208</v>
      </c>
      <c r="B663">
        <v>0</v>
      </c>
      <c r="C663">
        <v>38</v>
      </c>
      <c r="D663">
        <v>32</v>
      </c>
      <c r="E663" t="str">
        <f t="shared" si="10"/>
        <v>3832</v>
      </c>
      <c r="F663">
        <v>88434</v>
      </c>
      <c r="G663">
        <v>69856</v>
      </c>
    </row>
    <row r="664" spans="1:7">
      <c r="A664">
        <v>208</v>
      </c>
      <c r="B664">
        <v>0</v>
      </c>
      <c r="C664">
        <v>38</v>
      </c>
      <c r="D664">
        <v>33</v>
      </c>
      <c r="E664" t="str">
        <f t="shared" si="10"/>
        <v>3833</v>
      </c>
      <c r="F664">
        <v>90903</v>
      </c>
      <c r="G664">
        <v>73762</v>
      </c>
    </row>
    <row r="665" spans="1:7">
      <c r="A665">
        <v>208</v>
      </c>
      <c r="B665">
        <v>0</v>
      </c>
      <c r="C665">
        <v>38</v>
      </c>
      <c r="D665">
        <v>34</v>
      </c>
      <c r="E665" t="str">
        <f t="shared" si="10"/>
        <v>3834</v>
      </c>
      <c r="F665">
        <v>93192</v>
      </c>
      <c r="G665">
        <v>77799</v>
      </c>
    </row>
    <row r="666" spans="1:7">
      <c r="A666">
        <v>208</v>
      </c>
      <c r="B666">
        <v>0</v>
      </c>
      <c r="C666">
        <v>38</v>
      </c>
      <c r="D666">
        <v>35</v>
      </c>
      <c r="E666" t="str">
        <f t="shared" si="10"/>
        <v>3835</v>
      </c>
      <c r="F666">
        <v>95285</v>
      </c>
      <c r="G666">
        <v>81971</v>
      </c>
    </row>
    <row r="667" spans="1:7">
      <c r="A667">
        <v>208</v>
      </c>
      <c r="B667">
        <v>0</v>
      </c>
      <c r="C667">
        <v>38</v>
      </c>
      <c r="D667">
        <v>36</v>
      </c>
      <c r="E667" t="str">
        <f t="shared" si="10"/>
        <v>3836</v>
      </c>
      <c r="F667">
        <v>97168</v>
      </c>
      <c r="G667">
        <v>86280</v>
      </c>
    </row>
    <row r="668" spans="1:7">
      <c r="A668">
        <v>208</v>
      </c>
      <c r="B668">
        <v>0</v>
      </c>
      <c r="C668">
        <v>38</v>
      </c>
      <c r="D668">
        <v>37</v>
      </c>
      <c r="E668" t="str">
        <f t="shared" si="10"/>
        <v>3837</v>
      </c>
      <c r="F668">
        <v>98749</v>
      </c>
      <c r="G668">
        <v>90666</v>
      </c>
    </row>
    <row r="669" spans="1:7">
      <c r="A669">
        <v>208</v>
      </c>
      <c r="B669">
        <v>0</v>
      </c>
      <c r="C669">
        <v>39</v>
      </c>
      <c r="D669">
        <v>1</v>
      </c>
      <c r="E669" t="str">
        <f t="shared" si="10"/>
        <v>391</v>
      </c>
      <c r="F669">
        <v>423</v>
      </c>
      <c r="G669">
        <v>356</v>
      </c>
    </row>
    <row r="670" spans="1:7">
      <c r="A670">
        <v>208</v>
      </c>
      <c r="B670">
        <v>0</v>
      </c>
      <c r="C670">
        <v>39</v>
      </c>
      <c r="D670">
        <v>2</v>
      </c>
      <c r="E670" t="str">
        <f t="shared" si="10"/>
        <v>392</v>
      </c>
      <c r="F670">
        <v>1629</v>
      </c>
      <c r="G670">
        <v>1329</v>
      </c>
    </row>
    <row r="671" spans="1:7">
      <c r="A671">
        <v>208</v>
      </c>
      <c r="B671">
        <v>0</v>
      </c>
      <c r="C671">
        <v>39</v>
      </c>
      <c r="D671">
        <v>3</v>
      </c>
      <c r="E671" t="str">
        <f t="shared" si="10"/>
        <v>393</v>
      </c>
      <c r="F671">
        <v>3746</v>
      </c>
      <c r="G671">
        <v>2866</v>
      </c>
    </row>
    <row r="672" spans="1:7">
      <c r="A672">
        <v>208</v>
      </c>
      <c r="B672">
        <v>0</v>
      </c>
      <c r="C672">
        <v>39</v>
      </c>
      <c r="D672">
        <v>4</v>
      </c>
      <c r="E672" t="str">
        <f t="shared" si="10"/>
        <v>394</v>
      </c>
      <c r="F672">
        <v>5933</v>
      </c>
      <c r="G672">
        <v>4319</v>
      </c>
    </row>
    <row r="673" spans="1:7">
      <c r="A673">
        <v>208</v>
      </c>
      <c r="B673">
        <v>0</v>
      </c>
      <c r="C673">
        <v>39</v>
      </c>
      <c r="D673">
        <v>5</v>
      </c>
      <c r="E673" t="str">
        <f t="shared" si="10"/>
        <v>395</v>
      </c>
      <c r="F673">
        <v>8190</v>
      </c>
      <c r="G673">
        <v>5847</v>
      </c>
    </row>
    <row r="674" spans="1:7">
      <c r="A674">
        <v>208</v>
      </c>
      <c r="B674">
        <v>0</v>
      </c>
      <c r="C674">
        <v>39</v>
      </c>
      <c r="D674">
        <v>6</v>
      </c>
      <c r="E674" t="str">
        <f t="shared" si="10"/>
        <v>396</v>
      </c>
      <c r="F674">
        <v>10519</v>
      </c>
      <c r="G674">
        <v>7416</v>
      </c>
    </row>
    <row r="675" spans="1:7">
      <c r="A675">
        <v>208</v>
      </c>
      <c r="B675">
        <v>0</v>
      </c>
      <c r="C675">
        <v>39</v>
      </c>
      <c r="D675">
        <v>7</v>
      </c>
      <c r="E675" t="str">
        <f t="shared" si="10"/>
        <v>397</v>
      </c>
      <c r="F675">
        <v>12919</v>
      </c>
      <c r="G675">
        <v>9020</v>
      </c>
    </row>
    <row r="676" spans="1:7">
      <c r="A676">
        <v>208</v>
      </c>
      <c r="B676">
        <v>0</v>
      </c>
      <c r="C676">
        <v>39</v>
      </c>
      <c r="D676">
        <v>8</v>
      </c>
      <c r="E676" t="str">
        <f t="shared" si="10"/>
        <v>398</v>
      </c>
      <c r="F676">
        <v>15390</v>
      </c>
      <c r="G676">
        <v>10658</v>
      </c>
    </row>
    <row r="677" spans="1:7">
      <c r="A677">
        <v>208</v>
      </c>
      <c r="B677">
        <v>0</v>
      </c>
      <c r="C677">
        <v>39</v>
      </c>
      <c r="D677">
        <v>9</v>
      </c>
      <c r="E677" t="str">
        <f t="shared" si="10"/>
        <v>399</v>
      </c>
      <c r="F677">
        <v>17932</v>
      </c>
      <c r="G677">
        <v>12330</v>
      </c>
    </row>
    <row r="678" spans="1:7">
      <c r="A678">
        <v>208</v>
      </c>
      <c r="B678">
        <v>0</v>
      </c>
      <c r="C678">
        <v>39</v>
      </c>
      <c r="D678">
        <v>10</v>
      </c>
      <c r="E678" t="str">
        <f t="shared" si="10"/>
        <v>3910</v>
      </c>
      <c r="F678">
        <v>20543</v>
      </c>
      <c r="G678">
        <v>14036</v>
      </c>
    </row>
    <row r="679" spans="1:7">
      <c r="A679">
        <v>208</v>
      </c>
      <c r="B679">
        <v>0</v>
      </c>
      <c r="C679">
        <v>39</v>
      </c>
      <c r="D679">
        <v>11</v>
      </c>
      <c r="E679" t="str">
        <f t="shared" si="10"/>
        <v>3911</v>
      </c>
      <c r="F679">
        <v>23221</v>
      </c>
      <c r="G679">
        <v>15776</v>
      </c>
    </row>
    <row r="680" spans="1:7">
      <c r="A680">
        <v>208</v>
      </c>
      <c r="B680">
        <v>0</v>
      </c>
      <c r="C680">
        <v>39</v>
      </c>
      <c r="D680">
        <v>12</v>
      </c>
      <c r="E680" t="str">
        <f t="shared" si="10"/>
        <v>3912</v>
      </c>
      <c r="F680">
        <v>25962</v>
      </c>
      <c r="G680">
        <v>17552</v>
      </c>
    </row>
    <row r="681" spans="1:7">
      <c r="A681">
        <v>208</v>
      </c>
      <c r="B681">
        <v>0</v>
      </c>
      <c r="C681">
        <v>39</v>
      </c>
      <c r="D681">
        <v>13</v>
      </c>
      <c r="E681" t="str">
        <f t="shared" si="10"/>
        <v>3913</v>
      </c>
      <c r="F681">
        <v>28765</v>
      </c>
      <c r="G681">
        <v>19364</v>
      </c>
    </row>
    <row r="682" spans="1:7">
      <c r="A682">
        <v>208</v>
      </c>
      <c r="B682">
        <v>0</v>
      </c>
      <c r="C682">
        <v>39</v>
      </c>
      <c r="D682">
        <v>14</v>
      </c>
      <c r="E682" t="str">
        <f t="shared" si="10"/>
        <v>3914</v>
      </c>
      <c r="F682">
        <v>31625</v>
      </c>
      <c r="G682">
        <v>21213</v>
      </c>
    </row>
    <row r="683" spans="1:7">
      <c r="A683">
        <v>208</v>
      </c>
      <c r="B683">
        <v>0</v>
      </c>
      <c r="C683">
        <v>39</v>
      </c>
      <c r="D683">
        <v>15</v>
      </c>
      <c r="E683" t="str">
        <f t="shared" si="10"/>
        <v>3915</v>
      </c>
      <c r="F683">
        <v>34538</v>
      </c>
      <c r="G683">
        <v>23098</v>
      </c>
    </row>
    <row r="684" spans="1:7">
      <c r="A684">
        <v>208</v>
      </c>
      <c r="B684">
        <v>0</v>
      </c>
      <c r="C684">
        <v>39</v>
      </c>
      <c r="D684">
        <v>16</v>
      </c>
      <c r="E684" t="str">
        <f t="shared" si="10"/>
        <v>3916</v>
      </c>
      <c r="F684">
        <v>37502</v>
      </c>
      <c r="G684">
        <v>25022</v>
      </c>
    </row>
    <row r="685" spans="1:7">
      <c r="A685">
        <v>208</v>
      </c>
      <c r="B685">
        <v>0</v>
      </c>
      <c r="C685">
        <v>39</v>
      </c>
      <c r="D685">
        <v>17</v>
      </c>
      <c r="E685" t="str">
        <f t="shared" si="10"/>
        <v>3917</v>
      </c>
      <c r="F685">
        <v>40511</v>
      </c>
      <c r="G685">
        <v>26984</v>
      </c>
    </row>
    <row r="686" spans="1:7">
      <c r="A686">
        <v>208</v>
      </c>
      <c r="B686">
        <v>0</v>
      </c>
      <c r="C686">
        <v>39</v>
      </c>
      <c r="D686">
        <v>18</v>
      </c>
      <c r="E686" t="str">
        <f t="shared" si="10"/>
        <v>3918</v>
      </c>
      <c r="F686">
        <v>43560</v>
      </c>
      <c r="G686">
        <v>28986</v>
      </c>
    </row>
    <row r="687" spans="1:7">
      <c r="A687">
        <v>208</v>
      </c>
      <c r="B687">
        <v>0</v>
      </c>
      <c r="C687">
        <v>39</v>
      </c>
      <c r="D687">
        <v>19</v>
      </c>
      <c r="E687" t="str">
        <f t="shared" si="10"/>
        <v>3919</v>
      </c>
      <c r="F687">
        <v>46645</v>
      </c>
      <c r="G687">
        <v>31028</v>
      </c>
    </row>
    <row r="688" spans="1:7">
      <c r="A688">
        <v>208</v>
      </c>
      <c r="B688">
        <v>0</v>
      </c>
      <c r="C688">
        <v>39</v>
      </c>
      <c r="D688">
        <v>20</v>
      </c>
      <c r="E688" t="str">
        <f t="shared" si="10"/>
        <v>3920</v>
      </c>
      <c r="F688">
        <v>49759</v>
      </c>
      <c r="G688">
        <v>33111</v>
      </c>
    </row>
    <row r="689" spans="1:7">
      <c r="A689">
        <v>208</v>
      </c>
      <c r="B689">
        <v>0</v>
      </c>
      <c r="C689">
        <v>39</v>
      </c>
      <c r="D689">
        <v>21</v>
      </c>
      <c r="E689" t="str">
        <f t="shared" si="10"/>
        <v>3921</v>
      </c>
      <c r="F689">
        <v>52898</v>
      </c>
      <c r="G689">
        <v>35235</v>
      </c>
    </row>
    <row r="690" spans="1:7">
      <c r="A690">
        <v>208</v>
      </c>
      <c r="B690">
        <v>0</v>
      </c>
      <c r="C690">
        <v>39</v>
      </c>
      <c r="D690">
        <v>22</v>
      </c>
      <c r="E690" t="str">
        <f t="shared" si="10"/>
        <v>3922</v>
      </c>
      <c r="F690">
        <v>56057</v>
      </c>
      <c r="G690">
        <v>37403</v>
      </c>
    </row>
    <row r="691" spans="1:7">
      <c r="A691">
        <v>208</v>
      </c>
      <c r="B691">
        <v>0</v>
      </c>
      <c r="C691">
        <v>39</v>
      </c>
      <c r="D691">
        <v>23</v>
      </c>
      <c r="E691" t="str">
        <f t="shared" si="10"/>
        <v>3923</v>
      </c>
      <c r="F691">
        <v>59229</v>
      </c>
      <c r="G691">
        <v>39614</v>
      </c>
    </row>
    <row r="692" spans="1:7">
      <c r="A692">
        <v>208</v>
      </c>
      <c r="B692">
        <v>0</v>
      </c>
      <c r="C692">
        <v>39</v>
      </c>
      <c r="D692">
        <v>24</v>
      </c>
      <c r="E692" t="str">
        <f t="shared" si="10"/>
        <v>3924</v>
      </c>
      <c r="F692">
        <v>62404</v>
      </c>
      <c r="G692">
        <v>41870</v>
      </c>
    </row>
    <row r="693" spans="1:7">
      <c r="A693">
        <v>208</v>
      </c>
      <c r="B693">
        <v>0</v>
      </c>
      <c r="C693">
        <v>39</v>
      </c>
      <c r="D693">
        <v>25</v>
      </c>
      <c r="E693" t="str">
        <f t="shared" si="10"/>
        <v>3925</v>
      </c>
      <c r="F693">
        <v>65571</v>
      </c>
      <c r="G693">
        <v>44170</v>
      </c>
    </row>
    <row r="694" spans="1:7">
      <c r="A694">
        <v>208</v>
      </c>
      <c r="B694">
        <v>0</v>
      </c>
      <c r="C694">
        <v>39</v>
      </c>
      <c r="D694">
        <v>26</v>
      </c>
      <c r="E694" t="str">
        <f t="shared" si="10"/>
        <v>3926</v>
      </c>
      <c r="F694">
        <v>68716</v>
      </c>
      <c r="G694">
        <v>46517</v>
      </c>
    </row>
    <row r="695" spans="1:7">
      <c r="A695">
        <v>208</v>
      </c>
      <c r="B695">
        <v>0</v>
      </c>
      <c r="C695">
        <v>39</v>
      </c>
      <c r="D695">
        <v>27</v>
      </c>
      <c r="E695" t="str">
        <f t="shared" si="10"/>
        <v>3927</v>
      </c>
      <c r="F695">
        <v>71825</v>
      </c>
      <c r="G695">
        <v>49545</v>
      </c>
    </row>
    <row r="696" spans="1:7">
      <c r="A696">
        <v>208</v>
      </c>
      <c r="B696">
        <v>0</v>
      </c>
      <c r="C696">
        <v>39</v>
      </c>
      <c r="D696">
        <v>28</v>
      </c>
      <c r="E696" t="str">
        <f t="shared" si="10"/>
        <v>3928</v>
      </c>
      <c r="F696">
        <v>74885</v>
      </c>
      <c r="G696">
        <v>52684</v>
      </c>
    </row>
    <row r="697" spans="1:7">
      <c r="A697">
        <v>208</v>
      </c>
      <c r="B697">
        <v>0</v>
      </c>
      <c r="C697">
        <v>39</v>
      </c>
      <c r="D697">
        <v>29</v>
      </c>
      <c r="E697" t="str">
        <f t="shared" si="10"/>
        <v>3929</v>
      </c>
      <c r="F697">
        <v>77880</v>
      </c>
      <c r="G697">
        <v>55937</v>
      </c>
    </row>
    <row r="698" spans="1:7">
      <c r="A698">
        <v>208</v>
      </c>
      <c r="B698">
        <v>0</v>
      </c>
      <c r="C698">
        <v>39</v>
      </c>
      <c r="D698">
        <v>30</v>
      </c>
      <c r="E698" t="str">
        <f t="shared" si="10"/>
        <v>3930</v>
      </c>
      <c r="F698">
        <v>80792</v>
      </c>
      <c r="G698">
        <v>59306</v>
      </c>
    </row>
    <row r="699" spans="1:7">
      <c r="A699">
        <v>208</v>
      </c>
      <c r="B699">
        <v>0</v>
      </c>
      <c r="C699">
        <v>39</v>
      </c>
      <c r="D699">
        <v>31</v>
      </c>
      <c r="E699" t="str">
        <f t="shared" si="10"/>
        <v>3931</v>
      </c>
      <c r="F699">
        <v>83601</v>
      </c>
      <c r="G699">
        <v>62794</v>
      </c>
    </row>
    <row r="700" spans="1:7">
      <c r="A700">
        <v>208</v>
      </c>
      <c r="B700">
        <v>0</v>
      </c>
      <c r="C700">
        <v>39</v>
      </c>
      <c r="D700">
        <v>32</v>
      </c>
      <c r="E700" t="str">
        <f t="shared" si="10"/>
        <v>3932</v>
      </c>
      <c r="F700">
        <v>86294</v>
      </c>
      <c r="G700">
        <v>66404</v>
      </c>
    </row>
    <row r="701" spans="1:7">
      <c r="A701">
        <v>208</v>
      </c>
      <c r="B701">
        <v>0</v>
      </c>
      <c r="C701">
        <v>39</v>
      </c>
      <c r="D701">
        <v>33</v>
      </c>
      <c r="E701" t="str">
        <f t="shared" si="10"/>
        <v>3933</v>
      </c>
      <c r="F701">
        <v>88848</v>
      </c>
      <c r="G701">
        <v>70138</v>
      </c>
    </row>
    <row r="702" spans="1:7">
      <c r="A702">
        <v>208</v>
      </c>
      <c r="B702">
        <v>0</v>
      </c>
      <c r="C702">
        <v>39</v>
      </c>
      <c r="D702">
        <v>34</v>
      </c>
      <c r="E702" t="str">
        <f t="shared" si="10"/>
        <v>3934</v>
      </c>
      <c r="F702">
        <v>91244</v>
      </c>
      <c r="G702">
        <v>73999</v>
      </c>
    </row>
    <row r="703" spans="1:7">
      <c r="A703">
        <v>208</v>
      </c>
      <c r="B703">
        <v>0</v>
      </c>
      <c r="C703">
        <v>39</v>
      </c>
      <c r="D703">
        <v>35</v>
      </c>
      <c r="E703" t="str">
        <f t="shared" si="10"/>
        <v>3935</v>
      </c>
      <c r="F703">
        <v>93460</v>
      </c>
      <c r="G703">
        <v>77990</v>
      </c>
    </row>
    <row r="704" spans="1:7">
      <c r="A704">
        <v>208</v>
      </c>
      <c r="B704">
        <v>0</v>
      </c>
      <c r="C704">
        <v>39</v>
      </c>
      <c r="D704">
        <v>36</v>
      </c>
      <c r="E704" t="str">
        <f t="shared" si="10"/>
        <v>3936</v>
      </c>
      <c r="F704">
        <v>95483</v>
      </c>
      <c r="G704">
        <v>82115</v>
      </c>
    </row>
    <row r="705" spans="1:7">
      <c r="A705">
        <v>208</v>
      </c>
      <c r="B705">
        <v>0</v>
      </c>
      <c r="C705">
        <v>39</v>
      </c>
      <c r="D705">
        <v>37</v>
      </c>
      <c r="E705" t="str">
        <f t="shared" si="10"/>
        <v>3937</v>
      </c>
      <c r="F705">
        <v>97296</v>
      </c>
      <c r="G705">
        <v>86377</v>
      </c>
    </row>
    <row r="706" spans="1:7">
      <c r="A706">
        <v>208</v>
      </c>
      <c r="B706">
        <v>0</v>
      </c>
      <c r="C706">
        <v>39</v>
      </c>
      <c r="D706">
        <v>38</v>
      </c>
      <c r="E706" t="str">
        <f t="shared" si="10"/>
        <v>3938</v>
      </c>
      <c r="F706">
        <v>98811</v>
      </c>
      <c r="G706">
        <v>90714</v>
      </c>
    </row>
    <row r="707" spans="1:7">
      <c r="A707">
        <v>208</v>
      </c>
      <c r="B707">
        <v>0</v>
      </c>
      <c r="C707">
        <v>40</v>
      </c>
      <c r="D707">
        <v>1</v>
      </c>
      <c r="E707" t="str">
        <f t="shared" ref="E707:E770" si="11">CONCATENATE(C707,D707)</f>
        <v>401</v>
      </c>
      <c r="F707">
        <v>405</v>
      </c>
      <c r="G707">
        <v>343</v>
      </c>
    </row>
    <row r="708" spans="1:7">
      <c r="A708">
        <v>208</v>
      </c>
      <c r="B708">
        <v>0</v>
      </c>
      <c r="C708">
        <v>40</v>
      </c>
      <c r="D708">
        <v>2</v>
      </c>
      <c r="E708" t="str">
        <f t="shared" si="11"/>
        <v>402</v>
      </c>
      <c r="F708">
        <v>1558</v>
      </c>
      <c r="G708">
        <v>1278</v>
      </c>
    </row>
    <row r="709" spans="1:7">
      <c r="A709">
        <v>208</v>
      </c>
      <c r="B709">
        <v>0</v>
      </c>
      <c r="C709">
        <v>40</v>
      </c>
      <c r="D709">
        <v>3</v>
      </c>
      <c r="E709" t="str">
        <f t="shared" si="11"/>
        <v>403</v>
      </c>
      <c r="F709">
        <v>3583</v>
      </c>
      <c r="G709">
        <v>2757</v>
      </c>
    </row>
    <row r="710" spans="1:7">
      <c r="A710">
        <v>208</v>
      </c>
      <c r="B710">
        <v>0</v>
      </c>
      <c r="C710">
        <v>40</v>
      </c>
      <c r="D710">
        <v>4</v>
      </c>
      <c r="E710" t="str">
        <f t="shared" si="11"/>
        <v>404</v>
      </c>
      <c r="F710">
        <v>5676</v>
      </c>
      <c r="G710">
        <v>4154</v>
      </c>
    </row>
    <row r="711" spans="1:7">
      <c r="A711">
        <v>208</v>
      </c>
      <c r="B711">
        <v>0</v>
      </c>
      <c r="C711">
        <v>40</v>
      </c>
      <c r="D711">
        <v>5</v>
      </c>
      <c r="E711" t="str">
        <f t="shared" si="11"/>
        <v>405</v>
      </c>
      <c r="F711">
        <v>7837</v>
      </c>
      <c r="G711">
        <v>5624</v>
      </c>
    </row>
    <row r="712" spans="1:7">
      <c r="A712">
        <v>208</v>
      </c>
      <c r="B712">
        <v>0</v>
      </c>
      <c r="C712">
        <v>40</v>
      </c>
      <c r="D712">
        <v>6</v>
      </c>
      <c r="E712" t="str">
        <f t="shared" si="11"/>
        <v>406</v>
      </c>
      <c r="F712">
        <v>10067</v>
      </c>
      <c r="G712">
        <v>7133</v>
      </c>
    </row>
    <row r="713" spans="1:7">
      <c r="A713">
        <v>208</v>
      </c>
      <c r="B713">
        <v>0</v>
      </c>
      <c r="C713">
        <v>40</v>
      </c>
      <c r="D713">
        <v>7</v>
      </c>
      <c r="E713" t="str">
        <f t="shared" si="11"/>
        <v>407</v>
      </c>
      <c r="F713">
        <v>12367</v>
      </c>
      <c r="G713">
        <v>8675</v>
      </c>
    </row>
    <row r="714" spans="1:7">
      <c r="A714">
        <v>208</v>
      </c>
      <c r="B714">
        <v>0</v>
      </c>
      <c r="C714">
        <v>40</v>
      </c>
      <c r="D714">
        <v>8</v>
      </c>
      <c r="E714" t="str">
        <f t="shared" si="11"/>
        <v>408</v>
      </c>
      <c r="F714">
        <v>14736</v>
      </c>
      <c r="G714">
        <v>10250</v>
      </c>
    </row>
    <row r="715" spans="1:7">
      <c r="A715">
        <v>208</v>
      </c>
      <c r="B715">
        <v>0</v>
      </c>
      <c r="C715">
        <v>40</v>
      </c>
      <c r="D715">
        <v>9</v>
      </c>
      <c r="E715" t="str">
        <f t="shared" si="11"/>
        <v>409</v>
      </c>
      <c r="F715">
        <v>17176</v>
      </c>
      <c r="G715">
        <v>11859</v>
      </c>
    </row>
    <row r="716" spans="1:7">
      <c r="A716">
        <v>208</v>
      </c>
      <c r="B716">
        <v>0</v>
      </c>
      <c r="C716">
        <v>40</v>
      </c>
      <c r="D716">
        <v>10</v>
      </c>
      <c r="E716" t="str">
        <f t="shared" si="11"/>
        <v>4010</v>
      </c>
      <c r="F716">
        <v>19683</v>
      </c>
      <c r="G716">
        <v>13499</v>
      </c>
    </row>
    <row r="717" spans="1:7">
      <c r="A717">
        <v>208</v>
      </c>
      <c r="B717">
        <v>0</v>
      </c>
      <c r="C717">
        <v>40</v>
      </c>
      <c r="D717">
        <v>11</v>
      </c>
      <c r="E717" t="str">
        <f t="shared" si="11"/>
        <v>4011</v>
      </c>
      <c r="F717">
        <v>22258</v>
      </c>
      <c r="G717">
        <v>15174</v>
      </c>
    </row>
    <row r="718" spans="1:7">
      <c r="A718">
        <v>208</v>
      </c>
      <c r="B718">
        <v>0</v>
      </c>
      <c r="C718">
        <v>40</v>
      </c>
      <c r="D718">
        <v>12</v>
      </c>
      <c r="E718" t="str">
        <f t="shared" si="11"/>
        <v>4012</v>
      </c>
      <c r="F718">
        <v>24898</v>
      </c>
      <c r="G718">
        <v>16882</v>
      </c>
    </row>
    <row r="719" spans="1:7">
      <c r="A719">
        <v>208</v>
      </c>
      <c r="B719">
        <v>0</v>
      </c>
      <c r="C719">
        <v>40</v>
      </c>
      <c r="D719">
        <v>13</v>
      </c>
      <c r="E719" t="str">
        <f t="shared" si="11"/>
        <v>4013</v>
      </c>
      <c r="F719">
        <v>27600</v>
      </c>
      <c r="G719">
        <v>18624</v>
      </c>
    </row>
    <row r="720" spans="1:7">
      <c r="A720">
        <v>208</v>
      </c>
      <c r="B720">
        <v>0</v>
      </c>
      <c r="C720">
        <v>40</v>
      </c>
      <c r="D720">
        <v>14</v>
      </c>
      <c r="E720" t="str">
        <f t="shared" si="11"/>
        <v>4014</v>
      </c>
      <c r="F720">
        <v>30360</v>
      </c>
      <c r="G720">
        <v>20402</v>
      </c>
    </row>
    <row r="721" spans="1:7">
      <c r="A721">
        <v>208</v>
      </c>
      <c r="B721">
        <v>0</v>
      </c>
      <c r="C721">
        <v>40</v>
      </c>
      <c r="D721">
        <v>15</v>
      </c>
      <c r="E721" t="str">
        <f t="shared" si="11"/>
        <v>4015</v>
      </c>
      <c r="F721">
        <v>33176</v>
      </c>
      <c r="G721">
        <v>22215</v>
      </c>
    </row>
    <row r="722" spans="1:7">
      <c r="A722">
        <v>208</v>
      </c>
      <c r="B722">
        <v>0</v>
      </c>
      <c r="C722">
        <v>40</v>
      </c>
      <c r="D722">
        <v>16</v>
      </c>
      <c r="E722" t="str">
        <f t="shared" si="11"/>
        <v>4016</v>
      </c>
      <c r="F722">
        <v>36043</v>
      </c>
      <c r="G722">
        <v>24065</v>
      </c>
    </row>
    <row r="723" spans="1:7">
      <c r="A723">
        <v>208</v>
      </c>
      <c r="B723">
        <v>0</v>
      </c>
      <c r="C723">
        <v>40</v>
      </c>
      <c r="D723">
        <v>17</v>
      </c>
      <c r="E723" t="str">
        <f t="shared" si="11"/>
        <v>4017</v>
      </c>
      <c r="F723">
        <v>38958</v>
      </c>
      <c r="G723">
        <v>25952</v>
      </c>
    </row>
    <row r="724" spans="1:7">
      <c r="A724">
        <v>208</v>
      </c>
      <c r="B724">
        <v>0</v>
      </c>
      <c r="C724">
        <v>40</v>
      </c>
      <c r="D724">
        <v>18</v>
      </c>
      <c r="E724" t="str">
        <f t="shared" si="11"/>
        <v>4018</v>
      </c>
      <c r="F724">
        <v>41917</v>
      </c>
      <c r="G724">
        <v>27877</v>
      </c>
    </row>
    <row r="725" spans="1:7">
      <c r="A725">
        <v>208</v>
      </c>
      <c r="B725">
        <v>0</v>
      </c>
      <c r="C725">
        <v>40</v>
      </c>
      <c r="D725">
        <v>19</v>
      </c>
      <c r="E725" t="str">
        <f t="shared" si="11"/>
        <v>4019</v>
      </c>
      <c r="F725">
        <v>44914</v>
      </c>
      <c r="G725">
        <v>29841</v>
      </c>
    </row>
    <row r="726" spans="1:7">
      <c r="A726">
        <v>208</v>
      </c>
      <c r="B726">
        <v>0</v>
      </c>
      <c r="C726">
        <v>40</v>
      </c>
      <c r="D726">
        <v>20</v>
      </c>
      <c r="E726" t="str">
        <f t="shared" si="11"/>
        <v>4020</v>
      </c>
      <c r="F726">
        <v>47944</v>
      </c>
      <c r="G726">
        <v>31843</v>
      </c>
    </row>
    <row r="727" spans="1:7">
      <c r="A727">
        <v>208</v>
      </c>
      <c r="B727">
        <v>0</v>
      </c>
      <c r="C727">
        <v>40</v>
      </c>
      <c r="D727">
        <v>21</v>
      </c>
      <c r="E727" t="str">
        <f t="shared" si="11"/>
        <v>4021</v>
      </c>
      <c r="F727">
        <v>51002</v>
      </c>
      <c r="G727">
        <v>33887</v>
      </c>
    </row>
    <row r="728" spans="1:7">
      <c r="A728">
        <v>208</v>
      </c>
      <c r="B728">
        <v>0</v>
      </c>
      <c r="C728">
        <v>40</v>
      </c>
      <c r="D728">
        <v>22</v>
      </c>
      <c r="E728" t="str">
        <f t="shared" si="11"/>
        <v>4022</v>
      </c>
      <c r="F728">
        <v>54082</v>
      </c>
      <c r="G728">
        <v>35971</v>
      </c>
    </row>
    <row r="729" spans="1:7">
      <c r="A729">
        <v>208</v>
      </c>
      <c r="B729">
        <v>0</v>
      </c>
      <c r="C729">
        <v>40</v>
      </c>
      <c r="D729">
        <v>23</v>
      </c>
      <c r="E729" t="str">
        <f t="shared" si="11"/>
        <v>4023</v>
      </c>
      <c r="F729">
        <v>57182</v>
      </c>
      <c r="G729">
        <v>38097</v>
      </c>
    </row>
    <row r="730" spans="1:7">
      <c r="A730">
        <v>208</v>
      </c>
      <c r="B730">
        <v>0</v>
      </c>
      <c r="C730">
        <v>40</v>
      </c>
      <c r="D730">
        <v>24</v>
      </c>
      <c r="E730" t="str">
        <f t="shared" si="11"/>
        <v>4024</v>
      </c>
      <c r="F730">
        <v>60293</v>
      </c>
      <c r="G730">
        <v>40266</v>
      </c>
    </row>
    <row r="731" spans="1:7">
      <c r="A731">
        <v>208</v>
      </c>
      <c r="B731">
        <v>0</v>
      </c>
      <c r="C731">
        <v>40</v>
      </c>
      <c r="D731">
        <v>25</v>
      </c>
      <c r="E731" t="str">
        <f t="shared" si="11"/>
        <v>4025</v>
      </c>
      <c r="F731">
        <v>63405</v>
      </c>
      <c r="G731">
        <v>42478</v>
      </c>
    </row>
    <row r="732" spans="1:7">
      <c r="A732">
        <v>208</v>
      </c>
      <c r="B732">
        <v>0</v>
      </c>
      <c r="C732">
        <v>40</v>
      </c>
      <c r="D732">
        <v>26</v>
      </c>
      <c r="E732" t="str">
        <f t="shared" si="11"/>
        <v>4026</v>
      </c>
      <c r="F732">
        <v>66508</v>
      </c>
      <c r="G732">
        <v>44735</v>
      </c>
    </row>
    <row r="733" spans="1:7">
      <c r="A733">
        <v>208</v>
      </c>
      <c r="B733">
        <v>0</v>
      </c>
      <c r="C733">
        <v>40</v>
      </c>
      <c r="D733">
        <v>27</v>
      </c>
      <c r="E733" t="str">
        <f t="shared" si="11"/>
        <v>4027</v>
      </c>
      <c r="F733">
        <v>69587</v>
      </c>
      <c r="G733">
        <v>47036</v>
      </c>
    </row>
    <row r="734" spans="1:7">
      <c r="A734">
        <v>208</v>
      </c>
      <c r="B734">
        <v>0</v>
      </c>
      <c r="C734">
        <v>40</v>
      </c>
      <c r="D734">
        <v>28</v>
      </c>
      <c r="E734" t="str">
        <f t="shared" si="11"/>
        <v>4028</v>
      </c>
      <c r="F734">
        <v>72630</v>
      </c>
      <c r="G734">
        <v>50032</v>
      </c>
    </row>
    <row r="735" spans="1:7">
      <c r="A735">
        <v>208</v>
      </c>
      <c r="B735">
        <v>0</v>
      </c>
      <c r="C735">
        <v>40</v>
      </c>
      <c r="D735">
        <v>29</v>
      </c>
      <c r="E735" t="str">
        <f t="shared" si="11"/>
        <v>4029</v>
      </c>
      <c r="F735">
        <v>75622</v>
      </c>
      <c r="G735">
        <v>53137</v>
      </c>
    </row>
    <row r="736" spans="1:7">
      <c r="A736">
        <v>208</v>
      </c>
      <c r="B736">
        <v>0</v>
      </c>
      <c r="C736">
        <v>40</v>
      </c>
      <c r="D736">
        <v>30</v>
      </c>
      <c r="E736" t="str">
        <f t="shared" si="11"/>
        <v>4030</v>
      </c>
      <c r="F736">
        <v>78548</v>
      </c>
      <c r="G736">
        <v>56355</v>
      </c>
    </row>
    <row r="737" spans="1:7">
      <c r="A737">
        <v>208</v>
      </c>
      <c r="B737">
        <v>0</v>
      </c>
      <c r="C737">
        <v>40</v>
      </c>
      <c r="D737">
        <v>31</v>
      </c>
      <c r="E737" t="str">
        <f t="shared" si="11"/>
        <v>4031</v>
      </c>
      <c r="F737">
        <v>81390</v>
      </c>
      <c r="G737">
        <v>59687</v>
      </c>
    </row>
    <row r="738" spans="1:7">
      <c r="A738">
        <v>208</v>
      </c>
      <c r="B738">
        <v>0</v>
      </c>
      <c r="C738">
        <v>40</v>
      </c>
      <c r="D738">
        <v>32</v>
      </c>
      <c r="E738" t="str">
        <f t="shared" si="11"/>
        <v>4032</v>
      </c>
      <c r="F738">
        <v>84131</v>
      </c>
      <c r="G738">
        <v>63137</v>
      </c>
    </row>
    <row r="739" spans="1:7">
      <c r="A739">
        <v>208</v>
      </c>
      <c r="B739">
        <v>0</v>
      </c>
      <c r="C739">
        <v>40</v>
      </c>
      <c r="D739">
        <v>33</v>
      </c>
      <c r="E739" t="str">
        <f t="shared" si="11"/>
        <v>4033</v>
      </c>
      <c r="F739">
        <v>86753</v>
      </c>
      <c r="G739">
        <v>66707</v>
      </c>
    </row>
    <row r="740" spans="1:7">
      <c r="A740">
        <v>208</v>
      </c>
      <c r="B740">
        <v>0</v>
      </c>
      <c r="C740">
        <v>40</v>
      </c>
      <c r="D740">
        <v>34</v>
      </c>
      <c r="E740" t="str">
        <f t="shared" si="11"/>
        <v>4034</v>
      </c>
      <c r="F740">
        <v>89238</v>
      </c>
      <c r="G740">
        <v>70401</v>
      </c>
    </row>
    <row r="741" spans="1:7">
      <c r="A741">
        <v>208</v>
      </c>
      <c r="B741">
        <v>0</v>
      </c>
      <c r="C741">
        <v>40</v>
      </c>
      <c r="D741">
        <v>35</v>
      </c>
      <c r="E741" t="str">
        <f t="shared" si="11"/>
        <v>4035</v>
      </c>
      <c r="F741">
        <v>91565</v>
      </c>
      <c r="G741">
        <v>74220</v>
      </c>
    </row>
    <row r="742" spans="1:7">
      <c r="A742">
        <v>208</v>
      </c>
      <c r="B742">
        <v>0</v>
      </c>
      <c r="C742">
        <v>40</v>
      </c>
      <c r="D742">
        <v>36</v>
      </c>
      <c r="E742" t="str">
        <f t="shared" si="11"/>
        <v>4036</v>
      </c>
      <c r="F742">
        <v>93713</v>
      </c>
      <c r="G742">
        <v>78169</v>
      </c>
    </row>
    <row r="743" spans="1:7">
      <c r="A743">
        <v>208</v>
      </c>
      <c r="B743">
        <v>0</v>
      </c>
      <c r="C743">
        <v>40</v>
      </c>
      <c r="D743">
        <v>37</v>
      </c>
      <c r="E743" t="str">
        <f t="shared" si="11"/>
        <v>4037</v>
      </c>
      <c r="F743">
        <v>95668</v>
      </c>
      <c r="G743">
        <v>82250</v>
      </c>
    </row>
    <row r="744" spans="1:7">
      <c r="A744">
        <v>208</v>
      </c>
      <c r="B744">
        <v>0</v>
      </c>
      <c r="C744">
        <v>40</v>
      </c>
      <c r="D744">
        <v>38</v>
      </c>
      <c r="E744" t="str">
        <f t="shared" si="11"/>
        <v>4038</v>
      </c>
      <c r="F744">
        <v>97417</v>
      </c>
      <c r="G744">
        <v>86466</v>
      </c>
    </row>
    <row r="745" spans="1:7">
      <c r="A745">
        <v>208</v>
      </c>
      <c r="B745">
        <v>0</v>
      </c>
      <c r="C745">
        <v>40</v>
      </c>
      <c r="D745">
        <v>39</v>
      </c>
      <c r="E745" t="str">
        <f t="shared" si="11"/>
        <v>4039</v>
      </c>
      <c r="F745">
        <v>98869</v>
      </c>
      <c r="G745">
        <v>90759</v>
      </c>
    </row>
    <row r="746" spans="1:7">
      <c r="A746">
        <v>208</v>
      </c>
      <c r="B746">
        <v>0</v>
      </c>
      <c r="C746">
        <v>41</v>
      </c>
      <c r="D746">
        <v>1</v>
      </c>
      <c r="E746" t="str">
        <f t="shared" si="11"/>
        <v>411</v>
      </c>
      <c r="F746">
        <v>387</v>
      </c>
      <c r="G746">
        <v>330</v>
      </c>
    </row>
    <row r="747" spans="1:7">
      <c r="A747">
        <v>208</v>
      </c>
      <c r="B747">
        <v>0</v>
      </c>
      <c r="C747">
        <v>41</v>
      </c>
      <c r="D747">
        <v>2</v>
      </c>
      <c r="E747" t="str">
        <f t="shared" si="11"/>
        <v>412</v>
      </c>
      <c r="F747">
        <v>1490</v>
      </c>
      <c r="G747">
        <v>1230</v>
      </c>
    </row>
    <row r="748" spans="1:7">
      <c r="A748">
        <v>208</v>
      </c>
      <c r="B748">
        <v>0</v>
      </c>
      <c r="C748">
        <v>41</v>
      </c>
      <c r="D748">
        <v>3</v>
      </c>
      <c r="E748" t="str">
        <f t="shared" si="11"/>
        <v>413</v>
      </c>
      <c r="F748">
        <v>3430</v>
      </c>
      <c r="G748">
        <v>2653</v>
      </c>
    </row>
    <row r="749" spans="1:7">
      <c r="A749">
        <v>208</v>
      </c>
      <c r="B749">
        <v>0</v>
      </c>
      <c r="C749">
        <v>41</v>
      </c>
      <c r="D749">
        <v>4</v>
      </c>
      <c r="E749" t="str">
        <f t="shared" si="11"/>
        <v>414</v>
      </c>
      <c r="F749">
        <v>5433</v>
      </c>
      <c r="G749">
        <v>3998</v>
      </c>
    </row>
    <row r="750" spans="1:7">
      <c r="A750">
        <v>208</v>
      </c>
      <c r="B750">
        <v>0</v>
      </c>
      <c r="C750">
        <v>41</v>
      </c>
      <c r="D750">
        <v>5</v>
      </c>
      <c r="E750" t="str">
        <f t="shared" si="11"/>
        <v>415</v>
      </c>
      <c r="F750">
        <v>7503</v>
      </c>
      <c r="G750">
        <v>5413</v>
      </c>
    </row>
    <row r="751" spans="1:7">
      <c r="A751">
        <v>208</v>
      </c>
      <c r="B751">
        <v>0</v>
      </c>
      <c r="C751">
        <v>41</v>
      </c>
      <c r="D751">
        <v>6</v>
      </c>
      <c r="E751" t="str">
        <f t="shared" si="11"/>
        <v>416</v>
      </c>
      <c r="F751">
        <v>9639</v>
      </c>
      <c r="G751">
        <v>6865</v>
      </c>
    </row>
    <row r="752" spans="1:7">
      <c r="A752">
        <v>208</v>
      </c>
      <c r="B752">
        <v>0</v>
      </c>
      <c r="C752">
        <v>41</v>
      </c>
      <c r="D752">
        <v>7</v>
      </c>
      <c r="E752" t="str">
        <f t="shared" si="11"/>
        <v>417</v>
      </c>
      <c r="F752">
        <v>11844</v>
      </c>
      <c r="G752">
        <v>8349</v>
      </c>
    </row>
    <row r="753" spans="1:7">
      <c r="A753">
        <v>208</v>
      </c>
      <c r="B753">
        <v>0</v>
      </c>
      <c r="C753">
        <v>41</v>
      </c>
      <c r="D753">
        <v>8</v>
      </c>
      <c r="E753" t="str">
        <f t="shared" si="11"/>
        <v>418</v>
      </c>
      <c r="F753">
        <v>14116</v>
      </c>
      <c r="G753">
        <v>9865</v>
      </c>
    </row>
    <row r="754" spans="1:7">
      <c r="A754">
        <v>208</v>
      </c>
      <c r="B754">
        <v>0</v>
      </c>
      <c r="C754">
        <v>41</v>
      </c>
      <c r="D754">
        <v>9</v>
      </c>
      <c r="E754" t="str">
        <f t="shared" si="11"/>
        <v>419</v>
      </c>
      <c r="F754">
        <v>16457</v>
      </c>
      <c r="G754">
        <v>11413</v>
      </c>
    </row>
    <row r="755" spans="1:7">
      <c r="A755">
        <v>208</v>
      </c>
      <c r="B755">
        <v>0</v>
      </c>
      <c r="C755">
        <v>41</v>
      </c>
      <c r="D755">
        <v>10</v>
      </c>
      <c r="E755" t="str">
        <f t="shared" si="11"/>
        <v>4110</v>
      </c>
      <c r="F755">
        <v>18865</v>
      </c>
      <c r="G755">
        <v>12992</v>
      </c>
    </row>
    <row r="756" spans="1:7">
      <c r="A756">
        <v>208</v>
      </c>
      <c r="B756">
        <v>0</v>
      </c>
      <c r="C756">
        <v>41</v>
      </c>
      <c r="D756">
        <v>11</v>
      </c>
      <c r="E756" t="str">
        <f t="shared" si="11"/>
        <v>4111</v>
      </c>
      <c r="F756">
        <v>21341</v>
      </c>
      <c r="G756">
        <v>14604</v>
      </c>
    </row>
    <row r="757" spans="1:7">
      <c r="A757">
        <v>208</v>
      </c>
      <c r="B757">
        <v>0</v>
      </c>
      <c r="C757">
        <v>41</v>
      </c>
      <c r="D757">
        <v>12</v>
      </c>
      <c r="E757" t="str">
        <f t="shared" si="11"/>
        <v>4112</v>
      </c>
      <c r="F757">
        <v>23882</v>
      </c>
      <c r="G757">
        <v>16247</v>
      </c>
    </row>
    <row r="758" spans="1:7">
      <c r="A758">
        <v>208</v>
      </c>
      <c r="B758">
        <v>0</v>
      </c>
      <c r="C758">
        <v>41</v>
      </c>
      <c r="D758">
        <v>13</v>
      </c>
      <c r="E758" t="str">
        <f t="shared" si="11"/>
        <v>4113</v>
      </c>
      <c r="F758">
        <v>26485</v>
      </c>
      <c r="G758">
        <v>17924</v>
      </c>
    </row>
    <row r="759" spans="1:7">
      <c r="A759">
        <v>208</v>
      </c>
      <c r="B759">
        <v>0</v>
      </c>
      <c r="C759">
        <v>41</v>
      </c>
      <c r="D759">
        <v>14</v>
      </c>
      <c r="E759" t="str">
        <f t="shared" si="11"/>
        <v>4114</v>
      </c>
      <c r="F759">
        <v>29149</v>
      </c>
      <c r="G759">
        <v>19635</v>
      </c>
    </row>
    <row r="760" spans="1:7">
      <c r="A760">
        <v>208</v>
      </c>
      <c r="B760">
        <v>0</v>
      </c>
      <c r="C760">
        <v>41</v>
      </c>
      <c r="D760">
        <v>15</v>
      </c>
      <c r="E760" t="str">
        <f t="shared" si="11"/>
        <v>4115</v>
      </c>
      <c r="F760">
        <v>31869</v>
      </c>
      <c r="G760">
        <v>21380</v>
      </c>
    </row>
    <row r="761" spans="1:7">
      <c r="A761">
        <v>208</v>
      </c>
      <c r="B761">
        <v>0</v>
      </c>
      <c r="C761">
        <v>41</v>
      </c>
      <c r="D761">
        <v>16</v>
      </c>
      <c r="E761" t="str">
        <f t="shared" si="11"/>
        <v>4116</v>
      </c>
      <c r="F761">
        <v>34643</v>
      </c>
      <c r="G761">
        <v>23160</v>
      </c>
    </row>
    <row r="762" spans="1:7">
      <c r="A762">
        <v>208</v>
      </c>
      <c r="B762">
        <v>0</v>
      </c>
      <c r="C762">
        <v>41</v>
      </c>
      <c r="D762">
        <v>17</v>
      </c>
      <c r="E762" t="str">
        <f t="shared" si="11"/>
        <v>4117</v>
      </c>
      <c r="F762">
        <v>37466</v>
      </c>
      <c r="G762">
        <v>24976</v>
      </c>
    </row>
    <row r="763" spans="1:7">
      <c r="A763">
        <v>208</v>
      </c>
      <c r="B763">
        <v>0</v>
      </c>
      <c r="C763">
        <v>41</v>
      </c>
      <c r="D763">
        <v>18</v>
      </c>
      <c r="E763" t="str">
        <f t="shared" si="11"/>
        <v>4118</v>
      </c>
      <c r="F763">
        <v>40336</v>
      </c>
      <c r="G763">
        <v>26828</v>
      </c>
    </row>
    <row r="764" spans="1:7">
      <c r="A764">
        <v>208</v>
      </c>
      <c r="B764">
        <v>0</v>
      </c>
      <c r="C764">
        <v>41</v>
      </c>
      <c r="D764">
        <v>19</v>
      </c>
      <c r="E764" t="str">
        <f t="shared" si="11"/>
        <v>4119</v>
      </c>
      <c r="F764">
        <v>43246</v>
      </c>
      <c r="G764">
        <v>28718</v>
      </c>
    </row>
    <row r="765" spans="1:7">
      <c r="A765">
        <v>208</v>
      </c>
      <c r="B765">
        <v>0</v>
      </c>
      <c r="C765">
        <v>41</v>
      </c>
      <c r="D765">
        <v>20</v>
      </c>
      <c r="E765" t="str">
        <f t="shared" si="11"/>
        <v>4120</v>
      </c>
      <c r="F765">
        <v>46194</v>
      </c>
      <c r="G765">
        <v>30645</v>
      </c>
    </row>
    <row r="766" spans="1:7">
      <c r="A766">
        <v>208</v>
      </c>
      <c r="B766">
        <v>0</v>
      </c>
      <c r="C766">
        <v>41</v>
      </c>
      <c r="D766">
        <v>21</v>
      </c>
      <c r="E766" t="str">
        <f t="shared" si="11"/>
        <v>4121</v>
      </c>
      <c r="F766">
        <v>49172</v>
      </c>
      <c r="G766">
        <v>32611</v>
      </c>
    </row>
    <row r="767" spans="1:7">
      <c r="A767">
        <v>208</v>
      </c>
      <c r="B767">
        <v>0</v>
      </c>
      <c r="C767">
        <v>41</v>
      </c>
      <c r="D767">
        <v>22</v>
      </c>
      <c r="E767" t="str">
        <f t="shared" si="11"/>
        <v>4122</v>
      </c>
      <c r="F767">
        <v>52177</v>
      </c>
      <c r="G767">
        <v>34617</v>
      </c>
    </row>
    <row r="768" spans="1:7">
      <c r="A768">
        <v>208</v>
      </c>
      <c r="B768">
        <v>0</v>
      </c>
      <c r="C768">
        <v>41</v>
      </c>
      <c r="D768">
        <v>23</v>
      </c>
      <c r="E768" t="str">
        <f t="shared" si="11"/>
        <v>4123</v>
      </c>
      <c r="F768">
        <v>55203</v>
      </c>
      <c r="G768">
        <v>36662</v>
      </c>
    </row>
    <row r="769" spans="1:7">
      <c r="A769">
        <v>208</v>
      </c>
      <c r="B769">
        <v>0</v>
      </c>
      <c r="C769">
        <v>41</v>
      </c>
      <c r="D769">
        <v>24</v>
      </c>
      <c r="E769" t="str">
        <f t="shared" si="11"/>
        <v>4124</v>
      </c>
      <c r="F769">
        <v>58245</v>
      </c>
      <c r="G769">
        <v>38749</v>
      </c>
    </row>
    <row r="770" spans="1:7">
      <c r="A770">
        <v>208</v>
      </c>
      <c r="B770">
        <v>0</v>
      </c>
      <c r="C770">
        <v>41</v>
      </c>
      <c r="D770">
        <v>25</v>
      </c>
      <c r="E770" t="str">
        <f t="shared" si="11"/>
        <v>4125</v>
      </c>
      <c r="F770">
        <v>61299</v>
      </c>
      <c r="G770">
        <v>40878</v>
      </c>
    </row>
    <row r="771" spans="1:7">
      <c r="A771">
        <v>208</v>
      </c>
      <c r="B771">
        <v>0</v>
      </c>
      <c r="C771">
        <v>41</v>
      </c>
      <c r="D771">
        <v>26</v>
      </c>
      <c r="E771" t="str">
        <f t="shared" ref="E771:E834" si="12">CONCATENATE(C771,D771)</f>
        <v>4126</v>
      </c>
      <c r="F771">
        <v>64352</v>
      </c>
      <c r="G771">
        <v>43049</v>
      </c>
    </row>
    <row r="772" spans="1:7">
      <c r="A772">
        <v>208</v>
      </c>
      <c r="B772">
        <v>0</v>
      </c>
      <c r="C772">
        <v>41</v>
      </c>
      <c r="D772">
        <v>27</v>
      </c>
      <c r="E772" t="str">
        <f t="shared" si="12"/>
        <v>4127</v>
      </c>
      <c r="F772">
        <v>67393</v>
      </c>
      <c r="G772">
        <v>45263</v>
      </c>
    </row>
    <row r="773" spans="1:7">
      <c r="A773">
        <v>208</v>
      </c>
      <c r="B773">
        <v>0</v>
      </c>
      <c r="C773">
        <v>41</v>
      </c>
      <c r="D773">
        <v>28</v>
      </c>
      <c r="E773" t="str">
        <f t="shared" si="12"/>
        <v>4128</v>
      </c>
      <c r="F773">
        <v>70411</v>
      </c>
      <c r="G773">
        <v>48109</v>
      </c>
    </row>
    <row r="774" spans="1:7">
      <c r="A774">
        <v>208</v>
      </c>
      <c r="B774">
        <v>0</v>
      </c>
      <c r="C774">
        <v>41</v>
      </c>
      <c r="D774">
        <v>29</v>
      </c>
      <c r="E774" t="str">
        <f t="shared" si="12"/>
        <v>4129</v>
      </c>
      <c r="F774">
        <v>73390</v>
      </c>
      <c r="G774">
        <v>51056</v>
      </c>
    </row>
    <row r="775" spans="1:7">
      <c r="A775">
        <v>208</v>
      </c>
      <c r="B775">
        <v>0</v>
      </c>
      <c r="C775">
        <v>41</v>
      </c>
      <c r="D775">
        <v>30</v>
      </c>
      <c r="E775" t="str">
        <f t="shared" si="12"/>
        <v>4130</v>
      </c>
      <c r="F775">
        <v>76318</v>
      </c>
      <c r="G775">
        <v>54108</v>
      </c>
    </row>
    <row r="776" spans="1:7">
      <c r="A776">
        <v>208</v>
      </c>
      <c r="B776">
        <v>0</v>
      </c>
      <c r="C776">
        <v>41</v>
      </c>
      <c r="D776">
        <v>31</v>
      </c>
      <c r="E776" t="str">
        <f t="shared" si="12"/>
        <v>4131</v>
      </c>
      <c r="F776">
        <v>79179</v>
      </c>
      <c r="G776">
        <v>57266</v>
      </c>
    </row>
    <row r="777" spans="1:7">
      <c r="A777">
        <v>208</v>
      </c>
      <c r="B777">
        <v>0</v>
      </c>
      <c r="C777">
        <v>41</v>
      </c>
      <c r="D777">
        <v>32</v>
      </c>
      <c r="E777" t="str">
        <f t="shared" si="12"/>
        <v>4132</v>
      </c>
      <c r="F777">
        <v>81956</v>
      </c>
      <c r="G777">
        <v>60534</v>
      </c>
    </row>
    <row r="778" spans="1:7">
      <c r="A778">
        <v>208</v>
      </c>
      <c r="B778">
        <v>0</v>
      </c>
      <c r="C778">
        <v>41</v>
      </c>
      <c r="D778">
        <v>33</v>
      </c>
      <c r="E778" t="str">
        <f t="shared" si="12"/>
        <v>4133</v>
      </c>
      <c r="F778">
        <v>84631</v>
      </c>
      <c r="G778">
        <v>63914</v>
      </c>
    </row>
    <row r="779" spans="1:7">
      <c r="A779">
        <v>208</v>
      </c>
      <c r="B779">
        <v>0</v>
      </c>
      <c r="C779">
        <v>41</v>
      </c>
      <c r="D779">
        <v>34</v>
      </c>
      <c r="E779" t="str">
        <f t="shared" si="12"/>
        <v>4134</v>
      </c>
      <c r="F779">
        <v>87187</v>
      </c>
      <c r="G779">
        <v>67409</v>
      </c>
    </row>
    <row r="780" spans="1:7">
      <c r="A780">
        <v>208</v>
      </c>
      <c r="B780">
        <v>0</v>
      </c>
      <c r="C780">
        <v>41</v>
      </c>
      <c r="D780">
        <v>35</v>
      </c>
      <c r="E780" t="str">
        <f t="shared" si="12"/>
        <v>4135</v>
      </c>
      <c r="F780">
        <v>89606</v>
      </c>
      <c r="G780">
        <v>71021</v>
      </c>
    </row>
    <row r="781" spans="1:7">
      <c r="A781">
        <v>208</v>
      </c>
      <c r="B781">
        <v>0</v>
      </c>
      <c r="C781">
        <v>41</v>
      </c>
      <c r="D781">
        <v>36</v>
      </c>
      <c r="E781" t="str">
        <f t="shared" si="12"/>
        <v>4136</v>
      </c>
      <c r="F781">
        <v>91867</v>
      </c>
      <c r="G781">
        <v>74753</v>
      </c>
    </row>
    <row r="782" spans="1:7">
      <c r="A782">
        <v>208</v>
      </c>
      <c r="B782">
        <v>0</v>
      </c>
      <c r="C782">
        <v>41</v>
      </c>
      <c r="D782">
        <v>37</v>
      </c>
      <c r="E782" t="str">
        <f t="shared" si="12"/>
        <v>4137</v>
      </c>
      <c r="F782">
        <v>93951</v>
      </c>
      <c r="G782">
        <v>78608</v>
      </c>
    </row>
    <row r="783" spans="1:7">
      <c r="A783">
        <v>208</v>
      </c>
      <c r="B783">
        <v>0</v>
      </c>
      <c r="C783">
        <v>41</v>
      </c>
      <c r="D783">
        <v>38</v>
      </c>
      <c r="E783" t="str">
        <f t="shared" si="12"/>
        <v>4138</v>
      </c>
      <c r="F783">
        <v>95844</v>
      </c>
      <c r="G783">
        <v>82589</v>
      </c>
    </row>
    <row r="784" spans="1:7">
      <c r="A784">
        <v>208</v>
      </c>
      <c r="B784">
        <v>0</v>
      </c>
      <c r="C784">
        <v>41</v>
      </c>
      <c r="D784">
        <v>39</v>
      </c>
      <c r="E784" t="str">
        <f t="shared" si="12"/>
        <v>4139</v>
      </c>
      <c r="F784">
        <v>97530</v>
      </c>
      <c r="G784">
        <v>86699</v>
      </c>
    </row>
    <row r="785" spans="1:7">
      <c r="A785">
        <v>208</v>
      </c>
      <c r="B785">
        <v>0</v>
      </c>
      <c r="C785">
        <v>41</v>
      </c>
      <c r="D785">
        <v>40</v>
      </c>
      <c r="E785" t="str">
        <f t="shared" si="12"/>
        <v>4140</v>
      </c>
      <c r="F785">
        <v>98924</v>
      </c>
      <c r="G785">
        <v>90880</v>
      </c>
    </row>
    <row r="786" spans="1:7">
      <c r="A786">
        <v>208</v>
      </c>
      <c r="B786">
        <v>0</v>
      </c>
      <c r="C786">
        <v>42</v>
      </c>
      <c r="D786">
        <v>1</v>
      </c>
      <c r="E786" t="str">
        <f t="shared" si="12"/>
        <v>421</v>
      </c>
      <c r="F786">
        <v>370</v>
      </c>
      <c r="G786">
        <v>318</v>
      </c>
    </row>
    <row r="787" spans="1:7">
      <c r="A787">
        <v>208</v>
      </c>
      <c r="B787">
        <v>0</v>
      </c>
      <c r="C787">
        <v>42</v>
      </c>
      <c r="D787">
        <v>2</v>
      </c>
      <c r="E787" t="str">
        <f t="shared" si="12"/>
        <v>422</v>
      </c>
      <c r="F787">
        <v>1427</v>
      </c>
      <c r="G787">
        <v>1185</v>
      </c>
    </row>
    <row r="788" spans="1:7">
      <c r="A788">
        <v>208</v>
      </c>
      <c r="B788">
        <v>0</v>
      </c>
      <c r="C788">
        <v>42</v>
      </c>
      <c r="D788">
        <v>3</v>
      </c>
      <c r="E788" t="str">
        <f t="shared" si="12"/>
        <v>423</v>
      </c>
      <c r="F788">
        <v>3285</v>
      </c>
      <c r="G788">
        <v>2555</v>
      </c>
    </row>
    <row r="789" spans="1:7">
      <c r="A789">
        <v>208</v>
      </c>
      <c r="B789">
        <v>0</v>
      </c>
      <c r="C789">
        <v>42</v>
      </c>
      <c r="D789">
        <v>4</v>
      </c>
      <c r="E789" t="str">
        <f t="shared" si="12"/>
        <v>424</v>
      </c>
      <c r="F789">
        <v>5204</v>
      </c>
      <c r="G789">
        <v>3850</v>
      </c>
    </row>
    <row r="790" spans="1:7">
      <c r="A790">
        <v>208</v>
      </c>
      <c r="B790">
        <v>0</v>
      </c>
      <c r="C790">
        <v>42</v>
      </c>
      <c r="D790">
        <v>5</v>
      </c>
      <c r="E790" t="str">
        <f t="shared" si="12"/>
        <v>425</v>
      </c>
      <c r="F790">
        <v>7187</v>
      </c>
      <c r="G790">
        <v>5212</v>
      </c>
    </row>
    <row r="791" spans="1:7">
      <c r="A791">
        <v>208</v>
      </c>
      <c r="B791">
        <v>0</v>
      </c>
      <c r="C791">
        <v>42</v>
      </c>
      <c r="D791">
        <v>6</v>
      </c>
      <c r="E791" t="str">
        <f t="shared" si="12"/>
        <v>426</v>
      </c>
      <c r="F791">
        <v>9234</v>
      </c>
      <c r="G791">
        <v>6611</v>
      </c>
    </row>
    <row r="792" spans="1:7">
      <c r="A792">
        <v>208</v>
      </c>
      <c r="B792">
        <v>0</v>
      </c>
      <c r="C792">
        <v>42</v>
      </c>
      <c r="D792">
        <v>7</v>
      </c>
      <c r="E792" t="str">
        <f t="shared" si="12"/>
        <v>427</v>
      </c>
      <c r="F792">
        <v>11347</v>
      </c>
      <c r="G792">
        <v>8041</v>
      </c>
    </row>
    <row r="793" spans="1:7">
      <c r="A793">
        <v>208</v>
      </c>
      <c r="B793">
        <v>0</v>
      </c>
      <c r="C793">
        <v>42</v>
      </c>
      <c r="D793">
        <v>8</v>
      </c>
      <c r="E793" t="str">
        <f t="shared" si="12"/>
        <v>428</v>
      </c>
      <c r="F793">
        <v>13527</v>
      </c>
      <c r="G793">
        <v>9501</v>
      </c>
    </row>
    <row r="794" spans="1:7">
      <c r="A794">
        <v>208</v>
      </c>
      <c r="B794">
        <v>0</v>
      </c>
      <c r="C794">
        <v>42</v>
      </c>
      <c r="D794">
        <v>9</v>
      </c>
      <c r="E794" t="str">
        <f t="shared" si="12"/>
        <v>429</v>
      </c>
      <c r="F794">
        <v>15774</v>
      </c>
      <c r="G794">
        <v>10991</v>
      </c>
    </row>
    <row r="795" spans="1:7">
      <c r="A795">
        <v>208</v>
      </c>
      <c r="B795">
        <v>0</v>
      </c>
      <c r="C795">
        <v>42</v>
      </c>
      <c r="D795">
        <v>10</v>
      </c>
      <c r="E795" t="str">
        <f t="shared" si="12"/>
        <v>4210</v>
      </c>
      <c r="F795">
        <v>18087</v>
      </c>
      <c r="G795">
        <v>12512</v>
      </c>
    </row>
    <row r="796" spans="1:7">
      <c r="A796">
        <v>208</v>
      </c>
      <c r="B796">
        <v>0</v>
      </c>
      <c r="C796">
        <v>42</v>
      </c>
      <c r="D796">
        <v>11</v>
      </c>
      <c r="E796" t="str">
        <f t="shared" si="12"/>
        <v>4211</v>
      </c>
      <c r="F796">
        <v>20466</v>
      </c>
      <c r="G796">
        <v>14064</v>
      </c>
    </row>
    <row r="797" spans="1:7">
      <c r="A797">
        <v>208</v>
      </c>
      <c r="B797">
        <v>0</v>
      </c>
      <c r="C797">
        <v>42</v>
      </c>
      <c r="D797">
        <v>12</v>
      </c>
      <c r="E797" t="str">
        <f t="shared" si="12"/>
        <v>4212</v>
      </c>
      <c r="F797">
        <v>22911</v>
      </c>
      <c r="G797">
        <v>15647</v>
      </c>
    </row>
    <row r="798" spans="1:7">
      <c r="A798">
        <v>208</v>
      </c>
      <c r="B798">
        <v>0</v>
      </c>
      <c r="C798">
        <v>42</v>
      </c>
      <c r="D798">
        <v>13</v>
      </c>
      <c r="E798" t="str">
        <f t="shared" si="12"/>
        <v>4213</v>
      </c>
      <c r="F798">
        <v>25419</v>
      </c>
      <c r="G798">
        <v>17262</v>
      </c>
    </row>
    <row r="799" spans="1:7">
      <c r="A799">
        <v>208</v>
      </c>
      <c r="B799">
        <v>0</v>
      </c>
      <c r="C799">
        <v>42</v>
      </c>
      <c r="D799">
        <v>14</v>
      </c>
      <c r="E799" t="str">
        <f t="shared" si="12"/>
        <v>4214</v>
      </c>
      <c r="F799">
        <v>27989</v>
      </c>
      <c r="G799">
        <v>18909</v>
      </c>
    </row>
    <row r="800" spans="1:7">
      <c r="A800">
        <v>208</v>
      </c>
      <c r="B800">
        <v>0</v>
      </c>
      <c r="C800">
        <v>42</v>
      </c>
      <c r="D800">
        <v>15</v>
      </c>
      <c r="E800" t="str">
        <f t="shared" si="12"/>
        <v>4215</v>
      </c>
      <c r="F800">
        <v>30617</v>
      </c>
      <c r="G800">
        <v>20589</v>
      </c>
    </row>
    <row r="801" spans="1:7">
      <c r="A801">
        <v>208</v>
      </c>
      <c r="B801">
        <v>0</v>
      </c>
      <c r="C801">
        <v>42</v>
      </c>
      <c r="D801">
        <v>16</v>
      </c>
      <c r="E801" t="str">
        <f t="shared" si="12"/>
        <v>4216</v>
      </c>
      <c r="F801">
        <v>33299</v>
      </c>
      <c r="G801">
        <v>22303</v>
      </c>
    </row>
    <row r="802" spans="1:7">
      <c r="A802">
        <v>208</v>
      </c>
      <c r="B802">
        <v>0</v>
      </c>
      <c r="C802">
        <v>42</v>
      </c>
      <c r="D802">
        <v>17</v>
      </c>
      <c r="E802" t="str">
        <f t="shared" si="12"/>
        <v>4217</v>
      </c>
      <c r="F802">
        <v>36033</v>
      </c>
      <c r="G802">
        <v>24052</v>
      </c>
    </row>
    <row r="803" spans="1:7">
      <c r="A803">
        <v>208</v>
      </c>
      <c r="B803">
        <v>0</v>
      </c>
      <c r="C803">
        <v>42</v>
      </c>
      <c r="D803">
        <v>18</v>
      </c>
      <c r="E803" t="str">
        <f t="shared" si="12"/>
        <v>4218</v>
      </c>
      <c r="F803">
        <v>38814</v>
      </c>
      <c r="G803">
        <v>25835</v>
      </c>
    </row>
    <row r="804" spans="1:7">
      <c r="A804">
        <v>208</v>
      </c>
      <c r="B804">
        <v>0</v>
      </c>
      <c r="C804">
        <v>42</v>
      </c>
      <c r="D804">
        <v>19</v>
      </c>
      <c r="E804" t="str">
        <f t="shared" si="12"/>
        <v>4219</v>
      </c>
      <c r="F804">
        <v>41640</v>
      </c>
      <c r="G804">
        <v>27655</v>
      </c>
    </row>
    <row r="805" spans="1:7">
      <c r="A805">
        <v>208</v>
      </c>
      <c r="B805">
        <v>0</v>
      </c>
      <c r="C805">
        <v>42</v>
      </c>
      <c r="D805">
        <v>20</v>
      </c>
      <c r="E805" t="str">
        <f t="shared" si="12"/>
        <v>4220</v>
      </c>
      <c r="F805">
        <v>44506</v>
      </c>
      <c r="G805">
        <v>29510</v>
      </c>
    </row>
    <row r="806" spans="1:7">
      <c r="A806">
        <v>208</v>
      </c>
      <c r="B806">
        <v>0</v>
      </c>
      <c r="C806">
        <v>42</v>
      </c>
      <c r="D806">
        <v>21</v>
      </c>
      <c r="E806" t="str">
        <f t="shared" si="12"/>
        <v>4221</v>
      </c>
      <c r="F806">
        <v>47406</v>
      </c>
      <c r="G806">
        <v>31403</v>
      </c>
    </row>
    <row r="807" spans="1:7">
      <c r="A807">
        <v>208</v>
      </c>
      <c r="B807">
        <v>0</v>
      </c>
      <c r="C807">
        <v>42</v>
      </c>
      <c r="D807">
        <v>22</v>
      </c>
      <c r="E807" t="str">
        <f t="shared" si="12"/>
        <v>4222</v>
      </c>
      <c r="F807">
        <v>50335</v>
      </c>
      <c r="G807">
        <v>33334</v>
      </c>
    </row>
    <row r="808" spans="1:7">
      <c r="A808">
        <v>208</v>
      </c>
      <c r="B808">
        <v>0</v>
      </c>
      <c r="C808">
        <v>42</v>
      </c>
      <c r="D808">
        <v>23</v>
      </c>
      <c r="E808" t="str">
        <f t="shared" si="12"/>
        <v>4223</v>
      </c>
      <c r="F808">
        <v>53289</v>
      </c>
      <c r="G808">
        <v>35304</v>
      </c>
    </row>
    <row r="809" spans="1:7">
      <c r="A809">
        <v>208</v>
      </c>
      <c r="B809">
        <v>0</v>
      </c>
      <c r="C809">
        <v>42</v>
      </c>
      <c r="D809">
        <v>24</v>
      </c>
      <c r="E809" t="str">
        <f t="shared" si="12"/>
        <v>4224</v>
      </c>
      <c r="F809">
        <v>56263</v>
      </c>
      <c r="G809">
        <v>37313</v>
      </c>
    </row>
    <row r="810" spans="1:7">
      <c r="A810">
        <v>208</v>
      </c>
      <c r="B810">
        <v>0</v>
      </c>
      <c r="C810">
        <v>42</v>
      </c>
      <c r="D810">
        <v>25</v>
      </c>
      <c r="E810" t="str">
        <f t="shared" si="12"/>
        <v>4225</v>
      </c>
      <c r="F810">
        <v>59252</v>
      </c>
      <c r="G810">
        <v>39362</v>
      </c>
    </row>
    <row r="811" spans="1:7">
      <c r="A811">
        <v>208</v>
      </c>
      <c r="B811">
        <v>0</v>
      </c>
      <c r="C811">
        <v>42</v>
      </c>
      <c r="D811">
        <v>26</v>
      </c>
      <c r="E811" t="str">
        <f t="shared" si="12"/>
        <v>4226</v>
      </c>
      <c r="F811">
        <v>62250</v>
      </c>
      <c r="G811">
        <v>41453</v>
      </c>
    </row>
    <row r="812" spans="1:7">
      <c r="A812">
        <v>208</v>
      </c>
      <c r="B812">
        <v>0</v>
      </c>
      <c r="C812">
        <v>42</v>
      </c>
      <c r="D812">
        <v>27</v>
      </c>
      <c r="E812" t="str">
        <f t="shared" si="12"/>
        <v>4227</v>
      </c>
      <c r="F812">
        <v>65247</v>
      </c>
      <c r="G812">
        <v>43585</v>
      </c>
    </row>
    <row r="813" spans="1:7">
      <c r="A813">
        <v>208</v>
      </c>
      <c r="B813">
        <v>0</v>
      </c>
      <c r="C813">
        <v>42</v>
      </c>
      <c r="D813">
        <v>28</v>
      </c>
      <c r="E813" t="str">
        <f t="shared" si="12"/>
        <v>4228</v>
      </c>
      <c r="F813">
        <v>68231</v>
      </c>
      <c r="G813">
        <v>45760</v>
      </c>
    </row>
    <row r="814" spans="1:7">
      <c r="A814">
        <v>208</v>
      </c>
      <c r="B814">
        <v>0</v>
      </c>
      <c r="C814">
        <v>42</v>
      </c>
      <c r="D814">
        <v>29</v>
      </c>
      <c r="E814" t="str">
        <f t="shared" si="12"/>
        <v>4229</v>
      </c>
      <c r="F814">
        <v>71190</v>
      </c>
      <c r="G814">
        <v>48576</v>
      </c>
    </row>
    <row r="815" spans="1:7">
      <c r="A815">
        <v>208</v>
      </c>
      <c r="B815">
        <v>0</v>
      </c>
      <c r="C815">
        <v>42</v>
      </c>
      <c r="D815">
        <v>30</v>
      </c>
      <c r="E815" t="str">
        <f t="shared" si="12"/>
        <v>4230</v>
      </c>
      <c r="F815">
        <v>74109</v>
      </c>
      <c r="G815">
        <v>51494</v>
      </c>
    </row>
    <row r="816" spans="1:7">
      <c r="A816">
        <v>208</v>
      </c>
      <c r="B816">
        <v>0</v>
      </c>
      <c r="C816">
        <v>42</v>
      </c>
      <c r="D816">
        <v>31</v>
      </c>
      <c r="E816" t="str">
        <f t="shared" si="12"/>
        <v>4231</v>
      </c>
      <c r="F816">
        <v>76977</v>
      </c>
      <c r="G816">
        <v>54514</v>
      </c>
    </row>
    <row r="817" spans="1:7">
      <c r="A817">
        <v>208</v>
      </c>
      <c r="B817">
        <v>0</v>
      </c>
      <c r="C817">
        <v>42</v>
      </c>
      <c r="D817">
        <v>32</v>
      </c>
      <c r="E817" t="str">
        <f t="shared" si="12"/>
        <v>4232</v>
      </c>
      <c r="F817">
        <v>79776</v>
      </c>
      <c r="G817">
        <v>57641</v>
      </c>
    </row>
    <row r="818" spans="1:7">
      <c r="A818">
        <v>208</v>
      </c>
      <c r="B818">
        <v>0</v>
      </c>
      <c r="C818">
        <v>42</v>
      </c>
      <c r="D818">
        <v>33</v>
      </c>
      <c r="E818" t="str">
        <f t="shared" si="12"/>
        <v>4233</v>
      </c>
      <c r="F818">
        <v>82491</v>
      </c>
      <c r="G818">
        <v>60876</v>
      </c>
    </row>
    <row r="819" spans="1:7">
      <c r="A819">
        <v>208</v>
      </c>
      <c r="B819">
        <v>0</v>
      </c>
      <c r="C819">
        <v>42</v>
      </c>
      <c r="D819">
        <v>34</v>
      </c>
      <c r="E819" t="str">
        <f t="shared" si="12"/>
        <v>4234</v>
      </c>
      <c r="F819">
        <v>85103</v>
      </c>
      <c r="G819">
        <v>64221</v>
      </c>
    </row>
    <row r="820" spans="1:7">
      <c r="A820">
        <v>208</v>
      </c>
      <c r="B820">
        <v>0</v>
      </c>
      <c r="C820">
        <v>42</v>
      </c>
      <c r="D820">
        <v>35</v>
      </c>
      <c r="E820" t="str">
        <f t="shared" si="12"/>
        <v>4235</v>
      </c>
      <c r="F820">
        <v>87597</v>
      </c>
      <c r="G820">
        <v>67680</v>
      </c>
    </row>
    <row r="821" spans="1:7">
      <c r="A821">
        <v>208</v>
      </c>
      <c r="B821">
        <v>0</v>
      </c>
      <c r="C821">
        <v>42</v>
      </c>
      <c r="D821">
        <v>36</v>
      </c>
      <c r="E821" t="str">
        <f t="shared" si="12"/>
        <v>4236</v>
      </c>
      <c r="F821">
        <v>89954</v>
      </c>
      <c r="G821">
        <v>71256</v>
      </c>
    </row>
    <row r="822" spans="1:7">
      <c r="A822">
        <v>208</v>
      </c>
      <c r="B822">
        <v>0</v>
      </c>
      <c r="C822">
        <v>42</v>
      </c>
      <c r="D822">
        <v>37</v>
      </c>
      <c r="E822" t="str">
        <f t="shared" si="12"/>
        <v>4237</v>
      </c>
      <c r="F822">
        <v>92154</v>
      </c>
      <c r="G822">
        <v>74950</v>
      </c>
    </row>
    <row r="823" spans="1:7">
      <c r="A823">
        <v>208</v>
      </c>
      <c r="B823">
        <v>0</v>
      </c>
      <c r="C823">
        <v>42</v>
      </c>
      <c r="D823">
        <v>38</v>
      </c>
      <c r="E823" t="str">
        <f t="shared" si="12"/>
        <v>4238</v>
      </c>
      <c r="F823">
        <v>94177</v>
      </c>
      <c r="G823">
        <v>78767</v>
      </c>
    </row>
    <row r="824" spans="1:7">
      <c r="A824">
        <v>208</v>
      </c>
      <c r="B824">
        <v>0</v>
      </c>
      <c r="C824">
        <v>42</v>
      </c>
      <c r="D824">
        <v>39</v>
      </c>
      <c r="E824" t="str">
        <f t="shared" si="12"/>
        <v>4239</v>
      </c>
      <c r="F824">
        <v>96009</v>
      </c>
      <c r="G824">
        <v>82709</v>
      </c>
    </row>
    <row r="825" spans="1:7">
      <c r="A825">
        <v>208</v>
      </c>
      <c r="B825">
        <v>0</v>
      </c>
      <c r="C825">
        <v>42</v>
      </c>
      <c r="D825">
        <v>40</v>
      </c>
      <c r="E825" t="str">
        <f t="shared" si="12"/>
        <v>4240</v>
      </c>
      <c r="F825">
        <v>97638</v>
      </c>
      <c r="G825">
        <v>86779</v>
      </c>
    </row>
    <row r="826" spans="1:7">
      <c r="A826">
        <v>208</v>
      </c>
      <c r="B826">
        <v>0</v>
      </c>
      <c r="C826">
        <v>42</v>
      </c>
      <c r="D826">
        <v>41</v>
      </c>
      <c r="E826" t="str">
        <f t="shared" si="12"/>
        <v>4241</v>
      </c>
      <c r="F826">
        <v>98976</v>
      </c>
      <c r="G826">
        <v>90920</v>
      </c>
    </row>
    <row r="827" spans="1:7">
      <c r="A827">
        <v>208</v>
      </c>
      <c r="B827">
        <v>0</v>
      </c>
      <c r="C827">
        <v>43</v>
      </c>
      <c r="D827">
        <v>1</v>
      </c>
      <c r="E827" t="str">
        <f t="shared" si="12"/>
        <v>431</v>
      </c>
      <c r="F827">
        <v>354</v>
      </c>
      <c r="G827">
        <v>306</v>
      </c>
    </row>
    <row r="828" spans="1:7">
      <c r="A828">
        <v>208</v>
      </c>
      <c r="B828">
        <v>0</v>
      </c>
      <c r="C828">
        <v>43</v>
      </c>
      <c r="D828">
        <v>2</v>
      </c>
      <c r="E828" t="str">
        <f t="shared" si="12"/>
        <v>432</v>
      </c>
      <c r="F828">
        <v>1367</v>
      </c>
      <c r="G828">
        <v>1142</v>
      </c>
    </row>
    <row r="829" spans="1:7">
      <c r="A829">
        <v>208</v>
      </c>
      <c r="B829">
        <v>0</v>
      </c>
      <c r="C829">
        <v>43</v>
      </c>
      <c r="D829">
        <v>3</v>
      </c>
      <c r="E829" t="str">
        <f t="shared" si="12"/>
        <v>433</v>
      </c>
      <c r="F829">
        <v>3148</v>
      </c>
      <c r="G829">
        <v>2462</v>
      </c>
    </row>
    <row r="830" spans="1:7">
      <c r="A830">
        <v>208</v>
      </c>
      <c r="B830">
        <v>0</v>
      </c>
      <c r="C830">
        <v>43</v>
      </c>
      <c r="D830">
        <v>4</v>
      </c>
      <c r="E830" t="str">
        <f t="shared" si="12"/>
        <v>434</v>
      </c>
      <c r="F830">
        <v>4987</v>
      </c>
      <c r="G830">
        <v>3710</v>
      </c>
    </row>
    <row r="831" spans="1:7">
      <c r="A831">
        <v>208</v>
      </c>
      <c r="B831">
        <v>0</v>
      </c>
      <c r="C831">
        <v>43</v>
      </c>
      <c r="D831">
        <v>5</v>
      </c>
      <c r="E831" t="str">
        <f t="shared" si="12"/>
        <v>435</v>
      </c>
      <c r="F831">
        <v>6888</v>
      </c>
      <c r="G831">
        <v>5023</v>
      </c>
    </row>
    <row r="832" spans="1:7">
      <c r="A832">
        <v>208</v>
      </c>
      <c r="B832">
        <v>0</v>
      </c>
      <c r="C832">
        <v>43</v>
      </c>
      <c r="D832">
        <v>6</v>
      </c>
      <c r="E832" t="str">
        <f t="shared" si="12"/>
        <v>436</v>
      </c>
      <c r="F832">
        <v>8850</v>
      </c>
      <c r="G832">
        <v>6370</v>
      </c>
    </row>
    <row r="833" spans="1:7">
      <c r="A833">
        <v>208</v>
      </c>
      <c r="B833">
        <v>0</v>
      </c>
      <c r="C833">
        <v>43</v>
      </c>
      <c r="D833">
        <v>7</v>
      </c>
      <c r="E833" t="str">
        <f t="shared" si="12"/>
        <v>437</v>
      </c>
      <c r="F833">
        <v>10877</v>
      </c>
      <c r="G833">
        <v>7748</v>
      </c>
    </row>
    <row r="834" spans="1:7">
      <c r="A834">
        <v>208</v>
      </c>
      <c r="B834">
        <v>0</v>
      </c>
      <c r="C834">
        <v>43</v>
      </c>
      <c r="D834">
        <v>8</v>
      </c>
      <c r="E834" t="str">
        <f t="shared" si="12"/>
        <v>438</v>
      </c>
      <c r="F834">
        <v>12968</v>
      </c>
      <c r="G834">
        <v>9155</v>
      </c>
    </row>
    <row r="835" spans="1:7">
      <c r="A835">
        <v>208</v>
      </c>
      <c r="B835">
        <v>0</v>
      </c>
      <c r="C835">
        <v>43</v>
      </c>
      <c r="D835">
        <v>9</v>
      </c>
      <c r="E835" t="str">
        <f t="shared" ref="E835:E898" si="13">CONCATENATE(C835,D835)</f>
        <v>439</v>
      </c>
      <c r="F835">
        <v>15124</v>
      </c>
      <c r="G835">
        <v>10591</v>
      </c>
    </row>
    <row r="836" spans="1:7">
      <c r="A836">
        <v>208</v>
      </c>
      <c r="B836">
        <v>0</v>
      </c>
      <c r="C836">
        <v>43</v>
      </c>
      <c r="D836">
        <v>10</v>
      </c>
      <c r="E836" t="str">
        <f t="shared" si="13"/>
        <v>4310</v>
      </c>
      <c r="F836">
        <v>17346</v>
      </c>
      <c r="G836">
        <v>12056</v>
      </c>
    </row>
    <row r="837" spans="1:7">
      <c r="A837">
        <v>208</v>
      </c>
      <c r="B837">
        <v>0</v>
      </c>
      <c r="C837">
        <v>43</v>
      </c>
      <c r="D837">
        <v>11</v>
      </c>
      <c r="E837" t="str">
        <f t="shared" si="13"/>
        <v>4311</v>
      </c>
      <c r="F837">
        <v>19633</v>
      </c>
      <c r="G837">
        <v>13552</v>
      </c>
    </row>
    <row r="838" spans="1:7">
      <c r="A838">
        <v>208</v>
      </c>
      <c r="B838">
        <v>0</v>
      </c>
      <c r="C838">
        <v>43</v>
      </c>
      <c r="D838">
        <v>12</v>
      </c>
      <c r="E838" t="str">
        <f t="shared" si="13"/>
        <v>4312</v>
      </c>
      <c r="F838">
        <v>21985</v>
      </c>
      <c r="G838">
        <v>15077</v>
      </c>
    </row>
    <row r="839" spans="1:7">
      <c r="A839">
        <v>208</v>
      </c>
      <c r="B839">
        <v>0</v>
      </c>
      <c r="C839">
        <v>43</v>
      </c>
      <c r="D839">
        <v>13</v>
      </c>
      <c r="E839" t="str">
        <f t="shared" si="13"/>
        <v>4313</v>
      </c>
      <c r="F839">
        <v>24400</v>
      </c>
      <c r="G839">
        <v>16633</v>
      </c>
    </row>
    <row r="840" spans="1:7">
      <c r="A840">
        <v>208</v>
      </c>
      <c r="B840">
        <v>0</v>
      </c>
      <c r="C840">
        <v>43</v>
      </c>
      <c r="D840">
        <v>14</v>
      </c>
      <c r="E840" t="str">
        <f t="shared" si="13"/>
        <v>4314</v>
      </c>
      <c r="F840">
        <v>26878</v>
      </c>
      <c r="G840">
        <v>18220</v>
      </c>
    </row>
    <row r="841" spans="1:7">
      <c r="A841">
        <v>208</v>
      </c>
      <c r="B841">
        <v>0</v>
      </c>
      <c r="C841">
        <v>43</v>
      </c>
      <c r="D841">
        <v>15</v>
      </c>
      <c r="E841" t="str">
        <f t="shared" si="13"/>
        <v>4315</v>
      </c>
      <c r="F841">
        <v>29415</v>
      </c>
      <c r="G841">
        <v>19839</v>
      </c>
    </row>
    <row r="842" spans="1:7">
      <c r="A842">
        <v>208</v>
      </c>
      <c r="B842">
        <v>0</v>
      </c>
      <c r="C842">
        <v>43</v>
      </c>
      <c r="D842">
        <v>16</v>
      </c>
      <c r="E842" t="str">
        <f t="shared" si="13"/>
        <v>4316</v>
      </c>
      <c r="F842">
        <v>32008</v>
      </c>
      <c r="G842">
        <v>21491</v>
      </c>
    </row>
    <row r="843" spans="1:7">
      <c r="A843">
        <v>208</v>
      </c>
      <c r="B843">
        <v>0</v>
      </c>
      <c r="C843">
        <v>43</v>
      </c>
      <c r="D843">
        <v>17</v>
      </c>
      <c r="E843" t="str">
        <f t="shared" si="13"/>
        <v>4317</v>
      </c>
      <c r="F843">
        <v>34655</v>
      </c>
      <c r="G843">
        <v>23176</v>
      </c>
    </row>
    <row r="844" spans="1:7">
      <c r="A844">
        <v>208</v>
      </c>
      <c r="B844">
        <v>0</v>
      </c>
      <c r="C844">
        <v>43</v>
      </c>
      <c r="D844">
        <v>18</v>
      </c>
      <c r="E844" t="str">
        <f t="shared" si="13"/>
        <v>4318</v>
      </c>
      <c r="F844">
        <v>37350</v>
      </c>
      <c r="G844">
        <v>24894</v>
      </c>
    </row>
    <row r="845" spans="1:7">
      <c r="A845">
        <v>208</v>
      </c>
      <c r="B845">
        <v>0</v>
      </c>
      <c r="C845">
        <v>43</v>
      </c>
      <c r="D845">
        <v>19</v>
      </c>
      <c r="E845" t="str">
        <f t="shared" si="13"/>
        <v>4319</v>
      </c>
      <c r="F845">
        <v>40092</v>
      </c>
      <c r="G845">
        <v>26647</v>
      </c>
    </row>
    <row r="846" spans="1:7">
      <c r="A846">
        <v>208</v>
      </c>
      <c r="B846">
        <v>0</v>
      </c>
      <c r="C846">
        <v>43</v>
      </c>
      <c r="D846">
        <v>20</v>
      </c>
      <c r="E846" t="str">
        <f t="shared" si="13"/>
        <v>4320</v>
      </c>
      <c r="F846">
        <v>42877</v>
      </c>
      <c r="G846">
        <v>28435</v>
      </c>
    </row>
    <row r="847" spans="1:7">
      <c r="A847">
        <v>208</v>
      </c>
      <c r="B847">
        <v>0</v>
      </c>
      <c r="C847">
        <v>43</v>
      </c>
      <c r="D847">
        <v>21</v>
      </c>
      <c r="E847" t="str">
        <f t="shared" si="13"/>
        <v>4321</v>
      </c>
      <c r="F847">
        <v>45699</v>
      </c>
      <c r="G847">
        <v>30258</v>
      </c>
    </row>
    <row r="848" spans="1:7">
      <c r="A848">
        <v>208</v>
      </c>
      <c r="B848">
        <v>0</v>
      </c>
      <c r="C848">
        <v>43</v>
      </c>
      <c r="D848">
        <v>22</v>
      </c>
      <c r="E848" t="str">
        <f t="shared" si="13"/>
        <v>4322</v>
      </c>
      <c r="F848">
        <v>48554</v>
      </c>
      <c r="G848">
        <v>32118</v>
      </c>
    </row>
    <row r="849" spans="1:7">
      <c r="A849">
        <v>208</v>
      </c>
      <c r="B849">
        <v>0</v>
      </c>
      <c r="C849">
        <v>43</v>
      </c>
      <c r="D849">
        <v>23</v>
      </c>
      <c r="E849" t="str">
        <f t="shared" si="13"/>
        <v>4323</v>
      </c>
      <c r="F849">
        <v>51438</v>
      </c>
      <c r="G849">
        <v>34016</v>
      </c>
    </row>
    <row r="850" spans="1:7">
      <c r="A850">
        <v>208</v>
      </c>
      <c r="B850">
        <v>0</v>
      </c>
      <c r="C850">
        <v>43</v>
      </c>
      <c r="D850">
        <v>24</v>
      </c>
      <c r="E850" t="str">
        <f t="shared" si="13"/>
        <v>4324</v>
      </c>
      <c r="F850">
        <v>54344</v>
      </c>
      <c r="G850">
        <v>35951</v>
      </c>
    </row>
    <row r="851" spans="1:7">
      <c r="A851">
        <v>208</v>
      </c>
      <c r="B851">
        <v>0</v>
      </c>
      <c r="C851">
        <v>43</v>
      </c>
      <c r="D851">
        <v>25</v>
      </c>
      <c r="E851" t="str">
        <f t="shared" si="13"/>
        <v>4325</v>
      </c>
      <c r="F851">
        <v>57268</v>
      </c>
      <c r="G851">
        <v>37926</v>
      </c>
    </row>
    <row r="852" spans="1:7">
      <c r="A852">
        <v>208</v>
      </c>
      <c r="B852">
        <v>0</v>
      </c>
      <c r="C852">
        <v>43</v>
      </c>
      <c r="D852">
        <v>26</v>
      </c>
      <c r="E852" t="str">
        <f t="shared" si="13"/>
        <v>4326</v>
      </c>
      <c r="F852">
        <v>60206</v>
      </c>
      <c r="G852">
        <v>39939</v>
      </c>
    </row>
    <row r="853" spans="1:7">
      <c r="A853">
        <v>208</v>
      </c>
      <c r="B853">
        <v>0</v>
      </c>
      <c r="C853">
        <v>43</v>
      </c>
      <c r="D853">
        <v>27</v>
      </c>
      <c r="E853" t="str">
        <f t="shared" si="13"/>
        <v>4327</v>
      </c>
      <c r="F853">
        <v>63152</v>
      </c>
      <c r="G853">
        <v>41994</v>
      </c>
    </row>
    <row r="854" spans="1:7">
      <c r="A854">
        <v>208</v>
      </c>
      <c r="B854">
        <v>0</v>
      </c>
      <c r="C854">
        <v>43</v>
      </c>
      <c r="D854">
        <v>28</v>
      </c>
      <c r="E854" t="str">
        <f t="shared" si="13"/>
        <v>4328</v>
      </c>
      <c r="F854">
        <v>66096</v>
      </c>
      <c r="G854">
        <v>44089</v>
      </c>
    </row>
    <row r="855" spans="1:7">
      <c r="A855">
        <v>208</v>
      </c>
      <c r="B855">
        <v>0</v>
      </c>
      <c r="C855">
        <v>43</v>
      </c>
      <c r="D855">
        <v>29</v>
      </c>
      <c r="E855" t="str">
        <f t="shared" si="13"/>
        <v>4329</v>
      </c>
      <c r="F855">
        <v>69025</v>
      </c>
      <c r="G855">
        <v>46226</v>
      </c>
    </row>
    <row r="856" spans="1:7">
      <c r="A856">
        <v>208</v>
      </c>
      <c r="B856">
        <v>0</v>
      </c>
      <c r="C856">
        <v>43</v>
      </c>
      <c r="D856">
        <v>30</v>
      </c>
      <c r="E856" t="str">
        <f t="shared" si="13"/>
        <v>4330</v>
      </c>
      <c r="F856">
        <v>71928</v>
      </c>
      <c r="G856">
        <v>49015</v>
      </c>
    </row>
    <row r="857" spans="1:7">
      <c r="A857">
        <v>208</v>
      </c>
      <c r="B857">
        <v>0</v>
      </c>
      <c r="C857">
        <v>43</v>
      </c>
      <c r="D857">
        <v>31</v>
      </c>
      <c r="E857" t="str">
        <f t="shared" si="13"/>
        <v>4331</v>
      </c>
      <c r="F857">
        <v>74790</v>
      </c>
      <c r="G857">
        <v>51905</v>
      </c>
    </row>
    <row r="858" spans="1:7">
      <c r="A858">
        <v>208</v>
      </c>
      <c r="B858">
        <v>0</v>
      </c>
      <c r="C858">
        <v>43</v>
      </c>
      <c r="D858">
        <v>32</v>
      </c>
      <c r="E858" t="str">
        <f t="shared" si="13"/>
        <v>4332</v>
      </c>
      <c r="F858">
        <v>77600</v>
      </c>
      <c r="G858">
        <v>54896</v>
      </c>
    </row>
    <row r="859" spans="1:7">
      <c r="A859">
        <v>208</v>
      </c>
      <c r="B859">
        <v>0</v>
      </c>
      <c r="C859">
        <v>43</v>
      </c>
      <c r="D859">
        <v>33</v>
      </c>
      <c r="E859" t="str">
        <f t="shared" si="13"/>
        <v>4333</v>
      </c>
      <c r="F859">
        <v>80341</v>
      </c>
      <c r="G859">
        <v>57992</v>
      </c>
    </row>
    <row r="860" spans="1:7">
      <c r="A860">
        <v>208</v>
      </c>
      <c r="B860">
        <v>0</v>
      </c>
      <c r="C860">
        <v>43</v>
      </c>
      <c r="D860">
        <v>34</v>
      </c>
      <c r="E860" t="str">
        <f t="shared" si="13"/>
        <v>4334</v>
      </c>
      <c r="F860">
        <v>82997</v>
      </c>
      <c r="G860">
        <v>61196</v>
      </c>
    </row>
    <row r="861" spans="1:7">
      <c r="A861">
        <v>208</v>
      </c>
      <c r="B861">
        <v>0</v>
      </c>
      <c r="C861">
        <v>43</v>
      </c>
      <c r="D861">
        <v>35</v>
      </c>
      <c r="E861" t="str">
        <f t="shared" si="13"/>
        <v>4335</v>
      </c>
      <c r="F861">
        <v>85550</v>
      </c>
      <c r="G861">
        <v>64509</v>
      </c>
    </row>
    <row r="862" spans="1:7">
      <c r="A862">
        <v>208</v>
      </c>
      <c r="B862">
        <v>0</v>
      </c>
      <c r="C862">
        <v>43</v>
      </c>
      <c r="D862">
        <v>36</v>
      </c>
      <c r="E862" t="str">
        <f t="shared" si="13"/>
        <v>4336</v>
      </c>
      <c r="F862">
        <v>87986</v>
      </c>
      <c r="G862">
        <v>67935</v>
      </c>
    </row>
    <row r="863" spans="1:7">
      <c r="A863">
        <v>208</v>
      </c>
      <c r="B863">
        <v>0</v>
      </c>
      <c r="C863">
        <v>43</v>
      </c>
      <c r="D863">
        <v>37</v>
      </c>
      <c r="E863" t="str">
        <f t="shared" si="13"/>
        <v>4337</v>
      </c>
      <c r="F863">
        <v>90283</v>
      </c>
      <c r="G863">
        <v>71477</v>
      </c>
    </row>
    <row r="864" spans="1:7">
      <c r="A864">
        <v>208</v>
      </c>
      <c r="B864">
        <v>0</v>
      </c>
      <c r="C864">
        <v>43</v>
      </c>
      <c r="D864">
        <v>38</v>
      </c>
      <c r="E864" t="str">
        <f t="shared" si="13"/>
        <v>4338</v>
      </c>
      <c r="F864">
        <v>92425</v>
      </c>
      <c r="G864">
        <v>75136</v>
      </c>
    </row>
    <row r="865" spans="1:7">
      <c r="A865">
        <v>208</v>
      </c>
      <c r="B865">
        <v>0</v>
      </c>
      <c r="C865">
        <v>43</v>
      </c>
      <c r="D865">
        <v>39</v>
      </c>
      <c r="E865" t="str">
        <f t="shared" si="13"/>
        <v>4339</v>
      </c>
      <c r="F865">
        <v>94390</v>
      </c>
      <c r="G865">
        <v>78917</v>
      </c>
    </row>
    <row r="866" spans="1:7">
      <c r="A866">
        <v>208</v>
      </c>
      <c r="B866">
        <v>0</v>
      </c>
      <c r="C866">
        <v>43</v>
      </c>
      <c r="D866">
        <v>40</v>
      </c>
      <c r="E866" t="str">
        <f t="shared" si="13"/>
        <v>4340</v>
      </c>
      <c r="F866">
        <v>96166</v>
      </c>
      <c r="G866">
        <v>82821</v>
      </c>
    </row>
    <row r="867" spans="1:7">
      <c r="A867">
        <v>208</v>
      </c>
      <c r="B867">
        <v>0</v>
      </c>
      <c r="C867">
        <v>43</v>
      </c>
      <c r="D867">
        <v>41</v>
      </c>
      <c r="E867" t="str">
        <f t="shared" si="13"/>
        <v>4341</v>
      </c>
      <c r="F867">
        <v>97739</v>
      </c>
      <c r="G867">
        <v>86854</v>
      </c>
    </row>
    <row r="868" spans="1:7">
      <c r="A868">
        <v>208</v>
      </c>
      <c r="B868">
        <v>0</v>
      </c>
      <c r="C868">
        <v>43</v>
      </c>
      <c r="D868">
        <v>42</v>
      </c>
      <c r="E868" t="str">
        <f t="shared" si="13"/>
        <v>4342</v>
      </c>
      <c r="F868">
        <v>99025</v>
      </c>
      <c r="G868">
        <v>90958</v>
      </c>
    </row>
    <row r="869" spans="1:7">
      <c r="A869">
        <v>208</v>
      </c>
      <c r="B869">
        <v>0</v>
      </c>
      <c r="C869">
        <v>44</v>
      </c>
      <c r="D869">
        <v>1</v>
      </c>
      <c r="E869" t="str">
        <f t="shared" si="13"/>
        <v>441</v>
      </c>
      <c r="F869">
        <v>339</v>
      </c>
      <c r="G869">
        <v>295</v>
      </c>
    </row>
    <row r="870" spans="1:7">
      <c r="A870">
        <v>208</v>
      </c>
      <c r="B870">
        <v>0</v>
      </c>
      <c r="C870">
        <v>44</v>
      </c>
      <c r="D870">
        <v>2</v>
      </c>
      <c r="E870" t="str">
        <f t="shared" si="13"/>
        <v>442</v>
      </c>
      <c r="F870">
        <v>1311</v>
      </c>
      <c r="G870">
        <v>1101</v>
      </c>
    </row>
    <row r="871" spans="1:7">
      <c r="A871">
        <v>208</v>
      </c>
      <c r="B871">
        <v>0</v>
      </c>
      <c r="C871">
        <v>44</v>
      </c>
      <c r="D871">
        <v>3</v>
      </c>
      <c r="E871" t="str">
        <f t="shared" si="13"/>
        <v>443</v>
      </c>
      <c r="F871">
        <v>3018</v>
      </c>
      <c r="G871">
        <v>2373</v>
      </c>
    </row>
    <row r="872" spans="1:7">
      <c r="A872">
        <v>208</v>
      </c>
      <c r="B872">
        <v>0</v>
      </c>
      <c r="C872">
        <v>44</v>
      </c>
      <c r="D872">
        <v>4</v>
      </c>
      <c r="E872" t="str">
        <f t="shared" si="13"/>
        <v>444</v>
      </c>
      <c r="F872">
        <v>4782</v>
      </c>
      <c r="G872">
        <v>3577</v>
      </c>
    </row>
    <row r="873" spans="1:7">
      <c r="A873">
        <v>208</v>
      </c>
      <c r="B873">
        <v>0</v>
      </c>
      <c r="C873">
        <v>44</v>
      </c>
      <c r="D873">
        <v>5</v>
      </c>
      <c r="E873" t="str">
        <f t="shared" si="13"/>
        <v>445</v>
      </c>
      <c r="F873">
        <v>6605</v>
      </c>
      <c r="G873">
        <v>4842</v>
      </c>
    </row>
    <row r="874" spans="1:7">
      <c r="A874">
        <v>208</v>
      </c>
      <c r="B874">
        <v>0</v>
      </c>
      <c r="C874">
        <v>44</v>
      </c>
      <c r="D874">
        <v>6</v>
      </c>
      <c r="E874" t="str">
        <f t="shared" si="13"/>
        <v>446</v>
      </c>
      <c r="F874">
        <v>8487</v>
      </c>
      <c r="G874">
        <v>6142</v>
      </c>
    </row>
    <row r="875" spans="1:7">
      <c r="A875">
        <v>208</v>
      </c>
      <c r="B875">
        <v>0</v>
      </c>
      <c r="C875">
        <v>44</v>
      </c>
      <c r="D875">
        <v>7</v>
      </c>
      <c r="E875" t="str">
        <f t="shared" si="13"/>
        <v>447</v>
      </c>
      <c r="F875">
        <v>10431</v>
      </c>
      <c r="G875">
        <v>7470</v>
      </c>
    </row>
    <row r="876" spans="1:7">
      <c r="A876">
        <v>208</v>
      </c>
      <c r="B876">
        <v>0</v>
      </c>
      <c r="C876">
        <v>44</v>
      </c>
      <c r="D876">
        <v>8</v>
      </c>
      <c r="E876" t="str">
        <f t="shared" si="13"/>
        <v>448</v>
      </c>
      <c r="F876">
        <v>12437</v>
      </c>
      <c r="G876">
        <v>8826</v>
      </c>
    </row>
    <row r="877" spans="1:7">
      <c r="A877">
        <v>208</v>
      </c>
      <c r="B877">
        <v>0</v>
      </c>
      <c r="C877">
        <v>44</v>
      </c>
      <c r="D877">
        <v>9</v>
      </c>
      <c r="E877" t="str">
        <f t="shared" si="13"/>
        <v>449</v>
      </c>
      <c r="F877">
        <v>14507</v>
      </c>
      <c r="G877">
        <v>10211</v>
      </c>
    </row>
    <row r="878" spans="1:7">
      <c r="A878">
        <v>208</v>
      </c>
      <c r="B878">
        <v>0</v>
      </c>
      <c r="C878">
        <v>44</v>
      </c>
      <c r="D878">
        <v>10</v>
      </c>
      <c r="E878" t="str">
        <f t="shared" si="13"/>
        <v>4410</v>
      </c>
      <c r="F878">
        <v>16641</v>
      </c>
      <c r="G878">
        <v>11624</v>
      </c>
    </row>
    <row r="879" spans="1:7">
      <c r="A879">
        <v>208</v>
      </c>
      <c r="B879">
        <v>0</v>
      </c>
      <c r="C879">
        <v>44</v>
      </c>
      <c r="D879">
        <v>11</v>
      </c>
      <c r="E879" t="str">
        <f t="shared" si="13"/>
        <v>4411</v>
      </c>
      <c r="F879">
        <v>18840</v>
      </c>
      <c r="G879">
        <v>13065</v>
      </c>
    </row>
    <row r="880" spans="1:7">
      <c r="A880">
        <v>208</v>
      </c>
      <c r="B880">
        <v>0</v>
      </c>
      <c r="C880">
        <v>44</v>
      </c>
      <c r="D880">
        <v>12</v>
      </c>
      <c r="E880" t="str">
        <f t="shared" si="13"/>
        <v>4412</v>
      </c>
      <c r="F880">
        <v>21102</v>
      </c>
      <c r="G880">
        <v>14536</v>
      </c>
    </row>
    <row r="881" spans="1:7">
      <c r="A881">
        <v>208</v>
      </c>
      <c r="B881">
        <v>0</v>
      </c>
      <c r="C881">
        <v>44</v>
      </c>
      <c r="D881">
        <v>13</v>
      </c>
      <c r="E881" t="str">
        <f t="shared" si="13"/>
        <v>4413</v>
      </c>
      <c r="F881">
        <v>23427</v>
      </c>
      <c r="G881">
        <v>16036</v>
      </c>
    </row>
    <row r="882" spans="1:7">
      <c r="A882">
        <v>208</v>
      </c>
      <c r="B882">
        <v>0</v>
      </c>
      <c r="C882">
        <v>44</v>
      </c>
      <c r="D882">
        <v>14</v>
      </c>
      <c r="E882" t="str">
        <f t="shared" si="13"/>
        <v>4414</v>
      </c>
      <c r="F882">
        <v>25815</v>
      </c>
      <c r="G882">
        <v>17567</v>
      </c>
    </row>
    <row r="883" spans="1:7">
      <c r="A883">
        <v>208</v>
      </c>
      <c r="B883">
        <v>0</v>
      </c>
      <c r="C883">
        <v>44</v>
      </c>
      <c r="D883">
        <v>15</v>
      </c>
      <c r="E883" t="str">
        <f t="shared" si="13"/>
        <v>4415</v>
      </c>
      <c r="F883">
        <v>28263</v>
      </c>
      <c r="G883">
        <v>19128</v>
      </c>
    </row>
    <row r="884" spans="1:7">
      <c r="A884">
        <v>208</v>
      </c>
      <c r="B884">
        <v>0</v>
      </c>
      <c r="C884">
        <v>44</v>
      </c>
      <c r="D884">
        <v>16</v>
      </c>
      <c r="E884" t="str">
        <f t="shared" si="13"/>
        <v>4416</v>
      </c>
      <c r="F884">
        <v>30769</v>
      </c>
      <c r="G884">
        <v>20720</v>
      </c>
    </row>
    <row r="885" spans="1:7">
      <c r="A885">
        <v>208</v>
      </c>
      <c r="B885">
        <v>0</v>
      </c>
      <c r="C885">
        <v>44</v>
      </c>
      <c r="D885">
        <v>17</v>
      </c>
      <c r="E885" t="str">
        <f t="shared" si="13"/>
        <v>4417</v>
      </c>
      <c r="F885">
        <v>33330</v>
      </c>
      <c r="G885">
        <v>22344</v>
      </c>
    </row>
    <row r="886" spans="1:7">
      <c r="A886">
        <v>208</v>
      </c>
      <c r="B886">
        <v>0</v>
      </c>
      <c r="C886">
        <v>44</v>
      </c>
      <c r="D886">
        <v>18</v>
      </c>
      <c r="E886" t="str">
        <f t="shared" si="13"/>
        <v>4418</v>
      </c>
      <c r="F886">
        <v>35942</v>
      </c>
      <c r="G886">
        <v>24000</v>
      </c>
    </row>
    <row r="887" spans="1:7">
      <c r="A887">
        <v>208</v>
      </c>
      <c r="B887">
        <v>0</v>
      </c>
      <c r="C887">
        <v>44</v>
      </c>
      <c r="D887">
        <v>19</v>
      </c>
      <c r="E887" t="str">
        <f t="shared" si="13"/>
        <v>4419</v>
      </c>
      <c r="F887">
        <v>38601</v>
      </c>
      <c r="G887">
        <v>25690</v>
      </c>
    </row>
    <row r="888" spans="1:7">
      <c r="A888">
        <v>208</v>
      </c>
      <c r="B888">
        <v>0</v>
      </c>
      <c r="C888">
        <v>44</v>
      </c>
      <c r="D888">
        <v>20</v>
      </c>
      <c r="E888" t="str">
        <f t="shared" si="13"/>
        <v>4420</v>
      </c>
      <c r="F888">
        <v>41306</v>
      </c>
      <c r="G888">
        <v>27414</v>
      </c>
    </row>
    <row r="889" spans="1:7">
      <c r="A889">
        <v>208</v>
      </c>
      <c r="B889">
        <v>0</v>
      </c>
      <c r="C889">
        <v>44</v>
      </c>
      <c r="D889">
        <v>21</v>
      </c>
      <c r="E889" t="str">
        <f t="shared" si="13"/>
        <v>4421</v>
      </c>
      <c r="F889">
        <v>44051</v>
      </c>
      <c r="G889">
        <v>29172</v>
      </c>
    </row>
    <row r="890" spans="1:7">
      <c r="A890">
        <v>208</v>
      </c>
      <c r="B890">
        <v>0</v>
      </c>
      <c r="C890">
        <v>44</v>
      </c>
      <c r="D890">
        <v>22</v>
      </c>
      <c r="E890" t="str">
        <f t="shared" si="13"/>
        <v>4422</v>
      </c>
      <c r="F890">
        <v>46832</v>
      </c>
      <c r="G890">
        <v>30965</v>
      </c>
    </row>
    <row r="891" spans="1:7">
      <c r="A891">
        <v>208</v>
      </c>
      <c r="B891">
        <v>0</v>
      </c>
      <c r="C891">
        <v>44</v>
      </c>
      <c r="D891">
        <v>23</v>
      </c>
      <c r="E891" t="str">
        <f t="shared" si="13"/>
        <v>4423</v>
      </c>
      <c r="F891">
        <v>49645</v>
      </c>
      <c r="G891">
        <v>32794</v>
      </c>
    </row>
    <row r="892" spans="1:7">
      <c r="A892">
        <v>208</v>
      </c>
      <c r="B892">
        <v>0</v>
      </c>
      <c r="C892">
        <v>44</v>
      </c>
      <c r="D892">
        <v>24</v>
      </c>
      <c r="E892" t="str">
        <f t="shared" si="13"/>
        <v>4424</v>
      </c>
      <c r="F892">
        <v>52484</v>
      </c>
      <c r="G892">
        <v>34659</v>
      </c>
    </row>
    <row r="893" spans="1:7">
      <c r="A893">
        <v>208</v>
      </c>
      <c r="B893">
        <v>0</v>
      </c>
      <c r="C893">
        <v>44</v>
      </c>
      <c r="D893">
        <v>25</v>
      </c>
      <c r="E893" t="str">
        <f t="shared" si="13"/>
        <v>4425</v>
      </c>
      <c r="F893">
        <v>55345</v>
      </c>
      <c r="G893">
        <v>36562</v>
      </c>
    </row>
    <row r="894" spans="1:7">
      <c r="A894">
        <v>208</v>
      </c>
      <c r="B894">
        <v>0</v>
      </c>
      <c r="C894">
        <v>44</v>
      </c>
      <c r="D894">
        <v>26</v>
      </c>
      <c r="E894" t="str">
        <f t="shared" si="13"/>
        <v>4426</v>
      </c>
      <c r="F894">
        <v>58222</v>
      </c>
      <c r="G894">
        <v>38503</v>
      </c>
    </row>
    <row r="895" spans="1:7">
      <c r="A895">
        <v>208</v>
      </c>
      <c r="B895">
        <v>0</v>
      </c>
      <c r="C895">
        <v>44</v>
      </c>
      <c r="D895">
        <v>27</v>
      </c>
      <c r="E895" t="str">
        <f t="shared" si="13"/>
        <v>4427</v>
      </c>
      <c r="F895">
        <v>61111</v>
      </c>
      <c r="G895">
        <v>40483</v>
      </c>
    </row>
    <row r="896" spans="1:7">
      <c r="A896">
        <v>208</v>
      </c>
      <c r="B896">
        <v>0</v>
      </c>
      <c r="C896">
        <v>44</v>
      </c>
      <c r="D896">
        <v>28</v>
      </c>
      <c r="E896" t="str">
        <f t="shared" si="13"/>
        <v>4428</v>
      </c>
      <c r="F896">
        <v>64008</v>
      </c>
      <c r="G896">
        <v>42503</v>
      </c>
    </row>
    <row r="897" spans="1:7">
      <c r="A897">
        <v>208</v>
      </c>
      <c r="B897">
        <v>0</v>
      </c>
      <c r="C897">
        <v>44</v>
      </c>
      <c r="D897">
        <v>29</v>
      </c>
      <c r="E897" t="str">
        <f t="shared" si="13"/>
        <v>4429</v>
      </c>
      <c r="F897">
        <v>66900</v>
      </c>
      <c r="G897">
        <v>44563</v>
      </c>
    </row>
    <row r="898" spans="1:7">
      <c r="A898">
        <v>208</v>
      </c>
      <c r="B898">
        <v>0</v>
      </c>
      <c r="C898">
        <v>44</v>
      </c>
      <c r="D898">
        <v>30</v>
      </c>
      <c r="E898" t="str">
        <f t="shared" si="13"/>
        <v>4430</v>
      </c>
      <c r="F898">
        <v>69778</v>
      </c>
      <c r="G898">
        <v>47219</v>
      </c>
    </row>
    <row r="899" spans="1:7">
      <c r="A899">
        <v>208</v>
      </c>
      <c r="B899">
        <v>0</v>
      </c>
      <c r="C899">
        <v>44</v>
      </c>
      <c r="D899">
        <v>31</v>
      </c>
      <c r="E899" t="str">
        <f t="shared" ref="E899:E962" si="14">CONCATENATE(C899,D899)</f>
        <v>4431</v>
      </c>
      <c r="F899">
        <v>72627</v>
      </c>
      <c r="G899">
        <v>49968</v>
      </c>
    </row>
    <row r="900" spans="1:7">
      <c r="A900">
        <v>208</v>
      </c>
      <c r="B900">
        <v>0</v>
      </c>
      <c r="C900">
        <v>44</v>
      </c>
      <c r="D900">
        <v>32</v>
      </c>
      <c r="E900" t="str">
        <f t="shared" si="14"/>
        <v>4432</v>
      </c>
      <c r="F900">
        <v>75436</v>
      </c>
      <c r="G900">
        <v>52813</v>
      </c>
    </row>
    <row r="901" spans="1:7">
      <c r="A901">
        <v>208</v>
      </c>
      <c r="B901">
        <v>0</v>
      </c>
      <c r="C901">
        <v>44</v>
      </c>
      <c r="D901">
        <v>33</v>
      </c>
      <c r="E901" t="str">
        <f t="shared" si="14"/>
        <v>4433</v>
      </c>
      <c r="F901">
        <v>78191</v>
      </c>
      <c r="G901">
        <v>55755</v>
      </c>
    </row>
    <row r="902" spans="1:7">
      <c r="A902">
        <v>208</v>
      </c>
      <c r="B902">
        <v>0</v>
      </c>
      <c r="C902">
        <v>44</v>
      </c>
      <c r="D902">
        <v>34</v>
      </c>
      <c r="E902" t="str">
        <f t="shared" si="14"/>
        <v>4434</v>
      </c>
      <c r="F902">
        <v>80877</v>
      </c>
      <c r="G902">
        <v>58798</v>
      </c>
    </row>
    <row r="903" spans="1:7">
      <c r="A903">
        <v>208</v>
      </c>
      <c r="B903">
        <v>0</v>
      </c>
      <c r="C903">
        <v>44</v>
      </c>
      <c r="D903">
        <v>35</v>
      </c>
      <c r="E903" t="str">
        <f t="shared" si="14"/>
        <v>4435</v>
      </c>
      <c r="F903">
        <v>83477</v>
      </c>
      <c r="G903">
        <v>61943</v>
      </c>
    </row>
    <row r="904" spans="1:7">
      <c r="A904">
        <v>208</v>
      </c>
      <c r="B904">
        <v>0</v>
      </c>
      <c r="C904">
        <v>44</v>
      </c>
      <c r="D904">
        <v>36</v>
      </c>
      <c r="E904" t="str">
        <f t="shared" si="14"/>
        <v>4436</v>
      </c>
      <c r="F904">
        <v>85974</v>
      </c>
      <c r="G904">
        <v>65194</v>
      </c>
    </row>
    <row r="905" spans="1:7">
      <c r="A905">
        <v>208</v>
      </c>
      <c r="B905">
        <v>0</v>
      </c>
      <c r="C905">
        <v>44</v>
      </c>
      <c r="D905">
        <v>37</v>
      </c>
      <c r="E905" t="str">
        <f t="shared" si="14"/>
        <v>4437</v>
      </c>
      <c r="F905">
        <v>88353</v>
      </c>
      <c r="G905">
        <v>68552</v>
      </c>
    </row>
    <row r="906" spans="1:7">
      <c r="A906">
        <v>208</v>
      </c>
      <c r="B906">
        <v>0</v>
      </c>
      <c r="C906">
        <v>44</v>
      </c>
      <c r="D906">
        <v>38</v>
      </c>
      <c r="E906" t="str">
        <f t="shared" si="14"/>
        <v>4438</v>
      </c>
      <c r="F906">
        <v>90595</v>
      </c>
      <c r="G906">
        <v>72021</v>
      </c>
    </row>
    <row r="907" spans="1:7">
      <c r="A907">
        <v>208</v>
      </c>
      <c r="B907">
        <v>0</v>
      </c>
      <c r="C907">
        <v>44</v>
      </c>
      <c r="D907">
        <v>39</v>
      </c>
      <c r="E907" t="str">
        <f t="shared" si="14"/>
        <v>4439</v>
      </c>
      <c r="F907">
        <v>92681</v>
      </c>
      <c r="G907">
        <v>75603</v>
      </c>
    </row>
    <row r="908" spans="1:7">
      <c r="A908">
        <v>208</v>
      </c>
      <c r="B908">
        <v>0</v>
      </c>
      <c r="C908">
        <v>44</v>
      </c>
      <c r="D908">
        <v>40</v>
      </c>
      <c r="E908" t="str">
        <f t="shared" si="14"/>
        <v>4440</v>
      </c>
      <c r="F908">
        <v>94592</v>
      </c>
      <c r="G908">
        <v>79301</v>
      </c>
    </row>
    <row r="909" spans="1:7">
      <c r="A909">
        <v>208</v>
      </c>
      <c r="B909">
        <v>0</v>
      </c>
      <c r="C909">
        <v>44</v>
      </c>
      <c r="D909">
        <v>41</v>
      </c>
      <c r="E909" t="str">
        <f t="shared" si="14"/>
        <v>4441</v>
      </c>
      <c r="F909">
        <v>96314</v>
      </c>
      <c r="G909">
        <v>83118</v>
      </c>
    </row>
    <row r="910" spans="1:7">
      <c r="A910">
        <v>208</v>
      </c>
      <c r="B910">
        <v>0</v>
      </c>
      <c r="C910">
        <v>44</v>
      </c>
      <c r="D910">
        <v>42</v>
      </c>
      <c r="E910" t="str">
        <f t="shared" si="14"/>
        <v>4442</v>
      </c>
      <c r="F910">
        <v>97835</v>
      </c>
      <c r="G910">
        <v>87057</v>
      </c>
    </row>
    <row r="911" spans="1:7">
      <c r="A911">
        <v>208</v>
      </c>
      <c r="B911">
        <v>0</v>
      </c>
      <c r="C911">
        <v>44</v>
      </c>
      <c r="D911">
        <v>43</v>
      </c>
      <c r="E911" t="str">
        <f t="shared" si="14"/>
        <v>4443</v>
      </c>
      <c r="F911">
        <v>99072</v>
      </c>
      <c r="G911">
        <v>91063</v>
      </c>
    </row>
    <row r="912" spans="1:7">
      <c r="A912">
        <v>208</v>
      </c>
      <c r="B912">
        <v>0</v>
      </c>
      <c r="C912">
        <v>45</v>
      </c>
      <c r="D912">
        <v>1</v>
      </c>
      <c r="E912" t="str">
        <f t="shared" si="14"/>
        <v>451</v>
      </c>
      <c r="F912">
        <v>325</v>
      </c>
      <c r="G912">
        <v>285</v>
      </c>
    </row>
    <row r="913" spans="1:7">
      <c r="A913">
        <v>208</v>
      </c>
      <c r="B913">
        <v>0</v>
      </c>
      <c r="C913">
        <v>45</v>
      </c>
      <c r="D913">
        <v>2</v>
      </c>
      <c r="E913" t="str">
        <f t="shared" si="14"/>
        <v>452</v>
      </c>
      <c r="F913">
        <v>1257</v>
      </c>
      <c r="G913">
        <v>1062</v>
      </c>
    </row>
    <row r="914" spans="1:7">
      <c r="A914">
        <v>208</v>
      </c>
      <c r="B914">
        <v>0</v>
      </c>
      <c r="C914">
        <v>45</v>
      </c>
      <c r="D914">
        <v>3</v>
      </c>
      <c r="E914" t="str">
        <f t="shared" si="14"/>
        <v>453</v>
      </c>
      <c r="F914">
        <v>2895</v>
      </c>
      <c r="G914">
        <v>2290</v>
      </c>
    </row>
    <row r="915" spans="1:7">
      <c r="A915">
        <v>208</v>
      </c>
      <c r="B915">
        <v>0</v>
      </c>
      <c r="C915">
        <v>45</v>
      </c>
      <c r="D915">
        <v>4</v>
      </c>
      <c r="E915" t="str">
        <f t="shared" si="14"/>
        <v>454</v>
      </c>
      <c r="F915">
        <v>4588</v>
      </c>
      <c r="G915">
        <v>3451</v>
      </c>
    </row>
    <row r="916" spans="1:7">
      <c r="A916">
        <v>208</v>
      </c>
      <c r="B916">
        <v>0</v>
      </c>
      <c r="C916">
        <v>45</v>
      </c>
      <c r="D916">
        <v>5</v>
      </c>
      <c r="E916" t="str">
        <f t="shared" si="14"/>
        <v>455</v>
      </c>
      <c r="F916">
        <v>6337</v>
      </c>
      <c r="G916">
        <v>4671</v>
      </c>
    </row>
    <row r="917" spans="1:7">
      <c r="A917">
        <v>208</v>
      </c>
      <c r="B917">
        <v>0</v>
      </c>
      <c r="C917">
        <v>45</v>
      </c>
      <c r="D917">
        <v>6</v>
      </c>
      <c r="E917" t="str">
        <f t="shared" si="14"/>
        <v>456</v>
      </c>
      <c r="F917">
        <v>8143</v>
      </c>
      <c r="G917">
        <v>5924</v>
      </c>
    </row>
    <row r="918" spans="1:7">
      <c r="A918">
        <v>208</v>
      </c>
      <c r="B918">
        <v>0</v>
      </c>
      <c r="C918">
        <v>45</v>
      </c>
      <c r="D918">
        <v>7</v>
      </c>
      <c r="E918" t="str">
        <f t="shared" si="14"/>
        <v>457</v>
      </c>
      <c r="F918">
        <v>10008</v>
      </c>
      <c r="G918">
        <v>7206</v>
      </c>
    </row>
    <row r="919" spans="1:7">
      <c r="A919">
        <v>208</v>
      </c>
      <c r="B919">
        <v>0</v>
      </c>
      <c r="C919">
        <v>45</v>
      </c>
      <c r="D919">
        <v>8</v>
      </c>
      <c r="E919" t="str">
        <f t="shared" si="14"/>
        <v>458</v>
      </c>
      <c r="F919">
        <v>11934</v>
      </c>
      <c r="G919">
        <v>8514</v>
      </c>
    </row>
    <row r="920" spans="1:7">
      <c r="A920">
        <v>208</v>
      </c>
      <c r="B920">
        <v>0</v>
      </c>
      <c r="C920">
        <v>45</v>
      </c>
      <c r="D920">
        <v>9</v>
      </c>
      <c r="E920" t="str">
        <f t="shared" si="14"/>
        <v>459</v>
      </c>
      <c r="F920">
        <v>13921</v>
      </c>
      <c r="G920">
        <v>9850</v>
      </c>
    </row>
    <row r="921" spans="1:7">
      <c r="A921">
        <v>208</v>
      </c>
      <c r="B921">
        <v>0</v>
      </c>
      <c r="C921">
        <v>45</v>
      </c>
      <c r="D921">
        <v>10</v>
      </c>
      <c r="E921" t="str">
        <f t="shared" si="14"/>
        <v>4510</v>
      </c>
      <c r="F921">
        <v>15971</v>
      </c>
      <c r="G921">
        <v>11213</v>
      </c>
    </row>
    <row r="922" spans="1:7">
      <c r="A922">
        <v>208</v>
      </c>
      <c r="B922">
        <v>0</v>
      </c>
      <c r="C922">
        <v>45</v>
      </c>
      <c r="D922">
        <v>11</v>
      </c>
      <c r="E922" t="str">
        <f t="shared" si="14"/>
        <v>4511</v>
      </c>
      <c r="F922">
        <v>18084</v>
      </c>
      <c r="G922">
        <v>12604</v>
      </c>
    </row>
    <row r="923" spans="1:7">
      <c r="A923">
        <v>208</v>
      </c>
      <c r="B923">
        <v>0</v>
      </c>
      <c r="C923">
        <v>45</v>
      </c>
      <c r="D923">
        <v>12</v>
      </c>
      <c r="E923" t="str">
        <f t="shared" si="14"/>
        <v>4512</v>
      </c>
      <c r="F923">
        <v>20260</v>
      </c>
      <c r="G923">
        <v>14022</v>
      </c>
    </row>
    <row r="924" spans="1:7">
      <c r="A924">
        <v>208</v>
      </c>
      <c r="B924">
        <v>0</v>
      </c>
      <c r="C924">
        <v>45</v>
      </c>
      <c r="D924">
        <v>13</v>
      </c>
      <c r="E924" t="str">
        <f t="shared" si="14"/>
        <v>4513</v>
      </c>
      <c r="F924">
        <v>22498</v>
      </c>
      <c r="G924">
        <v>15469</v>
      </c>
    </row>
    <row r="925" spans="1:7">
      <c r="A925">
        <v>208</v>
      </c>
      <c r="B925">
        <v>0</v>
      </c>
      <c r="C925">
        <v>45</v>
      </c>
      <c r="D925">
        <v>14</v>
      </c>
      <c r="E925" t="str">
        <f t="shared" si="14"/>
        <v>4514</v>
      </c>
      <c r="F925">
        <v>24798</v>
      </c>
      <c r="G925">
        <v>16945</v>
      </c>
    </row>
    <row r="926" spans="1:7">
      <c r="A926">
        <v>208</v>
      </c>
      <c r="B926">
        <v>0</v>
      </c>
      <c r="C926">
        <v>45</v>
      </c>
      <c r="D926">
        <v>15</v>
      </c>
      <c r="E926" t="str">
        <f t="shared" si="14"/>
        <v>4515</v>
      </c>
      <c r="F926">
        <v>27159</v>
      </c>
      <c r="G926">
        <v>18451</v>
      </c>
    </row>
    <row r="927" spans="1:7">
      <c r="A927">
        <v>208</v>
      </c>
      <c r="B927">
        <v>0</v>
      </c>
      <c r="C927">
        <v>45</v>
      </c>
      <c r="D927">
        <v>16</v>
      </c>
      <c r="E927" t="str">
        <f t="shared" si="14"/>
        <v>4516</v>
      </c>
      <c r="F927">
        <v>29580</v>
      </c>
      <c r="G927">
        <v>19987</v>
      </c>
    </row>
    <row r="928" spans="1:7">
      <c r="A928">
        <v>208</v>
      </c>
      <c r="B928">
        <v>0</v>
      </c>
      <c r="C928">
        <v>45</v>
      </c>
      <c r="D928">
        <v>17</v>
      </c>
      <c r="E928" t="str">
        <f t="shared" si="14"/>
        <v>4517</v>
      </c>
      <c r="F928">
        <v>32056</v>
      </c>
      <c r="G928">
        <v>21554</v>
      </c>
    </row>
    <row r="929" spans="1:7">
      <c r="A929">
        <v>208</v>
      </c>
      <c r="B929">
        <v>0</v>
      </c>
      <c r="C929">
        <v>45</v>
      </c>
      <c r="D929">
        <v>18</v>
      </c>
      <c r="E929" t="str">
        <f t="shared" si="14"/>
        <v>4518</v>
      </c>
      <c r="F929">
        <v>34586</v>
      </c>
      <c r="G929">
        <v>23152</v>
      </c>
    </row>
    <row r="930" spans="1:7">
      <c r="A930">
        <v>208</v>
      </c>
      <c r="B930">
        <v>0</v>
      </c>
      <c r="C930">
        <v>45</v>
      </c>
      <c r="D930">
        <v>19</v>
      </c>
      <c r="E930" t="str">
        <f t="shared" si="14"/>
        <v>4519</v>
      </c>
      <c r="F930">
        <v>37165</v>
      </c>
      <c r="G930">
        <v>24781</v>
      </c>
    </row>
    <row r="931" spans="1:7">
      <c r="A931">
        <v>208</v>
      </c>
      <c r="B931">
        <v>0</v>
      </c>
      <c r="C931">
        <v>45</v>
      </c>
      <c r="D931">
        <v>20</v>
      </c>
      <c r="E931" t="str">
        <f t="shared" si="14"/>
        <v>4520</v>
      </c>
      <c r="F931">
        <v>39790</v>
      </c>
      <c r="G931">
        <v>26444</v>
      </c>
    </row>
    <row r="932" spans="1:7">
      <c r="A932">
        <v>208</v>
      </c>
      <c r="B932">
        <v>0</v>
      </c>
      <c r="C932">
        <v>45</v>
      </c>
      <c r="D932">
        <v>21</v>
      </c>
      <c r="E932" t="str">
        <f t="shared" si="14"/>
        <v>4521</v>
      </c>
      <c r="F932">
        <v>42459</v>
      </c>
      <c r="G932">
        <v>28139</v>
      </c>
    </row>
    <row r="933" spans="1:7">
      <c r="A933">
        <v>208</v>
      </c>
      <c r="B933">
        <v>0</v>
      </c>
      <c r="C933">
        <v>45</v>
      </c>
      <c r="D933">
        <v>22</v>
      </c>
      <c r="E933" t="str">
        <f t="shared" si="14"/>
        <v>4522</v>
      </c>
      <c r="F933">
        <v>45166</v>
      </c>
      <c r="G933">
        <v>29869</v>
      </c>
    </row>
    <row r="934" spans="1:7">
      <c r="A934">
        <v>208</v>
      </c>
      <c r="B934">
        <v>0</v>
      </c>
      <c r="C934">
        <v>45</v>
      </c>
      <c r="D934">
        <v>23</v>
      </c>
      <c r="E934" t="str">
        <f t="shared" si="14"/>
        <v>4523</v>
      </c>
      <c r="F934">
        <v>47908</v>
      </c>
      <c r="G934">
        <v>31633</v>
      </c>
    </row>
    <row r="935" spans="1:7">
      <c r="A935">
        <v>208</v>
      </c>
      <c r="B935">
        <v>0</v>
      </c>
      <c r="C935">
        <v>45</v>
      </c>
      <c r="D935">
        <v>24</v>
      </c>
      <c r="E935" t="str">
        <f t="shared" si="14"/>
        <v>4524</v>
      </c>
      <c r="F935">
        <v>50681</v>
      </c>
      <c r="G935">
        <v>33432</v>
      </c>
    </row>
    <row r="936" spans="1:7">
      <c r="A936">
        <v>208</v>
      </c>
      <c r="B936">
        <v>0</v>
      </c>
      <c r="C936">
        <v>45</v>
      </c>
      <c r="D936">
        <v>25</v>
      </c>
      <c r="E936" t="str">
        <f t="shared" si="14"/>
        <v>4525</v>
      </c>
      <c r="F936">
        <v>53478</v>
      </c>
      <c r="G936">
        <v>35267</v>
      </c>
    </row>
    <row r="937" spans="1:7">
      <c r="A937">
        <v>208</v>
      </c>
      <c r="B937">
        <v>0</v>
      </c>
      <c r="C937">
        <v>45</v>
      </c>
      <c r="D937">
        <v>26</v>
      </c>
      <c r="E937" t="str">
        <f t="shared" si="14"/>
        <v>4526</v>
      </c>
      <c r="F937">
        <v>56295</v>
      </c>
      <c r="G937">
        <v>37139</v>
      </c>
    </row>
    <row r="938" spans="1:7">
      <c r="A938">
        <v>208</v>
      </c>
      <c r="B938">
        <v>0</v>
      </c>
      <c r="C938">
        <v>45</v>
      </c>
      <c r="D938">
        <v>27</v>
      </c>
      <c r="E938" t="str">
        <f t="shared" si="14"/>
        <v>4527</v>
      </c>
      <c r="F938">
        <v>59127</v>
      </c>
      <c r="G938">
        <v>39048</v>
      </c>
    </row>
    <row r="939" spans="1:7">
      <c r="A939">
        <v>208</v>
      </c>
      <c r="B939">
        <v>0</v>
      </c>
      <c r="C939">
        <v>45</v>
      </c>
      <c r="D939">
        <v>28</v>
      </c>
      <c r="E939" t="str">
        <f t="shared" si="14"/>
        <v>4528</v>
      </c>
      <c r="F939">
        <v>61971</v>
      </c>
      <c r="G939">
        <v>40996</v>
      </c>
    </row>
    <row r="940" spans="1:7">
      <c r="A940">
        <v>208</v>
      </c>
      <c r="B940">
        <v>0</v>
      </c>
      <c r="C940">
        <v>45</v>
      </c>
      <c r="D940">
        <v>29</v>
      </c>
      <c r="E940" t="str">
        <f t="shared" si="14"/>
        <v>4529</v>
      </c>
      <c r="F940">
        <v>64820</v>
      </c>
      <c r="G940">
        <v>42982</v>
      </c>
    </row>
    <row r="941" spans="1:7">
      <c r="A941">
        <v>208</v>
      </c>
      <c r="B941">
        <v>0</v>
      </c>
      <c r="C941">
        <v>45</v>
      </c>
      <c r="D941">
        <v>30</v>
      </c>
      <c r="E941" t="str">
        <f t="shared" si="14"/>
        <v>4530</v>
      </c>
      <c r="F941">
        <v>67664</v>
      </c>
      <c r="G941">
        <v>45009</v>
      </c>
    </row>
    <row r="942" spans="1:7">
      <c r="A942">
        <v>208</v>
      </c>
      <c r="B942">
        <v>0</v>
      </c>
      <c r="C942">
        <v>45</v>
      </c>
      <c r="D942">
        <v>31</v>
      </c>
      <c r="E942" t="str">
        <f t="shared" si="14"/>
        <v>4531</v>
      </c>
      <c r="F942">
        <v>70492</v>
      </c>
      <c r="G942">
        <v>47641</v>
      </c>
    </row>
    <row r="943" spans="1:7">
      <c r="A943">
        <v>208</v>
      </c>
      <c r="B943">
        <v>0</v>
      </c>
      <c r="C943">
        <v>45</v>
      </c>
      <c r="D943">
        <v>32</v>
      </c>
      <c r="E943" t="str">
        <f t="shared" si="14"/>
        <v>4532</v>
      </c>
      <c r="F943">
        <v>73292</v>
      </c>
      <c r="G943">
        <v>50365</v>
      </c>
    </row>
    <row r="944" spans="1:7">
      <c r="A944">
        <v>208</v>
      </c>
      <c r="B944">
        <v>0</v>
      </c>
      <c r="C944">
        <v>45</v>
      </c>
      <c r="D944">
        <v>33</v>
      </c>
      <c r="E944" t="str">
        <f t="shared" si="14"/>
        <v>4533</v>
      </c>
      <c r="F944">
        <v>76049</v>
      </c>
      <c r="G944">
        <v>53184</v>
      </c>
    </row>
    <row r="945" spans="1:7">
      <c r="A945">
        <v>208</v>
      </c>
      <c r="B945">
        <v>0</v>
      </c>
      <c r="C945">
        <v>45</v>
      </c>
      <c r="D945">
        <v>34</v>
      </c>
      <c r="E945" t="str">
        <f t="shared" si="14"/>
        <v>4534</v>
      </c>
      <c r="F945">
        <v>78752</v>
      </c>
      <c r="G945">
        <v>56100</v>
      </c>
    </row>
    <row r="946" spans="1:7">
      <c r="A946">
        <v>208</v>
      </c>
      <c r="B946">
        <v>0</v>
      </c>
      <c r="C946">
        <v>45</v>
      </c>
      <c r="D946">
        <v>35</v>
      </c>
      <c r="E946" t="str">
        <f t="shared" si="14"/>
        <v>4535</v>
      </c>
      <c r="F946">
        <v>81385</v>
      </c>
      <c r="G946">
        <v>59115</v>
      </c>
    </row>
    <row r="947" spans="1:7">
      <c r="A947">
        <v>208</v>
      </c>
      <c r="B947">
        <v>0</v>
      </c>
      <c r="C947">
        <v>45</v>
      </c>
      <c r="D947">
        <v>36</v>
      </c>
      <c r="E947" t="str">
        <f t="shared" si="14"/>
        <v>4536</v>
      </c>
      <c r="F947">
        <v>83933</v>
      </c>
      <c r="G947">
        <v>62232</v>
      </c>
    </row>
    <row r="948" spans="1:7">
      <c r="A948">
        <v>208</v>
      </c>
      <c r="B948">
        <v>0</v>
      </c>
      <c r="C948">
        <v>45</v>
      </c>
      <c r="D948">
        <v>37</v>
      </c>
      <c r="E948" t="str">
        <f t="shared" si="14"/>
        <v>4537</v>
      </c>
      <c r="F948">
        <v>86376</v>
      </c>
      <c r="G948">
        <v>65453</v>
      </c>
    </row>
    <row r="949" spans="1:7">
      <c r="A949">
        <v>208</v>
      </c>
      <c r="B949">
        <v>0</v>
      </c>
      <c r="C949">
        <v>45</v>
      </c>
      <c r="D949">
        <v>38</v>
      </c>
      <c r="E949" t="str">
        <f t="shared" si="14"/>
        <v>4538</v>
      </c>
      <c r="F949">
        <v>88702</v>
      </c>
      <c r="G949">
        <v>68781</v>
      </c>
    </row>
    <row r="950" spans="1:7">
      <c r="A950">
        <v>208</v>
      </c>
      <c r="B950">
        <v>0</v>
      </c>
      <c r="C950">
        <v>45</v>
      </c>
      <c r="D950">
        <v>39</v>
      </c>
      <c r="E950" t="str">
        <f t="shared" si="14"/>
        <v>4539</v>
      </c>
      <c r="F950">
        <v>90891</v>
      </c>
      <c r="G950">
        <v>72219</v>
      </c>
    </row>
    <row r="951" spans="1:7">
      <c r="A951">
        <v>208</v>
      </c>
      <c r="B951">
        <v>0</v>
      </c>
      <c r="C951">
        <v>45</v>
      </c>
      <c r="D951">
        <v>40</v>
      </c>
      <c r="E951" t="str">
        <f t="shared" si="14"/>
        <v>4540</v>
      </c>
      <c r="F951">
        <v>92924</v>
      </c>
      <c r="G951">
        <v>75769</v>
      </c>
    </row>
    <row r="952" spans="1:7">
      <c r="A952">
        <v>208</v>
      </c>
      <c r="B952">
        <v>0</v>
      </c>
      <c r="C952">
        <v>45</v>
      </c>
      <c r="D952">
        <v>41</v>
      </c>
      <c r="E952" t="str">
        <f t="shared" si="14"/>
        <v>4541</v>
      </c>
      <c r="F952">
        <v>94783</v>
      </c>
      <c r="G952">
        <v>79435</v>
      </c>
    </row>
    <row r="953" spans="1:7">
      <c r="A953">
        <v>208</v>
      </c>
      <c r="B953">
        <v>0</v>
      </c>
      <c r="C953">
        <v>45</v>
      </c>
      <c r="D953">
        <v>42</v>
      </c>
      <c r="E953" t="str">
        <f t="shared" si="14"/>
        <v>4542</v>
      </c>
      <c r="F953">
        <v>96454</v>
      </c>
      <c r="G953">
        <v>83219</v>
      </c>
    </row>
    <row r="954" spans="1:7">
      <c r="A954">
        <v>208</v>
      </c>
      <c r="B954">
        <v>0</v>
      </c>
      <c r="C954">
        <v>45</v>
      </c>
      <c r="D954">
        <v>43</v>
      </c>
      <c r="E954" t="str">
        <f t="shared" si="14"/>
        <v>4543</v>
      </c>
      <c r="F954">
        <v>97926</v>
      </c>
      <c r="G954">
        <v>87124</v>
      </c>
    </row>
    <row r="955" spans="1:7">
      <c r="A955">
        <v>208</v>
      </c>
      <c r="B955">
        <v>0</v>
      </c>
      <c r="C955">
        <v>45</v>
      </c>
      <c r="D955">
        <v>44</v>
      </c>
      <c r="E955" t="str">
        <f t="shared" si="14"/>
        <v>4544</v>
      </c>
      <c r="F955">
        <v>99116</v>
      </c>
      <c r="G955">
        <v>91097</v>
      </c>
    </row>
    <row r="956" spans="1:7">
      <c r="A956">
        <v>208</v>
      </c>
      <c r="B956">
        <v>0</v>
      </c>
      <c r="C956">
        <v>46</v>
      </c>
      <c r="D956">
        <v>1</v>
      </c>
      <c r="E956" t="str">
        <f t="shared" si="14"/>
        <v>461</v>
      </c>
      <c r="F956">
        <v>312</v>
      </c>
      <c r="G956">
        <v>275</v>
      </c>
    </row>
    <row r="957" spans="1:7">
      <c r="A957">
        <v>208</v>
      </c>
      <c r="B957">
        <v>0</v>
      </c>
      <c r="C957">
        <v>46</v>
      </c>
      <c r="D957">
        <v>2</v>
      </c>
      <c r="E957" t="str">
        <f t="shared" si="14"/>
        <v>462</v>
      </c>
      <c r="F957">
        <v>1206</v>
      </c>
      <c r="G957">
        <v>1025</v>
      </c>
    </row>
    <row r="958" spans="1:7">
      <c r="A958">
        <v>208</v>
      </c>
      <c r="B958">
        <v>0</v>
      </c>
      <c r="C958">
        <v>46</v>
      </c>
      <c r="D958">
        <v>3</v>
      </c>
      <c r="E958" t="str">
        <f t="shared" si="14"/>
        <v>463</v>
      </c>
      <c r="F958">
        <v>2779</v>
      </c>
      <c r="G958">
        <v>2210</v>
      </c>
    </row>
    <row r="959" spans="1:7">
      <c r="A959">
        <v>208</v>
      </c>
      <c r="B959">
        <v>0</v>
      </c>
      <c r="C959">
        <v>46</v>
      </c>
      <c r="D959">
        <v>4</v>
      </c>
      <c r="E959" t="str">
        <f t="shared" si="14"/>
        <v>464</v>
      </c>
      <c r="F959">
        <v>4404</v>
      </c>
      <c r="G959">
        <v>3330</v>
      </c>
    </row>
    <row r="960" spans="1:7">
      <c r="A960">
        <v>208</v>
      </c>
      <c r="B960">
        <v>0</v>
      </c>
      <c r="C960">
        <v>46</v>
      </c>
      <c r="D960">
        <v>5</v>
      </c>
      <c r="E960" t="str">
        <f t="shared" si="14"/>
        <v>465</v>
      </c>
      <c r="F960">
        <v>6082</v>
      </c>
      <c r="G960">
        <v>4508</v>
      </c>
    </row>
    <row r="961" spans="1:7">
      <c r="A961">
        <v>208</v>
      </c>
      <c r="B961">
        <v>0</v>
      </c>
      <c r="C961">
        <v>46</v>
      </c>
      <c r="D961">
        <v>6</v>
      </c>
      <c r="E961" t="str">
        <f t="shared" si="14"/>
        <v>466</v>
      </c>
      <c r="F961">
        <v>7817</v>
      </c>
      <c r="G961">
        <v>5718</v>
      </c>
    </row>
    <row r="962" spans="1:7">
      <c r="A962">
        <v>208</v>
      </c>
      <c r="B962">
        <v>0</v>
      </c>
      <c r="C962">
        <v>46</v>
      </c>
      <c r="D962">
        <v>7</v>
      </c>
      <c r="E962" t="str">
        <f t="shared" si="14"/>
        <v>467</v>
      </c>
      <c r="F962">
        <v>9607</v>
      </c>
      <c r="G962">
        <v>6955</v>
      </c>
    </row>
    <row r="963" spans="1:7">
      <c r="A963">
        <v>208</v>
      </c>
      <c r="B963">
        <v>0</v>
      </c>
      <c r="C963">
        <v>46</v>
      </c>
      <c r="D963">
        <v>8</v>
      </c>
      <c r="E963" t="str">
        <f t="shared" ref="E963:E1026" si="15">CONCATENATE(C963,D963)</f>
        <v>468</v>
      </c>
      <c r="F963">
        <v>11456</v>
      </c>
      <c r="G963">
        <v>8218</v>
      </c>
    </row>
    <row r="964" spans="1:7">
      <c r="A964">
        <v>208</v>
      </c>
      <c r="B964">
        <v>0</v>
      </c>
      <c r="C964">
        <v>46</v>
      </c>
      <c r="D964">
        <v>9</v>
      </c>
      <c r="E964" t="str">
        <f t="shared" si="15"/>
        <v>469</v>
      </c>
      <c r="F964">
        <v>13365</v>
      </c>
      <c r="G964">
        <v>9507</v>
      </c>
    </row>
    <row r="965" spans="1:7">
      <c r="A965">
        <v>208</v>
      </c>
      <c r="B965">
        <v>0</v>
      </c>
      <c r="C965">
        <v>46</v>
      </c>
      <c r="D965">
        <v>10</v>
      </c>
      <c r="E965" t="str">
        <f t="shared" si="15"/>
        <v>4610</v>
      </c>
      <c r="F965">
        <v>15334</v>
      </c>
      <c r="G965">
        <v>10822</v>
      </c>
    </row>
    <row r="966" spans="1:7">
      <c r="A966">
        <v>208</v>
      </c>
      <c r="B966">
        <v>0</v>
      </c>
      <c r="C966">
        <v>46</v>
      </c>
      <c r="D966">
        <v>11</v>
      </c>
      <c r="E966" t="str">
        <f t="shared" si="15"/>
        <v>4611</v>
      </c>
      <c r="F966">
        <v>17364</v>
      </c>
      <c r="G966">
        <v>12164</v>
      </c>
    </row>
    <row r="967" spans="1:7">
      <c r="A967">
        <v>208</v>
      </c>
      <c r="B967">
        <v>0</v>
      </c>
      <c r="C967">
        <v>46</v>
      </c>
      <c r="D967">
        <v>12</v>
      </c>
      <c r="E967" t="str">
        <f t="shared" si="15"/>
        <v>4612</v>
      </c>
      <c r="F967">
        <v>19457</v>
      </c>
      <c r="G967">
        <v>13533</v>
      </c>
    </row>
    <row r="968" spans="1:7">
      <c r="A968">
        <v>208</v>
      </c>
      <c r="B968">
        <v>0</v>
      </c>
      <c r="C968">
        <v>46</v>
      </c>
      <c r="D968">
        <v>13</v>
      </c>
      <c r="E968" t="str">
        <f t="shared" si="15"/>
        <v>4613</v>
      </c>
      <c r="F968">
        <v>21611</v>
      </c>
      <c r="G968">
        <v>14930</v>
      </c>
    </row>
    <row r="969" spans="1:7">
      <c r="A969">
        <v>208</v>
      </c>
      <c r="B969">
        <v>0</v>
      </c>
      <c r="C969">
        <v>46</v>
      </c>
      <c r="D969">
        <v>14</v>
      </c>
      <c r="E969" t="str">
        <f t="shared" si="15"/>
        <v>4614</v>
      </c>
      <c r="F969">
        <v>23826</v>
      </c>
      <c r="G969">
        <v>16355</v>
      </c>
    </row>
    <row r="970" spans="1:7">
      <c r="A970">
        <v>208</v>
      </c>
      <c r="B970">
        <v>0</v>
      </c>
      <c r="C970">
        <v>46</v>
      </c>
      <c r="D970">
        <v>15</v>
      </c>
      <c r="E970" t="str">
        <f t="shared" si="15"/>
        <v>4615</v>
      </c>
      <c r="F970">
        <v>26103</v>
      </c>
      <c r="G970">
        <v>17808</v>
      </c>
    </row>
    <row r="971" spans="1:7">
      <c r="A971">
        <v>208</v>
      </c>
      <c r="B971">
        <v>0</v>
      </c>
      <c r="C971">
        <v>46</v>
      </c>
      <c r="D971">
        <v>16</v>
      </c>
      <c r="E971" t="str">
        <f t="shared" si="15"/>
        <v>4616</v>
      </c>
      <c r="F971">
        <v>28439</v>
      </c>
      <c r="G971">
        <v>19290</v>
      </c>
    </row>
    <row r="972" spans="1:7">
      <c r="A972">
        <v>208</v>
      </c>
      <c r="B972">
        <v>0</v>
      </c>
      <c r="C972">
        <v>46</v>
      </c>
      <c r="D972">
        <v>17</v>
      </c>
      <c r="E972" t="str">
        <f t="shared" si="15"/>
        <v>4617</v>
      </c>
      <c r="F972">
        <v>30832</v>
      </c>
      <c r="G972">
        <v>20802</v>
      </c>
    </row>
    <row r="973" spans="1:7">
      <c r="A973">
        <v>208</v>
      </c>
      <c r="B973">
        <v>0</v>
      </c>
      <c r="C973">
        <v>46</v>
      </c>
      <c r="D973">
        <v>18</v>
      </c>
      <c r="E973" t="str">
        <f t="shared" si="15"/>
        <v>4618</v>
      </c>
      <c r="F973">
        <v>33280</v>
      </c>
      <c r="G973">
        <v>22344</v>
      </c>
    </row>
    <row r="974" spans="1:7">
      <c r="A974">
        <v>208</v>
      </c>
      <c r="B974">
        <v>0</v>
      </c>
      <c r="C974">
        <v>46</v>
      </c>
      <c r="D974">
        <v>19</v>
      </c>
      <c r="E974" t="str">
        <f t="shared" si="15"/>
        <v>4619</v>
      </c>
      <c r="F974">
        <v>35780</v>
      </c>
      <c r="G974">
        <v>23917</v>
      </c>
    </row>
    <row r="975" spans="1:7">
      <c r="A975">
        <v>208</v>
      </c>
      <c r="B975">
        <v>0</v>
      </c>
      <c r="C975">
        <v>46</v>
      </c>
      <c r="D975">
        <v>20</v>
      </c>
      <c r="E975" t="str">
        <f t="shared" si="15"/>
        <v>4620</v>
      </c>
      <c r="F975">
        <v>38328</v>
      </c>
      <c r="G975">
        <v>25521</v>
      </c>
    </row>
    <row r="976" spans="1:7">
      <c r="A976">
        <v>208</v>
      </c>
      <c r="B976">
        <v>0</v>
      </c>
      <c r="C976">
        <v>46</v>
      </c>
      <c r="D976">
        <v>21</v>
      </c>
      <c r="E976" t="str">
        <f t="shared" si="15"/>
        <v>4621</v>
      </c>
      <c r="F976">
        <v>40921</v>
      </c>
      <c r="G976">
        <v>27157</v>
      </c>
    </row>
    <row r="977" spans="1:7">
      <c r="A977">
        <v>208</v>
      </c>
      <c r="B977">
        <v>0</v>
      </c>
      <c r="C977">
        <v>46</v>
      </c>
      <c r="D977">
        <v>22</v>
      </c>
      <c r="E977" t="str">
        <f t="shared" si="15"/>
        <v>4622</v>
      </c>
      <c r="F977">
        <v>43555</v>
      </c>
      <c r="G977">
        <v>28826</v>
      </c>
    </row>
    <row r="978" spans="1:7">
      <c r="A978">
        <v>208</v>
      </c>
      <c r="B978">
        <v>0</v>
      </c>
      <c r="C978">
        <v>46</v>
      </c>
      <c r="D978">
        <v>23</v>
      </c>
      <c r="E978" t="str">
        <f t="shared" si="15"/>
        <v>4623</v>
      </c>
      <c r="F978">
        <v>46227</v>
      </c>
      <c r="G978">
        <v>30528</v>
      </c>
    </row>
    <row r="979" spans="1:7">
      <c r="A979">
        <v>208</v>
      </c>
      <c r="B979">
        <v>0</v>
      </c>
      <c r="C979">
        <v>46</v>
      </c>
      <c r="D979">
        <v>24</v>
      </c>
      <c r="E979" t="str">
        <f t="shared" si="15"/>
        <v>4624</v>
      </c>
      <c r="F979">
        <v>48932</v>
      </c>
      <c r="G979">
        <v>32265</v>
      </c>
    </row>
    <row r="980" spans="1:7">
      <c r="A980">
        <v>208</v>
      </c>
      <c r="B980">
        <v>0</v>
      </c>
      <c r="C980">
        <v>46</v>
      </c>
      <c r="D980">
        <v>25</v>
      </c>
      <c r="E980" t="str">
        <f t="shared" si="15"/>
        <v>4625</v>
      </c>
      <c r="F980">
        <v>51666</v>
      </c>
      <c r="G980">
        <v>34035</v>
      </c>
    </row>
    <row r="981" spans="1:7">
      <c r="A981">
        <v>208</v>
      </c>
      <c r="B981">
        <v>0</v>
      </c>
      <c r="C981">
        <v>46</v>
      </c>
      <c r="D981">
        <v>26</v>
      </c>
      <c r="E981" t="str">
        <f t="shared" si="15"/>
        <v>4626</v>
      </c>
      <c r="F981">
        <v>54423</v>
      </c>
      <c r="G981">
        <v>35842</v>
      </c>
    </row>
    <row r="982" spans="1:7">
      <c r="A982">
        <v>208</v>
      </c>
      <c r="B982">
        <v>0</v>
      </c>
      <c r="C982">
        <v>46</v>
      </c>
      <c r="D982">
        <v>27</v>
      </c>
      <c r="E982" t="str">
        <f t="shared" si="15"/>
        <v>4627</v>
      </c>
      <c r="F982">
        <v>57199</v>
      </c>
      <c r="G982">
        <v>37684</v>
      </c>
    </row>
    <row r="983" spans="1:7">
      <c r="A983">
        <v>208</v>
      </c>
      <c r="B983">
        <v>0</v>
      </c>
      <c r="C983">
        <v>46</v>
      </c>
      <c r="D983">
        <v>28</v>
      </c>
      <c r="E983" t="str">
        <f t="shared" si="15"/>
        <v>4628</v>
      </c>
      <c r="F983">
        <v>59988</v>
      </c>
      <c r="G983">
        <v>39563</v>
      </c>
    </row>
    <row r="984" spans="1:7">
      <c r="A984">
        <v>208</v>
      </c>
      <c r="B984">
        <v>0</v>
      </c>
      <c r="C984">
        <v>46</v>
      </c>
      <c r="D984">
        <v>29</v>
      </c>
      <c r="E984" t="str">
        <f t="shared" si="15"/>
        <v>4629</v>
      </c>
      <c r="F984">
        <v>62788</v>
      </c>
      <c r="G984">
        <v>41480</v>
      </c>
    </row>
    <row r="985" spans="1:7">
      <c r="A985">
        <v>208</v>
      </c>
      <c r="B985">
        <v>0</v>
      </c>
      <c r="C985">
        <v>46</v>
      </c>
      <c r="D985">
        <v>30</v>
      </c>
      <c r="E985" t="str">
        <f t="shared" si="15"/>
        <v>4630</v>
      </c>
      <c r="F985">
        <v>65592</v>
      </c>
      <c r="G985">
        <v>43435</v>
      </c>
    </row>
    <row r="986" spans="1:7">
      <c r="A986">
        <v>208</v>
      </c>
      <c r="B986">
        <v>0</v>
      </c>
      <c r="C986">
        <v>46</v>
      </c>
      <c r="D986">
        <v>31</v>
      </c>
      <c r="E986" t="str">
        <f t="shared" si="15"/>
        <v>4631</v>
      </c>
      <c r="F986">
        <v>68390</v>
      </c>
      <c r="G986">
        <v>45429</v>
      </c>
    </row>
    <row r="987" spans="1:7">
      <c r="A987">
        <v>208</v>
      </c>
      <c r="B987">
        <v>0</v>
      </c>
      <c r="C987">
        <v>46</v>
      </c>
      <c r="D987">
        <v>32</v>
      </c>
      <c r="E987" t="str">
        <f t="shared" si="15"/>
        <v>4632</v>
      </c>
      <c r="F987">
        <v>71171</v>
      </c>
      <c r="G987">
        <v>48038</v>
      </c>
    </row>
    <row r="988" spans="1:7">
      <c r="A988">
        <v>208</v>
      </c>
      <c r="B988">
        <v>0</v>
      </c>
      <c r="C988">
        <v>46</v>
      </c>
      <c r="D988">
        <v>33</v>
      </c>
      <c r="E988" t="str">
        <f t="shared" si="15"/>
        <v>4633</v>
      </c>
      <c r="F988">
        <v>73923</v>
      </c>
      <c r="G988">
        <v>50739</v>
      </c>
    </row>
    <row r="989" spans="1:7">
      <c r="A989">
        <v>208</v>
      </c>
      <c r="B989">
        <v>0</v>
      </c>
      <c r="C989">
        <v>46</v>
      </c>
      <c r="D989">
        <v>34</v>
      </c>
      <c r="E989" t="str">
        <f t="shared" si="15"/>
        <v>4634</v>
      </c>
      <c r="F989">
        <v>76631</v>
      </c>
      <c r="G989">
        <v>53534</v>
      </c>
    </row>
    <row r="990" spans="1:7">
      <c r="A990">
        <v>208</v>
      </c>
      <c r="B990">
        <v>0</v>
      </c>
      <c r="C990">
        <v>46</v>
      </c>
      <c r="D990">
        <v>35</v>
      </c>
      <c r="E990" t="str">
        <f t="shared" si="15"/>
        <v>4635</v>
      </c>
      <c r="F990">
        <v>79285</v>
      </c>
      <c r="G990">
        <v>56425</v>
      </c>
    </row>
    <row r="991" spans="1:7">
      <c r="A991">
        <v>208</v>
      </c>
      <c r="B991">
        <v>0</v>
      </c>
      <c r="C991">
        <v>46</v>
      </c>
      <c r="D991">
        <v>36</v>
      </c>
      <c r="E991" t="str">
        <f t="shared" si="15"/>
        <v>4636</v>
      </c>
      <c r="F991">
        <v>81868</v>
      </c>
      <c r="G991">
        <v>59414</v>
      </c>
    </row>
    <row r="992" spans="1:7">
      <c r="A992">
        <v>208</v>
      </c>
      <c r="B992">
        <v>0</v>
      </c>
      <c r="C992">
        <v>46</v>
      </c>
      <c r="D992">
        <v>37</v>
      </c>
      <c r="E992" t="str">
        <f t="shared" si="15"/>
        <v>4637</v>
      </c>
      <c r="F992">
        <v>84365</v>
      </c>
      <c r="G992">
        <v>62504</v>
      </c>
    </row>
    <row r="993" spans="1:7">
      <c r="A993">
        <v>208</v>
      </c>
      <c r="B993">
        <v>0</v>
      </c>
      <c r="C993">
        <v>46</v>
      </c>
      <c r="D993">
        <v>38</v>
      </c>
      <c r="E993" t="str">
        <f t="shared" si="15"/>
        <v>4638</v>
      </c>
      <c r="F993">
        <v>86758</v>
      </c>
      <c r="G993">
        <v>65698</v>
      </c>
    </row>
    <row r="994" spans="1:7">
      <c r="A994">
        <v>208</v>
      </c>
      <c r="B994">
        <v>0</v>
      </c>
      <c r="C994">
        <v>46</v>
      </c>
      <c r="D994">
        <v>39</v>
      </c>
      <c r="E994" t="str">
        <f t="shared" si="15"/>
        <v>4639</v>
      </c>
      <c r="F994">
        <v>89033</v>
      </c>
      <c r="G994">
        <v>68997</v>
      </c>
    </row>
    <row r="995" spans="1:7">
      <c r="A995">
        <v>208</v>
      </c>
      <c r="B995">
        <v>0</v>
      </c>
      <c r="C995">
        <v>46</v>
      </c>
      <c r="D995">
        <v>40</v>
      </c>
      <c r="E995" t="str">
        <f t="shared" si="15"/>
        <v>4640</v>
      </c>
      <c r="F995">
        <v>91171</v>
      </c>
      <c r="G995">
        <v>72406</v>
      </c>
    </row>
    <row r="996" spans="1:7">
      <c r="A996">
        <v>208</v>
      </c>
      <c r="B996">
        <v>0</v>
      </c>
      <c r="C996">
        <v>46</v>
      </c>
      <c r="D996">
        <v>41</v>
      </c>
      <c r="E996" t="str">
        <f t="shared" si="15"/>
        <v>4641</v>
      </c>
      <c r="F996">
        <v>93155</v>
      </c>
      <c r="G996">
        <v>75926</v>
      </c>
    </row>
    <row r="997" spans="1:7">
      <c r="A997">
        <v>208</v>
      </c>
      <c r="B997">
        <v>0</v>
      </c>
      <c r="C997">
        <v>46</v>
      </c>
      <c r="D997">
        <v>42</v>
      </c>
      <c r="E997" t="str">
        <f t="shared" si="15"/>
        <v>4642</v>
      </c>
      <c r="F997">
        <v>94964</v>
      </c>
      <c r="G997">
        <v>79561</v>
      </c>
    </row>
    <row r="998" spans="1:7">
      <c r="A998">
        <v>208</v>
      </c>
      <c r="B998">
        <v>0</v>
      </c>
      <c r="C998">
        <v>46</v>
      </c>
      <c r="D998">
        <v>43</v>
      </c>
      <c r="E998" t="str">
        <f t="shared" si="15"/>
        <v>4643</v>
      </c>
      <c r="F998">
        <v>96588</v>
      </c>
      <c r="G998">
        <v>83313</v>
      </c>
    </row>
    <row r="999" spans="1:7">
      <c r="A999">
        <v>208</v>
      </c>
      <c r="B999">
        <v>0</v>
      </c>
      <c r="C999">
        <v>46</v>
      </c>
      <c r="D999">
        <v>44</v>
      </c>
      <c r="E999" t="str">
        <f t="shared" si="15"/>
        <v>4644</v>
      </c>
      <c r="F999">
        <v>98012</v>
      </c>
      <c r="G999">
        <v>87187</v>
      </c>
    </row>
    <row r="1000" spans="1:7">
      <c r="A1000">
        <v>208</v>
      </c>
      <c r="B1000">
        <v>0</v>
      </c>
      <c r="C1000">
        <v>46</v>
      </c>
      <c r="D1000">
        <v>45</v>
      </c>
      <c r="E1000" t="str">
        <f t="shared" si="15"/>
        <v>4645</v>
      </c>
      <c r="F1000">
        <v>99157</v>
      </c>
      <c r="G1000">
        <v>91129</v>
      </c>
    </row>
    <row r="1001" spans="1:7">
      <c r="A1001">
        <v>208</v>
      </c>
      <c r="B1001">
        <v>0</v>
      </c>
      <c r="C1001">
        <v>47</v>
      </c>
      <c r="D1001">
        <v>1</v>
      </c>
      <c r="E1001" t="str">
        <f t="shared" si="15"/>
        <v>471</v>
      </c>
      <c r="F1001">
        <v>299</v>
      </c>
      <c r="G1001">
        <v>266</v>
      </c>
    </row>
    <row r="1002" spans="1:7">
      <c r="A1002">
        <v>208</v>
      </c>
      <c r="B1002">
        <v>0</v>
      </c>
      <c r="C1002">
        <v>47</v>
      </c>
      <c r="D1002">
        <v>2</v>
      </c>
      <c r="E1002" t="str">
        <f t="shared" si="15"/>
        <v>472</v>
      </c>
      <c r="F1002">
        <v>1158</v>
      </c>
      <c r="G1002">
        <v>990</v>
      </c>
    </row>
    <row r="1003" spans="1:7">
      <c r="A1003">
        <v>208</v>
      </c>
      <c r="B1003">
        <v>0</v>
      </c>
      <c r="C1003">
        <v>47</v>
      </c>
      <c r="D1003">
        <v>3</v>
      </c>
      <c r="E1003" t="str">
        <f t="shared" si="15"/>
        <v>473</v>
      </c>
      <c r="F1003">
        <v>2668</v>
      </c>
      <c r="G1003">
        <v>2134</v>
      </c>
    </row>
    <row r="1004" spans="1:7">
      <c r="A1004">
        <v>208</v>
      </c>
      <c r="B1004">
        <v>0</v>
      </c>
      <c r="C1004">
        <v>47</v>
      </c>
      <c r="D1004">
        <v>4</v>
      </c>
      <c r="E1004" t="str">
        <f t="shared" si="15"/>
        <v>474</v>
      </c>
      <c r="F1004">
        <v>4229</v>
      </c>
      <c r="G1004">
        <v>3216</v>
      </c>
    </row>
    <row r="1005" spans="1:7">
      <c r="A1005">
        <v>208</v>
      </c>
      <c r="B1005">
        <v>0</v>
      </c>
      <c r="C1005">
        <v>47</v>
      </c>
      <c r="D1005">
        <v>5</v>
      </c>
      <c r="E1005" t="str">
        <f t="shared" si="15"/>
        <v>475</v>
      </c>
      <c r="F1005">
        <v>5841</v>
      </c>
      <c r="G1005">
        <v>4353</v>
      </c>
    </row>
    <row r="1006" spans="1:7">
      <c r="A1006">
        <v>208</v>
      </c>
      <c r="B1006">
        <v>0</v>
      </c>
      <c r="C1006">
        <v>47</v>
      </c>
      <c r="D1006">
        <v>6</v>
      </c>
      <c r="E1006" t="str">
        <f t="shared" si="15"/>
        <v>476</v>
      </c>
      <c r="F1006">
        <v>7507</v>
      </c>
      <c r="G1006">
        <v>5521</v>
      </c>
    </row>
    <row r="1007" spans="1:7">
      <c r="A1007">
        <v>208</v>
      </c>
      <c r="B1007">
        <v>0</v>
      </c>
      <c r="C1007">
        <v>47</v>
      </c>
      <c r="D1007">
        <v>7</v>
      </c>
      <c r="E1007" t="str">
        <f t="shared" si="15"/>
        <v>477</v>
      </c>
      <c r="F1007">
        <v>9227</v>
      </c>
      <c r="G1007">
        <v>6715</v>
      </c>
    </row>
    <row r="1008" spans="1:7">
      <c r="A1008">
        <v>208</v>
      </c>
      <c r="B1008">
        <v>0</v>
      </c>
      <c r="C1008">
        <v>47</v>
      </c>
      <c r="D1008">
        <v>8</v>
      </c>
      <c r="E1008" t="str">
        <f t="shared" si="15"/>
        <v>478</v>
      </c>
      <c r="F1008">
        <v>11003</v>
      </c>
      <c r="G1008">
        <v>7935</v>
      </c>
    </row>
    <row r="1009" spans="1:7">
      <c r="A1009">
        <v>208</v>
      </c>
      <c r="B1009">
        <v>0</v>
      </c>
      <c r="C1009">
        <v>47</v>
      </c>
      <c r="D1009">
        <v>9</v>
      </c>
      <c r="E1009" t="str">
        <f t="shared" si="15"/>
        <v>479</v>
      </c>
      <c r="F1009">
        <v>12836</v>
      </c>
      <c r="G1009">
        <v>9180</v>
      </c>
    </row>
    <row r="1010" spans="1:7">
      <c r="A1010">
        <v>208</v>
      </c>
      <c r="B1010">
        <v>0</v>
      </c>
      <c r="C1010">
        <v>47</v>
      </c>
      <c r="D1010">
        <v>10</v>
      </c>
      <c r="E1010" t="str">
        <f t="shared" si="15"/>
        <v>4710</v>
      </c>
      <c r="F1010">
        <v>14728</v>
      </c>
      <c r="G1010">
        <v>10450</v>
      </c>
    </row>
    <row r="1011" spans="1:7">
      <c r="A1011">
        <v>208</v>
      </c>
      <c r="B1011">
        <v>0</v>
      </c>
      <c r="C1011">
        <v>47</v>
      </c>
      <c r="D1011">
        <v>11</v>
      </c>
      <c r="E1011" t="str">
        <f t="shared" si="15"/>
        <v>4711</v>
      </c>
      <c r="F1011">
        <v>16680</v>
      </c>
      <c r="G1011">
        <v>11746</v>
      </c>
    </row>
    <row r="1012" spans="1:7">
      <c r="A1012">
        <v>208</v>
      </c>
      <c r="B1012">
        <v>0</v>
      </c>
      <c r="C1012">
        <v>47</v>
      </c>
      <c r="D1012">
        <v>12</v>
      </c>
      <c r="E1012" t="str">
        <f t="shared" si="15"/>
        <v>4712</v>
      </c>
      <c r="F1012">
        <v>18692</v>
      </c>
      <c r="G1012">
        <v>13068</v>
      </c>
    </row>
    <row r="1013" spans="1:7">
      <c r="A1013">
        <v>208</v>
      </c>
      <c r="B1013">
        <v>0</v>
      </c>
      <c r="C1013">
        <v>47</v>
      </c>
      <c r="D1013">
        <v>13</v>
      </c>
      <c r="E1013" t="str">
        <f t="shared" si="15"/>
        <v>4713</v>
      </c>
      <c r="F1013">
        <v>20765</v>
      </c>
      <c r="G1013">
        <v>14416</v>
      </c>
    </row>
    <row r="1014" spans="1:7">
      <c r="A1014">
        <v>208</v>
      </c>
      <c r="B1014">
        <v>0</v>
      </c>
      <c r="C1014">
        <v>47</v>
      </c>
      <c r="D1014">
        <v>14</v>
      </c>
      <c r="E1014" t="str">
        <f t="shared" si="15"/>
        <v>4714</v>
      </c>
      <c r="F1014">
        <v>22898</v>
      </c>
      <c r="G1014">
        <v>15792</v>
      </c>
    </row>
    <row r="1015" spans="1:7">
      <c r="A1015">
        <v>208</v>
      </c>
      <c r="B1015">
        <v>0</v>
      </c>
      <c r="C1015">
        <v>47</v>
      </c>
      <c r="D1015">
        <v>15</v>
      </c>
      <c r="E1015" t="str">
        <f t="shared" si="15"/>
        <v>4715</v>
      </c>
      <c r="F1015">
        <v>25092</v>
      </c>
      <c r="G1015">
        <v>17195</v>
      </c>
    </row>
    <row r="1016" spans="1:7">
      <c r="A1016">
        <v>208</v>
      </c>
      <c r="B1016">
        <v>0</v>
      </c>
      <c r="C1016">
        <v>47</v>
      </c>
      <c r="D1016">
        <v>16</v>
      </c>
      <c r="E1016" t="str">
        <f t="shared" si="15"/>
        <v>4716</v>
      </c>
      <c r="F1016">
        <v>27346</v>
      </c>
      <c r="G1016">
        <v>18627</v>
      </c>
    </row>
    <row r="1017" spans="1:7">
      <c r="A1017">
        <v>208</v>
      </c>
      <c r="B1017">
        <v>0</v>
      </c>
      <c r="C1017">
        <v>47</v>
      </c>
      <c r="D1017">
        <v>17</v>
      </c>
      <c r="E1017" t="str">
        <f t="shared" si="15"/>
        <v>4717</v>
      </c>
      <c r="F1017">
        <v>29657</v>
      </c>
      <c r="G1017">
        <v>20086</v>
      </c>
    </row>
    <row r="1018" spans="1:7">
      <c r="A1018">
        <v>208</v>
      </c>
      <c r="B1018">
        <v>0</v>
      </c>
      <c r="C1018">
        <v>47</v>
      </c>
      <c r="D1018">
        <v>18</v>
      </c>
      <c r="E1018" t="str">
        <f t="shared" si="15"/>
        <v>4718</v>
      </c>
      <c r="F1018">
        <v>32025</v>
      </c>
      <c r="G1018">
        <v>21575</v>
      </c>
    </row>
    <row r="1019" spans="1:7">
      <c r="A1019">
        <v>208</v>
      </c>
      <c r="B1019">
        <v>0</v>
      </c>
      <c r="C1019">
        <v>47</v>
      </c>
      <c r="D1019">
        <v>19</v>
      </c>
      <c r="E1019" t="str">
        <f t="shared" si="15"/>
        <v>4719</v>
      </c>
      <c r="F1019">
        <v>34447</v>
      </c>
      <c r="G1019">
        <v>23094</v>
      </c>
    </row>
    <row r="1020" spans="1:7">
      <c r="A1020">
        <v>208</v>
      </c>
      <c r="B1020">
        <v>0</v>
      </c>
      <c r="C1020">
        <v>47</v>
      </c>
      <c r="D1020">
        <v>20</v>
      </c>
      <c r="E1020" t="str">
        <f t="shared" si="15"/>
        <v>4720</v>
      </c>
      <c r="F1020">
        <v>36918</v>
      </c>
      <c r="G1020">
        <v>24643</v>
      </c>
    </row>
    <row r="1021" spans="1:7">
      <c r="A1021">
        <v>208</v>
      </c>
      <c r="B1021">
        <v>0</v>
      </c>
      <c r="C1021">
        <v>47</v>
      </c>
      <c r="D1021">
        <v>21</v>
      </c>
      <c r="E1021" t="str">
        <f t="shared" si="15"/>
        <v>4721</v>
      </c>
      <c r="F1021">
        <v>39436</v>
      </c>
      <c r="G1021">
        <v>26223</v>
      </c>
    </row>
    <row r="1022" spans="1:7">
      <c r="A1022">
        <v>208</v>
      </c>
      <c r="B1022">
        <v>0</v>
      </c>
      <c r="C1022">
        <v>47</v>
      </c>
      <c r="D1022">
        <v>22</v>
      </c>
      <c r="E1022" t="str">
        <f t="shared" si="15"/>
        <v>4722</v>
      </c>
      <c r="F1022">
        <v>41998</v>
      </c>
      <c r="G1022">
        <v>27834</v>
      </c>
    </row>
    <row r="1023" spans="1:7">
      <c r="A1023">
        <v>208</v>
      </c>
      <c r="B1023">
        <v>0</v>
      </c>
      <c r="C1023">
        <v>47</v>
      </c>
      <c r="D1023">
        <v>23</v>
      </c>
      <c r="E1023" t="str">
        <f t="shared" si="15"/>
        <v>4723</v>
      </c>
      <c r="F1023">
        <v>44599</v>
      </c>
      <c r="G1023">
        <v>29477</v>
      </c>
    </row>
    <row r="1024" spans="1:7">
      <c r="A1024">
        <v>208</v>
      </c>
      <c r="B1024">
        <v>0</v>
      </c>
      <c r="C1024">
        <v>47</v>
      </c>
      <c r="D1024">
        <v>24</v>
      </c>
      <c r="E1024" t="str">
        <f t="shared" si="15"/>
        <v>4724</v>
      </c>
      <c r="F1024">
        <v>47237</v>
      </c>
      <c r="G1024">
        <v>31153</v>
      </c>
    </row>
    <row r="1025" spans="1:7">
      <c r="A1025">
        <v>208</v>
      </c>
      <c r="B1025">
        <v>0</v>
      </c>
      <c r="C1025">
        <v>47</v>
      </c>
      <c r="D1025">
        <v>25</v>
      </c>
      <c r="E1025" t="str">
        <f t="shared" si="15"/>
        <v>4725</v>
      </c>
      <c r="F1025">
        <v>49907</v>
      </c>
      <c r="G1025">
        <v>32863</v>
      </c>
    </row>
    <row r="1026" spans="1:7">
      <c r="A1026">
        <v>208</v>
      </c>
      <c r="B1026">
        <v>0</v>
      </c>
      <c r="C1026">
        <v>47</v>
      </c>
      <c r="D1026">
        <v>26</v>
      </c>
      <c r="E1026" t="str">
        <f t="shared" si="15"/>
        <v>4726</v>
      </c>
      <c r="F1026">
        <v>52603</v>
      </c>
      <c r="G1026">
        <v>34607</v>
      </c>
    </row>
    <row r="1027" spans="1:7">
      <c r="A1027">
        <v>208</v>
      </c>
      <c r="B1027">
        <v>0</v>
      </c>
      <c r="C1027">
        <v>47</v>
      </c>
      <c r="D1027">
        <v>27</v>
      </c>
      <c r="E1027" t="str">
        <f t="shared" ref="E1027:E1046" si="16">CONCATENATE(C1027,D1027)</f>
        <v>4727</v>
      </c>
      <c r="F1027">
        <v>55322</v>
      </c>
      <c r="G1027">
        <v>36385</v>
      </c>
    </row>
    <row r="1028" spans="1:7">
      <c r="A1028">
        <v>208</v>
      </c>
      <c r="B1028">
        <v>0</v>
      </c>
      <c r="C1028">
        <v>47</v>
      </c>
      <c r="D1028">
        <v>28</v>
      </c>
      <c r="E1028" t="str">
        <f t="shared" si="16"/>
        <v>4728</v>
      </c>
      <c r="F1028">
        <v>58058</v>
      </c>
      <c r="G1028">
        <v>38199</v>
      </c>
    </row>
    <row r="1029" spans="1:7">
      <c r="A1029">
        <v>208</v>
      </c>
      <c r="B1029">
        <v>0</v>
      </c>
      <c r="C1029">
        <v>47</v>
      </c>
      <c r="D1029">
        <v>29</v>
      </c>
      <c r="E1029" t="str">
        <f t="shared" si="16"/>
        <v>4729</v>
      </c>
      <c r="F1029">
        <v>60807</v>
      </c>
      <c r="G1029">
        <v>40049</v>
      </c>
    </row>
    <row r="1030" spans="1:7">
      <c r="A1030">
        <v>208</v>
      </c>
      <c r="B1030">
        <v>0</v>
      </c>
      <c r="C1030">
        <v>47</v>
      </c>
      <c r="D1030">
        <v>30</v>
      </c>
      <c r="E1030" t="str">
        <f t="shared" si="16"/>
        <v>4730</v>
      </c>
      <c r="F1030">
        <v>63566</v>
      </c>
      <c r="G1030">
        <v>41937</v>
      </c>
    </row>
    <row r="1031" spans="1:7">
      <c r="A1031">
        <v>208</v>
      </c>
      <c r="B1031">
        <v>0</v>
      </c>
      <c r="C1031">
        <v>47</v>
      </c>
      <c r="D1031">
        <v>31</v>
      </c>
      <c r="E1031" t="str">
        <f t="shared" si="16"/>
        <v>4731</v>
      </c>
      <c r="F1031">
        <v>66327</v>
      </c>
      <c r="G1031">
        <v>43862</v>
      </c>
    </row>
    <row r="1032" spans="1:7">
      <c r="A1032">
        <v>208</v>
      </c>
      <c r="B1032">
        <v>0</v>
      </c>
      <c r="C1032">
        <v>47</v>
      </c>
      <c r="D1032">
        <v>32</v>
      </c>
      <c r="E1032" t="str">
        <f t="shared" si="16"/>
        <v>4732</v>
      </c>
      <c r="F1032">
        <v>69081</v>
      </c>
      <c r="G1032">
        <v>46352</v>
      </c>
    </row>
    <row r="1033" spans="1:7">
      <c r="A1033">
        <v>208</v>
      </c>
      <c r="B1033">
        <v>0</v>
      </c>
      <c r="C1033">
        <v>47</v>
      </c>
      <c r="D1033">
        <v>33</v>
      </c>
      <c r="E1033" t="str">
        <f t="shared" si="16"/>
        <v>4733</v>
      </c>
      <c r="F1033">
        <v>71817</v>
      </c>
      <c r="G1033">
        <v>48927</v>
      </c>
    </row>
    <row r="1034" spans="1:7">
      <c r="A1034">
        <v>208</v>
      </c>
      <c r="B1034">
        <v>0</v>
      </c>
      <c r="C1034">
        <v>47</v>
      </c>
      <c r="D1034">
        <v>34</v>
      </c>
      <c r="E1034" t="str">
        <f t="shared" si="16"/>
        <v>4734</v>
      </c>
      <c r="F1034">
        <v>74523</v>
      </c>
      <c r="G1034">
        <v>51591</v>
      </c>
    </row>
    <row r="1035" spans="1:7">
      <c r="A1035">
        <v>208</v>
      </c>
      <c r="B1035">
        <v>0</v>
      </c>
      <c r="C1035">
        <v>47</v>
      </c>
      <c r="D1035">
        <v>35</v>
      </c>
      <c r="E1035" t="str">
        <f t="shared" si="16"/>
        <v>4735</v>
      </c>
      <c r="F1035">
        <v>77185</v>
      </c>
      <c r="G1035">
        <v>54344</v>
      </c>
    </row>
    <row r="1036" spans="1:7">
      <c r="A1036">
        <v>208</v>
      </c>
      <c r="B1036">
        <v>0</v>
      </c>
      <c r="C1036">
        <v>47</v>
      </c>
      <c r="D1036">
        <v>36</v>
      </c>
      <c r="E1036" t="str">
        <f t="shared" si="16"/>
        <v>4736</v>
      </c>
      <c r="F1036">
        <v>79791</v>
      </c>
      <c r="G1036">
        <v>57190</v>
      </c>
    </row>
    <row r="1037" spans="1:7">
      <c r="A1037">
        <v>208</v>
      </c>
      <c r="B1037">
        <v>0</v>
      </c>
      <c r="C1037">
        <v>47</v>
      </c>
      <c r="D1037">
        <v>37</v>
      </c>
      <c r="E1037" t="str">
        <f t="shared" si="16"/>
        <v>4737</v>
      </c>
      <c r="F1037">
        <v>82327</v>
      </c>
      <c r="G1037">
        <v>60131</v>
      </c>
    </row>
    <row r="1038" spans="1:7">
      <c r="A1038">
        <v>208</v>
      </c>
      <c r="B1038">
        <v>0</v>
      </c>
      <c r="C1038">
        <v>47</v>
      </c>
      <c r="D1038">
        <v>38</v>
      </c>
      <c r="E1038" t="str">
        <f t="shared" si="16"/>
        <v>4738</v>
      </c>
      <c r="F1038">
        <v>84776</v>
      </c>
      <c r="G1038">
        <v>63168</v>
      </c>
    </row>
    <row r="1039" spans="1:7">
      <c r="A1039">
        <v>208</v>
      </c>
      <c r="B1039">
        <v>0</v>
      </c>
      <c r="C1039">
        <v>47</v>
      </c>
      <c r="D1039">
        <v>39</v>
      </c>
      <c r="E1039" t="str">
        <f t="shared" si="16"/>
        <v>4739</v>
      </c>
      <c r="F1039">
        <v>87121</v>
      </c>
      <c r="G1039">
        <v>66305</v>
      </c>
    </row>
    <row r="1040" spans="1:7">
      <c r="A1040">
        <v>208</v>
      </c>
      <c r="B1040">
        <v>0</v>
      </c>
      <c r="C1040">
        <v>47</v>
      </c>
      <c r="D1040">
        <v>40</v>
      </c>
      <c r="E1040" t="str">
        <f t="shared" si="16"/>
        <v>4740</v>
      </c>
      <c r="F1040">
        <v>89348</v>
      </c>
      <c r="G1040">
        <v>69544</v>
      </c>
    </row>
    <row r="1041" spans="1:7">
      <c r="A1041">
        <v>208</v>
      </c>
      <c r="B1041">
        <v>0</v>
      </c>
      <c r="C1041">
        <v>47</v>
      </c>
      <c r="D1041">
        <v>41</v>
      </c>
      <c r="E1041" t="str">
        <f t="shared" si="16"/>
        <v>4741</v>
      </c>
      <c r="F1041">
        <v>91438</v>
      </c>
      <c r="G1041">
        <v>72888</v>
      </c>
    </row>
    <row r="1042" spans="1:7">
      <c r="A1042">
        <v>208</v>
      </c>
      <c r="B1042">
        <v>0</v>
      </c>
      <c r="C1042">
        <v>47</v>
      </c>
      <c r="D1042">
        <v>42</v>
      </c>
      <c r="E1042" t="str">
        <f t="shared" si="16"/>
        <v>4742</v>
      </c>
      <c r="F1042">
        <v>93374</v>
      </c>
      <c r="G1042">
        <v>76339</v>
      </c>
    </row>
    <row r="1043" spans="1:7">
      <c r="A1043">
        <v>208</v>
      </c>
      <c r="B1043">
        <v>0</v>
      </c>
      <c r="C1043">
        <v>47</v>
      </c>
      <c r="D1043">
        <v>43</v>
      </c>
      <c r="E1043" t="str">
        <f t="shared" si="16"/>
        <v>4743</v>
      </c>
      <c r="F1043">
        <v>95136</v>
      </c>
      <c r="G1043">
        <v>79900</v>
      </c>
    </row>
    <row r="1044" spans="1:7">
      <c r="A1044">
        <v>208</v>
      </c>
      <c r="B1044">
        <v>0</v>
      </c>
      <c r="C1044">
        <v>47</v>
      </c>
      <c r="D1044">
        <v>44</v>
      </c>
      <c r="E1044" t="str">
        <f t="shared" si="16"/>
        <v>4744</v>
      </c>
      <c r="F1044">
        <v>96714</v>
      </c>
      <c r="G1044">
        <v>83575</v>
      </c>
    </row>
    <row r="1045" spans="1:7">
      <c r="A1045">
        <v>208</v>
      </c>
      <c r="B1045">
        <v>0</v>
      </c>
      <c r="C1045">
        <v>47</v>
      </c>
      <c r="D1045">
        <v>45</v>
      </c>
      <c r="E1045" t="str">
        <f t="shared" si="16"/>
        <v>4745</v>
      </c>
      <c r="F1045">
        <v>98093</v>
      </c>
      <c r="G1045">
        <v>87366</v>
      </c>
    </row>
    <row r="1046" spans="1:7">
      <c r="A1046">
        <v>208</v>
      </c>
      <c r="B1046">
        <v>0</v>
      </c>
      <c r="C1046">
        <v>47</v>
      </c>
      <c r="D1046">
        <v>46</v>
      </c>
      <c r="E1046" t="str">
        <f t="shared" si="16"/>
        <v>4746</v>
      </c>
      <c r="F1046">
        <v>99197</v>
      </c>
      <c r="G1046">
        <v>91221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Munkalapok</vt:lpstr>
      </vt:variant>
      <vt:variant>
        <vt:i4>12</vt:i4>
      </vt:variant>
      <vt:variant>
        <vt:lpstr>Diagramok</vt:lpstr>
      </vt:variant>
      <vt:variant>
        <vt:i4>1</vt:i4>
      </vt:variant>
      <vt:variant>
        <vt:lpstr>Névvel ellátott tartományok</vt:lpstr>
      </vt:variant>
      <vt:variant>
        <vt:i4>41</vt:i4>
      </vt:variant>
    </vt:vector>
  </HeadingPairs>
  <TitlesOfParts>
    <vt:vector size="54" baseType="lpstr">
      <vt:lpstr>Kalkulátor</vt:lpstr>
      <vt:lpstr>Nyomtatás</vt:lpstr>
      <vt:lpstr>Szolgáltatás&amp;Maradékjog</vt:lpstr>
      <vt:lpstr>Maradékjogok</vt:lpstr>
      <vt:lpstr>kitöltési útmutató</vt:lpstr>
      <vt:lpstr>PM</vt:lpstr>
      <vt:lpstr>ÉV</vt:lpstr>
      <vt:lpstr>HÓ</vt:lpstr>
      <vt:lpstr>vv_értékek</vt:lpstr>
      <vt:lpstr>Tartalék</vt:lpstr>
      <vt:lpstr>Bruttó_díj</vt:lpstr>
      <vt:lpstr>Pz</vt:lpstr>
      <vt:lpstr>Diagram1</vt:lpstr>
      <vt:lpstr>AdóHó</vt:lpstr>
      <vt:lpstr>BiztÖsszeg</vt:lpstr>
      <vt:lpstr>Deviza</vt:lpstr>
      <vt:lpstr>DíjBonuszok</vt:lpstr>
      <vt:lpstr>DíjIndex</vt:lpstr>
      <vt:lpstr>EgyFoly</vt:lpstr>
      <vt:lpstr>Ért</vt:lpstr>
      <vt:lpstr>ÉvesDíj</vt:lpstr>
      <vt:lpstr>FeltételezettHozam</vt:lpstr>
      <vt:lpstr>Fizgyak</vt:lpstr>
      <vt:lpstr>FizGyakNr</vt:lpstr>
      <vt:lpstr>FizMódBonus</vt:lpstr>
      <vt:lpstr>HozamFeltételezés</vt:lpstr>
      <vt:lpstr>PM!Kezdet</vt:lpstr>
      <vt:lpstr>Kezdet</vt:lpstr>
      <vt:lpstr>KorMax</vt:lpstr>
      <vt:lpstr>KorMin</vt:lpstr>
      <vt:lpstr>PM!Lejárat</vt:lpstr>
      <vt:lpstr>PM!LejáratNyug</vt:lpstr>
      <vt:lpstr>LejáratNyug</vt:lpstr>
      <vt:lpstr>LejárKorMax</vt:lpstr>
      <vt:lpstr>MinDíj</vt:lpstr>
      <vt:lpstr>Kalkulátor!Nyomtatási_cím</vt:lpstr>
      <vt:lpstr>Kalkulátor!Nyomtatási_terület</vt:lpstr>
      <vt:lpstr>Maradékjogok!Nyomtatási_terület</vt:lpstr>
      <vt:lpstr>Nyomtatás!Nyomtatási_terület</vt:lpstr>
      <vt:lpstr>'Szolgáltatás&amp;Maradékjog'!Nyomtatási_terület</vt:lpstr>
      <vt:lpstr>PM!Nyug</vt:lpstr>
      <vt:lpstr>Nyug</vt:lpstr>
      <vt:lpstr>Pénznem</vt:lpstr>
      <vt:lpstr>TartamDíjfiz</vt:lpstr>
      <vt:lpstr>TartamMax</vt:lpstr>
      <vt:lpstr>TartamMin</vt:lpstr>
      <vt:lpstr>TartamTermék</vt:lpstr>
      <vt:lpstr>PM!TartamVálasztott</vt:lpstr>
      <vt:lpstr>TartamVálasztott</vt:lpstr>
      <vt:lpstr>TartamWlFix</vt:lpstr>
      <vt:lpstr>Terméknév</vt:lpstr>
      <vt:lpstr>PM!TöredékHó</vt:lpstr>
      <vt:lpstr>Töredékhó</vt:lpstr>
      <vt:lpstr>VálaszthatóEszközalap</vt:lpstr>
    </vt:vector>
  </TitlesOfParts>
  <Company>UNIQA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Ivett FABIAN</dc:creator>
  <cp:lastModifiedBy>Laszlone FAZEKAS</cp:lastModifiedBy>
  <cp:lastPrinted>2017-03-03T11:18:23Z</cp:lastPrinted>
  <dcterms:created xsi:type="dcterms:W3CDTF">2017-01-24T11:47:46Z</dcterms:created>
  <dcterms:modified xsi:type="dcterms:W3CDTF">2017-03-05T16:43:16Z</dcterms:modified>
</cp:coreProperties>
</file>