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vatujedr\Desktop\"/>
    </mc:Choice>
  </mc:AlternateContent>
  <xr:revisionPtr revIDLastSave="0" documentId="8_{C6DA8CE8-39AB-4030-9BC4-9F50DED0C596}" xr6:coauthVersionLast="36" xr6:coauthVersionMax="36" xr10:uidLastSave="{00000000-0000-0000-0000-000000000000}"/>
  <workbookProtection workbookAlgorithmName="SHA-512" workbookHashValue="Mk7bJbZnOgsVbzlOlOAXiBoq0lbrkE821Y840fwPEyBDIWZDE9hw+wU+4EQyRGFv4LEnCfwMK3sDZuYD7/aZDw==" workbookSaltValue="xz7vKT2qjPgBovu4BlT+Cg==" workbookSpinCount="100000" lockStructure="1"/>
  <bookViews>
    <workbookView xWindow="0" yWindow="0" windowWidth="28800" windowHeight="11910" xr2:uid="{00000000-000D-0000-FFFF-FFFF00000000}"/>
  </bookViews>
  <sheets>
    <sheet name="Kérdőív" sheetId="4" r:id="rId1"/>
    <sheet name="Alkalmassági teszt" sheetId="6" r:id="rId2"/>
    <sheet name="Alkalmassági nyilatkozat" sheetId="7" r:id="rId3"/>
  </sheets>
  <definedNames>
    <definedName name="_xlnm.Print_Area" localSheetId="2">'Alkalmassági nyilatkozat'!$A$1:$AQ$72</definedName>
    <definedName name="_xlnm.Print_Area" localSheetId="1">'Alkalmassági teszt'!$A$1:$AQ$135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10" i="4" l="1"/>
  <c r="T103" i="4"/>
  <c r="B55" i="7" l="1"/>
  <c r="K125" i="6"/>
  <c r="K124" i="6"/>
  <c r="D125" i="6"/>
  <c r="D126" i="6"/>
  <c r="D124" i="6"/>
  <c r="K119" i="6"/>
  <c r="K118" i="6"/>
  <c r="D119" i="6"/>
  <c r="D120" i="6"/>
  <c r="D118" i="6"/>
  <c r="O92" i="6"/>
  <c r="O91" i="6"/>
  <c r="E92" i="6"/>
  <c r="E91" i="6"/>
  <c r="O81" i="6"/>
  <c r="O80" i="6"/>
  <c r="E81" i="6"/>
  <c r="E80" i="6"/>
  <c r="Y69" i="6"/>
  <c r="Y68" i="6"/>
  <c r="O69" i="6"/>
  <c r="O70" i="6"/>
  <c r="O68" i="6"/>
  <c r="E69" i="6"/>
  <c r="E70" i="6"/>
  <c r="E68" i="6"/>
  <c r="H39" i="6"/>
  <c r="P6" i="6"/>
  <c r="P6" i="7" s="1"/>
  <c r="I4" i="6"/>
  <c r="I4" i="7" s="1"/>
  <c r="AV102" i="4" l="1"/>
  <c r="AU101" i="4" s="1"/>
  <c r="Z70" i="4"/>
  <c r="AV76" i="4"/>
  <c r="AV66" i="4"/>
  <c r="AU65" i="4" s="1"/>
  <c r="AU38" i="4"/>
  <c r="AU30" i="4"/>
  <c r="AV55" i="4"/>
  <c r="AU54" i="4" s="1"/>
  <c r="AD150" i="4"/>
  <c r="DV1" i="4"/>
  <c r="DU1" i="4"/>
  <c r="DT1" i="4"/>
  <c r="DS1" i="4"/>
  <c r="DR1" i="4"/>
  <c r="AU150" i="4" l="1"/>
  <c r="BU29" i="4"/>
  <c r="BU28" i="4"/>
  <c r="BU27" i="4"/>
  <c r="BU26" i="4"/>
  <c r="BU25" i="4"/>
  <c r="BU24" i="4"/>
  <c r="BU23" i="4"/>
  <c r="BU22" i="4"/>
  <c r="BU21" i="4"/>
  <c r="BU20" i="4"/>
  <c r="BU19" i="4"/>
  <c r="BU18" i="4"/>
  <c r="BU17" i="4"/>
  <c r="BU16" i="4"/>
  <c r="BU15" i="4"/>
  <c r="BU14" i="4"/>
  <c r="BU13" i="4"/>
  <c r="BU12" i="4"/>
  <c r="BU11" i="4"/>
  <c r="BU10" i="4"/>
  <c r="BU9" i="4"/>
  <c r="BU8" i="4"/>
  <c r="BU7" i="4"/>
  <c r="BU6" i="4"/>
  <c r="BU5" i="4"/>
  <c r="BU4" i="4"/>
  <c r="BU3" i="4"/>
  <c r="AW25" i="4"/>
  <c r="D31" i="6" l="1"/>
  <c r="M31" i="6" s="1"/>
  <c r="BX6" i="4"/>
  <c r="BS2" i="4"/>
  <c r="BR2" i="4"/>
  <c r="BQ2" i="4"/>
  <c r="BP4" i="4"/>
  <c r="BP5" i="4"/>
  <c r="BP6" i="4"/>
  <c r="BP7" i="4"/>
  <c r="BP8" i="4"/>
  <c r="BP9" i="4"/>
  <c r="BP10" i="4"/>
  <c r="BP11" i="4"/>
  <c r="BP12" i="4"/>
  <c r="BP13" i="4"/>
  <c r="BP14" i="4"/>
  <c r="BP15" i="4"/>
  <c r="BP16" i="4"/>
  <c r="BP17" i="4"/>
  <c r="BP18" i="4"/>
  <c r="BP19" i="4"/>
  <c r="BP20" i="4"/>
  <c r="BP21" i="4"/>
  <c r="BP22" i="4"/>
  <c r="BP23" i="4"/>
  <c r="BP24" i="4"/>
  <c r="BP25" i="4"/>
  <c r="BP26" i="4"/>
  <c r="BP27" i="4"/>
  <c r="BP28" i="4"/>
  <c r="BP29" i="4"/>
  <c r="BP3" i="4"/>
  <c r="AV109" i="4" l="1"/>
  <c r="AU108" i="4" s="1"/>
  <c r="AW82" i="4"/>
  <c r="Y96" i="6" s="1"/>
  <c r="AW81" i="4"/>
  <c r="O96" i="6" s="1"/>
  <c r="AW80" i="4"/>
  <c r="E96" i="6" s="1"/>
  <c r="AW73" i="4"/>
  <c r="O86" i="6" s="1"/>
  <c r="AW72" i="4"/>
  <c r="O85" i="6" s="1"/>
  <c r="AW71" i="4"/>
  <c r="E86" i="6" s="1"/>
  <c r="AW70" i="4"/>
  <c r="E85" i="6" s="1"/>
  <c r="AW63" i="4"/>
  <c r="O75" i="6" s="1"/>
  <c r="AW62" i="4"/>
  <c r="O74" i="6" s="1"/>
  <c r="AW61" i="4"/>
  <c r="E75" i="6" s="1"/>
  <c r="AW60" i="4"/>
  <c r="E74" i="6" s="1"/>
  <c r="AW95" i="4" l="1"/>
  <c r="D110" i="6" s="1"/>
  <c r="AW99" i="4"/>
  <c r="AW98" i="4"/>
  <c r="AW97" i="4"/>
  <c r="BX31" i="4" l="1"/>
  <c r="D113" i="6"/>
  <c r="BX30" i="4"/>
  <c r="D112" i="6"/>
  <c r="BX32" i="4"/>
  <c r="D114" i="6"/>
  <c r="BX29" i="4"/>
  <c r="AW91" i="4"/>
  <c r="AW89" i="4"/>
  <c r="AW87" i="4"/>
  <c r="AW86" i="4"/>
  <c r="D101" i="6" s="1"/>
  <c r="BX26" i="4" l="1"/>
  <c r="CM16" i="4" s="1"/>
  <c r="D102" i="6"/>
  <c r="BX27" i="4"/>
  <c r="CN17" i="4" s="1"/>
  <c r="D104" i="6"/>
  <c r="BX28" i="4"/>
  <c r="CO14" i="4" s="1"/>
  <c r="D105" i="6"/>
  <c r="BX25" i="4"/>
  <c r="CL16" i="4" s="1"/>
  <c r="CN14" i="4"/>
  <c r="CO15" i="4"/>
  <c r="CM17" i="4"/>
  <c r="CM14" i="4"/>
  <c r="CO17" i="4"/>
  <c r="CO16" i="4"/>
  <c r="CN16" i="4"/>
  <c r="CM15" i="4"/>
  <c r="CL17" i="4" l="1"/>
  <c r="CN15" i="4"/>
  <c r="CL14" i="4"/>
  <c r="CL15" i="4"/>
  <c r="AW52" i="4"/>
  <c r="AW51" i="4"/>
  <c r="AW50" i="4"/>
  <c r="AW49" i="4"/>
  <c r="D60" i="6" s="1"/>
  <c r="AW46" i="4"/>
  <c r="D56" i="6" s="1"/>
  <c r="J56" i="6" s="1"/>
  <c r="AW45" i="4"/>
  <c r="AW44" i="4"/>
  <c r="AW43" i="4"/>
  <c r="D53" i="6" s="1"/>
  <c r="AW40" i="4"/>
  <c r="AW39" i="4"/>
  <c r="D48" i="6" s="1"/>
  <c r="AW36" i="4"/>
  <c r="V41" i="6" s="1"/>
  <c r="AW34" i="4"/>
  <c r="AW33" i="4"/>
  <c r="AW32" i="4"/>
  <c r="AW35" i="4"/>
  <c r="AW28" i="4"/>
  <c r="AU24" i="4" s="1"/>
  <c r="AW27" i="4"/>
  <c r="AW26" i="4"/>
  <c r="AW22" i="4"/>
  <c r="AW21" i="4"/>
  <c r="AW20" i="4"/>
  <c r="D25" i="6" s="1"/>
  <c r="BD31" i="4" l="1"/>
  <c r="BD33" i="4"/>
  <c r="D41" i="6"/>
  <c r="CQ12" i="4"/>
  <c r="CP8" i="4" s="1"/>
  <c r="D32" i="6"/>
  <c r="X43" i="4"/>
  <c r="D34" i="6"/>
  <c r="AB25" i="4"/>
  <c r="BX16" i="4"/>
  <c r="D49" i="6"/>
  <c r="BX4" i="4"/>
  <c r="D26" i="6"/>
  <c r="D27" i="6"/>
  <c r="AU139" i="4"/>
  <c r="BX23" i="4"/>
  <c r="D62" i="6"/>
  <c r="BX24" i="4"/>
  <c r="D63" i="6"/>
  <c r="BX22" i="4"/>
  <c r="D61" i="6"/>
  <c r="BX18" i="4"/>
  <c r="D54" i="6"/>
  <c r="BX19" i="4"/>
  <c r="D55" i="6"/>
  <c r="BX11" i="4"/>
  <c r="H41" i="6"/>
  <c r="BX13" i="4"/>
  <c r="R41" i="6"/>
  <c r="BX12" i="4"/>
  <c r="N41" i="6"/>
  <c r="BX8" i="4"/>
  <c r="D33" i="6"/>
  <c r="AU42" i="4"/>
  <c r="AU94" i="4"/>
  <c r="T97" i="4"/>
  <c r="AU84" i="4"/>
  <c r="AB20" i="4"/>
  <c r="AU19" i="4"/>
  <c r="BX20" i="4"/>
  <c r="AU48" i="4"/>
  <c r="AU75" i="4"/>
  <c r="W80" i="4"/>
  <c r="BX15" i="4"/>
  <c r="AB49" i="4"/>
  <c r="BX7" i="4"/>
  <c r="BX21" i="4"/>
  <c r="BX17" i="4"/>
  <c r="S137" i="4"/>
  <c r="BX14" i="4"/>
  <c r="H125" i="4"/>
  <c r="BX10" i="4"/>
  <c r="BX5" i="4"/>
  <c r="H124" i="4"/>
  <c r="BX9" i="4"/>
  <c r="BX3" i="4"/>
  <c r="CQ15" i="4" l="1"/>
  <c r="H126" i="4" s="1"/>
  <c r="AH149" i="4" s="1"/>
  <c r="CP9" i="4"/>
  <c r="CP7" i="4"/>
  <c r="CP6" i="4"/>
  <c r="CP5" i="4"/>
  <c r="CP4" i="4"/>
  <c r="AU114" i="4"/>
  <c r="CA33" i="4"/>
  <c r="CB33" i="4"/>
  <c r="BZ33" i="4"/>
  <c r="CF33" i="4"/>
  <c r="CE33" i="4"/>
  <c r="CC33" i="4"/>
  <c r="BY33" i="4"/>
  <c r="CD33" i="4"/>
  <c r="AK151" i="4" l="1"/>
  <c r="B114" i="4"/>
  <c r="BQ32" i="4"/>
  <c r="BQ33" i="4"/>
  <c r="BQ34" i="4"/>
  <c r="BR6" i="4" l="1"/>
  <c r="BS4" i="4"/>
  <c r="H121" i="4"/>
  <c r="BQ22" i="4"/>
  <c r="BQ18" i="4"/>
  <c r="BQ27" i="4"/>
  <c r="BQ24" i="4"/>
  <c r="BQ19" i="4"/>
  <c r="BQ20" i="4"/>
  <c r="BQ23" i="4"/>
  <c r="BQ7" i="4"/>
  <c r="BQ11" i="4"/>
  <c r="BQ10" i="4"/>
  <c r="BQ12" i="4"/>
  <c r="BQ6" i="4"/>
  <c r="BQ3" i="4"/>
  <c r="BQ28" i="4"/>
  <c r="BQ8" i="4"/>
  <c r="BQ29" i="4"/>
  <c r="BQ16" i="4"/>
  <c r="BQ15" i="4"/>
  <c r="BQ25" i="4"/>
  <c r="BQ4" i="4"/>
  <c r="BQ26" i="4"/>
  <c r="BQ17" i="4"/>
  <c r="BQ13" i="4"/>
  <c r="BQ9" i="4"/>
  <c r="BQ14" i="4"/>
  <c r="BQ21" i="4"/>
  <c r="BQ5" i="4"/>
  <c r="BR9" i="4"/>
  <c r="BR20" i="4"/>
  <c r="BR8" i="4"/>
  <c r="BR21" i="4"/>
  <c r="BR27" i="4"/>
  <c r="BR28" i="4"/>
  <c r="BR23" i="4"/>
  <c r="BR13" i="4"/>
  <c r="BR12" i="4"/>
  <c r="BR19" i="4"/>
  <c r="BR7" i="4"/>
  <c r="BR29" i="4"/>
  <c r="BR26" i="4"/>
  <c r="BR17" i="4"/>
  <c r="BR24" i="4"/>
  <c r="BR4" i="4"/>
  <c r="BR11" i="4"/>
  <c r="BR22" i="4"/>
  <c r="BR18" i="4"/>
  <c r="BR5" i="4"/>
  <c r="BR16" i="4"/>
  <c r="BR25" i="4"/>
  <c r="BR15" i="4"/>
  <c r="BR3" i="4"/>
  <c r="BR14" i="4"/>
  <c r="BR10" i="4"/>
  <c r="BS15" i="4"/>
  <c r="BS10" i="4"/>
  <c r="BS6" i="4"/>
  <c r="BS5" i="4"/>
  <c r="BS11" i="4"/>
  <c r="BS28" i="4"/>
  <c r="BS26" i="4"/>
  <c r="BS21" i="4"/>
  <c r="BS16" i="4"/>
  <c r="BS27" i="4"/>
  <c r="BS22" i="4"/>
  <c r="BS17" i="4"/>
  <c r="BS12" i="4"/>
  <c r="BS23" i="4"/>
  <c r="BS7" i="4"/>
  <c r="BS18" i="4"/>
  <c r="BS29" i="4"/>
  <c r="BS13" i="4"/>
  <c r="BS24" i="4"/>
  <c r="BS8" i="4"/>
  <c r="BS19" i="4"/>
  <c r="BS3" i="4"/>
  <c r="BS14" i="4"/>
  <c r="BS25" i="4"/>
  <c r="BS9" i="4"/>
  <c r="BS20" i="4"/>
  <c r="H123" i="4"/>
  <c r="K135" i="4" s="1"/>
  <c r="H122" i="4"/>
  <c r="BD32" i="4" l="1"/>
  <c r="AB32" i="4" s="1"/>
  <c r="BT3" i="4"/>
  <c r="BT18" i="4"/>
  <c r="BT9" i="4"/>
  <c r="BT21" i="4"/>
  <c r="BT24" i="4"/>
  <c r="BT19" i="4"/>
  <c r="BT20" i="4"/>
  <c r="BT4" i="4" l="1"/>
  <c r="BT6" i="4"/>
  <c r="BT13" i="4"/>
  <c r="BT15" i="4"/>
  <c r="BT5" i="4" l="1"/>
  <c r="BT7" i="4" s="1"/>
  <c r="BT8" i="4" s="1"/>
  <c r="BT10" i="4" s="1"/>
  <c r="BT17" i="4"/>
  <c r="BT29" i="4" s="1"/>
  <c r="BT11" i="4" l="1"/>
  <c r="BT22" i="4"/>
  <c r="BT12" i="4" l="1"/>
  <c r="BT14" i="4"/>
  <c r="BT16" i="4" s="1"/>
  <c r="BT25" i="4" l="1"/>
  <c r="BT23" i="4"/>
  <c r="BT27" i="4" s="1"/>
  <c r="BT26" i="4"/>
  <c r="BT28" i="4" l="1"/>
  <c r="AW129" i="4" s="1"/>
  <c r="AU141" i="4" s="1"/>
  <c r="AX128" i="4"/>
  <c r="K133" i="4" s="1"/>
  <c r="AU133" i="4" l="1"/>
  <c r="AX129" i="4"/>
  <c r="BC128" i="4"/>
  <c r="BA128" i="4"/>
  <c r="BB128" i="4"/>
  <c r="B131" i="4"/>
  <c r="BB129" i="4" l="1"/>
  <c r="BC129" i="4"/>
  <c r="BA129" i="4"/>
  <c r="AU135" i="4" s="1"/>
  <c r="W135" i="4" s="1"/>
  <c r="Q137" i="4"/>
  <c r="K23" i="7" s="1"/>
  <c r="AM133" i="4"/>
  <c r="K137" i="4" l="1"/>
  <c r="DC2" i="4"/>
  <c r="DE1" i="4" s="1"/>
  <c r="AY130" i="4"/>
  <c r="U147" i="4" s="1"/>
  <c r="AU137" i="4" l="1"/>
  <c r="AX135" i="4"/>
  <c r="AV137" i="4" s="1"/>
  <c r="AU144" i="4" s="1"/>
  <c r="C43" i="7" s="1"/>
  <c r="DG1" i="4"/>
  <c r="DH1" i="4"/>
  <c r="DP1" i="4"/>
  <c r="DO1" i="4"/>
  <c r="DQ1" i="4"/>
  <c r="DL1" i="4"/>
  <c r="DK1" i="4"/>
  <c r="DI1" i="4"/>
  <c r="DJ1" i="4"/>
  <c r="DF1" i="4"/>
  <c r="AY131" i="4"/>
  <c r="AZ131" i="4" s="1"/>
  <c r="DM1" i="4"/>
  <c r="DN1" i="4"/>
  <c r="DD1" i="4"/>
  <c r="W137" i="4" l="1"/>
  <c r="C12" i="7"/>
  <c r="F17" i="7" s="1"/>
  <c r="H17" i="7" s="1"/>
  <c r="DW1" i="4"/>
  <c r="DX1" i="4"/>
  <c r="X147" i="4"/>
  <c r="M49" i="7"/>
  <c r="D45" i="7"/>
  <c r="D49" i="7"/>
  <c r="V46" i="7"/>
  <c r="M23" i="7" l="1"/>
  <c r="D23" i="7"/>
  <c r="V20" i="7"/>
  <c r="D27" i="7"/>
  <c r="D29" i="7"/>
  <c r="F18" i="7"/>
  <c r="D26" i="7"/>
  <c r="D30" i="7"/>
  <c r="D15" i="7"/>
  <c r="F15" i="7" s="1"/>
  <c r="D28" i="7"/>
  <c r="D14" i="7"/>
  <c r="F14" i="7" s="1"/>
  <c r="DB3" i="4"/>
  <c r="DB4" i="4" s="1"/>
  <c r="DB5" i="4" s="1"/>
  <c r="DB6" i="4" s="1"/>
  <c r="DB7" i="4" l="1"/>
  <c r="DB8" i="4" l="1"/>
  <c r="DB9" i="4" l="1"/>
  <c r="DB10" i="4" l="1"/>
  <c r="DB11" i="4" l="1"/>
  <c r="DB12" i="4" l="1"/>
  <c r="DB13" i="4" s="1"/>
  <c r="DB14" i="4" l="1"/>
  <c r="DB15" i="4" l="1"/>
  <c r="DB16" i="4" l="1"/>
  <c r="DB17" i="4" l="1"/>
  <c r="DB18" i="4" s="1"/>
  <c r="DB19" i="4" l="1"/>
  <c r="DB20" i="4" s="1"/>
  <c r="DB21" i="4" s="1"/>
  <c r="DB22" i="4" s="1"/>
  <c r="DB23" i="4" l="1"/>
  <c r="DB24" i="4" s="1"/>
  <c r="DB25" i="4" s="1"/>
  <c r="DB26" i="4" s="1"/>
  <c r="DB27" i="4" s="1"/>
  <c r="DB28" i="4" s="1"/>
  <c r="DB29" i="4" l="1"/>
  <c r="DB30" i="4" s="1"/>
  <c r="D150" i="4" l="1"/>
  <c r="R150" i="4"/>
  <c r="C151" i="4"/>
  <c r="D151" i="4" s="1"/>
  <c r="R151" i="4" l="1"/>
  <c r="C152" i="4"/>
  <c r="R152" i="4" s="1"/>
  <c r="C153" i="4" l="1"/>
  <c r="C154" i="4" s="1"/>
  <c r="D152" i="4"/>
  <c r="R153" i="4" l="1"/>
  <c r="D153" i="4"/>
  <c r="D154" i="4"/>
  <c r="C155" i="4"/>
  <c r="R154" i="4"/>
  <c r="R155" i="4" l="1"/>
  <c r="C156" i="4"/>
  <c r="D155" i="4"/>
  <c r="R156" i="4" l="1"/>
  <c r="D156" i="4"/>
  <c r="C157" i="4"/>
  <c r="D157" i="4" l="1"/>
  <c r="R157" i="4"/>
  <c r="C158" i="4"/>
  <c r="D158" i="4" l="1"/>
  <c r="R158" i="4"/>
  <c r="C159" i="4"/>
  <c r="C160" i="4" l="1"/>
  <c r="R159" i="4"/>
  <c r="D159" i="4"/>
  <c r="R160" i="4" l="1"/>
  <c r="C161" i="4"/>
  <c r="D160" i="4"/>
  <c r="R161" i="4" l="1"/>
  <c r="C162" i="4"/>
  <c r="D161" i="4"/>
  <c r="R162" i="4" l="1"/>
  <c r="C163" i="4"/>
  <c r="D162" i="4"/>
  <c r="R163" i="4" l="1"/>
  <c r="D163" i="4"/>
  <c r="C164" i="4"/>
  <c r="D164" i="4" l="1"/>
  <c r="R164" i="4"/>
  <c r="C165" i="4"/>
  <c r="R165" i="4" l="1"/>
  <c r="D165" i="4"/>
  <c r="C166" i="4"/>
  <c r="R166" i="4" l="1"/>
  <c r="C167" i="4"/>
  <c r="D166" i="4"/>
  <c r="R167" i="4" l="1"/>
  <c r="D167" i="4"/>
  <c r="C168" i="4"/>
  <c r="R168" i="4" l="1"/>
  <c r="C169" i="4"/>
  <c r="D168" i="4"/>
  <c r="C170" i="4" l="1"/>
  <c r="D169" i="4"/>
  <c r="R169" i="4"/>
  <c r="R170" i="4" l="1"/>
  <c r="D170" i="4"/>
  <c r="C171" i="4"/>
  <c r="D171" i="4" l="1"/>
  <c r="R171" i="4"/>
  <c r="AD151" i="4" s="1"/>
  <c r="X153" i="4" l="1"/>
  <c r="AU151" i="4"/>
</calcChain>
</file>

<file path=xl/sharedStrings.xml><?xml version="1.0" encoding="utf-8"?>
<sst xmlns="http://schemas.openxmlformats.org/spreadsheetml/2006/main" count="552" uniqueCount="272">
  <si>
    <t>Alkalmassági teszt</t>
  </si>
  <si>
    <t>,</t>
  </si>
  <si>
    <t>/</t>
  </si>
  <si>
    <t>Igénypontosítás</t>
  </si>
  <si>
    <t>1.</t>
  </si>
  <si>
    <t>Milyen célból kíván életbiztosítást kötni?</t>
  </si>
  <si>
    <t>Milyen időtartamra kíván életbiztosítást kötni?</t>
  </si>
  <si>
    <t>2.</t>
  </si>
  <si>
    <t>3.</t>
  </si>
  <si>
    <t>Az Ön által belátható időn belül mekkora összegű díj megfizetését tudja várhatóan vállalni az előnyben részesített díjfizetési gyakoriságnak és tartamnak megfelelően?</t>
  </si>
  <si>
    <t>Biztosítási díj:</t>
  </si>
  <si>
    <t>Ft</t>
  </si>
  <si>
    <t>hó</t>
  </si>
  <si>
    <t>negyedév</t>
  </si>
  <si>
    <t>félév</t>
  </si>
  <si>
    <t>év</t>
  </si>
  <si>
    <t>egyszeri</t>
  </si>
  <si>
    <t>a)</t>
  </si>
  <si>
    <t>b)</t>
  </si>
  <si>
    <t>Alkalmasság és megfelelőség</t>
  </si>
  <si>
    <t>4.</t>
  </si>
  <si>
    <t>5.</t>
  </si>
  <si>
    <t>a) Nyugdíjcélú öngondoskodás, adójóváírási lehetőséggel</t>
  </si>
  <si>
    <t>b) Gyermekek életkezdésének, taníttatásának támogatása</t>
  </si>
  <si>
    <t>c) Ingatlanvásárlás, felújítás</t>
  </si>
  <si>
    <t>d) Egyéb célok:</t>
  </si>
  <si>
    <t>6.</t>
  </si>
  <si>
    <t>Mi a legmagasabb iskolai végzettsége?</t>
  </si>
  <si>
    <t>a) Legfeljebb 7 osztály</t>
  </si>
  <si>
    <t>b) Alapfokú</t>
  </si>
  <si>
    <t>c) Középfokú (gimnáziumi, szakközépiskolai, egyéb)</t>
  </si>
  <si>
    <t>d) Felsőfokú (egyetemi, főiskolai)</t>
  </si>
  <si>
    <t>a) Biztosítási védelem</t>
  </si>
  <si>
    <t>b) Biztosítási védelem és megtakarítási cél</t>
  </si>
  <si>
    <t>c) Biztosítási védelem kiegészítő szolgáltatásokkal és megtakarítási céllal</t>
  </si>
  <si>
    <t>b) Nyugdíjkorhatárra</t>
  </si>
  <si>
    <t>c) Teljes életre, legalább 15 éves megtakarítási szándékkal</t>
  </si>
  <si>
    <t>d) Egyik sem</t>
  </si>
  <si>
    <t>Milyen befektetési célokból kíván biztosítást kötni?</t>
  </si>
  <si>
    <t>7.</t>
  </si>
  <si>
    <t>UL</t>
  </si>
  <si>
    <t>WL</t>
  </si>
  <si>
    <t>Kiegészítő</t>
  </si>
  <si>
    <t>a</t>
  </si>
  <si>
    <t>b</t>
  </si>
  <si>
    <t>c</t>
  </si>
  <si>
    <t>d</t>
  </si>
  <si>
    <t>a) Meghatározott tartamra:</t>
  </si>
  <si>
    <t>8.</t>
  </si>
  <si>
    <t>9.</t>
  </si>
  <si>
    <t>11.</t>
  </si>
  <si>
    <t>Kérjük, válasszon az alábbi állítások közül egyet, amely leginkább jellemzi az Ön kockázatvállalási hajlandóságát, veszteségviselő képességét!</t>
  </si>
  <si>
    <t>a) A tőkém biztonsága a legfontosabb számomra, ezért nem szeretném, ha a tőkém kockázatnak lenne kitéve.</t>
  </si>
  <si>
    <t>b) A tőkém biztonsága fontos számomra, a kockázatok csökkentése érdekében lemondok a magasabb hozamok lehetőségéről, de tudom, hogy a befektetések értéke ingadozhat, így kisebb tőkeveszteséget hajlandó vagyok elfogadni.</t>
  </si>
  <si>
    <t>c) A nagyobb hozam reményében több kockázatot is elfogadhatónak tartok, még akár a tőkém nagyobb csökkenésének árán is.</t>
  </si>
  <si>
    <t>12.</t>
  </si>
  <si>
    <t>10.</t>
  </si>
  <si>
    <t>Az alábbi válaszok 4 befektetés lehetséges legmagasabb és legalacsonyabb éves hozamát mutatja be. Melyiket választaná?</t>
  </si>
  <si>
    <t>a) Nem szeretem ha megtakarításom értéke ingadozik, inkább olyan befektetést választok ahol a megtérülés előre kiszámítható, pl. bankbetét.</t>
  </si>
  <si>
    <t>b) Legmagasabb: 7%, legalacsonyabb: –5%</t>
  </si>
  <si>
    <t>c) Legmagasabb:  35%, legalacsonyabb: –20%</t>
  </si>
  <si>
    <t>d) Legmagasabb:  50%, legalacsonyabb: –30%</t>
  </si>
  <si>
    <t>13.</t>
  </si>
  <si>
    <t>d) A kiemelkedő hozam reményében magas kockázatot is vállalnék, tőkém jelentős részének kockáztatásának árán is
(a befektetett összeg jelentős részét normál piaci körülmények esetén is elveszíthetem).</t>
  </si>
  <si>
    <t>Szerződő szül. helye, ideje:</t>
  </si>
  <si>
    <t>Cégjegyzékszáma:</t>
  </si>
  <si>
    <t>Szerződő ügyfél neve:</t>
  </si>
  <si>
    <t>Tisztelt Ügyfelünk!</t>
  </si>
  <si>
    <t>Bonus Five</t>
  </si>
  <si>
    <t>Dimenziók Bónusz</t>
  </si>
  <si>
    <t>Favorit Bónusz</t>
  </si>
  <si>
    <t>Harmónia Bónusz</t>
  </si>
  <si>
    <t>Harmónia Classic</t>
  </si>
  <si>
    <t>Jövőkulcs Bonus</t>
  </si>
  <si>
    <t>Jövőkulcs Classic</t>
  </si>
  <si>
    <t>Life Planet Bonus</t>
  </si>
  <si>
    <t>Life Planet x1</t>
  </si>
  <si>
    <t>Pension Invest III.</t>
  </si>
  <si>
    <t>Platinum Bonus VIP</t>
  </si>
  <si>
    <t>Premium 110</t>
  </si>
  <si>
    <t>Pro Viva 3</t>
  </si>
  <si>
    <t>ProLong Life</t>
  </si>
  <si>
    <t>Talon Duo (EUR)</t>
  </si>
  <si>
    <t>Talon Duo (HUF)</t>
  </si>
  <si>
    <t>Talon Duo VIP (EUR)</t>
  </si>
  <si>
    <t>Talon Duo VIP (HUF)</t>
  </si>
  <si>
    <t>Exkluzív</t>
  </si>
  <si>
    <t>OVB</t>
  </si>
  <si>
    <t>Quantis</t>
  </si>
  <si>
    <t>Raiffesisen</t>
  </si>
  <si>
    <t>Alkusz</t>
  </si>
  <si>
    <t>Tartam Min</t>
  </si>
  <si>
    <t>Tartam Max</t>
  </si>
  <si>
    <t>Nyugdíj</t>
  </si>
  <si>
    <t>H</t>
  </si>
  <si>
    <t>E</t>
  </si>
  <si>
    <t>NY</t>
  </si>
  <si>
    <t>R</t>
  </si>
  <si>
    <t>KL</t>
  </si>
  <si>
    <t>Csatorna</t>
  </si>
  <si>
    <t>b) Nem, nem befektetési egységekhez kötött biztosítást szeretnék</t>
  </si>
  <si>
    <t>a) Igen, befektetési egységekhez kötött biztosítást szeretnék</t>
  </si>
  <si>
    <t>Vállalja-e a befektetési döntések meghozatalát, vállal-e befektetési kockázatot?</t>
  </si>
  <si>
    <t>a) hó</t>
  </si>
  <si>
    <t>b) negyedév</t>
  </si>
  <si>
    <t>c) félév</t>
  </si>
  <si>
    <t>d) év</t>
  </si>
  <si>
    <t>e) egyszeri</t>
  </si>
  <si>
    <t>Rendszeres jövedelmek</t>
  </si>
  <si>
    <t>a) Kérjük, jelölje meg, hogy milyen forrásokból rendelkezik rendszeres jövedelemmel!</t>
  </si>
  <si>
    <t>b) Kérjük, adja meg rendszeres nettó jövedelmeinek egy hónapra vetített, hozzávetőleges nagyságát!</t>
  </si>
  <si>
    <t>Munkabér</t>
  </si>
  <si>
    <t>Rokkantsági nyugdíj</t>
  </si>
  <si>
    <t>Életjáradék</t>
  </si>
  <si>
    <t>Befektetési hozamok</t>
  </si>
  <si>
    <t>Ingatlan jövedelem</t>
  </si>
  <si>
    <t>Vállalkozási bevételek</t>
  </si>
  <si>
    <t>Egyéb, máshová nem sorolható</t>
  </si>
  <si>
    <t>a) 100 ezer Ft alatt</t>
  </si>
  <si>
    <t>b) 100 - 300 ezer Ft</t>
  </si>
  <si>
    <t>c) 301 - 500 ezer Ft</t>
  </si>
  <si>
    <t>d) 500 ezer Ft felett</t>
  </si>
  <si>
    <t>Rendszeres pénzügyi kötelezettségek</t>
  </si>
  <si>
    <t>a) Kérjük, jelölje meg, hogy milyen rendszeres pénzügyi kötelezettségei vannak!</t>
  </si>
  <si>
    <t>b) Kérjük, adja meg rendszeres pénzügyi kötelezettségeinek egy hónapra vetített, hozzávetőleges nagyságát!</t>
  </si>
  <si>
    <t>Rezsi költségek</t>
  </si>
  <si>
    <t>Kölcsön, hiteltörlesztés</t>
  </si>
  <si>
    <t>Gyerektartás</t>
  </si>
  <si>
    <t>Vagyoni helyzet</t>
  </si>
  <si>
    <t>a) Kérjük, jelölje meg, hogy milyen megtakarításokkal, vagyonelemekkel rendelkezik!</t>
  </si>
  <si>
    <t>b) Kérjük, adja meg szabadon felhasználható megtakarításának/vagyonának hozzávetőleges nagyságát!</t>
  </si>
  <si>
    <t>Likvid eszközök/készpénz</t>
  </si>
  <si>
    <t>Befektetések</t>
  </si>
  <si>
    <t>Ingatlanok</t>
  </si>
  <si>
    <t>a) 500 ezer Ft alatt</t>
  </si>
  <si>
    <t>b) 500 ezer Ft - 3 millió Ft</t>
  </si>
  <si>
    <t>c) 3 millió Ft felett</t>
  </si>
  <si>
    <t>Az alábbi befektetések közül kérjük, jelölje meg azokat, amelyek jellemzőit, így kockázatait is ismeri!</t>
  </si>
  <si>
    <t>Az alábbi pénzügyi termékek közül kérjük, jelölje meg azokat, amelyekben legalább 2 évig volt befektetése!</t>
  </si>
  <si>
    <t>Kötvény</t>
  </si>
  <si>
    <t>Részvény</t>
  </si>
  <si>
    <t>Ingatlan</t>
  </si>
  <si>
    <t>Arany/nemesfém</t>
  </si>
  <si>
    <t>Egyik sem</t>
  </si>
  <si>
    <t>Ajánlott termék</t>
  </si>
  <si>
    <t>e</t>
  </si>
  <si>
    <t>Elért pontszám</t>
  </si>
  <si>
    <t>Elérendő pontszám</t>
  </si>
  <si>
    <t>Konzervatív</t>
  </si>
  <si>
    <t>Mérsékelten konzervatív</t>
  </si>
  <si>
    <t>Kiegyensúlyozott</t>
  </si>
  <si>
    <t>Mérsékelten kockázatvállaló</t>
  </si>
  <si>
    <t>Kockázatvállaló</t>
  </si>
  <si>
    <t>10. kérdés</t>
  </si>
  <si>
    <t>11. kérdés</t>
  </si>
  <si>
    <t>c)</t>
  </si>
  <si>
    <t>d)</t>
  </si>
  <si>
    <t>Befektetői profilok</t>
  </si>
  <si>
    <t>KLASSZIKUS</t>
  </si>
  <si>
    <t>Tényleges válasz</t>
  </si>
  <si>
    <t>Megállapított profil</t>
  </si>
  <si>
    <t>Termék:</t>
  </si>
  <si>
    <t>Típus:</t>
  </si>
  <si>
    <t>Tartam:</t>
  </si>
  <si>
    <t>Válasz</t>
  </si>
  <si>
    <t>Gyakoriság:</t>
  </si>
  <si>
    <t>Befektetői profil:</t>
  </si>
  <si>
    <t></t>
  </si>
  <si>
    <t></t>
  </si>
  <si>
    <t>Javasolt biztosítási megoldás</t>
  </si>
  <si>
    <t>Kockázat</t>
  </si>
  <si>
    <t>Kiegészítők:</t>
  </si>
  <si>
    <t>Választható termék(ek)</t>
  </si>
  <si>
    <t>Alkalmassági teszt eredménye</t>
  </si>
  <si>
    <t>Javasolt konstrukció</t>
  </si>
  <si>
    <t>Menedzselt kiegyensúlyozott</t>
  </si>
  <si>
    <t>Menedzselt konzervatív</t>
  </si>
  <si>
    <t>Menedzselt kötvénytúlsúlyos</t>
  </si>
  <si>
    <t>Menedzselt részvénytúlsúlyos</t>
  </si>
  <si>
    <t>Fejlett Piaci részvény</t>
  </si>
  <si>
    <t>Feltörekvő Piaci részvény</t>
  </si>
  <si>
    <t>Arany</t>
  </si>
  <si>
    <t>Forint Likviditás</t>
  </si>
  <si>
    <t>Globális kötvény</t>
  </si>
  <si>
    <t>Hazai részvény</t>
  </si>
  <si>
    <t>Kelet-közép-európai</t>
  </si>
  <si>
    <t>Magyar államkötvény</t>
  </si>
  <si>
    <t>Nemzetközi ingatlan</t>
  </si>
  <si>
    <t>ProtAktív Globális részvény</t>
  </si>
  <si>
    <t>Spektrum abszolút hozam</t>
  </si>
  <si>
    <t>Új technológiák</t>
  </si>
  <si>
    <t>Cél 2030</t>
  </si>
  <si>
    <t>Cél 2035</t>
  </si>
  <si>
    <t>Cél 2040</t>
  </si>
  <si>
    <t>Cél 2045</t>
  </si>
  <si>
    <t>Cél 2050</t>
  </si>
  <si>
    <t>Rövid lejáratú pénzpiaci termékekbe fektető</t>
  </si>
  <si>
    <t>Kötvényes ügyfél</t>
  </si>
  <si>
    <t>Részvényes ügyfél</t>
  </si>
  <si>
    <t>Ingatlanos ügyfél</t>
  </si>
  <si>
    <t>Arany ügyfél</t>
  </si>
  <si>
    <t>Egyik sem ügyfél</t>
  </si>
  <si>
    <t>€-Likviditás</t>
  </si>
  <si>
    <t>€-Menedzselt konzervatív</t>
  </si>
  <si>
    <t>€-Menedzselt kötvénytúlsúlyos</t>
  </si>
  <si>
    <t>€-Spektrum abszolút hozam</t>
  </si>
  <si>
    <t>€-Menedzselt részvénytúlsúlyos</t>
  </si>
  <si>
    <t>€-Arany</t>
  </si>
  <si>
    <t>Termékkód:</t>
  </si>
  <si>
    <t>Eszközalap neve</t>
  </si>
  <si>
    <t>Választható</t>
  </si>
  <si>
    <t>Összaránya:</t>
  </si>
  <si>
    <t>Összkockázata:</t>
  </si>
  <si>
    <t>Kiválasztott eszközalapok</t>
  </si>
  <si>
    <t>Arány %</t>
  </si>
  <si>
    <t>Hiba/ellentmondás</t>
  </si>
  <si>
    <t>Szerződő szül. helye, ideje / Cégjegyzékszáma:</t>
  </si>
  <si>
    <t>Az alkalmassági teszt célja, hogy a biztosításközvetítők – a törvényi rendelkezéseknek megfelelően – az Ön számára a leginkább megfelelő terméket tudjanak ajánlani.
Az Alkalmassági teszt első része (1–3.) az Ön igényeinek pontosítására szolgál, míg a második rész (4–13.) azt vizsgálja, hogy milyen biztosítási alapú befektetési termék alkalmas és megfelelő az Ön számára. Az igénypontosítás célja, hogy igényeinek és szükségleteinek legmegfelelőbb életbiztosítás megkötésére tehessünk javaslatot.
Felhívjuk figyelmét, hogy kizárólag az Ön számára alkalmas és megfelelő termék értékesítésére van lehetőségünk. A kérdések megválaszolatlanul hagyása esetén az Ön számára biztosítási alapú befektetési termék értékesítésére nincs lehetőségünk.</t>
  </si>
  <si>
    <t>Alulírott ügyfél nyilatkozom, hogy az Alkalmassági tesztben szereplő adatok, információk megegyeznek az általam megadottakkal.</t>
  </si>
  <si>
    <t>Dátum:</t>
  </si>
  <si>
    <t>Ügyfél aláírása:</t>
  </si>
  <si>
    <t>Alkalmassági nyilatkozat</t>
  </si>
  <si>
    <t>Kérjük, a jelen Alkalmassági nyilatkozatban foglaltakat a biztosítási ajánlatának megtétele előtt figyelmesen olvassa végig!</t>
  </si>
  <si>
    <t>Az Ön nyilatkozata alapján kitöltött és a befektetői profilt felmérő „Alkalmassági teszt” (AT) alapján:</t>
  </si>
  <si>
    <t>Az Ön számára (az AT 1., 2., 4., 5., 6., 10. és 11. kérdésére adott válasza alapján) a(z)</t>
  </si>
  <si>
    <r>
      <t xml:space="preserve">nevű </t>
    </r>
    <r>
      <rPr>
        <b/>
        <sz val="10"/>
        <rFont val="Calibri"/>
        <family val="2"/>
        <charset val="238"/>
        <scheme val="minor"/>
      </rPr>
      <t>befektetési egységekhez kötött nyugdíjbiztosítást</t>
    </r>
  </si>
  <si>
    <r>
      <t xml:space="preserve">nevű </t>
    </r>
    <r>
      <rPr>
        <b/>
        <sz val="10"/>
        <rFont val="Calibri"/>
        <family val="2"/>
        <charset val="238"/>
        <scheme val="minor"/>
      </rPr>
      <t>befektetési egységekhez kötött életbiztosítást</t>
    </r>
  </si>
  <si>
    <r>
      <rPr>
        <b/>
        <sz val="10"/>
        <rFont val="Calibri"/>
        <family val="2"/>
        <charset val="238"/>
        <scheme val="minor"/>
      </rPr>
      <t>éves</t>
    </r>
    <r>
      <rPr>
        <sz val="10"/>
        <rFont val="Calibri"/>
        <family val="2"/>
        <charset val="238"/>
        <scheme val="minor"/>
      </rPr>
      <t xml:space="preserve"> tartammal</t>
    </r>
  </si>
  <si>
    <t>teljes életre szóló tartammal</t>
  </si>
  <si>
    <t>ajánljuk, amelyhez (az AT 1. kérdésére adott válasza alapján)</t>
  </si>
  <si>
    <r>
      <t xml:space="preserve">az Ön számára a következő </t>
    </r>
    <r>
      <rPr>
        <b/>
        <sz val="10"/>
        <rFont val="Calibri"/>
        <family val="2"/>
        <charset val="238"/>
        <scheme val="minor"/>
      </rPr>
      <t xml:space="preserve">kiegészítő </t>
    </r>
    <r>
      <rPr>
        <sz val="10"/>
        <rFont val="Calibri"/>
        <family val="2"/>
        <charset val="238"/>
        <scheme val="minor"/>
      </rPr>
      <t>biztosításokat ajánljuk*:</t>
    </r>
  </si>
  <si>
    <t>* Amennyiben üresen marad, úgy kiegészítő biztosítást nem ajánlunk.</t>
  </si>
  <si>
    <r>
      <t xml:space="preserve">A javasolt konstrukció Ön számára alkalmas </t>
    </r>
    <r>
      <rPr>
        <b/>
        <sz val="10"/>
        <rFont val="Calibri"/>
        <family val="2"/>
        <charset val="238"/>
        <scheme val="minor"/>
      </rPr>
      <t xml:space="preserve">díja </t>
    </r>
    <r>
      <rPr>
        <sz val="10"/>
        <rFont val="Calibri"/>
        <family val="2"/>
        <charset val="238"/>
        <scheme val="minor"/>
      </rPr>
      <t>(az AT 3., 7., 8. és 9. kérdésére adott válasza alapján)</t>
    </r>
  </si>
  <si>
    <t>Ft,</t>
  </si>
  <si>
    <r>
      <t xml:space="preserve">gyakorisággal </t>
    </r>
    <r>
      <rPr>
        <sz val="10"/>
        <rFont val="Calibri"/>
        <family val="2"/>
        <charset val="238"/>
        <scheme val="minor"/>
      </rPr>
      <t>fizetve.</t>
    </r>
  </si>
  <si>
    <r>
      <t xml:space="preserve">Önt (az AT 10. és 11. kérdésére adott válasza alapján) a következő </t>
    </r>
    <r>
      <rPr>
        <b/>
        <sz val="10"/>
        <rFont val="Calibri"/>
        <family val="2"/>
        <charset val="238"/>
        <scheme val="minor"/>
      </rPr>
      <t xml:space="preserve">befektetői profilba </t>
    </r>
    <r>
      <rPr>
        <sz val="10"/>
        <rFont val="Calibri"/>
        <family val="2"/>
        <charset val="238"/>
        <scheme val="minor"/>
      </rPr>
      <t>soroltuk:</t>
    </r>
  </si>
  <si>
    <t>Konzervatív befektető</t>
  </si>
  <si>
    <t>Mérsékelten konzervatív befektető</t>
  </si>
  <si>
    <t>Kiegyensúlyozott befektető</t>
  </si>
  <si>
    <t>Mérsékelten kockázatvállaló befektető</t>
  </si>
  <si>
    <t>Kockázatvállaló befektető</t>
  </si>
  <si>
    <t>Felhívjuk figyelmét, hogy nem választhat olyan befektetési összetételt, amelynél az eszközalapok egészre kerekített átlagos kockázata magasabb, mint amit az Ön befektetői profilja megenged. Nem választhat továbbá olyan eszközalapokat sem, amelyek eszközosztályára egyszerre igaz, hogy nem ismeri (AT 12. kérdés), és hogy nincs rá vonatkozó befektetési tapasztalata (AT 13. kérdés), kivéve, ha az eszközalap nevében a „Menedzselt” kifejezés szerepel.
Az Ön befektetői profiljához, illetve a befektetési céljához illeszkedő befektetési összetétel megőrzése érdekében kérjük, hogy amennyiben az eszközalapok közötti díjmegosztást a későbbiekben módosítani kívánja, vagy a befektetéseit az elérhető eszközalapok között akésőbbiekben átcsoportosítaná, legyen tekintettel az egyes eszközalapok befektetési politikájában leírt kockázatokra! Az ajánlott biztosítási termék indokolja, hogy ezekben az esetekben, továbbá rendszeres időközönként – ha nem kizárólag egyetlen, a nevében a „Menedzselt” kifejezést tartalmazó eszközalapból áll a befektetése – biztosítási közvetítőjétől vagy az UNIQA Biztosítótól a befektetési összetétel felülvizsgálatát kérje annak érdekében, hogy a választott konstrukció alkalmassága, megfelelősége fennmaradjon.</t>
  </si>
  <si>
    <r>
      <t xml:space="preserve">nevű </t>
    </r>
    <r>
      <rPr>
        <b/>
        <sz val="10"/>
        <rFont val="Calibri"/>
        <family val="2"/>
        <charset val="238"/>
        <scheme val="minor"/>
      </rPr>
      <t xml:space="preserve">hagyományos nyugdíjbiztosítást </t>
    </r>
    <r>
      <rPr>
        <sz val="10"/>
        <rFont val="Calibri"/>
        <family val="2"/>
        <charset val="238"/>
        <scheme val="minor"/>
      </rPr>
      <t>ajánljuk, amelyhez (az AT 1. kérdésére adott válasza alapján)</t>
    </r>
  </si>
  <si>
    <t>E biztosítási termék konstrukciója nem teszi szükségessé, hogy Ön rendszeresen a szerződésre vonatkozó rendelkezései felülvizsgálatát kérje.</t>
  </si>
  <si>
    <t>Az ajánlott biztosítási termék részletes indoklása:</t>
  </si>
  <si>
    <r>
      <t xml:space="preserve">Tájékoztatjuk, hogy a biztosítási szerződés megkötését követően nem nyújtunk rendszeres tanácsadást, és nem végzünk rendszeres értékelést az alkalmasság tekintetében.
Tájékoztatjuk, hogy összeférhetetlenségi (érdekkonfliktusos) helyzet állhat elő, ha Ön egy korábban kötött biztosítás alapú befektetési szerződését annak lejárata előtt megszünteti, hogy új hasonló szerződést kössön, mivel a biztosításközvetítő az új szerződés után javadalmazásban részesül, ami a korábbi szerződéssel kapcsolatban felmerült szerződéskötési költséggel együtt már aránytalan terhet jelenthet az Ön számára.
Alulírott Szerződő kijelentem, hogy
</t>
    </r>
    <r>
      <rPr>
        <sz val="10"/>
        <rFont val="Calibri"/>
        <family val="2"/>
        <charset val="238"/>
        <scheme val="minor"/>
      </rPr>
      <t>• a jelen Alkalmassági nyilatkozat áttanulmányozására, értelmezésére az ajánlatom megtételét megelőzően kellő idő állt a rendelkezésemre;
• a jelen Alkalmassági nyilatkozatot a biztosítási szerződés megkötése előtt megértettem, és abból egy (másolati) példányt átvettem;
• megértettem, hogy a jelen biztosítási értékesítés során nyújtott tanácsadás nem minősül befektetési tanácsadásnak;
• megértettem, hogy a biztosításközvetítő a tanácsadást az általam nyújtott, írásban rögzített információkra alapozta.</t>
    </r>
  </si>
  <si>
    <t>Kelt:</t>
  </si>
  <si>
    <t>A közvetített termékre vonatkozó tanácsadást az Ügyfélről szerzett információkra alapoztam.</t>
  </si>
  <si>
    <t>Biztosításközvetítő aláírása:</t>
  </si>
  <si>
    <t>Módozat:</t>
  </si>
  <si>
    <t>Kiegészítő biztosítások:</t>
  </si>
  <si>
    <t>Megállapított kockázati szint</t>
  </si>
  <si>
    <t>Termékjavaslat
részletes indoklása:</t>
  </si>
  <si>
    <t>Tartam min</t>
  </si>
  <si>
    <t>Tartam max</t>
  </si>
  <si>
    <t>Minimumdíj</t>
  </si>
  <si>
    <t>Éves minimumdíj</t>
  </si>
  <si>
    <t>EUR Árfolyam</t>
  </si>
  <si>
    <t>Éves díj</t>
  </si>
  <si>
    <t>Terméktípus (UL, KL)</t>
  </si>
  <si>
    <t>Gyakoriság (R, E)</t>
  </si>
  <si>
    <t>Tartam (NY, H, WL)</t>
  </si>
  <si>
    <t>HUF</t>
  </si>
  <si>
    <t>EUR</t>
  </si>
  <si>
    <t>Befektetési portfólió tervező</t>
  </si>
  <si>
    <t>Elérhető devizák</t>
  </si>
  <si>
    <t>Alapdeviza: HUF</t>
  </si>
  <si>
    <t>Elérhető esetivel: EUR</t>
  </si>
  <si>
    <t>Deviza</t>
  </si>
  <si>
    <t>Várható tartam</t>
  </si>
  <si>
    <t>Várható min.díj</t>
  </si>
  <si>
    <t>Választott díj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</si>
</sst>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charset val="238"/>
      <scheme val="minor"/>
    </font>
    <font>
      <b/>
      <sz val="11"/>
      <color theme="1"/>
      <name val="Calibri"/>
      <family val="2"/>
      <charset val="238"/>
      <scheme val="minor"/>
    </font>
    <font>
      <b/>
      <sz val="11"/>
      <color theme="0"/>
      <name val="Calibri"/>
      <family val="2"/>
      <charset val="238"/>
      <scheme val="minor"/>
    </font>
    <font>
      <b/>
      <sz val="14"/>
      <color theme="1"/>
      <name val="Calibri"/>
      <family val="2"/>
      <charset val="238"/>
      <scheme val="minor"/>
    </font>
    <font>
      <sz val="11"/>
      <color theme="0" tint="-0.34998626667073579"/>
      <name val="Calibri"/>
      <family val="2"/>
      <charset val="238"/>
      <scheme val="minor"/>
    </font>
    <font>
      <b/>
      <sz val="26"/>
      <color theme="1"/>
      <name val="Calibri"/>
      <family val="2"/>
      <charset val="238"/>
      <scheme val="minor"/>
    </font>
    <font>
      <b/>
      <sz val="11"/>
      <color rgb="FFC00000"/>
      <name val="Calibri"/>
      <family val="2"/>
      <charset val="238"/>
      <scheme val="minor"/>
    </font>
    <font>
      <sz val="24"/>
      <color rgb="FF00B050"/>
      <name val="Wingdings"/>
      <charset val="2"/>
    </font>
    <font>
      <b/>
      <sz val="16"/>
      <color theme="1"/>
      <name val="Calibri"/>
      <family val="2"/>
      <charset val="238"/>
      <scheme val="minor"/>
    </font>
    <font>
      <b/>
      <sz val="11"/>
      <name val="Calibri"/>
      <family val="2"/>
      <charset val="238"/>
      <scheme val="minor"/>
    </font>
    <font>
      <b/>
      <sz val="16"/>
      <color rgb="FF00B050"/>
      <name val="Wingdings"/>
      <charset val="2"/>
    </font>
    <font>
      <b/>
      <sz val="10"/>
      <color theme="1"/>
      <name val="Calibri"/>
      <family val="2"/>
      <charset val="238"/>
      <scheme val="minor"/>
    </font>
    <font>
      <sz val="10"/>
      <color theme="1"/>
      <name val="Calibri"/>
      <family val="2"/>
      <charset val="238"/>
      <scheme val="minor"/>
    </font>
    <font>
      <i/>
      <sz val="8"/>
      <color theme="0" tint="-0.14999847407452621"/>
      <name val="Calibri"/>
      <family val="2"/>
      <charset val="238"/>
      <scheme val="minor"/>
    </font>
    <font>
      <sz val="11"/>
      <name val="Calibri"/>
      <family val="2"/>
      <charset val="238"/>
      <scheme val="minor"/>
    </font>
    <font>
      <sz val="11"/>
      <color theme="0"/>
      <name val="Wingdings 3"/>
      <family val="1"/>
      <charset val="2"/>
    </font>
    <font>
      <b/>
      <sz val="11"/>
      <color rgb="FF002060"/>
      <name val="Calibri"/>
      <family val="2"/>
      <charset val="238"/>
      <scheme val="minor"/>
    </font>
    <font>
      <sz val="11"/>
      <color theme="0" tint="-0.14999847407452621"/>
      <name val="Calibri"/>
      <family val="2"/>
      <charset val="238"/>
      <scheme val="minor"/>
    </font>
    <font>
      <b/>
      <sz val="10"/>
      <color rgb="FF0066B3"/>
      <name val="Calibri"/>
      <family val="2"/>
      <charset val="238"/>
      <scheme val="minor"/>
    </font>
    <font>
      <b/>
      <sz val="14"/>
      <color rgb="FF002060"/>
      <name val="Calibri"/>
      <family val="2"/>
      <charset val="238"/>
      <scheme val="minor"/>
    </font>
    <font>
      <i/>
      <sz val="8"/>
      <color theme="0" tint="-0.499984740745262"/>
      <name val="Calibri"/>
      <family val="2"/>
      <charset val="238"/>
      <scheme val="minor"/>
    </font>
    <font>
      <b/>
      <sz val="8"/>
      <color rgb="FFC00000"/>
      <name val="Calibri"/>
      <family val="2"/>
      <charset val="238"/>
      <scheme val="minor"/>
    </font>
    <font>
      <b/>
      <sz val="22"/>
      <color theme="1"/>
      <name val="Calibri"/>
      <family val="2"/>
      <charset val="238"/>
      <scheme val="minor"/>
    </font>
    <font>
      <sz val="11"/>
      <color theme="1"/>
      <name val="Calibri"/>
      <family val="2"/>
      <charset val="238"/>
      <scheme val="minor"/>
    </font>
    <font>
      <sz val="11"/>
      <color rgb="FF002060"/>
      <name val="Calibri"/>
      <family val="2"/>
      <charset val="238"/>
      <scheme val="minor"/>
    </font>
    <font>
      <b/>
      <sz val="12"/>
      <color rgb="FFC00000"/>
      <name val="Calibri"/>
      <family val="2"/>
      <charset val="238"/>
      <scheme val="minor"/>
    </font>
    <font>
      <b/>
      <sz val="26"/>
      <name val="Calibri"/>
      <family val="2"/>
      <charset val="238"/>
      <scheme val="minor"/>
    </font>
    <font>
      <sz val="10"/>
      <name val="Calibri"/>
      <family val="2"/>
      <charset val="238"/>
      <scheme val="minor"/>
    </font>
    <font>
      <b/>
      <sz val="10"/>
      <name val="Calibri"/>
      <family val="2"/>
      <charset val="238"/>
      <scheme val="minor"/>
    </font>
    <font>
      <b/>
      <sz val="14"/>
      <name val="Calibri"/>
      <family val="2"/>
      <charset val="238"/>
      <scheme val="minor"/>
    </font>
    <font>
      <b/>
      <sz val="10"/>
      <name val="Wingdings"/>
      <charset val="2"/>
    </font>
    <font>
      <sz val="10"/>
      <name val="Wingdings"/>
      <charset val="2"/>
    </font>
    <font>
      <sz val="14"/>
      <name val="Calibri"/>
      <family val="2"/>
      <charset val="238"/>
      <scheme val="minor"/>
    </font>
    <font>
      <b/>
      <sz val="12"/>
      <color rgb="FF002060"/>
      <name val="Calibri"/>
      <family val="2"/>
      <charset val="238"/>
      <scheme val="minor"/>
    </font>
    <font>
      <sz val="8"/>
      <color theme="0" tint="-0.14999847407452621"/>
      <name val="Calibri"/>
      <family val="2"/>
      <charset val="238"/>
      <scheme val="minor"/>
    </font>
    <font>
      <b/>
      <sz val="9"/>
      <color rgb="FF0066B3"/>
      <name val="Calibri"/>
      <family val="2"/>
      <charset val="238"/>
      <scheme val="minor"/>
    </font>
  </fonts>
  <fills count="12">
    <fill>
      <patternFill patternType="none"/>
    </fill>
    <fill>
      <patternFill patternType="gray125"/>
    </fill>
    <fill>
      <patternFill patternType="solid">
        <fgColor rgb="FFFFFF00"/>
        <bgColor indexed="64"/>
      </patternFill>
    </fill>
    <fill>
      <patternFill patternType="solid">
        <fgColor rgb="FF0066B3"/>
        <bgColor indexed="64"/>
      </patternFill>
    </fill>
    <fill>
      <patternFill patternType="solid">
        <fgColor rgb="FF97D2FF"/>
        <bgColor indexed="64"/>
      </patternFill>
    </fill>
    <fill>
      <patternFill patternType="solid">
        <fgColor theme="0" tint="-0.14999847407452621"/>
        <bgColor indexed="64"/>
      </patternFill>
    </fill>
    <fill>
      <gradientFill type="path" left="0.5" right="0.5" top="0.5" bottom="0.5">
        <stop position="0">
          <color rgb="FFFF0000"/>
        </stop>
        <stop position="1">
          <color theme="0"/>
        </stop>
      </gradientFill>
    </fill>
    <fill>
      <patternFill patternType="solid">
        <fgColor theme="0" tint="-4.9989318521683403E-2"/>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7" tint="0.79998168889431442"/>
        <bgColor indexed="64"/>
      </patternFill>
    </fill>
    <fill>
      <gradientFill degree="180">
        <stop position="0">
          <color rgb="FFFF0000"/>
        </stop>
        <stop position="1">
          <color theme="0"/>
        </stop>
      </gradient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9" fontId="23" fillId="0" borderId="0" applyFont="0" applyFill="0" applyBorder="0" applyAlignment="0" applyProtection="0"/>
  </cellStyleXfs>
  <cellXfs count="466">
    <xf numFmtId="0" fontId="0" fillId="0" borderId="0" xfId="0"/>
    <xf numFmtId="0" fontId="1" fillId="0" borderId="0" xfId="0" applyFont="1"/>
    <xf numFmtId="0" fontId="0" fillId="0" borderId="0" xfId="0" applyAlignment="1">
      <alignment horizontal="center"/>
    </xf>
    <xf numFmtId="0" fontId="0" fillId="2" borderId="0" xfId="0" applyFill="1"/>
    <xf numFmtId="0" fontId="0" fillId="0" borderId="0" xfId="0" applyFont="1"/>
    <xf numFmtId="0" fontId="0" fillId="0" borderId="0" xfId="0" applyAlignment="1">
      <alignment horizontal="right"/>
    </xf>
    <xf numFmtId="0" fontId="0" fillId="0" borderId="0" xfId="0" applyAlignment="1">
      <alignment horizontal="left"/>
    </xf>
    <xf numFmtId="0" fontId="0" fillId="0" borderId="12" xfId="0" applyBorder="1"/>
    <xf numFmtId="0" fontId="0" fillId="0" borderId="9" xfId="0" applyBorder="1"/>
    <xf numFmtId="0" fontId="0" fillId="0" borderId="10" xfId="0" applyBorder="1"/>
    <xf numFmtId="0" fontId="0" fillId="0" borderId="0" xfId="0" applyBorder="1" applyAlignment="1">
      <alignment horizontal="center"/>
    </xf>
    <xf numFmtId="0" fontId="0" fillId="0" borderId="0" xfId="0" applyAlignment="1"/>
    <xf numFmtId="0" fontId="0" fillId="0" borderId="0" xfId="0" applyAlignment="1">
      <alignment horizontal="center" vertical="center"/>
    </xf>
    <xf numFmtId="0" fontId="0" fillId="0" borderId="5" xfId="0" applyBorder="1"/>
    <xf numFmtId="0" fontId="0" fillId="0" borderId="5" xfId="0" applyBorder="1" applyAlignment="1">
      <alignment horizontal="center" vertic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xf>
    <xf numFmtId="0" fontId="0" fillId="0" borderId="12" xfId="0" applyBorder="1" applyAlignment="1">
      <alignment horizontal="center" vertical="center"/>
    </xf>
    <xf numFmtId="0" fontId="0" fillId="0" borderId="1" xfId="0" applyBorder="1" applyAlignment="1">
      <alignment horizontal="center"/>
    </xf>
    <xf numFmtId="0" fontId="0" fillId="0" borderId="7" xfId="0" applyBorder="1"/>
    <xf numFmtId="0" fontId="0" fillId="0" borderId="7" xfId="0" applyBorder="1" applyAlignment="1">
      <alignment horizontal="center" vertical="center"/>
    </xf>
    <xf numFmtId="0" fontId="0" fillId="0" borderId="0" xfId="0" applyAlignment="1">
      <alignment vertical="center"/>
    </xf>
    <xf numFmtId="0" fontId="0" fillId="0" borderId="0" xfId="0" applyFill="1" applyBorder="1" applyAlignment="1">
      <alignment horizontal="center"/>
    </xf>
    <xf numFmtId="0" fontId="0" fillId="0" borderId="5" xfId="0" applyBorder="1" applyAlignment="1">
      <alignment horizontal="center"/>
    </xf>
    <xf numFmtId="0" fontId="0" fillId="0" borderId="0" xfId="0" applyAlignment="1">
      <alignment textRotation="90" wrapText="1"/>
    </xf>
    <xf numFmtId="0" fontId="0" fillId="0" borderId="1" xfId="0" applyBorder="1" applyAlignment="1"/>
    <xf numFmtId="0" fontId="0" fillId="0" borderId="1" xfId="0" applyBorder="1"/>
    <xf numFmtId="0" fontId="0" fillId="0" borderId="9" xfId="0" applyBorder="1" applyAlignment="1">
      <alignment horizontal="center"/>
    </xf>
    <xf numFmtId="0" fontId="0" fillId="0" borderId="5" xfId="0" applyFill="1" applyBorder="1" applyAlignment="1">
      <alignment horizontal="center"/>
    </xf>
    <xf numFmtId="0" fontId="0" fillId="0" borderId="9" xfId="0" applyFill="1" applyBorder="1" applyAlignment="1">
      <alignment horizontal="center"/>
    </xf>
    <xf numFmtId="0" fontId="0" fillId="5" borderId="6" xfId="0" applyFill="1" applyBorder="1" applyAlignment="1">
      <alignment horizontal="center"/>
    </xf>
    <xf numFmtId="0" fontId="0" fillId="5" borderId="11" xfId="0" applyFill="1" applyBorder="1" applyAlignment="1">
      <alignment horizontal="center"/>
    </xf>
    <xf numFmtId="0" fontId="0" fillId="5" borderId="8" xfId="0" applyFill="1" applyBorder="1" applyAlignment="1">
      <alignment horizontal="center"/>
    </xf>
    <xf numFmtId="0" fontId="1" fillId="0" borderId="0" xfId="0" applyFont="1" applyAlignment="1">
      <alignment horizontal="center"/>
    </xf>
    <xf numFmtId="0" fontId="0" fillId="0" borderId="0" xfId="0" applyBorder="1" applyAlignment="1">
      <alignment horizontal="center" vertical="center"/>
    </xf>
    <xf numFmtId="0" fontId="0" fillId="0" borderId="0" xfId="0" applyAlignment="1">
      <alignment horizontal="left"/>
    </xf>
    <xf numFmtId="0" fontId="0" fillId="0" borderId="0" xfId="0" applyBorder="1" applyAlignment="1"/>
    <xf numFmtId="0" fontId="1" fillId="0" borderId="8" xfId="0" applyFont="1" applyBorder="1" applyAlignment="1">
      <alignment horizontal="center"/>
    </xf>
    <xf numFmtId="0" fontId="1" fillId="0" borderId="9" xfId="0" applyFont="1" applyBorder="1" applyAlignment="1">
      <alignment horizontal="center"/>
    </xf>
    <xf numFmtId="0" fontId="12" fillId="0" borderId="0" xfId="0" applyFont="1" applyBorder="1" applyAlignment="1">
      <alignment textRotation="45"/>
    </xf>
    <xf numFmtId="0" fontId="0" fillId="8" borderId="5" xfId="0" applyFill="1" applyBorder="1" applyAlignment="1">
      <alignment vertical="center"/>
    </xf>
    <xf numFmtId="0" fontId="0" fillId="8" borderId="0" xfId="0" applyFill="1" applyBorder="1" applyAlignment="1">
      <alignment vertical="center"/>
    </xf>
    <xf numFmtId="0" fontId="0" fillId="8" borderId="7" xfId="0" applyFill="1" applyBorder="1" applyAlignment="1">
      <alignment vertical="center"/>
    </xf>
    <xf numFmtId="0" fontId="0" fillId="8" borderId="12" xfId="0" applyFill="1" applyBorder="1" applyAlignment="1">
      <alignment vertical="center"/>
    </xf>
    <xf numFmtId="0" fontId="0" fillId="8" borderId="9" xfId="0" applyFill="1" applyBorder="1" applyAlignment="1">
      <alignment vertical="center"/>
    </xf>
    <xf numFmtId="0" fontId="0" fillId="8" borderId="10" xfId="0" applyFill="1" applyBorder="1" applyAlignment="1">
      <alignment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8" borderId="6" xfId="0" applyFill="1" applyBorder="1" applyAlignment="1">
      <alignment vertical="center"/>
    </xf>
    <xf numFmtId="0" fontId="0" fillId="8" borderId="11" xfId="0" applyFill="1" applyBorder="1" applyAlignment="1">
      <alignment vertical="center"/>
    </xf>
    <xf numFmtId="0" fontId="0" fillId="8" borderId="8" xfId="0" applyFill="1" applyBorder="1" applyAlignment="1">
      <alignment vertical="center"/>
    </xf>
    <xf numFmtId="0" fontId="0" fillId="0" borderId="6" xfId="0" applyFill="1" applyBorder="1" applyAlignment="1">
      <alignment horizontal="center" vertical="center"/>
    </xf>
    <xf numFmtId="0" fontId="0" fillId="0" borderId="0" xfId="0" applyAlignment="1">
      <alignment horizontal="right" vertical="center"/>
    </xf>
    <xf numFmtId="0" fontId="0" fillId="0" borderId="6" xfId="0" applyBorder="1" applyAlignment="1">
      <alignment horizont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8" xfId="0" applyBorder="1" applyAlignment="1">
      <alignment horizontal="center"/>
    </xf>
    <xf numFmtId="0" fontId="0" fillId="0" borderId="0" xfId="0" applyBorder="1" applyAlignment="1">
      <alignment textRotation="90"/>
    </xf>
    <xf numFmtId="0" fontId="0" fillId="0" borderId="15" xfId="0" applyFill="1" applyBorder="1" applyAlignment="1">
      <alignment horizontal="center"/>
    </xf>
    <xf numFmtId="0" fontId="0" fillId="0" borderId="16" xfId="0" applyFill="1" applyBorder="1" applyAlignment="1">
      <alignment horizontal="center"/>
    </xf>
    <xf numFmtId="0" fontId="0" fillId="0" borderId="9" xfId="0" applyBorder="1" applyAlignment="1">
      <alignment horizontal="right"/>
    </xf>
    <xf numFmtId="0" fontId="0" fillId="0" borderId="10" xfId="0" applyBorder="1" applyAlignment="1">
      <alignment horizontal="right"/>
    </xf>
    <xf numFmtId="0" fontId="1" fillId="0" borderId="6" xfId="0" applyFont="1" applyBorder="1" applyAlignment="1">
      <alignment horizontal="center"/>
    </xf>
    <xf numFmtId="0" fontId="1" fillId="0" borderId="11" xfId="0" applyFont="1" applyBorder="1" applyAlignment="1">
      <alignment horizontal="center"/>
    </xf>
    <xf numFmtId="0" fontId="0" fillId="0" borderId="1"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17" xfId="0" applyBorder="1" applyAlignment="1"/>
    <xf numFmtId="0" fontId="0" fillId="0" borderId="18" xfId="0" applyBorder="1" applyAlignment="1">
      <alignment horizontal="center"/>
    </xf>
    <xf numFmtId="0" fontId="0" fillId="0" borderId="18" xfId="0" applyBorder="1"/>
    <xf numFmtId="0" fontId="0" fillId="0" borderId="19" xfId="0" applyBorder="1" applyAlignment="1"/>
    <xf numFmtId="0" fontId="0" fillId="0" borderId="20" xfId="0" applyBorder="1" applyAlignment="1"/>
    <xf numFmtId="0" fontId="0" fillId="0" borderId="20" xfId="0" applyBorder="1"/>
    <xf numFmtId="0" fontId="0" fillId="0" borderId="21" xfId="0" applyBorder="1"/>
    <xf numFmtId="0" fontId="0" fillId="0" borderId="17"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2" xfId="0" applyBorder="1" applyAlignment="1"/>
    <xf numFmtId="0" fontId="0" fillId="0" borderId="23" xfId="0" applyBorder="1" applyAlignment="1"/>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13" xfId="0" applyFill="1" applyBorder="1" applyAlignment="1">
      <alignment horizontal="center"/>
    </xf>
    <xf numFmtId="0" fontId="12" fillId="0" borderId="25" xfId="0" applyFont="1" applyBorder="1" applyAlignment="1">
      <alignment horizontal="right" textRotation="45"/>
    </xf>
    <xf numFmtId="0" fontId="12" fillId="0" borderId="26" xfId="0" applyFont="1" applyBorder="1" applyAlignment="1">
      <alignment horizontal="right" textRotation="45"/>
    </xf>
    <xf numFmtId="0" fontId="12" fillId="0" borderId="27" xfId="0" applyFont="1" applyBorder="1" applyAlignment="1">
      <alignment horizontal="right" textRotation="45"/>
    </xf>
    <xf numFmtId="0" fontId="11" fillId="0" borderId="25" xfId="0" applyFont="1" applyBorder="1" applyAlignment="1">
      <alignment horizontal="right" textRotation="45"/>
    </xf>
    <xf numFmtId="0" fontId="11" fillId="0" borderId="26" xfId="0" applyFont="1" applyBorder="1" applyAlignment="1">
      <alignment horizontal="right" textRotation="45"/>
    </xf>
    <xf numFmtId="0" fontId="11" fillId="0" borderId="27" xfId="0" applyFont="1" applyBorder="1" applyAlignment="1">
      <alignment horizontal="right" textRotation="45"/>
    </xf>
    <xf numFmtId="0" fontId="11" fillId="0" borderId="14" xfId="0" applyFont="1" applyBorder="1" applyAlignment="1">
      <alignment horizontal="right" textRotation="45"/>
    </xf>
    <xf numFmtId="0" fontId="12" fillId="0" borderId="0" xfId="0" applyFont="1" applyBorder="1" applyAlignment="1"/>
    <xf numFmtId="0" fontId="12" fillId="10" borderId="1" xfId="0" applyFont="1" applyFill="1" applyBorder="1" applyAlignment="1">
      <alignment horizontal="center"/>
    </xf>
    <xf numFmtId="0" fontId="0" fillId="10" borderId="1" xfId="0" applyFill="1" applyBorder="1" applyAlignment="1">
      <alignment horizontal="center"/>
    </xf>
    <xf numFmtId="0" fontId="12" fillId="0" borderId="1" xfId="0" applyFont="1" applyBorder="1" applyAlignment="1">
      <alignment horizontal="center"/>
    </xf>
    <xf numFmtId="0" fontId="12" fillId="0" borderId="1" xfId="0" quotePrefix="1" applyFont="1" applyBorder="1" applyAlignment="1">
      <alignment horizontal="center"/>
    </xf>
    <xf numFmtId="0" fontId="13" fillId="0" borderId="0" xfId="0" applyFont="1" applyAlignment="1">
      <alignment horizontal="center" vertical="top"/>
    </xf>
    <xf numFmtId="0" fontId="1" fillId="0" borderId="0" xfId="0" applyFont="1" applyAlignment="1"/>
    <xf numFmtId="0" fontId="17" fillId="0" borderId="0" xfId="0" applyFont="1" applyAlignment="1">
      <alignment horizontal="right"/>
    </xf>
    <xf numFmtId="0" fontId="18" fillId="0" borderId="0" xfId="0" applyFont="1" applyFill="1" applyBorder="1" applyAlignment="1">
      <alignment vertical="center" wrapText="1"/>
    </xf>
    <xf numFmtId="0" fontId="21" fillId="0" borderId="0" xfId="0" applyFont="1" applyBorder="1" applyAlignment="1">
      <alignment vertical="top" wrapText="1"/>
    </xf>
    <xf numFmtId="0" fontId="20" fillId="0" borderId="0" xfId="0" applyFont="1" applyBorder="1" applyAlignment="1">
      <alignment horizontal="right" vertical="center"/>
    </xf>
    <xf numFmtId="0" fontId="0" fillId="0" borderId="0" xfId="0" applyAlignment="1">
      <alignment vertical="top" textRotation="90" wrapText="1"/>
    </xf>
    <xf numFmtId="0" fontId="0" fillId="0" borderId="29" xfId="0" applyBorder="1" applyAlignment="1">
      <alignment horizontal="center"/>
    </xf>
    <xf numFmtId="0" fontId="0" fillId="0" borderId="26" xfId="0" applyBorder="1" applyAlignment="1">
      <alignment horizontal="center"/>
    </xf>
    <xf numFmtId="0" fontId="0" fillId="0" borderId="0" xfId="0" applyAlignment="1">
      <alignment horizontal="center" vertical="center" textRotation="90" wrapText="1"/>
    </xf>
    <xf numFmtId="0" fontId="0" fillId="0" borderId="31" xfId="0" applyBorder="1" applyAlignment="1">
      <alignment horizontal="center"/>
    </xf>
    <xf numFmtId="0" fontId="0" fillId="0" borderId="2"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4" fillId="0" borderId="1" xfId="0" applyFont="1" applyBorder="1" applyAlignment="1">
      <alignment horizontal="center" vertical="center"/>
    </xf>
    <xf numFmtId="0" fontId="0" fillId="0" borderId="28"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4" fillId="0" borderId="29" xfId="0" applyFont="1" applyBorder="1" applyAlignment="1">
      <alignment horizontal="center" vertical="center"/>
    </xf>
    <xf numFmtId="0" fontId="14" fillId="0" borderId="20" xfId="0" applyFont="1" applyBorder="1" applyAlignment="1">
      <alignment horizontal="center" vertical="center"/>
    </xf>
    <xf numFmtId="0" fontId="14" fillId="0" borderId="26" xfId="0" applyFont="1" applyBorder="1" applyAlignment="1">
      <alignment horizontal="center" vertical="center"/>
    </xf>
    <xf numFmtId="0" fontId="0" fillId="0" borderId="0" xfId="0" applyAlignment="1">
      <alignment horizontal="left"/>
    </xf>
    <xf numFmtId="0" fontId="1" fillId="0" borderId="0" xfId="0" applyFont="1" applyAlignment="1">
      <alignment textRotation="90"/>
    </xf>
    <xf numFmtId="0" fontId="0" fillId="0" borderId="35"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34" xfId="0" applyBorder="1" applyAlignment="1">
      <alignment horizontal="center" vertical="center"/>
    </xf>
    <xf numFmtId="0" fontId="0" fillId="0" borderId="14" xfId="0" applyBorder="1" applyAlignment="1">
      <alignment horizontal="center"/>
    </xf>
    <xf numFmtId="1" fontId="0" fillId="0" borderId="0" xfId="0" applyNumberFormat="1"/>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Border="1" applyAlignment="1">
      <alignment horizontal="center" vertical="center" textRotation="90" wrapText="1"/>
    </xf>
    <xf numFmtId="0" fontId="14" fillId="0" borderId="19" xfId="0" applyFont="1" applyFill="1" applyBorder="1" applyAlignment="1">
      <alignment horizontal="center" vertical="center"/>
    </xf>
    <xf numFmtId="0" fontId="14" fillId="0" borderId="21" xfId="0" applyFont="1" applyBorder="1" applyAlignment="1">
      <alignment horizontal="center" vertical="center"/>
    </xf>
    <xf numFmtId="0" fontId="14" fillId="0" borderId="25" xfId="0" applyFont="1" applyBorder="1" applyAlignment="1">
      <alignment horizontal="center" vertical="center"/>
    </xf>
    <xf numFmtId="0" fontId="14" fillId="0" borderId="27" xfId="0" applyFont="1" applyBorder="1" applyAlignment="1">
      <alignment horizontal="center" vertical="center"/>
    </xf>
    <xf numFmtId="0" fontId="14" fillId="0" borderId="19" xfId="0" applyFont="1" applyBorder="1" applyAlignment="1">
      <alignment horizontal="center" vertical="center"/>
    </xf>
    <xf numFmtId="0" fontId="0" fillId="10" borderId="35" xfId="0" applyFill="1" applyBorder="1" applyAlignment="1">
      <alignment horizontal="center"/>
    </xf>
    <xf numFmtId="0" fontId="0" fillId="10" borderId="15" xfId="0" applyFill="1" applyBorder="1" applyAlignment="1">
      <alignment horizontal="center"/>
    </xf>
    <xf numFmtId="0" fontId="0" fillId="10" borderId="16" xfId="0" applyFill="1" applyBorder="1" applyAlignment="1">
      <alignment horizontal="center"/>
    </xf>
    <xf numFmtId="0" fontId="0" fillId="10" borderId="14" xfId="0" applyFill="1" applyBorder="1" applyAlignment="1">
      <alignment horizontal="center"/>
    </xf>
    <xf numFmtId="0" fontId="11" fillId="0" borderId="14" xfId="0" applyFont="1" applyBorder="1" applyAlignment="1">
      <alignment horizontal="right" vertical="center" textRotation="90"/>
    </xf>
    <xf numFmtId="0" fontId="0" fillId="0" borderId="37" xfId="0" applyBorder="1" applyAlignment="1">
      <alignment horizontal="center"/>
    </xf>
    <xf numFmtId="0" fontId="0" fillId="0" borderId="4"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4" fillId="0" borderId="28" xfId="0" applyFont="1" applyBorder="1" applyAlignment="1">
      <alignment horizontal="center" vertical="center"/>
    </xf>
    <xf numFmtId="0" fontId="14" fillId="0" borderId="30" xfId="0" applyFont="1" applyBorder="1" applyAlignment="1">
      <alignment horizontal="center" vertical="center"/>
    </xf>
    <xf numFmtId="0" fontId="0" fillId="0" borderId="34" xfId="0" applyBorder="1" applyAlignment="1">
      <alignment textRotation="45"/>
    </xf>
    <xf numFmtId="0" fontId="1" fillId="0" borderId="36" xfId="0" applyFont="1" applyBorder="1" applyAlignment="1">
      <alignment horizontal="center" vertical="center"/>
    </xf>
    <xf numFmtId="0" fontId="12" fillId="0" borderId="26" xfId="0" applyFont="1" applyBorder="1" applyAlignment="1">
      <alignment horizontal="right" textRotation="90"/>
    </xf>
    <xf numFmtId="1" fontId="12" fillId="0" borderId="26" xfId="0" applyNumberFormat="1" applyFont="1" applyBorder="1" applyAlignment="1">
      <alignment horizontal="right" textRotation="90"/>
    </xf>
    <xf numFmtId="0" fontId="0" fillId="0" borderId="37" xfId="0" applyBorder="1" applyAlignment="1">
      <alignment horizontal="left"/>
    </xf>
    <xf numFmtId="0" fontId="0" fillId="0" borderId="4"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14" fillId="0" borderId="0" xfId="0" applyFont="1"/>
    <xf numFmtId="0" fontId="12" fillId="0" borderId="33" xfId="0" applyFont="1" applyBorder="1" applyAlignment="1">
      <alignment horizontal="right" textRotation="90"/>
    </xf>
    <xf numFmtId="0" fontId="12" fillId="0" borderId="40" xfId="0" applyFont="1" applyFill="1" applyBorder="1" applyAlignment="1">
      <alignment horizontal="right" textRotation="90"/>
    </xf>
    <xf numFmtId="0" fontId="12" fillId="0" borderId="25" xfId="0" applyFont="1" applyBorder="1" applyAlignment="1">
      <alignment horizontal="right" textRotation="90"/>
    </xf>
    <xf numFmtId="0" fontId="12" fillId="0" borderId="27" xfId="0" applyFont="1" applyBorder="1" applyAlignment="1">
      <alignment horizontal="right" textRotation="90"/>
    </xf>
    <xf numFmtId="0" fontId="34" fillId="0" borderId="0" xfId="0" applyFont="1" applyAlignment="1">
      <alignment horizontal="right" vertical="center"/>
    </xf>
    <xf numFmtId="0" fontId="14" fillId="0" borderId="0" xfId="0" applyFont="1" applyFill="1" applyProtection="1">
      <protection hidden="1"/>
    </xf>
    <xf numFmtId="0" fontId="14" fillId="0" borderId="0" xfId="0" applyFont="1" applyFill="1" applyAlignment="1" applyProtection="1">
      <alignment horizontal="center"/>
      <protection hidden="1"/>
    </xf>
    <xf numFmtId="0" fontId="26" fillId="0" borderId="0" xfId="0" applyFont="1" applyFill="1" applyAlignment="1" applyProtection="1">
      <alignment vertical="center"/>
      <protection hidden="1"/>
    </xf>
    <xf numFmtId="0" fontId="26" fillId="0" borderId="0" xfId="0" applyFont="1" applyFill="1" applyAlignment="1" applyProtection="1">
      <alignment horizontal="right" vertical="center"/>
      <protection hidden="1"/>
    </xf>
    <xf numFmtId="0" fontId="27" fillId="0" borderId="0" xfId="0" applyFont="1" applyFill="1" applyAlignment="1" applyProtection="1">
      <alignment horizontal="left"/>
      <protection hidden="1"/>
    </xf>
    <xf numFmtId="0" fontId="27" fillId="0" borderId="0" xfId="0" applyFont="1" applyFill="1" applyProtection="1">
      <protection hidden="1"/>
    </xf>
    <xf numFmtId="3" fontId="28" fillId="0" borderId="0" xfId="0" applyNumberFormat="1" applyFont="1" applyFill="1" applyBorder="1" applyAlignment="1" applyProtection="1">
      <alignment horizontal="left"/>
      <protection hidden="1"/>
    </xf>
    <xf numFmtId="3" fontId="27" fillId="0" borderId="0" xfId="0" applyNumberFormat="1" applyFont="1" applyFill="1" applyBorder="1" applyAlignment="1" applyProtection="1">
      <protection hidden="1"/>
    </xf>
    <xf numFmtId="0" fontId="28" fillId="0" borderId="0" xfId="0" applyFont="1" applyFill="1" applyAlignment="1" applyProtection="1">
      <alignment vertical="center"/>
      <protection hidden="1"/>
    </xf>
    <xf numFmtId="0" fontId="28" fillId="0" borderId="9" xfId="0" applyFont="1" applyFill="1" applyBorder="1" applyAlignment="1" applyProtection="1">
      <alignment vertical="center"/>
      <protection hidden="1"/>
    </xf>
    <xf numFmtId="0" fontId="14" fillId="0" borderId="0" xfId="0" applyFont="1" applyFill="1" applyBorder="1" applyProtection="1">
      <protection hidden="1"/>
    </xf>
    <xf numFmtId="0" fontId="27" fillId="0" borderId="6" xfId="0" applyFont="1" applyFill="1" applyBorder="1" applyAlignment="1" applyProtection="1">
      <alignment horizontal="center"/>
      <protection hidden="1"/>
    </xf>
    <xf numFmtId="0" fontId="27" fillId="0" borderId="5" xfId="0" applyFont="1" applyFill="1" applyBorder="1" applyAlignment="1" applyProtection="1">
      <alignment horizontal="center"/>
      <protection hidden="1"/>
    </xf>
    <xf numFmtId="0" fontId="27" fillId="0" borderId="7" xfId="0" applyFont="1" applyFill="1" applyBorder="1" applyAlignment="1" applyProtection="1">
      <alignment horizontal="center"/>
      <protection hidden="1"/>
    </xf>
    <xf numFmtId="0" fontId="27" fillId="0" borderId="11" xfId="0" applyFont="1" applyFill="1" applyBorder="1" applyAlignment="1" applyProtection="1">
      <alignment horizontal="center"/>
      <protection hidden="1"/>
    </xf>
    <xf numFmtId="0" fontId="27" fillId="0" borderId="0" xfId="0" applyFont="1" applyFill="1" applyBorder="1" applyAlignment="1" applyProtection="1">
      <alignment horizontal="left"/>
      <protection hidden="1"/>
    </xf>
    <xf numFmtId="0" fontId="27" fillId="0" borderId="0" xfId="0" applyFont="1" applyFill="1" applyBorder="1" applyAlignment="1" applyProtection="1">
      <alignment horizontal="center"/>
      <protection hidden="1"/>
    </xf>
    <xf numFmtId="0" fontId="27" fillId="0" borderId="12" xfId="0" applyFont="1" applyFill="1" applyBorder="1" applyAlignment="1" applyProtection="1">
      <alignment horizontal="center"/>
      <protection hidden="1"/>
    </xf>
    <xf numFmtId="0" fontId="32" fillId="0" borderId="1" xfId="0" applyFont="1" applyFill="1" applyBorder="1" applyAlignment="1" applyProtection="1">
      <alignment horizontal="center" vertical="center"/>
      <protection hidden="1"/>
    </xf>
    <xf numFmtId="0" fontId="28" fillId="0" borderId="0" xfId="0" applyFont="1" applyFill="1" applyBorder="1" applyAlignment="1" applyProtection="1">
      <alignment horizontal="left"/>
      <protection hidden="1"/>
    </xf>
    <xf numFmtId="0" fontId="28" fillId="0" borderId="0" xfId="0" applyFont="1" applyFill="1" applyBorder="1" applyAlignment="1" applyProtection="1">
      <alignment horizontal="center"/>
      <protection hidden="1"/>
    </xf>
    <xf numFmtId="0" fontId="27" fillId="0" borderId="11" xfId="0" applyFont="1" applyFill="1" applyBorder="1" applyAlignment="1" applyProtection="1">
      <alignment vertical="center" wrapText="1"/>
      <protection hidden="1"/>
    </xf>
    <xf numFmtId="0" fontId="27" fillId="0" borderId="0" xfId="0" applyFont="1" applyFill="1" applyBorder="1" applyAlignment="1" applyProtection="1">
      <alignment vertical="center"/>
      <protection hidden="1"/>
    </xf>
    <xf numFmtId="0" fontId="27" fillId="0" borderId="12" xfId="0" applyFont="1" applyFill="1" applyBorder="1" applyAlignment="1" applyProtection="1">
      <alignment vertical="center"/>
      <protection hidden="1"/>
    </xf>
    <xf numFmtId="0" fontId="14" fillId="0" borderId="12" xfId="0" applyFont="1" applyFill="1" applyBorder="1" applyProtection="1">
      <protection hidden="1"/>
    </xf>
    <xf numFmtId="0" fontId="27" fillId="0" borderId="0" xfId="0" applyFont="1" applyFill="1" applyBorder="1" applyAlignment="1" applyProtection="1">
      <alignment horizontal="center" vertical="center"/>
      <protection hidden="1"/>
    </xf>
    <xf numFmtId="0" fontId="28" fillId="0" borderId="12" xfId="0" applyFont="1" applyFill="1" applyBorder="1" applyAlignment="1" applyProtection="1">
      <alignment vertical="center" wrapText="1"/>
      <protection hidden="1"/>
    </xf>
    <xf numFmtId="0" fontId="28" fillId="0" borderId="11" xfId="0" applyFont="1" applyFill="1" applyBorder="1" applyAlignment="1" applyProtection="1">
      <alignment vertical="center" wrapText="1"/>
      <protection hidden="1"/>
    </xf>
    <xf numFmtId="0" fontId="28" fillId="0" borderId="8" xfId="0" applyFont="1" applyFill="1" applyBorder="1" applyAlignment="1" applyProtection="1">
      <alignment vertical="center" wrapText="1"/>
      <protection hidden="1"/>
    </xf>
    <xf numFmtId="0" fontId="28" fillId="0" borderId="10" xfId="0" applyFont="1" applyFill="1" applyBorder="1" applyAlignment="1" applyProtection="1">
      <alignment vertical="center" wrapText="1"/>
      <protection hidden="1"/>
    </xf>
    <xf numFmtId="0" fontId="27" fillId="0" borderId="0" xfId="0" applyFont="1" applyFill="1" applyAlignment="1" applyProtection="1">
      <alignment vertical="center"/>
      <protection hidden="1"/>
    </xf>
    <xf numFmtId="0" fontId="27" fillId="0" borderId="6" xfId="0" applyFont="1" applyFill="1" applyBorder="1" applyAlignment="1" applyProtection="1">
      <alignment vertical="center"/>
      <protection hidden="1"/>
    </xf>
    <xf numFmtId="0" fontId="27" fillId="0" borderId="5" xfId="0" applyFont="1" applyFill="1" applyBorder="1" applyAlignment="1" applyProtection="1">
      <alignment vertical="center"/>
      <protection hidden="1"/>
    </xf>
    <xf numFmtId="0" fontId="27" fillId="0" borderId="7" xfId="0" applyFont="1" applyFill="1" applyBorder="1" applyAlignment="1" applyProtection="1">
      <alignment vertical="center"/>
      <protection hidden="1"/>
    </xf>
    <xf numFmtId="0" fontId="27" fillId="0" borderId="11" xfId="0" applyFont="1" applyFill="1" applyBorder="1" applyAlignment="1" applyProtection="1">
      <alignment vertical="center"/>
      <protection hidden="1"/>
    </xf>
    <xf numFmtId="0" fontId="27" fillId="0" borderId="0" xfId="0" applyFont="1" applyFill="1" applyBorder="1" applyAlignment="1" applyProtection="1">
      <protection hidden="1"/>
    </xf>
    <xf numFmtId="0" fontId="27" fillId="0" borderId="0" xfId="0" applyFont="1" applyFill="1" applyBorder="1" applyProtection="1">
      <protection hidden="1"/>
    </xf>
    <xf numFmtId="0" fontId="27" fillId="0" borderId="8" xfId="0" applyFont="1" applyFill="1" applyBorder="1" applyAlignment="1" applyProtection="1">
      <alignment vertical="center"/>
      <protection hidden="1"/>
    </xf>
    <xf numFmtId="0" fontId="27" fillId="0" borderId="9" xfId="0" applyFont="1" applyFill="1" applyBorder="1" applyAlignment="1" applyProtection="1">
      <alignment vertical="center"/>
      <protection hidden="1"/>
    </xf>
    <xf numFmtId="0" fontId="27" fillId="0" borderId="10" xfId="0" applyFont="1" applyFill="1" applyBorder="1" applyAlignment="1" applyProtection="1">
      <alignment vertical="center"/>
      <protection hidden="1"/>
    </xf>
    <xf numFmtId="0" fontId="27" fillId="0" borderId="9" xfId="0" applyFont="1" applyFill="1" applyBorder="1" applyProtection="1">
      <protection hidden="1"/>
    </xf>
    <xf numFmtId="0" fontId="14" fillId="0" borderId="9" xfId="0" applyFont="1" applyFill="1" applyBorder="1" applyProtection="1">
      <protection hidden="1"/>
    </xf>
    <xf numFmtId="0" fontId="14" fillId="0" borderId="0" xfId="0" applyFont="1" applyFill="1" applyBorder="1" applyAlignment="1" applyProtection="1">
      <alignment horizontal="center"/>
      <protection hidden="1"/>
    </xf>
    <xf numFmtId="0" fontId="27" fillId="0" borderId="0" xfId="0" applyFont="1" applyFill="1" applyAlignment="1" applyProtection="1">
      <alignment horizontal="center"/>
      <protection hidden="1"/>
    </xf>
    <xf numFmtId="0" fontId="27" fillId="0" borderId="9" xfId="0" applyFont="1" applyFill="1" applyBorder="1" applyAlignment="1" applyProtection="1">
      <alignment horizontal="justify" vertical="center"/>
      <protection hidden="1"/>
    </xf>
    <xf numFmtId="0" fontId="27" fillId="0" borderId="0" xfId="0" applyFont="1" applyFill="1" applyAlignment="1" applyProtection="1">
      <alignment horizontal="justify" vertical="center"/>
      <protection hidden="1"/>
    </xf>
    <xf numFmtId="0" fontId="30" fillId="0" borderId="0" xfId="0" applyFont="1" applyFill="1" applyBorder="1" applyAlignment="1" applyProtection="1">
      <alignment horizontal="center"/>
      <protection hidden="1"/>
    </xf>
    <xf numFmtId="0" fontId="28" fillId="0" borderId="0" xfId="0" applyFont="1" applyFill="1" applyBorder="1" applyAlignment="1" applyProtection="1">
      <alignment horizontal="left" vertical="center"/>
      <protection hidden="1"/>
    </xf>
    <xf numFmtId="0" fontId="31"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28" fillId="0" borderId="0" xfId="0" applyFont="1" applyFill="1" applyBorder="1" applyAlignment="1" applyProtection="1">
      <protection hidden="1"/>
    </xf>
    <xf numFmtId="0" fontId="28" fillId="0" borderId="0" xfId="0" applyFont="1" applyFill="1" applyBorder="1" applyAlignment="1" applyProtection="1">
      <alignment horizontal="right"/>
      <protection hidden="1"/>
    </xf>
    <xf numFmtId="0" fontId="28" fillId="0" borderId="0" xfId="0" applyFont="1" applyFill="1" applyBorder="1" applyAlignment="1" applyProtection="1">
      <alignment vertical="center" wrapText="1"/>
      <protection hidden="1"/>
    </xf>
    <xf numFmtId="0" fontId="28" fillId="0" borderId="0" xfId="0" applyFont="1" applyFill="1" applyBorder="1" applyAlignment="1" applyProtection="1">
      <alignment horizontal="left" vertical="center" wrapText="1"/>
      <protection hidden="1"/>
    </xf>
    <xf numFmtId="0" fontId="27" fillId="0" borderId="5" xfId="0" applyFont="1" applyFill="1" applyBorder="1" applyProtection="1">
      <protection hidden="1"/>
    </xf>
    <xf numFmtId="0" fontId="28" fillId="0" borderId="0" xfId="0" applyFont="1" applyFill="1" applyBorder="1" applyProtection="1">
      <protection hidden="1"/>
    </xf>
    <xf numFmtId="0" fontId="27" fillId="0" borderId="0" xfId="0" applyFont="1" applyFill="1" applyBorder="1" applyAlignment="1" applyProtection="1">
      <alignment vertical="center" wrapText="1"/>
      <protection hidden="1"/>
    </xf>
    <xf numFmtId="0" fontId="32" fillId="0" borderId="0" xfId="0" applyFont="1" applyFill="1" applyBorder="1" applyProtection="1">
      <protection hidden="1"/>
    </xf>
    <xf numFmtId="0" fontId="27" fillId="0" borderId="0" xfId="0" applyFont="1" applyFill="1" applyBorder="1" applyAlignment="1" applyProtection="1">
      <alignment horizontal="left" vertical="center"/>
      <protection hidden="1"/>
    </xf>
    <xf numFmtId="3" fontId="20" fillId="0" borderId="0" xfId="0" applyNumberFormat="1" applyFont="1" applyBorder="1" applyAlignment="1">
      <alignment vertical="center"/>
    </xf>
    <xf numFmtId="0" fontId="0" fillId="0" borderId="0" xfId="0" applyProtection="1">
      <protection locked="0"/>
    </xf>
    <xf numFmtId="0" fontId="0" fillId="0" borderId="0" xfId="0" applyAlignment="1" applyProtection="1">
      <alignment horizontal="center"/>
      <protection locked="0"/>
    </xf>
    <xf numFmtId="0" fontId="0" fillId="0" borderId="0" xfId="0" applyProtection="1">
      <protection hidden="1"/>
    </xf>
    <xf numFmtId="0" fontId="0" fillId="0" borderId="0" xfId="0" applyAlignment="1" applyProtection="1">
      <alignment horizontal="center"/>
      <protection hidden="1"/>
    </xf>
    <xf numFmtId="0" fontId="5" fillId="0" borderId="0" xfId="0" applyFont="1" applyAlignment="1" applyProtection="1">
      <alignment vertical="center"/>
      <protection hidden="1"/>
    </xf>
    <xf numFmtId="0" fontId="5" fillId="0" borderId="0" xfId="0" applyFont="1" applyAlignment="1" applyProtection="1">
      <alignment horizontal="right" vertical="center"/>
      <protection hidden="1"/>
    </xf>
    <xf numFmtId="0" fontId="0" fillId="0" borderId="0" xfId="0" applyAlignment="1" applyProtection="1">
      <alignment horizontal="right"/>
      <protection hidden="1"/>
    </xf>
    <xf numFmtId="0" fontId="0" fillId="0" borderId="0" xfId="0" quotePrefix="1" applyAlignment="1" applyProtection="1">
      <alignment horizontal="right"/>
      <protection hidden="1"/>
    </xf>
    <xf numFmtId="0" fontId="0" fillId="0" borderId="0" xfId="0" applyAlignment="1" applyProtection="1">
      <alignment horizontal="justify"/>
      <protection hidden="1"/>
    </xf>
    <xf numFmtId="0" fontId="9" fillId="6" borderId="0" xfId="0" applyFont="1" applyFill="1" applyAlignment="1" applyProtection="1">
      <alignment horizontal="center"/>
      <protection hidden="1"/>
    </xf>
    <xf numFmtId="0" fontId="10" fillId="0" borderId="0" xfId="0" applyFont="1" applyAlignment="1" applyProtection="1">
      <alignment horizontal="center"/>
      <protection hidden="1"/>
    </xf>
    <xf numFmtId="0" fontId="7"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0" fillId="0" borderId="0" xfId="0" applyAlignment="1" applyProtection="1">
      <alignment horizontal="left"/>
      <protection hidden="1"/>
    </xf>
    <xf numFmtId="0" fontId="0" fillId="0" borderId="5" xfId="0" applyBorder="1" applyAlignment="1" applyProtection="1">
      <protection hidden="1"/>
    </xf>
    <xf numFmtId="0" fontId="0" fillId="0" borderId="0" xfId="0" applyAlignment="1" applyProtection="1">
      <protection hidden="1"/>
    </xf>
    <xf numFmtId="0" fontId="0" fillId="0" borderId="7" xfId="0" applyBorder="1" applyAlignment="1" applyProtection="1">
      <protection hidden="1"/>
    </xf>
    <xf numFmtId="0" fontId="6" fillId="0" borderId="5" xfId="0" applyFont="1" applyBorder="1" applyAlignment="1" applyProtection="1">
      <alignment vertical="center" wrapText="1"/>
      <protection hidden="1"/>
    </xf>
    <xf numFmtId="0" fontId="6" fillId="0" borderId="0" xfId="0" applyFont="1" applyAlignment="1" applyProtection="1">
      <alignment vertical="center" wrapText="1"/>
      <protection hidden="1"/>
    </xf>
    <xf numFmtId="0" fontId="0" fillId="0" borderId="0" xfId="0" applyBorder="1" applyProtection="1">
      <protection hidden="1"/>
    </xf>
    <xf numFmtId="0" fontId="9" fillId="6" borderId="0" xfId="0" applyFont="1" applyFill="1" applyAlignment="1" applyProtection="1">
      <protection hidden="1"/>
    </xf>
    <xf numFmtId="0" fontId="1" fillId="0" borderId="0" xfId="0" applyFont="1" applyAlignment="1" applyProtection="1">
      <alignment horizontal="right"/>
      <protection hidden="1"/>
    </xf>
    <xf numFmtId="0" fontId="1" fillId="0" borderId="0" xfId="0" applyFont="1" applyAlignment="1" applyProtection="1">
      <alignment horizontal="center"/>
      <protection hidden="1"/>
    </xf>
    <xf numFmtId="0" fontId="2" fillId="0" borderId="0" xfId="0" applyFont="1" applyFill="1" applyBorder="1" applyAlignment="1" applyProtection="1">
      <alignment vertical="center" wrapText="1"/>
      <protection hidden="1"/>
    </xf>
    <xf numFmtId="0" fontId="1" fillId="0" borderId="0" xfId="0" applyFont="1" applyBorder="1" applyAlignment="1" applyProtection="1">
      <alignment horizontal="left" vertical="center" wrapText="1"/>
      <protection hidden="1"/>
    </xf>
    <xf numFmtId="0" fontId="0" fillId="0" borderId="0" xfId="0" applyBorder="1" applyAlignment="1" applyProtection="1">
      <alignment horizontal="right"/>
      <protection hidden="1"/>
    </xf>
    <xf numFmtId="0" fontId="0" fillId="0" borderId="0" xfId="0" applyBorder="1" applyAlignment="1" applyProtection="1">
      <alignment horizontal="center"/>
      <protection hidden="1"/>
    </xf>
    <xf numFmtId="0" fontId="0" fillId="0" borderId="0" xfId="0" quotePrefix="1" applyBorder="1" applyAlignment="1" applyProtection="1">
      <alignment horizontal="center"/>
      <protection hidden="1"/>
    </xf>
    <xf numFmtId="0" fontId="1" fillId="0" borderId="0" xfId="0" applyFont="1" applyBorder="1" applyProtection="1">
      <protection hidden="1"/>
    </xf>
    <xf numFmtId="0" fontId="0" fillId="0" borderId="0" xfId="0" applyBorder="1" applyAlignment="1" applyProtection="1">
      <protection hidden="1"/>
    </xf>
    <xf numFmtId="0" fontId="6"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pplyProtection="1">
      <alignment vertical="center"/>
      <protection hidden="1"/>
    </xf>
    <xf numFmtId="0" fontId="0" fillId="0" borderId="0" xfId="0" applyAlignment="1" applyProtection="1">
      <alignment horizontal="left" vertical="center"/>
      <protection hidden="1"/>
    </xf>
    <xf numFmtId="0" fontId="0" fillId="0" borderId="11" xfId="0" applyBorder="1" applyAlignment="1" applyProtection="1">
      <alignment horizontal="center"/>
      <protection hidden="1"/>
    </xf>
    <xf numFmtId="0" fontId="0" fillId="0" borderId="12" xfId="0" applyBorder="1" applyProtection="1">
      <protection hidden="1"/>
    </xf>
    <xf numFmtId="0" fontId="15" fillId="0" borderId="0" xfId="0" applyFont="1" applyFill="1" applyBorder="1" applyProtection="1">
      <protection hidden="1"/>
    </xf>
    <xf numFmtId="0" fontId="15" fillId="0" borderId="12" xfId="0" applyFont="1" applyFill="1" applyBorder="1" applyAlignment="1" applyProtection="1">
      <alignment horizontal="right"/>
      <protection hidden="1"/>
    </xf>
    <xf numFmtId="0" fontId="0" fillId="0" borderId="8" xfId="0" applyBorder="1" applyAlignment="1" applyProtection="1">
      <alignment horizontal="center"/>
      <protection hidden="1"/>
    </xf>
    <xf numFmtId="0" fontId="0" fillId="0" borderId="9" xfId="0" applyBorder="1" applyProtection="1">
      <protection hidden="1"/>
    </xf>
    <xf numFmtId="0" fontId="0" fillId="0" borderId="9" xfId="0" quotePrefix="1" applyBorder="1" applyAlignment="1" applyProtection="1">
      <alignment horizontal="center"/>
      <protection hidden="1"/>
    </xf>
    <xf numFmtId="0" fontId="0" fillId="0" borderId="9" xfId="0" applyBorder="1" applyAlignment="1" applyProtection="1">
      <alignment horizontal="right"/>
      <protection hidden="1"/>
    </xf>
    <xf numFmtId="0" fontId="0" fillId="0" borderId="10" xfId="0" applyBorder="1" applyProtection="1">
      <protection hidden="1"/>
    </xf>
    <xf numFmtId="0" fontId="1" fillId="0" borderId="11" xfId="0" applyFont="1" applyFill="1" applyBorder="1" applyAlignment="1" applyProtection="1">
      <alignment horizontal="right"/>
      <protection hidden="1"/>
    </xf>
    <xf numFmtId="0" fontId="1" fillId="0" borderId="0" xfId="0" applyFont="1" applyFill="1" applyBorder="1" applyAlignment="1" applyProtection="1">
      <alignment horizontal="right"/>
      <protection hidden="1"/>
    </xf>
    <xf numFmtId="0" fontId="0" fillId="0" borderId="0" xfId="0" applyFill="1" applyBorder="1" applyAlignment="1" applyProtection="1">
      <alignment horizontal="right"/>
      <protection hidden="1"/>
    </xf>
    <xf numFmtId="0" fontId="6" fillId="0" borderId="0" xfId="0" applyFont="1" applyFill="1" applyBorder="1" applyAlignment="1" applyProtection="1">
      <alignment horizontal="left"/>
      <protection hidden="1"/>
    </xf>
    <xf numFmtId="0" fontId="1" fillId="0" borderId="11" xfId="0" applyFont="1" applyFill="1" applyBorder="1" applyAlignment="1" applyProtection="1">
      <protection hidden="1"/>
    </xf>
    <xf numFmtId="0" fontId="1" fillId="0" borderId="0" xfId="0" applyFont="1" applyFill="1" applyBorder="1" applyAlignment="1" applyProtection="1">
      <protection hidden="1"/>
    </xf>
    <xf numFmtId="0" fontId="1" fillId="0" borderId="0" xfId="0" applyFont="1" applyBorder="1" applyAlignment="1" applyProtection="1">
      <alignment horizontal="center" vertical="center"/>
      <protection hidden="1"/>
    </xf>
    <xf numFmtId="0" fontId="1" fillId="0" borderId="0" xfId="0" quotePrefix="1" applyFont="1" applyBorder="1" applyAlignment="1" applyProtection="1">
      <alignment horizontal="center" vertical="center"/>
      <protection hidden="1"/>
    </xf>
    <xf numFmtId="0" fontId="1" fillId="0" borderId="0" xfId="0" applyFont="1" applyBorder="1" applyAlignment="1" applyProtection="1">
      <alignment horizontal="left" vertical="center"/>
      <protection hidden="1"/>
    </xf>
    <xf numFmtId="0" fontId="6" fillId="0" borderId="0" xfId="0" applyFont="1" applyAlignment="1" applyProtection="1">
      <protection hidden="1"/>
    </xf>
    <xf numFmtId="0" fontId="1" fillId="0" borderId="11" xfId="0" applyFont="1" applyBorder="1" applyAlignment="1" applyProtection="1">
      <alignment horizontal="right"/>
      <protection hidden="1"/>
    </xf>
    <xf numFmtId="0" fontId="1" fillId="0" borderId="0" xfId="0" applyFont="1" applyBorder="1" applyAlignment="1" applyProtection="1">
      <alignment horizontal="right"/>
      <protection hidden="1"/>
    </xf>
    <xf numFmtId="3" fontId="3" fillId="0" borderId="9" xfId="0" applyNumberFormat="1" applyFont="1" applyFill="1" applyBorder="1" applyAlignment="1" applyProtection="1">
      <alignment vertical="center"/>
      <protection hidden="1"/>
    </xf>
    <xf numFmtId="0" fontId="1" fillId="0" borderId="11" xfId="0" applyFont="1" applyBorder="1" applyAlignment="1" applyProtection="1">
      <alignment horizontal="right" wrapText="1"/>
      <protection hidden="1"/>
    </xf>
    <xf numFmtId="0" fontId="1" fillId="0" borderId="0" xfId="0" applyFont="1" applyBorder="1" applyAlignment="1" applyProtection="1">
      <alignment horizontal="right" wrapText="1"/>
      <protection hidden="1"/>
    </xf>
    <xf numFmtId="0" fontId="0" fillId="0" borderId="0" xfId="0" applyFill="1" applyBorder="1" applyAlignment="1" applyProtection="1">
      <alignment horizontal="center"/>
      <protection hidden="1"/>
    </xf>
    <xf numFmtId="0" fontId="0" fillId="0" borderId="11" xfId="0" applyBorder="1" applyAlignment="1" applyProtection="1">
      <alignment vertical="center"/>
      <protection hidden="1"/>
    </xf>
    <xf numFmtId="0" fontId="0" fillId="0" borderId="0" xfId="0" applyBorder="1" applyAlignment="1" applyProtection="1">
      <alignment vertical="center"/>
      <protection hidden="1"/>
    </xf>
    <xf numFmtId="0" fontId="11" fillId="0" borderId="0" xfId="0" applyFont="1" applyBorder="1" applyAlignment="1" applyProtection="1">
      <protection hidden="1"/>
    </xf>
    <xf numFmtId="0" fontId="0" fillId="0" borderId="1" xfId="0" applyBorder="1" applyAlignment="1" applyProtection="1">
      <alignment vertical="center"/>
      <protection hidden="1"/>
    </xf>
    <xf numFmtId="0" fontId="0" fillId="0" borderId="11" xfId="0" applyBorder="1" applyProtection="1">
      <protection hidden="1"/>
    </xf>
    <xf numFmtId="0" fontId="6" fillId="0" borderId="11" xfId="0" applyFont="1" applyBorder="1" applyAlignment="1" applyProtection="1">
      <alignment vertical="center" wrapText="1"/>
      <protection hidden="1"/>
    </xf>
    <xf numFmtId="0" fontId="6" fillId="0" borderId="12" xfId="0" applyFont="1" applyBorder="1" applyAlignment="1" applyProtection="1">
      <alignment vertical="center" wrapText="1"/>
      <protection hidden="1"/>
    </xf>
    <xf numFmtId="2" fontId="0" fillId="0" borderId="0" xfId="0" applyNumberFormat="1" applyAlignment="1" applyProtection="1">
      <alignment horizontal="center"/>
      <protection locked="0"/>
    </xf>
    <xf numFmtId="0" fontId="0" fillId="0" borderId="0" xfId="0" applyBorder="1" applyAlignment="1" applyProtection="1">
      <protection locked="0"/>
    </xf>
    <xf numFmtId="0" fontId="1" fillId="0" borderId="0" xfId="0" applyFont="1" applyBorder="1" applyAlignment="1" applyProtection="1">
      <alignment vertical="center"/>
      <protection hidden="1"/>
    </xf>
    <xf numFmtId="0" fontId="12" fillId="0" borderId="40" xfId="0" applyFont="1" applyBorder="1" applyAlignment="1">
      <alignment horizontal="right" textRotation="90"/>
    </xf>
    <xf numFmtId="0" fontId="0" fillId="0" borderId="41" xfId="0"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1" xfId="0" applyFont="1" applyBorder="1" applyAlignment="1">
      <alignment horizontal="center" vertical="center"/>
    </xf>
    <xf numFmtId="0" fontId="14" fillId="0" borderId="40" xfId="0" applyFont="1" applyBorder="1" applyAlignment="1">
      <alignment horizontal="center" vertical="center"/>
    </xf>
    <xf numFmtId="0" fontId="0" fillId="0" borderId="28" xfId="0" applyBorder="1" applyAlignment="1">
      <alignment horizontal="center" vertical="center"/>
    </xf>
    <xf numFmtId="0" fontId="14" fillId="0" borderId="17" xfId="0" applyFont="1" applyBorder="1" applyAlignment="1">
      <alignment horizontal="center" vertical="center" wrapText="1"/>
    </xf>
    <xf numFmtId="0" fontId="14" fillId="0" borderId="42" xfId="0" applyFont="1" applyBorder="1" applyAlignment="1">
      <alignment horizontal="center" vertical="center" wrapText="1"/>
    </xf>
    <xf numFmtId="0" fontId="0" fillId="0" borderId="34" xfId="0" applyBorder="1" applyAlignment="1">
      <alignment horizontal="center"/>
    </xf>
    <xf numFmtId="3" fontId="14" fillId="0" borderId="23" xfId="0" applyNumberFormat="1" applyFont="1" applyBorder="1" applyAlignment="1">
      <alignment horizontal="center" vertical="center"/>
    </xf>
    <xf numFmtId="3" fontId="14" fillId="0" borderId="0" xfId="0" applyNumberFormat="1" applyFont="1" applyBorder="1" applyAlignment="1">
      <alignment horizontal="left" vertical="center"/>
    </xf>
    <xf numFmtId="0" fontId="11" fillId="0" borderId="0" xfId="0" applyFont="1" applyBorder="1" applyAlignment="1" applyProtection="1">
      <alignment horizontal="right" vertical="center"/>
      <protection hidden="1"/>
    </xf>
    <xf numFmtId="0" fontId="0" fillId="0" borderId="0" xfId="0" applyNumberFormat="1" applyAlignment="1">
      <alignment horizontal="left" vertical="center"/>
    </xf>
    <xf numFmtId="0" fontId="0" fillId="0" borderId="0" xfId="0" applyNumberFormat="1" applyFont="1" applyAlignment="1">
      <alignment horizontal="left"/>
    </xf>
    <xf numFmtId="3" fontId="0" fillId="0" borderId="0" xfId="0" applyNumberFormat="1" applyAlignment="1"/>
    <xf numFmtId="0" fontId="0" fillId="0" borderId="1" xfId="0" applyFont="1" applyFill="1" applyBorder="1" applyAlignment="1" applyProtection="1">
      <alignment horizontal="left"/>
      <protection hidden="1"/>
    </xf>
    <xf numFmtId="0" fontId="0" fillId="0" borderId="2" xfId="0" applyFont="1" applyFill="1" applyBorder="1" applyAlignment="1" applyProtection="1">
      <alignment horizontal="center"/>
      <protection hidden="1"/>
    </xf>
    <xf numFmtId="0" fontId="0" fillId="0" borderId="3" xfId="0" applyFont="1" applyFill="1" applyBorder="1" applyAlignment="1" applyProtection="1">
      <alignment horizontal="center"/>
      <protection hidden="1"/>
    </xf>
    <xf numFmtId="0" fontId="0" fillId="0" borderId="4" xfId="0" applyFont="1" applyFill="1" applyBorder="1" applyAlignment="1" applyProtection="1">
      <alignment horizontal="center"/>
      <protection hidden="1"/>
    </xf>
    <xf numFmtId="0" fontId="1" fillId="11" borderId="11" xfId="0" applyFont="1" applyFill="1" applyBorder="1" applyAlignment="1" applyProtection="1">
      <alignment horizontal="right"/>
      <protection hidden="1"/>
    </xf>
    <xf numFmtId="0" fontId="1" fillId="11" borderId="0" xfId="0" applyFont="1" applyFill="1" applyBorder="1" applyAlignment="1" applyProtection="1">
      <alignment horizontal="right"/>
      <protection hidden="1"/>
    </xf>
    <xf numFmtId="0" fontId="1" fillId="11" borderId="12" xfId="0" applyFont="1" applyFill="1" applyBorder="1" applyAlignment="1" applyProtection="1">
      <alignment horizontal="right"/>
      <protection hidden="1"/>
    </xf>
    <xf numFmtId="0" fontId="1" fillId="0" borderId="11" xfId="0" applyFont="1" applyFill="1" applyBorder="1" applyAlignment="1" applyProtection="1">
      <alignment horizontal="right"/>
      <protection hidden="1"/>
    </xf>
    <xf numFmtId="0" fontId="1" fillId="0" borderId="0" xfId="0" applyFont="1" applyFill="1" applyBorder="1" applyAlignment="1" applyProtection="1">
      <alignment horizontal="right"/>
      <protection hidden="1"/>
    </xf>
    <xf numFmtId="0" fontId="1" fillId="0" borderId="12" xfId="0" applyFont="1" applyFill="1" applyBorder="1" applyAlignment="1" applyProtection="1">
      <alignment horizontal="right"/>
      <protection hidden="1"/>
    </xf>
    <xf numFmtId="0" fontId="35" fillId="0" borderId="11" xfId="0" applyFont="1" applyBorder="1" applyAlignment="1" applyProtection="1">
      <alignment horizontal="center" wrapText="1"/>
      <protection hidden="1"/>
    </xf>
    <xf numFmtId="0" fontId="35" fillId="0" borderId="0" xfId="0" applyFont="1" applyBorder="1" applyAlignment="1" applyProtection="1">
      <alignment horizontal="center" wrapText="1"/>
      <protection hidden="1"/>
    </xf>
    <xf numFmtId="0" fontId="35" fillId="0" borderId="12" xfId="0" applyFont="1" applyBorder="1" applyAlignment="1" applyProtection="1">
      <alignment horizontal="center" wrapText="1"/>
      <protection hidden="1"/>
    </xf>
    <xf numFmtId="0" fontId="24" fillId="4" borderId="6" xfId="0" applyFont="1" applyFill="1" applyBorder="1" applyAlignment="1" applyProtection="1">
      <alignment horizontal="left" vertical="top" wrapText="1"/>
      <protection locked="0" hidden="1"/>
    </xf>
    <xf numFmtId="0" fontId="24" fillId="4" borderId="5" xfId="0" applyFont="1" applyFill="1" applyBorder="1" applyAlignment="1" applyProtection="1">
      <alignment horizontal="left" vertical="top" wrapText="1"/>
      <protection locked="0" hidden="1"/>
    </xf>
    <xf numFmtId="0" fontId="24" fillId="4" borderId="7" xfId="0" applyFont="1" applyFill="1" applyBorder="1" applyAlignment="1" applyProtection="1">
      <alignment horizontal="left" vertical="top" wrapText="1"/>
      <protection locked="0" hidden="1"/>
    </xf>
    <xf numFmtId="0" fontId="24" fillId="4" borderId="11" xfId="0" applyFont="1" applyFill="1" applyBorder="1" applyAlignment="1" applyProtection="1">
      <alignment horizontal="left" vertical="top" wrapText="1"/>
      <protection locked="0" hidden="1"/>
    </xf>
    <xf numFmtId="0" fontId="24" fillId="4" borderId="0" xfId="0" applyFont="1" applyFill="1" applyBorder="1" applyAlignment="1" applyProtection="1">
      <alignment horizontal="left" vertical="top" wrapText="1"/>
      <protection locked="0" hidden="1"/>
    </xf>
    <xf numFmtId="0" fontId="24" fillId="4" borderId="12" xfId="0" applyFont="1" applyFill="1" applyBorder="1" applyAlignment="1" applyProtection="1">
      <alignment horizontal="left" vertical="top" wrapText="1"/>
      <protection locked="0" hidden="1"/>
    </xf>
    <xf numFmtId="0" fontId="24" fillId="4" borderId="8" xfId="0" applyFont="1" applyFill="1" applyBorder="1" applyAlignment="1" applyProtection="1">
      <alignment horizontal="left" vertical="top" wrapText="1"/>
      <protection locked="0" hidden="1"/>
    </xf>
    <xf numFmtId="0" fontId="24" fillId="4" borderId="9" xfId="0" applyFont="1" applyFill="1" applyBorder="1" applyAlignment="1" applyProtection="1">
      <alignment horizontal="left" vertical="top" wrapText="1"/>
      <protection locked="0" hidden="1"/>
    </xf>
    <xf numFmtId="0" fontId="24" fillId="4" borderId="10" xfId="0" applyFont="1" applyFill="1" applyBorder="1" applyAlignment="1" applyProtection="1">
      <alignment horizontal="left" vertical="top" wrapText="1"/>
      <protection locked="0" hidden="1"/>
    </xf>
    <xf numFmtId="0" fontId="24" fillId="4" borderId="2" xfId="0" applyFont="1" applyFill="1" applyBorder="1" applyAlignment="1" applyProtection="1">
      <alignment horizontal="left" vertical="center"/>
      <protection locked="0" hidden="1"/>
    </xf>
    <xf numFmtId="0" fontId="24" fillId="4" borderId="3" xfId="0" applyFont="1" applyFill="1" applyBorder="1" applyAlignment="1" applyProtection="1">
      <alignment horizontal="left" vertical="center"/>
      <protection locked="0" hidden="1"/>
    </xf>
    <xf numFmtId="0" fontId="24" fillId="4" borderId="4" xfId="0" applyFont="1" applyFill="1" applyBorder="1" applyAlignment="1" applyProtection="1">
      <alignment horizontal="left" vertical="center"/>
      <protection locked="0" hidden="1"/>
    </xf>
    <xf numFmtId="0" fontId="1" fillId="11" borderId="11" xfId="0" applyFont="1" applyFill="1" applyBorder="1" applyAlignment="1" applyProtection="1">
      <alignment horizontal="right" vertical="top" wrapText="1"/>
      <protection hidden="1"/>
    </xf>
    <xf numFmtId="0" fontId="1" fillId="11" borderId="0" xfId="0" applyFont="1" applyFill="1" applyBorder="1" applyAlignment="1" applyProtection="1">
      <alignment horizontal="right" vertical="top" wrapText="1"/>
      <protection hidden="1"/>
    </xf>
    <xf numFmtId="0" fontId="1" fillId="11" borderId="12" xfId="0" applyFont="1" applyFill="1" applyBorder="1" applyAlignment="1" applyProtection="1">
      <alignment horizontal="right" vertical="top" wrapText="1"/>
      <protection hidden="1"/>
    </xf>
    <xf numFmtId="3" fontId="33" fillId="4" borderId="2" xfId="0" applyNumberFormat="1" applyFont="1" applyFill="1" applyBorder="1" applyAlignment="1" applyProtection="1">
      <alignment horizontal="center" vertical="center"/>
      <protection locked="0" hidden="1"/>
    </xf>
    <xf numFmtId="3" fontId="33" fillId="4" borderId="3" xfId="0" applyNumberFormat="1" applyFont="1" applyFill="1" applyBorder="1" applyAlignment="1" applyProtection="1">
      <alignment horizontal="center" vertical="center"/>
      <protection locked="0" hidden="1"/>
    </xf>
    <xf numFmtId="3" fontId="33" fillId="4" borderId="4" xfId="0" applyNumberFormat="1" applyFont="1" applyFill="1" applyBorder="1" applyAlignment="1" applyProtection="1">
      <alignment horizontal="center" vertical="center"/>
      <protection locked="0" hidden="1"/>
    </xf>
    <xf numFmtId="0" fontId="33" fillId="7" borderId="2" xfId="0" applyFont="1" applyFill="1" applyBorder="1" applyAlignment="1" applyProtection="1">
      <alignment horizontal="center" vertical="center"/>
      <protection hidden="1"/>
    </xf>
    <xf numFmtId="0" fontId="33" fillId="7" borderId="3" xfId="0" applyFont="1" applyFill="1" applyBorder="1" applyAlignment="1" applyProtection="1">
      <alignment horizontal="center" vertical="center"/>
      <protection hidden="1"/>
    </xf>
    <xf numFmtId="0" fontId="33" fillId="7" borderId="4" xfId="0" applyFont="1" applyFill="1" applyBorder="1" applyAlignment="1" applyProtection="1">
      <alignment horizontal="center" vertical="center"/>
      <protection hidden="1"/>
    </xf>
    <xf numFmtId="0" fontId="33" fillId="7" borderId="2" xfId="0" applyFont="1" applyFill="1" applyBorder="1" applyAlignment="1" applyProtection="1">
      <alignment horizontal="center" vertical="center"/>
      <protection locked="0" hidden="1"/>
    </xf>
    <xf numFmtId="0" fontId="33" fillId="7" borderId="3" xfId="0" applyFont="1" applyFill="1" applyBorder="1" applyAlignment="1" applyProtection="1">
      <alignment horizontal="center" vertical="center"/>
      <protection locked="0" hidden="1"/>
    </xf>
    <xf numFmtId="0" fontId="33" fillId="7" borderId="4" xfId="0" applyFont="1" applyFill="1" applyBorder="1" applyAlignment="1" applyProtection="1">
      <alignment horizontal="center" vertical="center"/>
      <protection locked="0" hidden="1"/>
    </xf>
    <xf numFmtId="0" fontId="6" fillId="0" borderId="0" xfId="0" applyFont="1" applyAlignment="1" applyProtection="1">
      <alignment horizontal="left"/>
      <protection hidden="1"/>
    </xf>
    <xf numFmtId="0" fontId="6" fillId="0" borderId="12" xfId="0" applyFont="1" applyBorder="1" applyAlignment="1" applyProtection="1">
      <alignment horizontal="left"/>
      <protection hidden="1"/>
    </xf>
    <xf numFmtId="0" fontId="12" fillId="10" borderId="1" xfId="0" applyFont="1" applyFill="1" applyBorder="1" applyAlignment="1">
      <alignment horizontal="center"/>
    </xf>
    <xf numFmtId="0" fontId="12" fillId="10" borderId="1" xfId="0" applyFont="1" applyFill="1" applyBorder="1" applyAlignment="1">
      <alignment horizontal="center" vertical="center" textRotation="90"/>
    </xf>
    <xf numFmtId="0" fontId="0" fillId="0" borderId="0" xfId="0" applyFill="1" applyAlignment="1">
      <alignment horizontal="center"/>
    </xf>
    <xf numFmtId="0" fontId="12" fillId="0" borderId="6" xfId="0" applyFont="1" applyBorder="1" applyAlignment="1">
      <alignment horizontal="center" textRotation="45"/>
    </xf>
    <xf numFmtId="0" fontId="12" fillId="0" borderId="7" xfId="0" applyFont="1" applyBorder="1" applyAlignment="1">
      <alignment horizontal="center" textRotation="45"/>
    </xf>
    <xf numFmtId="0" fontId="12" fillId="0" borderId="8" xfId="0" applyFont="1" applyBorder="1" applyAlignment="1">
      <alignment horizontal="center" textRotation="45"/>
    </xf>
    <xf numFmtId="0" fontId="12" fillId="0" borderId="10" xfId="0" applyFont="1" applyBorder="1" applyAlignment="1">
      <alignment horizontal="center" textRotation="45"/>
    </xf>
    <xf numFmtId="0" fontId="16" fillId="7" borderId="1" xfId="0" applyFont="1" applyFill="1" applyBorder="1" applyProtection="1">
      <protection hidden="1"/>
    </xf>
    <xf numFmtId="0" fontId="16" fillId="7" borderId="1" xfId="0" applyFont="1" applyFill="1" applyBorder="1" applyAlignment="1" applyProtection="1">
      <alignment horizontal="left"/>
      <protection hidden="1"/>
    </xf>
    <xf numFmtId="0" fontId="0" fillId="0" borderId="0" xfId="0" applyAlignment="1" applyProtection="1">
      <alignment horizontal="left" vertical="center" wrapText="1"/>
      <protection hidden="1"/>
    </xf>
    <xf numFmtId="0" fontId="2" fillId="3" borderId="6" xfId="0" applyFont="1" applyFill="1" applyBorder="1" applyAlignment="1" applyProtection="1">
      <alignment horizontal="left" vertical="center" wrapText="1"/>
      <protection hidden="1"/>
    </xf>
    <xf numFmtId="0" fontId="2" fillId="3" borderId="5" xfId="0" applyFont="1" applyFill="1" applyBorder="1" applyAlignment="1" applyProtection="1">
      <alignment horizontal="left" vertical="center" wrapText="1"/>
      <protection hidden="1"/>
    </xf>
    <xf numFmtId="0" fontId="2" fillId="3" borderId="7" xfId="0" applyFont="1" applyFill="1" applyBorder="1" applyAlignment="1" applyProtection="1">
      <alignment horizontal="left" vertical="center" wrapText="1"/>
      <protection hidden="1"/>
    </xf>
    <xf numFmtId="0" fontId="2" fillId="3" borderId="8" xfId="0" applyFont="1" applyFill="1" applyBorder="1" applyAlignment="1" applyProtection="1">
      <alignment horizontal="left" vertical="center" wrapText="1"/>
      <protection hidden="1"/>
    </xf>
    <xf numFmtId="0" fontId="2" fillId="3" borderId="9" xfId="0" applyFont="1" applyFill="1" applyBorder="1" applyAlignment="1" applyProtection="1">
      <alignment horizontal="left" vertical="center" wrapText="1"/>
      <protection hidden="1"/>
    </xf>
    <xf numFmtId="0" fontId="2" fillId="3" borderId="10" xfId="0" applyFont="1" applyFill="1" applyBorder="1" applyAlignment="1" applyProtection="1">
      <alignment horizontal="left" vertical="center" wrapText="1"/>
      <protection hidden="1"/>
    </xf>
    <xf numFmtId="0" fontId="2" fillId="3" borderId="0" xfId="0" applyFont="1" applyFill="1" applyBorder="1" applyAlignment="1" applyProtection="1">
      <alignment horizontal="left" vertical="center" wrapText="1"/>
      <protection hidden="1"/>
    </xf>
    <xf numFmtId="0" fontId="2" fillId="3" borderId="5" xfId="0" applyFont="1" applyFill="1" applyBorder="1" applyAlignment="1" applyProtection="1">
      <alignment horizontal="left" vertical="center"/>
      <protection hidden="1"/>
    </xf>
    <xf numFmtId="0" fontId="0" fillId="0" borderId="0" xfId="0" applyAlignment="1" applyProtection="1">
      <alignment horizontal="left" wrapText="1"/>
      <protection hidden="1"/>
    </xf>
    <xf numFmtId="0" fontId="0" fillId="0" borderId="0" xfId="0" applyAlignment="1" applyProtection="1">
      <alignment horizontal="left"/>
      <protection hidden="1"/>
    </xf>
    <xf numFmtId="0" fontId="2" fillId="3" borderId="2" xfId="0" applyFont="1" applyFill="1" applyBorder="1" applyAlignment="1" applyProtection="1">
      <alignment horizontal="left" vertical="center"/>
      <protection hidden="1"/>
    </xf>
    <xf numFmtId="0" fontId="2" fillId="3" borderId="3" xfId="0" applyFont="1" applyFill="1" applyBorder="1" applyAlignment="1" applyProtection="1">
      <alignment horizontal="left" vertical="center"/>
      <protection hidden="1"/>
    </xf>
    <xf numFmtId="0" fontId="2" fillId="3" borderId="4" xfId="0" applyFont="1" applyFill="1" applyBorder="1" applyAlignment="1" applyProtection="1">
      <alignment horizontal="left" vertical="center"/>
      <protection hidden="1"/>
    </xf>
    <xf numFmtId="14" fontId="0" fillId="4" borderId="2" xfId="0" applyNumberFormat="1" applyFill="1" applyBorder="1" applyAlignment="1" applyProtection="1">
      <alignment horizontal="center"/>
      <protection locked="0" hidden="1"/>
    </xf>
    <xf numFmtId="14" fontId="0" fillId="4" borderId="3" xfId="0" applyNumberFormat="1" applyFill="1" applyBorder="1" applyAlignment="1" applyProtection="1">
      <alignment horizontal="center"/>
      <protection locked="0" hidden="1"/>
    </xf>
    <xf numFmtId="14" fontId="0" fillId="4" borderId="4" xfId="0" applyNumberFormat="1" applyFill="1" applyBorder="1" applyAlignment="1" applyProtection="1">
      <alignment horizontal="center"/>
      <protection locked="0" hidden="1"/>
    </xf>
    <xf numFmtId="0" fontId="0" fillId="4" borderId="2" xfId="0" applyNumberFormat="1" applyFill="1" applyBorder="1" applyAlignment="1" applyProtection="1">
      <alignment horizontal="center"/>
      <protection locked="0" hidden="1"/>
    </xf>
    <xf numFmtId="0" fontId="0" fillId="4" borderId="3" xfId="0" applyNumberFormat="1" applyFill="1" applyBorder="1" applyAlignment="1" applyProtection="1">
      <alignment horizontal="center"/>
      <protection locked="0" hidden="1"/>
    </xf>
    <xf numFmtId="0" fontId="0" fillId="4" borderId="4" xfId="0" applyNumberFormat="1" applyFill="1" applyBorder="1" applyAlignment="1" applyProtection="1">
      <alignment horizontal="center"/>
      <protection locked="0" hidden="1"/>
    </xf>
    <xf numFmtId="0" fontId="8" fillId="9" borderId="1" xfId="0" applyFont="1" applyFill="1" applyBorder="1" applyAlignment="1">
      <alignment horizontal="center" vertical="center"/>
    </xf>
    <xf numFmtId="0" fontId="6" fillId="0" borderId="5"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3" fontId="0" fillId="4" borderId="2" xfId="0" applyNumberFormat="1" applyFill="1" applyBorder="1" applyAlignment="1" applyProtection="1">
      <alignment horizontal="center"/>
      <protection locked="0" hidden="1"/>
    </xf>
    <xf numFmtId="3" fontId="0" fillId="4" borderId="3" xfId="0" applyNumberFormat="1" applyFill="1" applyBorder="1" applyAlignment="1" applyProtection="1">
      <alignment horizontal="center"/>
      <protection locked="0" hidden="1"/>
    </xf>
    <xf numFmtId="3" fontId="0" fillId="4" borderId="4" xfId="0" applyNumberFormat="1" applyFill="1" applyBorder="1" applyAlignment="1" applyProtection="1">
      <alignment horizontal="center"/>
      <protection locked="0" hidden="1"/>
    </xf>
    <xf numFmtId="0" fontId="0" fillId="0" borderId="0" xfId="0" applyFont="1" applyAlignment="1" applyProtection="1">
      <alignment horizontal="justify" vertical="center" wrapText="1"/>
      <protection hidden="1"/>
    </xf>
    <xf numFmtId="0" fontId="0" fillId="0" borderId="0" xfId="0" applyFont="1" applyAlignment="1" applyProtection="1">
      <alignment horizontal="justify" vertical="center"/>
      <protection hidden="1"/>
    </xf>
    <xf numFmtId="0" fontId="1" fillId="0" borderId="0" xfId="0" applyFont="1" applyAlignment="1" applyProtection="1">
      <alignment horizontal="center" vertical="center"/>
      <protection hidden="1"/>
    </xf>
    <xf numFmtId="0" fontId="0" fillId="0" borderId="0" xfId="0" applyFill="1" applyAlignment="1">
      <alignment horizontal="center" textRotation="90"/>
    </xf>
    <xf numFmtId="0" fontId="3" fillId="0" borderId="0" xfId="0" applyFont="1" applyAlignment="1" applyProtection="1">
      <alignment horizontal="left" vertical="center"/>
      <protection hidden="1"/>
    </xf>
    <xf numFmtId="0" fontId="4" fillId="7" borderId="2" xfId="0" applyFont="1" applyFill="1" applyBorder="1" applyAlignment="1" applyProtection="1">
      <alignment horizontal="center"/>
      <protection locked="0" hidden="1"/>
    </xf>
    <xf numFmtId="0" fontId="4" fillId="7" borderId="4" xfId="0" applyFont="1" applyFill="1" applyBorder="1" applyAlignment="1" applyProtection="1">
      <alignment horizontal="center"/>
      <protection locked="0" hidden="1"/>
    </xf>
    <xf numFmtId="0" fontId="4" fillId="7" borderId="2" xfId="0" applyFont="1" applyFill="1" applyBorder="1" applyAlignment="1" applyProtection="1">
      <alignment horizontal="left"/>
      <protection locked="0" hidden="1"/>
    </xf>
    <xf numFmtId="0" fontId="4" fillId="7" borderId="3" xfId="0" applyFont="1" applyFill="1" applyBorder="1" applyAlignment="1" applyProtection="1">
      <alignment horizontal="left"/>
      <protection locked="0" hidden="1"/>
    </xf>
    <xf numFmtId="0" fontId="4" fillId="7" borderId="4" xfId="0" applyFont="1" applyFill="1" applyBorder="1" applyAlignment="1" applyProtection="1">
      <alignment horizontal="left"/>
      <protection locked="0" hidden="1"/>
    </xf>
    <xf numFmtId="0" fontId="0" fillId="0" borderId="0" xfId="0" applyBorder="1" applyAlignment="1" applyProtection="1">
      <alignment horizontal="left" vertical="center"/>
      <protection hidden="1"/>
    </xf>
    <xf numFmtId="0" fontId="6" fillId="0" borderId="5"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35" fillId="0" borderId="5" xfId="0" applyFont="1" applyFill="1" applyBorder="1" applyAlignment="1" applyProtection="1">
      <alignment horizontal="center" vertical="center" wrapText="1"/>
      <protection hidden="1"/>
    </xf>
    <xf numFmtId="0" fontId="35" fillId="0" borderId="0" xfId="0" applyFont="1" applyFill="1" applyBorder="1" applyAlignment="1" applyProtection="1">
      <alignment horizontal="center" vertical="center" wrapText="1"/>
      <protection hidden="1"/>
    </xf>
    <xf numFmtId="0" fontId="11" fillId="0" borderId="9" xfId="0" applyFont="1" applyBorder="1" applyAlignment="1" applyProtection="1">
      <alignment horizontal="center"/>
      <protection hidden="1"/>
    </xf>
    <xf numFmtId="0" fontId="0" fillId="0" borderId="2" xfId="0" applyBorder="1" applyAlignment="1" applyProtection="1">
      <alignment vertical="center"/>
      <protection hidden="1"/>
    </xf>
    <xf numFmtId="0" fontId="0" fillId="0" borderId="3" xfId="0" applyBorder="1" applyAlignment="1" applyProtection="1">
      <alignment vertical="center"/>
      <protection hidden="1"/>
    </xf>
    <xf numFmtId="0" fontId="0" fillId="0" borderId="4" xfId="0" applyBorder="1" applyAlignment="1" applyProtection="1">
      <alignment vertical="center"/>
      <protection hidden="1"/>
    </xf>
    <xf numFmtId="0" fontId="22" fillId="0" borderId="6" xfId="0" applyFont="1" applyBorder="1" applyAlignment="1" applyProtection="1">
      <alignment horizontal="left" vertical="center"/>
      <protection hidden="1"/>
    </xf>
    <xf numFmtId="0" fontId="22" fillId="0" borderId="5" xfId="0" applyFont="1" applyBorder="1" applyAlignment="1" applyProtection="1">
      <alignment horizontal="left" vertical="center"/>
      <protection hidden="1"/>
    </xf>
    <xf numFmtId="0" fontId="22" fillId="0" borderId="7" xfId="0" applyFont="1" applyBorder="1" applyAlignment="1" applyProtection="1">
      <alignment horizontal="left" vertical="center"/>
      <protection hidden="1"/>
    </xf>
    <xf numFmtId="0" fontId="22" fillId="0" borderId="11" xfId="0" applyFont="1" applyBorder="1" applyAlignment="1" applyProtection="1">
      <alignment horizontal="left" vertical="center"/>
      <protection hidden="1"/>
    </xf>
    <xf numFmtId="0" fontId="22" fillId="0" borderId="0" xfId="0" applyFont="1" applyBorder="1" applyAlignment="1" applyProtection="1">
      <alignment horizontal="left" vertical="center"/>
      <protection hidden="1"/>
    </xf>
    <xf numFmtId="0" fontId="22" fillId="0" borderId="12" xfId="0" applyFont="1" applyBorder="1" applyAlignment="1" applyProtection="1">
      <alignment horizontal="left" vertical="center"/>
      <protection hidden="1"/>
    </xf>
    <xf numFmtId="0" fontId="6" fillId="0" borderId="0" xfId="0" applyFont="1" applyAlignment="1" applyProtection="1">
      <alignment horizontal="center" vertical="center" wrapText="1"/>
      <protection hidden="1"/>
    </xf>
    <xf numFmtId="9" fontId="19" fillId="4" borderId="1" xfId="1" applyFont="1" applyFill="1" applyBorder="1" applyAlignment="1" applyProtection="1">
      <alignment horizontal="center" vertical="center"/>
      <protection locked="0" hidden="1"/>
    </xf>
    <xf numFmtId="0" fontId="0" fillId="0" borderId="2"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2" fontId="33" fillId="7" borderId="2" xfId="0" applyNumberFormat="1" applyFont="1" applyFill="1" applyBorder="1" applyAlignment="1" applyProtection="1">
      <alignment horizontal="center" vertical="center"/>
      <protection hidden="1"/>
    </xf>
    <xf numFmtId="2" fontId="33" fillId="7" borderId="3" xfId="0" applyNumberFormat="1" applyFont="1" applyFill="1" applyBorder="1" applyAlignment="1" applyProtection="1">
      <alignment horizontal="center" vertical="center"/>
      <protection hidden="1"/>
    </xf>
    <xf numFmtId="2" fontId="33" fillId="7" borderId="4" xfId="0" applyNumberFormat="1" applyFont="1" applyFill="1" applyBorder="1" applyAlignment="1" applyProtection="1">
      <alignment horizontal="center" vertical="center"/>
      <protection hidden="1"/>
    </xf>
    <xf numFmtId="9" fontId="33" fillId="7" borderId="2" xfId="0" applyNumberFormat="1" applyFont="1" applyFill="1" applyBorder="1" applyAlignment="1" applyProtection="1">
      <alignment horizontal="center" vertical="center"/>
      <protection hidden="1"/>
    </xf>
    <xf numFmtId="9" fontId="33" fillId="7" borderId="3" xfId="0" applyNumberFormat="1" applyFont="1" applyFill="1" applyBorder="1" applyAlignment="1" applyProtection="1">
      <alignment horizontal="center" vertical="center"/>
      <protection hidden="1"/>
    </xf>
    <xf numFmtId="9" fontId="33" fillId="7" borderId="4" xfId="0" applyNumberFormat="1" applyFont="1" applyFill="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8" fillId="0" borderId="11" xfId="0" applyFont="1" applyBorder="1" applyAlignment="1" applyProtection="1">
      <alignment horizontal="center"/>
      <protection hidden="1"/>
    </xf>
    <xf numFmtId="0" fontId="18" fillId="0" borderId="0" xfId="0" applyFont="1" applyBorder="1" applyAlignment="1" applyProtection="1">
      <alignment horizontal="center"/>
      <protection hidden="1"/>
    </xf>
    <xf numFmtId="0" fontId="18" fillId="0" borderId="12" xfId="0" applyFont="1" applyBorder="1" applyAlignment="1" applyProtection="1">
      <alignment horizontal="center"/>
      <protection hidden="1"/>
    </xf>
    <xf numFmtId="0" fontId="6" fillId="0" borderId="11" xfId="0" applyFont="1" applyBorder="1" applyAlignment="1" applyProtection="1">
      <alignment horizontal="center" vertical="top" wrapText="1"/>
      <protection hidden="1"/>
    </xf>
    <xf numFmtId="0" fontId="6" fillId="0" borderId="0" xfId="0" applyFont="1" applyBorder="1" applyAlignment="1" applyProtection="1">
      <alignment horizontal="center" vertical="top" wrapText="1"/>
      <protection hidden="1"/>
    </xf>
    <xf numFmtId="0" fontId="6" fillId="0" borderId="12" xfId="0" applyFont="1" applyBorder="1" applyAlignment="1" applyProtection="1">
      <alignment horizontal="center" vertical="top" wrapText="1"/>
      <protection hidden="1"/>
    </xf>
    <xf numFmtId="0" fontId="6" fillId="0" borderId="9" xfId="0" applyFont="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5" fillId="0" borderId="9" xfId="0" applyFont="1" applyBorder="1" applyAlignment="1" applyProtection="1">
      <alignment horizontal="center" vertical="center" wrapText="1"/>
      <protection hidden="1"/>
    </xf>
    <xf numFmtId="0" fontId="11" fillId="0" borderId="0" xfId="0" applyFont="1" applyBorder="1" applyAlignment="1" applyProtection="1">
      <alignment horizontal="center"/>
      <protection hidden="1"/>
    </xf>
    <xf numFmtId="0" fontId="11" fillId="0" borderId="0" xfId="0" applyFont="1" applyAlignment="1" applyProtection="1">
      <alignment horizontal="center" wrapText="1"/>
      <protection hidden="1"/>
    </xf>
    <xf numFmtId="0" fontId="11" fillId="0" borderId="12" xfId="0" applyFont="1" applyBorder="1" applyAlignment="1" applyProtection="1">
      <alignment horizontal="center" wrapText="1"/>
      <protection hidden="1"/>
    </xf>
    <xf numFmtId="0" fontId="27" fillId="0" borderId="0" xfId="0" applyFont="1" applyFill="1" applyBorder="1" applyAlignment="1" applyProtection="1">
      <alignment horizontal="left" vertical="center" wrapText="1"/>
      <protection hidden="1"/>
    </xf>
    <xf numFmtId="0" fontId="28" fillId="0" borderId="0" xfId="0" applyFont="1" applyFill="1" applyBorder="1" applyAlignment="1" applyProtection="1">
      <alignment horizontal="left" vertical="center"/>
      <protection hidden="1"/>
    </xf>
    <xf numFmtId="0" fontId="27" fillId="0" borderId="0" xfId="0" applyFont="1" applyFill="1" applyBorder="1" applyAlignment="1" applyProtection="1">
      <alignment horizontal="left"/>
      <protection hidden="1"/>
    </xf>
    <xf numFmtId="0" fontId="28"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left" vertical="center"/>
      <protection hidden="1"/>
    </xf>
    <xf numFmtId="0" fontId="27" fillId="0" borderId="11" xfId="0" applyFont="1" applyFill="1" applyBorder="1" applyAlignment="1" applyProtection="1">
      <alignment horizontal="left" vertical="center" wrapText="1"/>
      <protection hidden="1"/>
    </xf>
    <xf numFmtId="3" fontId="28" fillId="0" borderId="9" xfId="0" applyNumberFormat="1" applyFont="1" applyFill="1" applyBorder="1" applyAlignment="1" applyProtection="1">
      <alignment horizontal="left"/>
      <protection hidden="1"/>
    </xf>
    <xf numFmtId="0" fontId="28" fillId="0" borderId="9" xfId="0" applyNumberFormat="1" applyFont="1" applyFill="1" applyBorder="1" applyAlignment="1" applyProtection="1">
      <alignment horizontal="left"/>
      <protection hidden="1"/>
    </xf>
    <xf numFmtId="0" fontId="27" fillId="0" borderId="0" xfId="0" applyFont="1" applyFill="1" applyAlignment="1" applyProtection="1">
      <alignment horizontal="left" vertical="center"/>
      <protection hidden="1"/>
    </xf>
    <xf numFmtId="0" fontId="27" fillId="0" borderId="0" xfId="0" applyFont="1" applyFill="1" applyAlignment="1" applyProtection="1">
      <alignment horizontal="justify" vertical="center" wrapText="1"/>
      <protection hidden="1"/>
    </xf>
    <xf numFmtId="0" fontId="27" fillId="0" borderId="0" xfId="0" applyFont="1" applyFill="1" applyAlignment="1" applyProtection="1">
      <alignment horizontal="justify" vertical="center"/>
      <protection hidden="1"/>
    </xf>
    <xf numFmtId="0" fontId="29" fillId="0" borderId="0" xfId="0" applyFont="1" applyFill="1" applyAlignment="1" applyProtection="1">
      <alignment horizontal="left" vertical="center"/>
      <protection hidden="1"/>
    </xf>
    <xf numFmtId="0" fontId="27" fillId="0" borderId="9" xfId="0" applyFont="1" applyFill="1" applyBorder="1" applyAlignment="1" applyProtection="1">
      <alignment horizontal="center"/>
      <protection hidden="1"/>
    </xf>
    <xf numFmtId="3" fontId="27" fillId="0" borderId="9" xfId="0" applyNumberFormat="1" applyFont="1" applyFill="1" applyBorder="1" applyAlignment="1" applyProtection="1">
      <alignment horizontal="center"/>
      <protection hidden="1"/>
    </xf>
    <xf numFmtId="0" fontId="29" fillId="0" borderId="0" xfId="0" applyFont="1" applyFill="1" applyBorder="1" applyAlignment="1" applyProtection="1">
      <alignment horizontal="left" vertical="center"/>
      <protection hidden="1"/>
    </xf>
    <xf numFmtId="0" fontId="28" fillId="0" borderId="9" xfId="0" applyFont="1" applyFill="1" applyBorder="1" applyAlignment="1" applyProtection="1">
      <alignment horizontal="center"/>
      <protection hidden="1"/>
    </xf>
    <xf numFmtId="3" fontId="28" fillId="0" borderId="9" xfId="0" applyNumberFormat="1" applyFont="1" applyFill="1" applyBorder="1" applyAlignment="1" applyProtection="1">
      <alignment horizontal="center"/>
      <protection hidden="1"/>
    </xf>
    <xf numFmtId="0" fontId="28" fillId="0" borderId="0" xfId="0" applyFont="1" applyFill="1" applyBorder="1" applyAlignment="1" applyProtection="1">
      <alignment horizontal="justify" vertical="center" wrapText="1"/>
      <protection hidden="1"/>
    </xf>
    <xf numFmtId="0" fontId="28" fillId="0" borderId="9" xfId="0" applyFont="1" applyFill="1" applyBorder="1" applyAlignment="1" applyProtection="1">
      <alignment horizontal="justify" vertical="center" wrapText="1"/>
      <protection hidden="1"/>
    </xf>
    <xf numFmtId="0" fontId="28" fillId="0" borderId="0" xfId="0" applyFont="1" applyFill="1" applyBorder="1" applyAlignment="1" applyProtection="1">
      <alignment horizontal="center" vertical="center" wrapText="1"/>
      <protection hidden="1"/>
    </xf>
    <xf numFmtId="0" fontId="27" fillId="0" borderId="6" xfId="0" applyFont="1" applyFill="1" applyBorder="1" applyAlignment="1" applyProtection="1">
      <alignment horizontal="center" vertical="center"/>
      <protection hidden="1"/>
    </xf>
    <xf numFmtId="0" fontId="27" fillId="0" borderId="5" xfId="0" applyFont="1" applyFill="1" applyBorder="1" applyAlignment="1" applyProtection="1">
      <alignment horizontal="center" vertical="center"/>
      <protection hidden="1"/>
    </xf>
    <xf numFmtId="0" fontId="27" fillId="0" borderId="7" xfId="0" applyFont="1" applyFill="1" applyBorder="1" applyAlignment="1" applyProtection="1">
      <alignment horizontal="center" vertical="center"/>
      <protection hidden="1"/>
    </xf>
    <xf numFmtId="0" fontId="27" fillId="0" borderId="8" xfId="0" applyFont="1" applyFill="1" applyBorder="1" applyAlignment="1" applyProtection="1">
      <alignment horizontal="center" vertical="center"/>
      <protection hidden="1"/>
    </xf>
    <xf numFmtId="0" fontId="27" fillId="0" borderId="9" xfId="0" applyFont="1" applyFill="1" applyBorder="1" applyAlignment="1" applyProtection="1">
      <alignment horizontal="center" vertical="center"/>
      <protection hidden="1"/>
    </xf>
    <xf numFmtId="0" fontId="27" fillId="0" borderId="10" xfId="0" applyFont="1" applyFill="1" applyBorder="1" applyAlignment="1" applyProtection="1">
      <alignment horizontal="center" vertical="center"/>
      <protection hidden="1"/>
    </xf>
    <xf numFmtId="0" fontId="28" fillId="0" borderId="0" xfId="0" applyFont="1" applyFill="1" applyAlignment="1" applyProtection="1">
      <alignment horizontal="justify" vertical="center" wrapText="1"/>
      <protection hidden="1"/>
    </xf>
    <xf numFmtId="0" fontId="27" fillId="0" borderId="0" xfId="0" applyFont="1" applyFill="1" applyAlignment="1" applyProtection="1">
      <alignment horizontal="left" wrapText="1"/>
      <protection hidden="1"/>
    </xf>
  </cellXfs>
  <cellStyles count="2">
    <cellStyle name="Normál" xfId="0" builtinId="0"/>
    <cellStyle name="Százalék" xfId="1" builtinId="5"/>
  </cellStyles>
  <dxfs count="61">
    <dxf>
      <fill>
        <patternFill>
          <bgColor rgb="FF97D2FF"/>
        </patternFill>
      </fill>
    </dxf>
    <dxf>
      <fill>
        <patternFill patternType="none">
          <bgColor auto="1"/>
        </patternFill>
      </fill>
    </dxf>
    <dxf>
      <fill>
        <patternFill patternType="none">
          <bgColor auto="1"/>
        </patternFill>
      </fill>
    </dxf>
    <dxf>
      <fill>
        <patternFill patternType="none">
          <bgColor auto="1"/>
        </patternFill>
      </fill>
    </dxf>
    <dxf>
      <border>
        <bottom style="thin">
          <color auto="1"/>
        </bottom>
        <vertical/>
        <horizontal/>
      </border>
    </dxf>
    <dxf>
      <font>
        <color theme="0"/>
      </font>
      <fill>
        <patternFill patternType="none">
          <bgColor auto="1"/>
        </patternFill>
      </fill>
      <border>
        <left/>
        <right/>
        <top/>
        <bottom/>
        <vertical/>
        <horizontal/>
      </border>
    </dxf>
    <dxf>
      <border>
        <bottom style="thin">
          <color auto="1"/>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97D2FF"/>
        </patternFill>
      </fill>
    </dxf>
    <dxf>
      <font>
        <b/>
        <i val="0"/>
        <color rgb="FFFFFF00"/>
      </font>
      <fill>
        <patternFill>
          <bgColor rgb="FFC00000"/>
        </patternFill>
      </fill>
    </dxf>
    <dxf>
      <font>
        <color theme="0"/>
      </font>
      <fill>
        <patternFill patternType="none">
          <bgColor auto="1"/>
        </patternFill>
      </fill>
      <border>
        <left/>
        <right/>
        <top/>
        <bottom/>
        <vertical/>
        <horizontal/>
      </border>
    </dxf>
    <dxf>
      <fill>
        <patternFill patternType="none">
          <bgColor auto="1"/>
        </patternFill>
      </fill>
    </dxf>
    <dxf>
      <fill>
        <patternFill patternType="none">
          <bgColor auto="1"/>
        </patternFill>
      </fill>
    </dxf>
    <dxf>
      <font>
        <color rgb="FFFF0000"/>
      </font>
    </dxf>
    <dxf>
      <font>
        <color rgb="FFFF0000"/>
      </font>
    </dxf>
    <dxf>
      <fill>
        <patternFill patternType="none">
          <bgColor auto="1"/>
        </patternFill>
      </fill>
      <border>
        <left/>
        <right/>
        <bottom/>
        <vertical/>
        <horizontal/>
      </border>
    </dxf>
    <dxf>
      <fill>
        <patternFill>
          <bgColor rgb="FF92D050"/>
        </patternFill>
      </fill>
    </dxf>
    <dxf>
      <font>
        <b/>
        <i val="0"/>
        <color auto="1"/>
      </font>
      <fill>
        <gradientFill degree="90">
          <stop position="0">
            <color theme="7" tint="0.80001220740379042"/>
          </stop>
          <stop position="0.5">
            <color theme="7"/>
          </stop>
          <stop position="1">
            <color theme="7" tint="0.80001220740379042"/>
          </stop>
        </gradientFill>
      </fill>
    </dxf>
    <dxf>
      <fill>
        <patternFill>
          <bgColor rgb="FF92D050"/>
        </patternFill>
      </fill>
    </dxf>
    <dxf>
      <fill>
        <patternFill>
          <bgColor rgb="FF92D050"/>
        </patternFill>
      </fill>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ill>
        <patternFill>
          <bgColor rgb="FF92D050"/>
        </patternFill>
      </fill>
    </dxf>
    <dxf>
      <font>
        <b/>
        <i val="0"/>
        <u/>
        <color rgb="FF0066B3"/>
      </font>
    </dxf>
    <dxf>
      <font>
        <b/>
        <i val="0"/>
        <u/>
        <color rgb="FF0066B3"/>
      </font>
    </dxf>
    <dxf>
      <font>
        <b/>
        <i val="0"/>
        <u/>
        <color rgb="FF0066B3"/>
      </font>
    </dxf>
    <dxf>
      <fill>
        <patternFill>
          <bgColor rgb="FF92D050"/>
        </patternFill>
      </fill>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b/>
        <i val="0"/>
        <u/>
        <color rgb="FF0066B3"/>
      </font>
    </dxf>
    <dxf>
      <font>
        <color auto="1"/>
      </font>
      <fill>
        <patternFill>
          <bgColor rgb="FF97D2FF"/>
        </patternFill>
      </fill>
    </dxf>
    <dxf>
      <font>
        <b val="0"/>
        <i val="0"/>
        <u val="none"/>
        <color auto="1"/>
      </font>
      <fill>
        <patternFill>
          <bgColor rgb="FF97D2FF"/>
        </patternFill>
      </fill>
    </dxf>
    <dxf>
      <font>
        <b/>
        <i val="0"/>
        <u/>
        <color rgb="FF0066B3"/>
      </font>
    </dxf>
    <dxf>
      <font>
        <b/>
        <i val="0"/>
        <u/>
        <color rgb="FF0066B3"/>
      </font>
    </dxf>
    <dxf>
      <font>
        <b/>
        <i val="0"/>
        <u/>
        <color rgb="FF0066B3"/>
      </font>
    </dxf>
    <dxf>
      <font>
        <b/>
        <i val="0"/>
        <u/>
        <color rgb="FF0066B3"/>
      </font>
    </dxf>
    <dxf>
      <font>
        <b/>
        <i val="0"/>
        <u/>
        <color rgb="FF0066B3"/>
      </font>
    </dxf>
  </dxfs>
  <tableStyles count="0" defaultTableStyle="TableStyleMedium2" defaultPivotStyle="PivotStyleLight16"/>
  <colors>
    <mruColors>
      <color rgb="FF0066B3"/>
      <color rgb="FF97D2FF"/>
      <color rgb="FF69BFFF"/>
      <color rgb="FFFACA6A"/>
      <color rgb="FFFFB871"/>
      <color rgb="FFB7EBF5"/>
      <color rgb="FFE1E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AV$20"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AV$32"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AV$3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V$43"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fmlaLink="$AV$49"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AV$86"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AV$95"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AV$25"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CheckBox" fmlaLink="$AW$103" lockText="1" noThreeD="1"/>
</file>

<file path=xl/ctrlProps/ctrlProp42.xml><?xml version="1.0" encoding="utf-8"?>
<formControlPr xmlns="http://schemas.microsoft.com/office/spreadsheetml/2009/9/main" objectType="CheckBox" fmlaLink="$AW$104" lockText="1" noThreeD="1"/>
</file>

<file path=xl/ctrlProps/ctrlProp43.xml><?xml version="1.0" encoding="utf-8"?>
<formControlPr xmlns="http://schemas.microsoft.com/office/spreadsheetml/2009/9/main" objectType="CheckBox" fmlaLink="$AW$105" lockText="1" noThreeD="1"/>
</file>

<file path=xl/ctrlProps/ctrlProp44.xml><?xml version="1.0" encoding="utf-8"?>
<formControlPr xmlns="http://schemas.microsoft.com/office/spreadsheetml/2009/9/main" objectType="CheckBox" fmlaLink="$AW$106" lockText="1" noThreeD="1"/>
</file>

<file path=xl/ctrlProps/ctrlProp45.xml><?xml version="1.0" encoding="utf-8"?>
<formControlPr xmlns="http://schemas.microsoft.com/office/spreadsheetml/2009/9/main" objectType="CheckBox" fmlaLink="$AW$102" lockText="1" noThreeD="1"/>
</file>

<file path=xl/ctrlProps/ctrlProp46.xml><?xml version="1.0" encoding="utf-8"?>
<formControlPr xmlns="http://schemas.microsoft.com/office/spreadsheetml/2009/9/main" objectType="CheckBox" fmlaLink="$AW$109" lockText="1" noThreeD="1"/>
</file>

<file path=xl/ctrlProps/ctrlProp47.xml><?xml version="1.0" encoding="utf-8"?>
<formControlPr xmlns="http://schemas.microsoft.com/office/spreadsheetml/2009/9/main" objectType="CheckBox" fmlaLink="$AW$110" lockText="1" noThreeD="1"/>
</file>

<file path=xl/ctrlProps/ctrlProp48.xml><?xml version="1.0" encoding="utf-8"?>
<formControlPr xmlns="http://schemas.microsoft.com/office/spreadsheetml/2009/9/main" objectType="CheckBox" fmlaLink="$AW$111" lockText="1" noThreeD="1"/>
</file>

<file path=xl/ctrlProps/ctrlProp49.xml><?xml version="1.0" encoding="utf-8"?>
<formControlPr xmlns="http://schemas.microsoft.com/office/spreadsheetml/2009/9/main" objectType="CheckBox" fmlaLink="$AW$112"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fmlaLink="$AW$113" lockText="1" noThreeD="1"/>
</file>

<file path=xl/ctrlProps/ctrlProp51.xml><?xml version="1.0" encoding="utf-8"?>
<formControlPr xmlns="http://schemas.microsoft.com/office/spreadsheetml/2009/9/main" objectType="CheckBox" fmlaLink="$AW$56" lockText="1" noThreeD="1"/>
</file>

<file path=xl/ctrlProps/ctrlProp52.xml><?xml version="1.0" encoding="utf-8"?>
<formControlPr xmlns="http://schemas.microsoft.com/office/spreadsheetml/2009/9/main" objectType="CheckBox" fmlaLink="$AW$57" lockText="1" noThreeD="1"/>
</file>

<file path=xl/ctrlProps/ctrlProp53.xml><?xml version="1.0" encoding="utf-8"?>
<formControlPr xmlns="http://schemas.microsoft.com/office/spreadsheetml/2009/9/main" objectType="CheckBox" fmlaLink="$AW$58" lockText="1" noThreeD="1"/>
</file>

<file path=xl/ctrlProps/ctrlProp54.xml><?xml version="1.0" encoding="utf-8"?>
<formControlPr xmlns="http://schemas.microsoft.com/office/spreadsheetml/2009/9/main" objectType="CheckBox" fmlaLink="$AX$56" lockText="1" noThreeD="1"/>
</file>

<file path=xl/ctrlProps/ctrlProp55.xml><?xml version="1.0" encoding="utf-8"?>
<formControlPr xmlns="http://schemas.microsoft.com/office/spreadsheetml/2009/9/main" objectType="CheckBox" fmlaLink="$AX$57" lockText="1" noThreeD="1"/>
</file>

<file path=xl/ctrlProps/ctrlProp56.xml><?xml version="1.0" encoding="utf-8"?>
<formControlPr xmlns="http://schemas.microsoft.com/office/spreadsheetml/2009/9/main" objectType="CheckBox" fmlaLink="$AX$58" lockText="1" noThreeD="1"/>
</file>

<file path=xl/ctrlProps/ctrlProp57.xml><?xml version="1.0" encoding="utf-8"?>
<formControlPr xmlns="http://schemas.microsoft.com/office/spreadsheetml/2009/9/main" objectType="CheckBox" fmlaLink="$AY$56" lockText="1" noThreeD="1"/>
</file>

<file path=xl/ctrlProps/ctrlProp58.xml><?xml version="1.0" encoding="utf-8"?>
<formControlPr xmlns="http://schemas.microsoft.com/office/spreadsheetml/2009/9/main" objectType="CheckBox" fmlaLink="$AY$57" lockText="1" noThreeD="1"/>
</file>

<file path=xl/ctrlProps/ctrlProp59.xml><?xml version="1.0" encoding="utf-8"?>
<formControlPr xmlns="http://schemas.microsoft.com/office/spreadsheetml/2009/9/main" objectType="Radio" firstButton="1" fmlaLink="$AV$60"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CheckBox" fmlaLink="$AW$67" lockText="1" noThreeD="1"/>
</file>

<file path=xl/ctrlProps/ctrlProp65.xml><?xml version="1.0" encoding="utf-8"?>
<formControlPr xmlns="http://schemas.microsoft.com/office/spreadsheetml/2009/9/main" objectType="CheckBox" fmlaLink="$AW$68" lockText="1" noThreeD="1"/>
</file>

<file path=xl/ctrlProps/ctrlProp66.xml><?xml version="1.0" encoding="utf-8"?>
<formControlPr xmlns="http://schemas.microsoft.com/office/spreadsheetml/2009/9/main" objectType="CheckBox" fmlaLink="$AX$67" lockText="1" noThreeD="1"/>
</file>

<file path=xl/ctrlProps/ctrlProp67.xml><?xml version="1.0" encoding="utf-8"?>
<formControlPr xmlns="http://schemas.microsoft.com/office/spreadsheetml/2009/9/main" objectType="CheckBox" fmlaLink="$AX$68" lockText="1" noThreeD="1"/>
</file>

<file path=xl/ctrlProps/ctrlProp68.xml><?xml version="1.0" encoding="utf-8"?>
<formControlPr xmlns="http://schemas.microsoft.com/office/spreadsheetml/2009/9/main" objectType="Radio" firstButton="1" fmlaLink="$AV$70"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CheckBox" fmlaLink="$AW$77" lockText="1" noThreeD="1"/>
</file>

<file path=xl/ctrlProps/ctrlProp74.xml><?xml version="1.0" encoding="utf-8"?>
<formControlPr xmlns="http://schemas.microsoft.com/office/spreadsheetml/2009/9/main" objectType="CheckBox" fmlaLink="$AW$78" lockText="1" noThreeD="1"/>
</file>

<file path=xl/ctrlProps/ctrlProp75.xml><?xml version="1.0" encoding="utf-8"?>
<formControlPr xmlns="http://schemas.microsoft.com/office/spreadsheetml/2009/9/main" objectType="CheckBox" fmlaLink="$AX$77" lockText="1" noThreeD="1"/>
</file>

<file path=xl/ctrlProps/ctrlProp76.xml><?xml version="1.0" encoding="utf-8"?>
<formControlPr xmlns="http://schemas.microsoft.com/office/spreadsheetml/2009/9/main" objectType="CheckBox" fmlaLink="$AX$78" lockText="1" noThreeD="1"/>
</file>

<file path=xl/ctrlProps/ctrlProp77.xml><?xml version="1.0" encoding="utf-8"?>
<formControlPr xmlns="http://schemas.microsoft.com/office/spreadsheetml/2009/9/main" objectType="Radio" firstButton="1" fmlaLink="$AV$80"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19</xdr:row>
          <xdr:rowOff>9525</xdr:rowOff>
        </xdr:from>
        <xdr:to>
          <xdr:col>4</xdr:col>
          <xdr:colOff>28575</xdr:colOff>
          <xdr:row>20</xdr:row>
          <xdr:rowOff>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xdr:rowOff>
        </xdr:from>
        <xdr:to>
          <xdr:col>4</xdr:col>
          <xdr:colOff>28575</xdr:colOff>
          <xdr:row>21</xdr:row>
          <xdr:rowOff>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9525</xdr:rowOff>
        </xdr:from>
        <xdr:to>
          <xdr:col>4</xdr:col>
          <xdr:colOff>28575</xdr:colOff>
          <xdr:row>22</xdr:row>
          <xdr:rowOff>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9525</xdr:rowOff>
        </xdr:from>
        <xdr:to>
          <xdr:col>4</xdr:col>
          <xdr:colOff>28575</xdr:colOff>
          <xdr:row>25</xdr:row>
          <xdr:rowOff>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4</xdr:col>
          <xdr:colOff>28575</xdr:colOff>
          <xdr:row>26</xdr:row>
          <xdr:rowOff>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9525</xdr:rowOff>
        </xdr:from>
        <xdr:to>
          <xdr:col>4</xdr:col>
          <xdr:colOff>28575</xdr:colOff>
          <xdr:row>27</xdr:row>
          <xdr:rowOff>0</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9525</xdr:rowOff>
        </xdr:from>
        <xdr:to>
          <xdr:col>4</xdr:col>
          <xdr:colOff>28575</xdr:colOff>
          <xdr:row>28</xdr:row>
          <xdr:rowOff>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42</xdr:col>
          <xdr:colOff>0</xdr:colOff>
          <xdr:row>22</xdr:row>
          <xdr:rowOff>38100</xdr:rowOff>
        </xdr:to>
        <xdr:sp macro="" textlink="">
          <xdr:nvSpPr>
            <xdr:cNvPr id="4104" name="Group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42</xdr:col>
          <xdr:colOff>0</xdr:colOff>
          <xdr:row>28</xdr:row>
          <xdr:rowOff>38100</xdr:rowOff>
        </xdr:to>
        <xdr:sp macro="" textlink="">
          <xdr:nvSpPr>
            <xdr:cNvPr id="4105" name="Group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42</xdr:col>
          <xdr:colOff>0</xdr:colOff>
          <xdr:row>35</xdr:row>
          <xdr:rowOff>19050</xdr:rowOff>
        </xdr:to>
        <xdr:sp macro="" textlink="">
          <xdr:nvSpPr>
            <xdr:cNvPr id="4106" name="Group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9525</xdr:rowOff>
        </xdr:from>
        <xdr:to>
          <xdr:col>15</xdr:col>
          <xdr:colOff>28575</xdr:colOff>
          <xdr:row>32</xdr:row>
          <xdr:rowOff>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9525</xdr:rowOff>
        </xdr:from>
        <xdr:to>
          <xdr:col>15</xdr:col>
          <xdr:colOff>28575</xdr:colOff>
          <xdr:row>33</xdr:row>
          <xdr:rowOff>0</xdr:rowOff>
        </xdr:to>
        <xdr:sp macro="" textlink="">
          <xdr:nvSpPr>
            <xdr:cNvPr id="4109" name="Option Button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9525</xdr:rowOff>
        </xdr:from>
        <xdr:to>
          <xdr:col>15</xdr:col>
          <xdr:colOff>28575</xdr:colOff>
          <xdr:row>34</xdr:row>
          <xdr:rowOff>0</xdr:rowOff>
        </xdr:to>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9525</xdr:rowOff>
        </xdr:from>
        <xdr:to>
          <xdr:col>15</xdr:col>
          <xdr:colOff>28575</xdr:colOff>
          <xdr:row>35</xdr:row>
          <xdr:rowOff>0</xdr:rowOff>
        </xdr:to>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xdr:row>
          <xdr:rowOff>95250</xdr:rowOff>
        </xdr:from>
        <xdr:to>
          <xdr:col>21</xdr:col>
          <xdr:colOff>28575</xdr:colOff>
          <xdr:row>33</xdr:row>
          <xdr:rowOff>85725</xdr:rowOff>
        </xdr:to>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9525</xdr:rowOff>
        </xdr:from>
        <xdr:to>
          <xdr:col>4</xdr:col>
          <xdr:colOff>28575</xdr:colOff>
          <xdr:row>39</xdr:row>
          <xdr:rowOff>0</xdr:rowOff>
        </xdr:to>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9525</xdr:rowOff>
        </xdr:from>
        <xdr:to>
          <xdr:col>4</xdr:col>
          <xdr:colOff>28575</xdr:colOff>
          <xdr:row>40</xdr:row>
          <xdr:rowOff>0</xdr:rowOff>
        </xdr:to>
        <xdr:sp macro="" textlink="">
          <xdr:nvSpPr>
            <xdr:cNvPr id="4115" name="Option Button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42</xdr:col>
          <xdr:colOff>0</xdr:colOff>
          <xdr:row>40</xdr:row>
          <xdr:rowOff>47625</xdr:rowOff>
        </xdr:to>
        <xdr:sp macro="" textlink="">
          <xdr:nvSpPr>
            <xdr:cNvPr id="4117" name="Group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9525</xdr:rowOff>
        </xdr:from>
        <xdr:to>
          <xdr:col>4</xdr:col>
          <xdr:colOff>28575</xdr:colOff>
          <xdr:row>43</xdr:row>
          <xdr:rowOff>0</xdr:rowOff>
        </xdr:to>
        <xdr:sp macro="" textlink="">
          <xdr:nvSpPr>
            <xdr:cNvPr id="4118" name="Option Button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9525</xdr:rowOff>
        </xdr:from>
        <xdr:to>
          <xdr:col>4</xdr:col>
          <xdr:colOff>28575</xdr:colOff>
          <xdr:row>44</xdr:row>
          <xdr:rowOff>0</xdr:rowOff>
        </xdr:to>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9525</xdr:rowOff>
        </xdr:from>
        <xdr:to>
          <xdr:col>4</xdr:col>
          <xdr:colOff>28575</xdr:colOff>
          <xdr:row>45</xdr:row>
          <xdr:rowOff>0</xdr:rowOff>
        </xdr:to>
        <xdr:sp macro="" textlink="">
          <xdr:nvSpPr>
            <xdr:cNvPr id="4120" name="Option Button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9525</xdr:rowOff>
        </xdr:from>
        <xdr:to>
          <xdr:col>4</xdr:col>
          <xdr:colOff>28575</xdr:colOff>
          <xdr:row>46</xdr:row>
          <xdr:rowOff>0</xdr:rowOff>
        </xdr:to>
        <xdr:sp macro="" textlink="">
          <xdr:nvSpPr>
            <xdr:cNvPr id="4121" name="Option Button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42</xdr:col>
          <xdr:colOff>0</xdr:colOff>
          <xdr:row>46</xdr:row>
          <xdr:rowOff>47625</xdr:rowOff>
        </xdr:to>
        <xdr:sp macro="" textlink="">
          <xdr:nvSpPr>
            <xdr:cNvPr id="4122" name="Group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9525</xdr:rowOff>
        </xdr:from>
        <xdr:to>
          <xdr:col>4</xdr:col>
          <xdr:colOff>28575</xdr:colOff>
          <xdr:row>49</xdr:row>
          <xdr:rowOff>0</xdr:rowOff>
        </xdr:to>
        <xdr:sp macro="" textlink="">
          <xdr:nvSpPr>
            <xdr:cNvPr id="4123" name="Option Button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9525</xdr:rowOff>
        </xdr:from>
        <xdr:to>
          <xdr:col>4</xdr:col>
          <xdr:colOff>28575</xdr:colOff>
          <xdr:row>50</xdr:row>
          <xdr:rowOff>0</xdr:rowOff>
        </xdr:to>
        <xdr:sp macro="" textlink="">
          <xdr:nvSpPr>
            <xdr:cNvPr id="4124" name="Option Button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9525</xdr:rowOff>
        </xdr:from>
        <xdr:to>
          <xdr:col>4</xdr:col>
          <xdr:colOff>28575</xdr:colOff>
          <xdr:row>51</xdr:row>
          <xdr:rowOff>0</xdr:rowOff>
        </xdr:to>
        <xdr:sp macro="" textlink="">
          <xdr:nvSpPr>
            <xdr:cNvPr id="4125" name="Option Button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9525</xdr:rowOff>
        </xdr:from>
        <xdr:to>
          <xdr:col>4</xdr:col>
          <xdr:colOff>28575</xdr:colOff>
          <xdr:row>52</xdr:row>
          <xdr:rowOff>0</xdr:rowOff>
        </xdr:to>
        <xdr:sp macro="" textlink="">
          <xdr:nvSpPr>
            <xdr:cNvPr id="4126" name="Option Button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0</xdr:rowOff>
        </xdr:from>
        <xdr:to>
          <xdr:col>42</xdr:col>
          <xdr:colOff>0</xdr:colOff>
          <xdr:row>52</xdr:row>
          <xdr:rowOff>47625</xdr:rowOff>
        </xdr:to>
        <xdr:sp macro="" textlink="">
          <xdr:nvSpPr>
            <xdr:cNvPr id="4127" name="Group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9525</xdr:rowOff>
        </xdr:from>
        <xdr:to>
          <xdr:col>4</xdr:col>
          <xdr:colOff>28575</xdr:colOff>
          <xdr:row>86</xdr:row>
          <xdr:rowOff>0</xdr:rowOff>
        </xdr:to>
        <xdr:sp macro="" textlink="">
          <xdr:nvSpPr>
            <xdr:cNvPr id="4128" name="Option Button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9525</xdr:rowOff>
        </xdr:from>
        <xdr:to>
          <xdr:col>4</xdr:col>
          <xdr:colOff>28575</xdr:colOff>
          <xdr:row>87</xdr:row>
          <xdr:rowOff>0</xdr:rowOff>
        </xdr:to>
        <xdr:sp macro="" textlink="">
          <xdr:nvSpPr>
            <xdr:cNvPr id="4129" name="Option Button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9525</xdr:rowOff>
        </xdr:from>
        <xdr:to>
          <xdr:col>4</xdr:col>
          <xdr:colOff>28575</xdr:colOff>
          <xdr:row>89</xdr:row>
          <xdr:rowOff>0</xdr:rowOff>
        </xdr:to>
        <xdr:sp macro="" textlink="">
          <xdr:nvSpPr>
            <xdr:cNvPr id="4130" name="Option Button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9525</xdr:rowOff>
        </xdr:from>
        <xdr:to>
          <xdr:col>4</xdr:col>
          <xdr:colOff>28575</xdr:colOff>
          <xdr:row>91</xdr:row>
          <xdr:rowOff>0</xdr:rowOff>
        </xdr:to>
        <xdr:sp macro="" textlink="">
          <xdr:nvSpPr>
            <xdr:cNvPr id="4131" name="Option Button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0</xdr:rowOff>
        </xdr:from>
        <xdr:to>
          <xdr:col>42</xdr:col>
          <xdr:colOff>0</xdr:colOff>
          <xdr:row>92</xdr:row>
          <xdr:rowOff>38100</xdr:rowOff>
        </xdr:to>
        <xdr:sp macro="" textlink="">
          <xdr:nvSpPr>
            <xdr:cNvPr id="4132" name="Group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9525</xdr:rowOff>
        </xdr:from>
        <xdr:to>
          <xdr:col>4</xdr:col>
          <xdr:colOff>28575</xdr:colOff>
          <xdr:row>95</xdr:row>
          <xdr:rowOff>0</xdr:rowOff>
        </xdr:to>
        <xdr:sp macro="" textlink="">
          <xdr:nvSpPr>
            <xdr:cNvPr id="4133" name="Option Button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96</xdr:row>
          <xdr:rowOff>9525</xdr:rowOff>
        </xdr:from>
        <xdr:to>
          <xdr:col>4</xdr:col>
          <xdr:colOff>28575</xdr:colOff>
          <xdr:row>97</xdr:row>
          <xdr:rowOff>0</xdr:rowOff>
        </xdr:to>
        <xdr:sp macro="" textlink="">
          <xdr:nvSpPr>
            <xdr:cNvPr id="4134" name="Option Button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9525</xdr:rowOff>
        </xdr:from>
        <xdr:to>
          <xdr:col>4</xdr:col>
          <xdr:colOff>28575</xdr:colOff>
          <xdr:row>98</xdr:row>
          <xdr:rowOff>0</xdr:rowOff>
        </xdr:to>
        <xdr:sp macro="" textlink="">
          <xdr:nvSpPr>
            <xdr:cNvPr id="4135" name="Option Button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9525</xdr:rowOff>
        </xdr:from>
        <xdr:to>
          <xdr:col>4</xdr:col>
          <xdr:colOff>28575</xdr:colOff>
          <xdr:row>99</xdr:row>
          <xdr:rowOff>0</xdr:rowOff>
        </xdr:to>
        <xdr:sp macro="" textlink="">
          <xdr:nvSpPr>
            <xdr:cNvPr id="4136" name="Option Button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0</xdr:rowOff>
        </xdr:from>
        <xdr:to>
          <xdr:col>42</xdr:col>
          <xdr:colOff>0</xdr:colOff>
          <xdr:row>99</xdr:row>
          <xdr:rowOff>28575</xdr:rowOff>
        </xdr:to>
        <xdr:sp macro="" textlink="">
          <xdr:nvSpPr>
            <xdr:cNvPr id="4137" name="Group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0</xdr:rowOff>
        </xdr:from>
        <xdr:to>
          <xdr:col>42</xdr:col>
          <xdr:colOff>0</xdr:colOff>
          <xdr:row>106</xdr:row>
          <xdr:rowOff>47625</xdr:rowOff>
        </xdr:to>
        <xdr:sp macro="" textlink="">
          <xdr:nvSpPr>
            <xdr:cNvPr id="4142" name="Group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108</xdr:row>
          <xdr:rowOff>0</xdr:rowOff>
        </xdr:from>
        <xdr:to>
          <xdr:col>42</xdr:col>
          <xdr:colOff>0</xdr:colOff>
          <xdr:row>113</xdr:row>
          <xdr:rowOff>47625</xdr:rowOff>
        </xdr:to>
        <xdr:sp macro="" textlink="">
          <xdr:nvSpPr>
            <xdr:cNvPr id="4148" name="Group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9525</xdr:rowOff>
        </xdr:from>
        <xdr:to>
          <xdr:col>3</xdr:col>
          <xdr:colOff>171450</xdr:colOff>
          <xdr:row>103</xdr:row>
          <xdr:rowOff>9525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9525</xdr:rowOff>
        </xdr:from>
        <xdr:to>
          <xdr:col>3</xdr:col>
          <xdr:colOff>171450</xdr:colOff>
          <xdr:row>104</xdr:row>
          <xdr:rowOff>9525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9525</xdr:rowOff>
        </xdr:from>
        <xdr:to>
          <xdr:col>3</xdr:col>
          <xdr:colOff>171450</xdr:colOff>
          <xdr:row>105</xdr:row>
          <xdr:rowOff>9525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9525</xdr:rowOff>
        </xdr:from>
        <xdr:to>
          <xdr:col>3</xdr:col>
          <xdr:colOff>171450</xdr:colOff>
          <xdr:row>106</xdr:row>
          <xdr:rowOff>9525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9525</xdr:rowOff>
        </xdr:from>
        <xdr:to>
          <xdr:col>3</xdr:col>
          <xdr:colOff>171450</xdr:colOff>
          <xdr:row>102</xdr:row>
          <xdr:rowOff>9525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108</xdr:row>
          <xdr:rowOff>9525</xdr:rowOff>
        </xdr:from>
        <xdr:to>
          <xdr:col>3</xdr:col>
          <xdr:colOff>171450</xdr:colOff>
          <xdr:row>109</xdr:row>
          <xdr:rowOff>9525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109</xdr:row>
          <xdr:rowOff>9525</xdr:rowOff>
        </xdr:from>
        <xdr:to>
          <xdr:col>3</xdr:col>
          <xdr:colOff>171450</xdr:colOff>
          <xdr:row>110</xdr:row>
          <xdr:rowOff>9525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110</xdr:row>
          <xdr:rowOff>9525</xdr:rowOff>
        </xdr:from>
        <xdr:to>
          <xdr:col>3</xdr:col>
          <xdr:colOff>171450</xdr:colOff>
          <xdr:row>111</xdr:row>
          <xdr:rowOff>9525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111</xdr:row>
          <xdr:rowOff>9525</xdr:rowOff>
        </xdr:from>
        <xdr:to>
          <xdr:col>3</xdr:col>
          <xdr:colOff>171450</xdr:colOff>
          <xdr:row>112</xdr:row>
          <xdr:rowOff>9525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112</xdr:row>
          <xdr:rowOff>9525</xdr:rowOff>
        </xdr:from>
        <xdr:to>
          <xdr:col>3</xdr:col>
          <xdr:colOff>171450</xdr:colOff>
          <xdr:row>113</xdr:row>
          <xdr:rowOff>9525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19050</xdr:colOff>
      <xdr:row>1</xdr:row>
      <xdr:rowOff>19050</xdr:rowOff>
    </xdr:from>
    <xdr:to>
      <xdr:col>5</xdr:col>
      <xdr:colOff>85090</xdr:colOff>
      <xdr:row>2</xdr:row>
      <xdr:rowOff>27940</xdr:rowOff>
    </xdr:to>
    <xdr:grpSp>
      <xdr:nvGrpSpPr>
        <xdr:cNvPr id="80" name="Group 3">
          <a:extLst>
            <a:ext uri="{FF2B5EF4-FFF2-40B4-BE49-F238E27FC236}">
              <a16:creationId xmlns:a16="http://schemas.microsoft.com/office/drawing/2014/main" id="{00000000-0008-0000-0000-000050000000}"/>
            </a:ext>
          </a:extLst>
        </xdr:cNvPr>
        <xdr:cNvGrpSpPr>
          <a:grpSpLocks noChangeAspect="1"/>
        </xdr:cNvGrpSpPr>
      </xdr:nvGrpSpPr>
      <xdr:grpSpPr bwMode="auto">
        <a:xfrm>
          <a:off x="209550" y="219075"/>
          <a:ext cx="828040" cy="828040"/>
          <a:chOff x="850" y="-682"/>
          <a:chExt cx="1304" cy="1304"/>
        </a:xfrm>
      </xdr:grpSpPr>
      <xdr:sp macro="" textlink="">
        <xdr:nvSpPr>
          <xdr:cNvPr id="81" name="Rectangle 10">
            <a:extLst>
              <a:ext uri="{FF2B5EF4-FFF2-40B4-BE49-F238E27FC236}">
                <a16:creationId xmlns:a16="http://schemas.microsoft.com/office/drawing/2014/main" id="{00000000-0008-0000-0000-000051000000}"/>
              </a:ext>
            </a:extLst>
          </xdr:cNvPr>
          <xdr:cNvSpPr>
            <a:spLocks noChangeArrowheads="1"/>
          </xdr:cNvSpPr>
        </xdr:nvSpPr>
        <xdr:spPr bwMode="auto">
          <a:xfrm>
            <a:off x="850" y="-682"/>
            <a:ext cx="1304" cy="1304"/>
          </a:xfrm>
          <a:prstGeom prst="rect">
            <a:avLst/>
          </a:prstGeom>
          <a:solidFill>
            <a:srgbClr val="0066B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hu-HU"/>
          </a:p>
        </xdr:txBody>
      </xdr:sp>
      <xdr:pic>
        <xdr:nvPicPr>
          <xdr:cNvPr id="82" name="Picture 9">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3" y="135"/>
            <a:ext cx="200" cy="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3" name="Picture 8">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1" y="135"/>
            <a:ext cx="189" cy="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84" name="Line 7">
            <a:extLst>
              <a:ext uri="{FF2B5EF4-FFF2-40B4-BE49-F238E27FC236}">
                <a16:creationId xmlns:a16="http://schemas.microsoft.com/office/drawing/2014/main" id="{00000000-0008-0000-0000-000054000000}"/>
              </a:ext>
            </a:extLst>
          </xdr:cNvPr>
          <xdr:cNvCxnSpPr>
            <a:cxnSpLocks noChangeShapeType="1"/>
          </xdr:cNvCxnSpPr>
        </xdr:nvCxnSpPr>
        <xdr:spPr bwMode="auto">
          <a:xfrm>
            <a:off x="1492" y="136"/>
            <a:ext cx="0" cy="226"/>
          </a:xfrm>
          <a:prstGeom prst="line">
            <a:avLst/>
          </a:prstGeom>
          <a:noFill/>
          <a:ln w="27786">
            <a:solidFill>
              <a:srgbClr val="FFFFFF"/>
            </a:solidFill>
            <a:prstDash val="solid"/>
            <a:round/>
            <a:headEnd/>
            <a:tailEnd/>
          </a:ln>
          <a:extLst>
            <a:ext uri="{909E8E84-426E-40DD-AFC4-6F175D3DCCD1}">
              <a14:hiddenFill xmlns:a14="http://schemas.microsoft.com/office/drawing/2010/main">
                <a:noFill/>
              </a14:hiddenFill>
            </a:ext>
          </a:extLst>
        </xdr:spPr>
      </xdr:cxnSp>
      <xdr:pic>
        <xdr:nvPicPr>
          <xdr:cNvPr id="85" name="Picture 6">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51" y="128"/>
            <a:ext cx="470" cy="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6" name="AutoShape 5">
            <a:extLst>
              <a:ext uri="{FF2B5EF4-FFF2-40B4-BE49-F238E27FC236}">
                <a16:creationId xmlns:a16="http://schemas.microsoft.com/office/drawing/2014/main" id="{00000000-0008-0000-0000-000056000000}"/>
              </a:ext>
            </a:extLst>
          </xdr:cNvPr>
          <xdr:cNvSpPr>
            <a:spLocks/>
          </xdr:cNvSpPr>
        </xdr:nvSpPr>
        <xdr:spPr bwMode="auto">
          <a:xfrm>
            <a:off x="1090" y="-428"/>
            <a:ext cx="752" cy="454"/>
          </a:xfrm>
          <a:custGeom>
            <a:avLst/>
            <a:gdLst>
              <a:gd name="T0" fmla="+- 0 1330 1091"/>
              <a:gd name="T1" fmla="*/ T0 w 752"/>
              <a:gd name="T2" fmla="+- 0 2 -428"/>
              <a:gd name="T3" fmla="*/ 2 h 454"/>
              <a:gd name="T4" fmla="+- 0 1291 1091"/>
              <a:gd name="T5" fmla="*/ T4 w 752"/>
              <a:gd name="T6" fmla="+- 0 -25 -428"/>
              <a:gd name="T7" fmla="*/ -25 h 454"/>
              <a:gd name="T8" fmla="+- 0 1120 1091"/>
              <a:gd name="T9" fmla="*/ T8 w 752"/>
              <a:gd name="T10" fmla="+- 0 -31 -428"/>
              <a:gd name="T11" fmla="*/ -31 h 454"/>
              <a:gd name="T12" fmla="+- 0 1566 1091"/>
              <a:gd name="T13" fmla="*/ T12 w 752"/>
              <a:gd name="T14" fmla="+- 0 -379 -428"/>
              <a:gd name="T15" fmla="*/ -379 h 454"/>
              <a:gd name="T16" fmla="+- 0 1523 1091"/>
              <a:gd name="T17" fmla="*/ T16 w 752"/>
              <a:gd name="T18" fmla="+- 0 -405 -428"/>
              <a:gd name="T19" fmla="*/ -405 h 454"/>
              <a:gd name="T20" fmla="+- 0 1402 1091"/>
              <a:gd name="T21" fmla="*/ T20 w 752"/>
              <a:gd name="T22" fmla="+- 0 -428 -428"/>
              <a:gd name="T23" fmla="*/ -428 h 454"/>
              <a:gd name="T24" fmla="+- 0 1313 1091"/>
              <a:gd name="T25" fmla="*/ T24 w 752"/>
              <a:gd name="T26" fmla="+- 0 -397 -428"/>
              <a:gd name="T27" fmla="*/ -397 h 454"/>
              <a:gd name="T28" fmla="+- 0 1240 1091"/>
              <a:gd name="T29" fmla="*/ T28 w 752"/>
              <a:gd name="T30" fmla="+- 0 -321 -428"/>
              <a:gd name="T31" fmla="*/ -321 h 454"/>
              <a:gd name="T32" fmla="+- 0 1211 1091"/>
              <a:gd name="T33" fmla="*/ T32 w 752"/>
              <a:gd name="T34" fmla="+- 0 -222 -428"/>
              <a:gd name="T35" fmla="*/ -222 h 454"/>
              <a:gd name="T36" fmla="+- 0 1213 1091"/>
              <a:gd name="T37" fmla="*/ T36 w 752"/>
              <a:gd name="T38" fmla="+- 0 -178 -428"/>
              <a:gd name="T39" fmla="*/ -178 h 454"/>
              <a:gd name="T40" fmla="+- 0 1245 1091"/>
              <a:gd name="T41" fmla="*/ T40 w 752"/>
              <a:gd name="T42" fmla="+- 0 -95 -428"/>
              <a:gd name="T43" fmla="*/ -95 h 454"/>
              <a:gd name="T44" fmla="+- 0 1334 1091"/>
              <a:gd name="T45" fmla="*/ T44 w 752"/>
              <a:gd name="T46" fmla="+- 0 -12 -428"/>
              <a:gd name="T47" fmla="*/ -12 h 454"/>
              <a:gd name="T48" fmla="+- 0 1438 1091"/>
              <a:gd name="T49" fmla="*/ T48 w 752"/>
              <a:gd name="T50" fmla="+- 0 21 -428"/>
              <a:gd name="T51" fmla="*/ 21 h 454"/>
              <a:gd name="T52" fmla="+- 0 1479 1091"/>
              <a:gd name="T53" fmla="*/ T52 w 752"/>
              <a:gd name="T54" fmla="+- 0 17 -428"/>
              <a:gd name="T55" fmla="*/ 17 h 454"/>
              <a:gd name="T56" fmla="+- 0 1479 1091"/>
              <a:gd name="T57" fmla="*/ T56 w 752"/>
              <a:gd name="T58" fmla="+- 0 5 -428"/>
              <a:gd name="T59" fmla="*/ 5 h 454"/>
              <a:gd name="T60" fmla="+- 0 1419 1091"/>
              <a:gd name="T61" fmla="*/ T60 w 752"/>
              <a:gd name="T62" fmla="+- 0 -29 -428"/>
              <a:gd name="T63" fmla="*/ -29 h 454"/>
              <a:gd name="T64" fmla="+- 0 1406 1091"/>
              <a:gd name="T65" fmla="*/ T64 w 752"/>
              <a:gd name="T66" fmla="+- 0 -30 -428"/>
              <a:gd name="T67" fmla="*/ -30 h 454"/>
              <a:gd name="T68" fmla="+- 0 1359 1091"/>
              <a:gd name="T69" fmla="*/ T68 w 752"/>
              <a:gd name="T70" fmla="+- 0 -32 -428"/>
              <a:gd name="T71" fmla="*/ -32 h 454"/>
              <a:gd name="T72" fmla="+- 0 1300 1091"/>
              <a:gd name="T73" fmla="*/ T72 w 752"/>
              <a:gd name="T74" fmla="+- 0 -54 -428"/>
              <a:gd name="T75" fmla="*/ -54 h 454"/>
              <a:gd name="T76" fmla="+- 0 1274 1091"/>
              <a:gd name="T77" fmla="*/ T76 w 752"/>
              <a:gd name="T78" fmla="+- 0 -99 -428"/>
              <a:gd name="T79" fmla="*/ -99 h 454"/>
              <a:gd name="T80" fmla="+- 0 1265 1091"/>
              <a:gd name="T81" fmla="*/ T80 w 752"/>
              <a:gd name="T82" fmla="+- 0 -222 -428"/>
              <a:gd name="T83" fmla="*/ -222 h 454"/>
              <a:gd name="T84" fmla="+- 0 1296 1091"/>
              <a:gd name="T85" fmla="*/ T84 w 752"/>
              <a:gd name="T86" fmla="+- 0 -296 -428"/>
              <a:gd name="T87" fmla="*/ -296 h 454"/>
              <a:gd name="T88" fmla="+- 0 1337 1091"/>
              <a:gd name="T89" fmla="*/ T88 w 752"/>
              <a:gd name="T90" fmla="+- 0 -342 -428"/>
              <a:gd name="T91" fmla="*/ -342 h 454"/>
              <a:gd name="T92" fmla="+- 0 1410 1091"/>
              <a:gd name="T93" fmla="*/ T92 w 752"/>
              <a:gd name="T94" fmla="+- 0 -384 -428"/>
              <a:gd name="T95" fmla="*/ -384 h 454"/>
              <a:gd name="T96" fmla="+- 0 1478 1091"/>
              <a:gd name="T97" fmla="*/ T96 w 752"/>
              <a:gd name="T98" fmla="+- 0 -394 -428"/>
              <a:gd name="T99" fmla="*/ -394 h 454"/>
              <a:gd name="T100" fmla="+- 0 1538 1091"/>
              <a:gd name="T101" fmla="*/ T100 w 752"/>
              <a:gd name="T102" fmla="+- 0 -388 -428"/>
              <a:gd name="T103" fmla="*/ -388 h 454"/>
              <a:gd name="T104" fmla="+- 0 1595 1091"/>
              <a:gd name="T105" fmla="*/ T104 w 752"/>
              <a:gd name="T106" fmla="+- 0 -357 -428"/>
              <a:gd name="T107" fmla="*/ -357 h 454"/>
              <a:gd name="T108" fmla="+- 0 1598 1091"/>
              <a:gd name="T109" fmla="*/ T108 w 752"/>
              <a:gd name="T110" fmla="+- 0 -353 -428"/>
              <a:gd name="T111" fmla="*/ -353 h 454"/>
              <a:gd name="T112" fmla="+- 0 1808 1091"/>
              <a:gd name="T113" fmla="*/ T112 w 752"/>
              <a:gd name="T114" fmla="+- 0 -41 -428"/>
              <a:gd name="T115" fmla="*/ -41 h 454"/>
              <a:gd name="T116" fmla="+- 0 1658 1091"/>
              <a:gd name="T117" fmla="*/ T116 w 752"/>
              <a:gd name="T118" fmla="+- 0 -43 -428"/>
              <a:gd name="T119" fmla="*/ -43 h 454"/>
              <a:gd name="T120" fmla="+- 0 1568 1091"/>
              <a:gd name="T121" fmla="*/ T120 w 752"/>
              <a:gd name="T122" fmla="+- 0 -51 -428"/>
              <a:gd name="T123" fmla="*/ -51 h 454"/>
              <a:gd name="T124" fmla="+- 0 1471 1091"/>
              <a:gd name="T125" fmla="*/ T124 w 752"/>
              <a:gd name="T126" fmla="+- 0 -88 -428"/>
              <a:gd name="T127" fmla="*/ -88 h 454"/>
              <a:gd name="T128" fmla="+- 0 1392 1091"/>
              <a:gd name="T129" fmla="*/ T128 w 752"/>
              <a:gd name="T130" fmla="+- 0 -177 -428"/>
              <a:gd name="T131" fmla="*/ -177 h 454"/>
              <a:gd name="T132" fmla="+- 0 1371 1091"/>
              <a:gd name="T133" fmla="*/ T132 w 752"/>
              <a:gd name="T134" fmla="+- 0 -253 -428"/>
              <a:gd name="T135" fmla="*/ -253 h 454"/>
              <a:gd name="T136" fmla="+- 0 1405 1091"/>
              <a:gd name="T137" fmla="*/ T136 w 752"/>
              <a:gd name="T138" fmla="+- 0 -360 -428"/>
              <a:gd name="T139" fmla="*/ -360 h 454"/>
              <a:gd name="T140" fmla="+- 0 1391 1091"/>
              <a:gd name="T141" fmla="*/ T140 w 752"/>
              <a:gd name="T142" fmla="+- 0 -362 -428"/>
              <a:gd name="T143" fmla="*/ -362 h 454"/>
              <a:gd name="T144" fmla="+- 0 1351 1091"/>
              <a:gd name="T145" fmla="*/ T144 w 752"/>
              <a:gd name="T146" fmla="+- 0 -336 -428"/>
              <a:gd name="T147" fmla="*/ -336 h 454"/>
              <a:gd name="T148" fmla="+- 0 1318 1091"/>
              <a:gd name="T149" fmla="*/ T148 w 752"/>
              <a:gd name="T150" fmla="+- 0 -302 -428"/>
              <a:gd name="T151" fmla="*/ -302 h 454"/>
              <a:gd name="T152" fmla="+- 0 1332 1091"/>
              <a:gd name="T153" fmla="*/ T152 w 752"/>
              <a:gd name="T154" fmla="+- 0 -151 -428"/>
              <a:gd name="T155" fmla="*/ -151 h 454"/>
              <a:gd name="T156" fmla="+- 0 1382 1091"/>
              <a:gd name="T157" fmla="*/ T156 w 752"/>
              <a:gd name="T158" fmla="+- 0 -79 -428"/>
              <a:gd name="T159" fmla="*/ -79 h 454"/>
              <a:gd name="T160" fmla="+- 0 1483 1091"/>
              <a:gd name="T161" fmla="*/ T160 w 752"/>
              <a:gd name="T162" fmla="+- 0 -8 -428"/>
              <a:gd name="T163" fmla="*/ -8 h 454"/>
              <a:gd name="T164" fmla="+- 0 1670 1091"/>
              <a:gd name="T165" fmla="*/ T164 w 752"/>
              <a:gd name="T166" fmla="+- 0 23 -428"/>
              <a:gd name="T167" fmla="*/ 23 h 454"/>
              <a:gd name="T168" fmla="+- 0 1774 1091"/>
              <a:gd name="T169" fmla="*/ T168 w 752"/>
              <a:gd name="T170" fmla="+- 0 25 -428"/>
              <a:gd name="T171" fmla="*/ 25 h 4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Lst>
            <a:rect l="0" t="0" r="r" b="b"/>
            <a:pathLst>
              <a:path w="752" h="454">
                <a:moveTo>
                  <a:pt x="278" y="449"/>
                </a:moveTo>
                <a:lnTo>
                  <a:pt x="258" y="440"/>
                </a:lnTo>
                <a:lnTo>
                  <a:pt x="239" y="430"/>
                </a:lnTo>
                <a:lnTo>
                  <a:pt x="221" y="419"/>
                </a:lnTo>
                <a:lnTo>
                  <a:pt x="204" y="406"/>
                </a:lnTo>
                <a:lnTo>
                  <a:pt x="200" y="403"/>
                </a:lnTo>
                <a:lnTo>
                  <a:pt x="197" y="400"/>
                </a:lnTo>
                <a:lnTo>
                  <a:pt x="193" y="397"/>
                </a:lnTo>
                <a:lnTo>
                  <a:pt x="29" y="397"/>
                </a:lnTo>
                <a:lnTo>
                  <a:pt x="0" y="449"/>
                </a:lnTo>
                <a:lnTo>
                  <a:pt x="278" y="449"/>
                </a:lnTo>
                <a:moveTo>
                  <a:pt x="475" y="49"/>
                </a:moveTo>
                <a:lnTo>
                  <a:pt x="472" y="46"/>
                </a:lnTo>
                <a:lnTo>
                  <a:pt x="451" y="34"/>
                </a:lnTo>
                <a:lnTo>
                  <a:pt x="432" y="23"/>
                </a:lnTo>
                <a:lnTo>
                  <a:pt x="389" y="7"/>
                </a:lnTo>
                <a:lnTo>
                  <a:pt x="348" y="0"/>
                </a:lnTo>
                <a:lnTo>
                  <a:pt x="311" y="0"/>
                </a:lnTo>
                <a:lnTo>
                  <a:pt x="281" y="5"/>
                </a:lnTo>
                <a:lnTo>
                  <a:pt x="260" y="12"/>
                </a:lnTo>
                <a:lnTo>
                  <a:pt x="222" y="31"/>
                </a:lnTo>
                <a:lnTo>
                  <a:pt x="192" y="54"/>
                </a:lnTo>
                <a:lnTo>
                  <a:pt x="168" y="79"/>
                </a:lnTo>
                <a:lnTo>
                  <a:pt x="149" y="107"/>
                </a:lnTo>
                <a:lnTo>
                  <a:pt x="133" y="141"/>
                </a:lnTo>
                <a:lnTo>
                  <a:pt x="124" y="174"/>
                </a:lnTo>
                <a:lnTo>
                  <a:pt x="120" y="206"/>
                </a:lnTo>
                <a:lnTo>
                  <a:pt x="121" y="235"/>
                </a:lnTo>
                <a:lnTo>
                  <a:pt x="122" y="244"/>
                </a:lnTo>
                <a:lnTo>
                  <a:pt x="122" y="250"/>
                </a:lnTo>
                <a:lnTo>
                  <a:pt x="124" y="256"/>
                </a:lnTo>
                <a:lnTo>
                  <a:pt x="135" y="296"/>
                </a:lnTo>
                <a:lnTo>
                  <a:pt x="154" y="333"/>
                </a:lnTo>
                <a:lnTo>
                  <a:pt x="180" y="366"/>
                </a:lnTo>
                <a:lnTo>
                  <a:pt x="212" y="396"/>
                </a:lnTo>
                <a:lnTo>
                  <a:pt x="243" y="416"/>
                </a:lnTo>
                <a:lnTo>
                  <a:pt x="276" y="433"/>
                </a:lnTo>
                <a:lnTo>
                  <a:pt x="311" y="445"/>
                </a:lnTo>
                <a:lnTo>
                  <a:pt x="347" y="449"/>
                </a:lnTo>
                <a:lnTo>
                  <a:pt x="360" y="448"/>
                </a:lnTo>
                <a:lnTo>
                  <a:pt x="374" y="447"/>
                </a:lnTo>
                <a:lnTo>
                  <a:pt x="388" y="445"/>
                </a:lnTo>
                <a:lnTo>
                  <a:pt x="402" y="442"/>
                </a:lnTo>
                <a:lnTo>
                  <a:pt x="408" y="440"/>
                </a:lnTo>
                <a:lnTo>
                  <a:pt x="388" y="433"/>
                </a:lnTo>
                <a:lnTo>
                  <a:pt x="367" y="423"/>
                </a:lnTo>
                <a:lnTo>
                  <a:pt x="347" y="412"/>
                </a:lnTo>
                <a:lnTo>
                  <a:pt x="328" y="399"/>
                </a:lnTo>
                <a:lnTo>
                  <a:pt x="327" y="399"/>
                </a:lnTo>
                <a:lnTo>
                  <a:pt x="325" y="397"/>
                </a:lnTo>
                <a:lnTo>
                  <a:pt x="315" y="398"/>
                </a:lnTo>
                <a:lnTo>
                  <a:pt x="301" y="399"/>
                </a:lnTo>
                <a:lnTo>
                  <a:pt x="284" y="398"/>
                </a:lnTo>
                <a:lnTo>
                  <a:pt x="268" y="396"/>
                </a:lnTo>
                <a:lnTo>
                  <a:pt x="242" y="389"/>
                </a:lnTo>
                <a:lnTo>
                  <a:pt x="222" y="381"/>
                </a:lnTo>
                <a:lnTo>
                  <a:pt x="209" y="374"/>
                </a:lnTo>
                <a:lnTo>
                  <a:pt x="205" y="371"/>
                </a:lnTo>
                <a:lnTo>
                  <a:pt x="195" y="355"/>
                </a:lnTo>
                <a:lnTo>
                  <a:pt x="183" y="329"/>
                </a:lnTo>
                <a:lnTo>
                  <a:pt x="173" y="295"/>
                </a:lnTo>
                <a:lnTo>
                  <a:pt x="169" y="254"/>
                </a:lnTo>
                <a:lnTo>
                  <a:pt x="174" y="206"/>
                </a:lnTo>
                <a:lnTo>
                  <a:pt x="186" y="169"/>
                </a:lnTo>
                <a:lnTo>
                  <a:pt x="198" y="143"/>
                </a:lnTo>
                <a:lnTo>
                  <a:pt x="205" y="132"/>
                </a:lnTo>
                <a:lnTo>
                  <a:pt x="218" y="115"/>
                </a:lnTo>
                <a:lnTo>
                  <a:pt x="231" y="100"/>
                </a:lnTo>
                <a:lnTo>
                  <a:pt x="246" y="86"/>
                </a:lnTo>
                <a:lnTo>
                  <a:pt x="262" y="73"/>
                </a:lnTo>
                <a:lnTo>
                  <a:pt x="290" y="57"/>
                </a:lnTo>
                <a:lnTo>
                  <a:pt x="319" y="44"/>
                </a:lnTo>
                <a:lnTo>
                  <a:pt x="350" y="36"/>
                </a:lnTo>
                <a:lnTo>
                  <a:pt x="383" y="34"/>
                </a:lnTo>
                <a:lnTo>
                  <a:pt x="387" y="34"/>
                </a:lnTo>
                <a:lnTo>
                  <a:pt x="391" y="34"/>
                </a:lnTo>
                <a:lnTo>
                  <a:pt x="395" y="35"/>
                </a:lnTo>
                <a:lnTo>
                  <a:pt x="447" y="40"/>
                </a:lnTo>
                <a:lnTo>
                  <a:pt x="475" y="49"/>
                </a:lnTo>
                <a:moveTo>
                  <a:pt x="535" y="110"/>
                </a:moveTo>
                <a:lnTo>
                  <a:pt x="504" y="71"/>
                </a:lnTo>
                <a:lnTo>
                  <a:pt x="479" y="50"/>
                </a:lnTo>
                <a:lnTo>
                  <a:pt x="475" y="49"/>
                </a:lnTo>
                <a:lnTo>
                  <a:pt x="507" y="75"/>
                </a:lnTo>
                <a:lnTo>
                  <a:pt x="535" y="110"/>
                </a:lnTo>
                <a:moveTo>
                  <a:pt x="751" y="453"/>
                </a:moveTo>
                <a:lnTo>
                  <a:pt x="717" y="387"/>
                </a:lnTo>
                <a:lnTo>
                  <a:pt x="644" y="387"/>
                </a:lnTo>
                <a:lnTo>
                  <a:pt x="603" y="386"/>
                </a:lnTo>
                <a:lnTo>
                  <a:pt x="567" y="385"/>
                </a:lnTo>
                <a:lnTo>
                  <a:pt x="533" y="382"/>
                </a:lnTo>
                <a:lnTo>
                  <a:pt x="503" y="380"/>
                </a:lnTo>
                <a:lnTo>
                  <a:pt x="477" y="377"/>
                </a:lnTo>
                <a:lnTo>
                  <a:pt x="456" y="373"/>
                </a:lnTo>
                <a:lnTo>
                  <a:pt x="418" y="360"/>
                </a:lnTo>
                <a:lnTo>
                  <a:pt x="380" y="340"/>
                </a:lnTo>
                <a:lnTo>
                  <a:pt x="345" y="311"/>
                </a:lnTo>
                <a:lnTo>
                  <a:pt x="313" y="271"/>
                </a:lnTo>
                <a:lnTo>
                  <a:pt x="301" y="251"/>
                </a:lnTo>
                <a:lnTo>
                  <a:pt x="291" y="226"/>
                </a:lnTo>
                <a:lnTo>
                  <a:pt x="283" y="200"/>
                </a:lnTo>
                <a:lnTo>
                  <a:pt x="280" y="175"/>
                </a:lnTo>
                <a:lnTo>
                  <a:pt x="283" y="128"/>
                </a:lnTo>
                <a:lnTo>
                  <a:pt x="296" y="92"/>
                </a:lnTo>
                <a:lnTo>
                  <a:pt x="314" y="68"/>
                </a:lnTo>
                <a:lnTo>
                  <a:pt x="333" y="54"/>
                </a:lnTo>
                <a:lnTo>
                  <a:pt x="315" y="60"/>
                </a:lnTo>
                <a:lnTo>
                  <a:pt x="300" y="66"/>
                </a:lnTo>
                <a:lnTo>
                  <a:pt x="285" y="74"/>
                </a:lnTo>
                <a:lnTo>
                  <a:pt x="270" y="84"/>
                </a:lnTo>
                <a:lnTo>
                  <a:pt x="260" y="92"/>
                </a:lnTo>
                <a:lnTo>
                  <a:pt x="249" y="102"/>
                </a:lnTo>
                <a:lnTo>
                  <a:pt x="237" y="113"/>
                </a:lnTo>
                <a:lnTo>
                  <a:pt x="227" y="126"/>
                </a:lnTo>
                <a:lnTo>
                  <a:pt x="216" y="183"/>
                </a:lnTo>
                <a:lnTo>
                  <a:pt x="223" y="235"/>
                </a:lnTo>
                <a:lnTo>
                  <a:pt x="241" y="277"/>
                </a:lnTo>
                <a:lnTo>
                  <a:pt x="259" y="308"/>
                </a:lnTo>
                <a:lnTo>
                  <a:pt x="273" y="328"/>
                </a:lnTo>
                <a:lnTo>
                  <a:pt x="291" y="349"/>
                </a:lnTo>
                <a:lnTo>
                  <a:pt x="311" y="369"/>
                </a:lnTo>
                <a:lnTo>
                  <a:pt x="336" y="389"/>
                </a:lnTo>
                <a:lnTo>
                  <a:pt x="392" y="420"/>
                </a:lnTo>
                <a:lnTo>
                  <a:pt x="452" y="438"/>
                </a:lnTo>
                <a:lnTo>
                  <a:pt x="514" y="446"/>
                </a:lnTo>
                <a:lnTo>
                  <a:pt x="579" y="451"/>
                </a:lnTo>
                <a:lnTo>
                  <a:pt x="613" y="452"/>
                </a:lnTo>
                <a:lnTo>
                  <a:pt x="642" y="453"/>
                </a:lnTo>
                <a:lnTo>
                  <a:pt x="683" y="453"/>
                </a:lnTo>
                <a:lnTo>
                  <a:pt x="751" y="453"/>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hu-HU"/>
          </a:p>
        </xdr:txBody>
      </xdr:sp>
      <xdr:pic>
        <xdr:nvPicPr>
          <xdr:cNvPr id="87" name="Picture 4">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28" y="-356"/>
            <a:ext cx="135" cy="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5</xdr:col>
          <xdr:colOff>0</xdr:colOff>
          <xdr:row>55</xdr:row>
          <xdr:rowOff>9525</xdr:rowOff>
        </xdr:from>
        <xdr:to>
          <xdr:col>5</xdr:col>
          <xdr:colOff>171450</xdr:colOff>
          <xdr:row>56</xdr:row>
          <xdr:rowOff>9525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9525</xdr:rowOff>
        </xdr:from>
        <xdr:to>
          <xdr:col>5</xdr:col>
          <xdr:colOff>171450</xdr:colOff>
          <xdr:row>57</xdr:row>
          <xdr:rowOff>9525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9525</xdr:rowOff>
        </xdr:from>
        <xdr:to>
          <xdr:col>5</xdr:col>
          <xdr:colOff>171450</xdr:colOff>
          <xdr:row>58</xdr:row>
          <xdr:rowOff>9525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9525</xdr:rowOff>
        </xdr:from>
        <xdr:to>
          <xdr:col>14</xdr:col>
          <xdr:colOff>171450</xdr:colOff>
          <xdr:row>56</xdr:row>
          <xdr:rowOff>9525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9525</xdr:rowOff>
        </xdr:from>
        <xdr:to>
          <xdr:col>14</xdr:col>
          <xdr:colOff>171450</xdr:colOff>
          <xdr:row>57</xdr:row>
          <xdr:rowOff>9525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9525</xdr:rowOff>
        </xdr:from>
        <xdr:to>
          <xdr:col>14</xdr:col>
          <xdr:colOff>171450</xdr:colOff>
          <xdr:row>58</xdr:row>
          <xdr:rowOff>9525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55</xdr:row>
          <xdr:rowOff>9525</xdr:rowOff>
        </xdr:from>
        <xdr:to>
          <xdr:col>23</xdr:col>
          <xdr:colOff>171450</xdr:colOff>
          <xdr:row>56</xdr:row>
          <xdr:rowOff>9525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56</xdr:row>
          <xdr:rowOff>9525</xdr:rowOff>
        </xdr:from>
        <xdr:to>
          <xdr:col>23</xdr:col>
          <xdr:colOff>171450</xdr:colOff>
          <xdr:row>57</xdr:row>
          <xdr:rowOff>9525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9525</xdr:rowOff>
        </xdr:from>
        <xdr:to>
          <xdr:col>6</xdr:col>
          <xdr:colOff>28575</xdr:colOff>
          <xdr:row>60</xdr:row>
          <xdr:rowOff>0</xdr:rowOff>
        </xdr:to>
        <xdr:sp macro="" textlink="">
          <xdr:nvSpPr>
            <xdr:cNvPr id="4181" name="Option Button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9525</xdr:rowOff>
        </xdr:from>
        <xdr:to>
          <xdr:col>6</xdr:col>
          <xdr:colOff>28575</xdr:colOff>
          <xdr:row>61</xdr:row>
          <xdr:rowOff>0</xdr:rowOff>
        </xdr:to>
        <xdr:sp macro="" textlink="">
          <xdr:nvSpPr>
            <xdr:cNvPr id="4182" name="Option Button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61</xdr:row>
          <xdr:rowOff>9525</xdr:rowOff>
        </xdr:from>
        <xdr:to>
          <xdr:col>6</xdr:col>
          <xdr:colOff>28575</xdr:colOff>
          <xdr:row>62</xdr:row>
          <xdr:rowOff>0</xdr:rowOff>
        </xdr:to>
        <xdr:sp macro="" textlink="">
          <xdr:nvSpPr>
            <xdr:cNvPr id="4183" name="Option Button 87" hidden="1">
              <a:extLst>
                <a:ext uri="{63B3BB69-23CF-44E3-9099-C40C66FF867C}">
                  <a14:compatExt spid="_x0000_s4183"/>
                </a:ext>
                <a:ext uri="{FF2B5EF4-FFF2-40B4-BE49-F238E27FC236}">
                  <a16:creationId xmlns:a16="http://schemas.microsoft.com/office/drawing/2014/main" id="{00000000-0008-0000-00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62</xdr:row>
          <xdr:rowOff>9525</xdr:rowOff>
        </xdr:from>
        <xdr:to>
          <xdr:col>6</xdr:col>
          <xdr:colOff>28575</xdr:colOff>
          <xdr:row>63</xdr:row>
          <xdr:rowOff>0</xdr:rowOff>
        </xdr:to>
        <xdr:sp macro="" textlink="">
          <xdr:nvSpPr>
            <xdr:cNvPr id="4184" name="Option Button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42</xdr:col>
          <xdr:colOff>0</xdr:colOff>
          <xdr:row>63</xdr:row>
          <xdr:rowOff>28575</xdr:rowOff>
        </xdr:to>
        <xdr:sp macro="" textlink="">
          <xdr:nvSpPr>
            <xdr:cNvPr id="4185" name="Group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66</xdr:row>
          <xdr:rowOff>9525</xdr:rowOff>
        </xdr:from>
        <xdr:to>
          <xdr:col>5</xdr:col>
          <xdr:colOff>171450</xdr:colOff>
          <xdr:row>67</xdr:row>
          <xdr:rowOff>9525</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67</xdr:row>
          <xdr:rowOff>9525</xdr:rowOff>
        </xdr:from>
        <xdr:to>
          <xdr:col>5</xdr:col>
          <xdr:colOff>171450</xdr:colOff>
          <xdr:row>68</xdr:row>
          <xdr:rowOff>9525</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66</xdr:row>
          <xdr:rowOff>9525</xdr:rowOff>
        </xdr:from>
        <xdr:to>
          <xdr:col>14</xdr:col>
          <xdr:colOff>171450</xdr:colOff>
          <xdr:row>67</xdr:row>
          <xdr:rowOff>9525</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67</xdr:row>
          <xdr:rowOff>9525</xdr:rowOff>
        </xdr:from>
        <xdr:to>
          <xdr:col>14</xdr:col>
          <xdr:colOff>171450</xdr:colOff>
          <xdr:row>68</xdr:row>
          <xdr:rowOff>9525</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69</xdr:row>
          <xdr:rowOff>9525</xdr:rowOff>
        </xdr:from>
        <xdr:to>
          <xdr:col>6</xdr:col>
          <xdr:colOff>28575</xdr:colOff>
          <xdr:row>70</xdr:row>
          <xdr:rowOff>0</xdr:rowOff>
        </xdr:to>
        <xdr:sp macro="" textlink="">
          <xdr:nvSpPr>
            <xdr:cNvPr id="4207" name="Option Button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70</xdr:row>
          <xdr:rowOff>9525</xdr:rowOff>
        </xdr:from>
        <xdr:to>
          <xdr:col>6</xdr:col>
          <xdr:colOff>28575</xdr:colOff>
          <xdr:row>71</xdr:row>
          <xdr:rowOff>0</xdr:rowOff>
        </xdr:to>
        <xdr:sp macro="" textlink="">
          <xdr:nvSpPr>
            <xdr:cNvPr id="4208" name="Option Button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71</xdr:row>
          <xdr:rowOff>9525</xdr:rowOff>
        </xdr:from>
        <xdr:to>
          <xdr:col>6</xdr:col>
          <xdr:colOff>28575</xdr:colOff>
          <xdr:row>72</xdr:row>
          <xdr:rowOff>0</xdr:rowOff>
        </xdr:to>
        <xdr:sp macro="" textlink="">
          <xdr:nvSpPr>
            <xdr:cNvPr id="4209" name="Option Button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9525</xdr:rowOff>
        </xdr:from>
        <xdr:to>
          <xdr:col>6</xdr:col>
          <xdr:colOff>28575</xdr:colOff>
          <xdr:row>73</xdr:row>
          <xdr:rowOff>0</xdr:rowOff>
        </xdr:to>
        <xdr:sp macro="" textlink="">
          <xdr:nvSpPr>
            <xdr:cNvPr id="4210" name="Option Button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0</xdr:rowOff>
        </xdr:from>
        <xdr:to>
          <xdr:col>42</xdr:col>
          <xdr:colOff>0</xdr:colOff>
          <xdr:row>73</xdr:row>
          <xdr:rowOff>28575</xdr:rowOff>
        </xdr:to>
        <xdr:sp macro="" textlink="">
          <xdr:nvSpPr>
            <xdr:cNvPr id="4211" name="Group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9525</xdr:rowOff>
        </xdr:from>
        <xdr:to>
          <xdr:col>5</xdr:col>
          <xdr:colOff>171450</xdr:colOff>
          <xdr:row>77</xdr:row>
          <xdr:rowOff>9525</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9525</xdr:rowOff>
        </xdr:from>
        <xdr:to>
          <xdr:col>5</xdr:col>
          <xdr:colOff>171450</xdr:colOff>
          <xdr:row>78</xdr:row>
          <xdr:rowOff>9525</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76</xdr:row>
          <xdr:rowOff>9525</xdr:rowOff>
        </xdr:from>
        <xdr:to>
          <xdr:col>14</xdr:col>
          <xdr:colOff>171450</xdr:colOff>
          <xdr:row>77</xdr:row>
          <xdr:rowOff>9525</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77</xdr:row>
          <xdr:rowOff>9525</xdr:rowOff>
        </xdr:from>
        <xdr:to>
          <xdr:col>14</xdr:col>
          <xdr:colOff>171450</xdr:colOff>
          <xdr:row>78</xdr:row>
          <xdr:rowOff>9525</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9525</xdr:rowOff>
        </xdr:from>
        <xdr:to>
          <xdr:col>6</xdr:col>
          <xdr:colOff>28575</xdr:colOff>
          <xdr:row>80</xdr:row>
          <xdr:rowOff>0</xdr:rowOff>
        </xdr:to>
        <xdr:sp macro="" textlink="">
          <xdr:nvSpPr>
            <xdr:cNvPr id="4216" name="Option Button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80</xdr:row>
          <xdr:rowOff>9525</xdr:rowOff>
        </xdr:from>
        <xdr:to>
          <xdr:col>6</xdr:col>
          <xdr:colOff>28575</xdr:colOff>
          <xdr:row>81</xdr:row>
          <xdr:rowOff>0</xdr:rowOff>
        </xdr:to>
        <xdr:sp macro="" textlink="">
          <xdr:nvSpPr>
            <xdr:cNvPr id="4217" name="Option Button 121"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81</xdr:row>
          <xdr:rowOff>9525</xdr:rowOff>
        </xdr:from>
        <xdr:to>
          <xdr:col>6</xdr:col>
          <xdr:colOff>28575</xdr:colOff>
          <xdr:row>82</xdr:row>
          <xdr:rowOff>0</xdr:rowOff>
        </xdr:to>
        <xdr:sp macro="" textlink="">
          <xdr:nvSpPr>
            <xdr:cNvPr id="4218" name="Option Button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42</xdr:col>
          <xdr:colOff>0</xdr:colOff>
          <xdr:row>82</xdr:row>
          <xdr:rowOff>28575</xdr:rowOff>
        </xdr:to>
        <xdr:sp macro="" textlink="">
          <xdr:nvSpPr>
            <xdr:cNvPr id="4220" name="Group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71206</xdr:colOff>
      <xdr:row>1</xdr:row>
      <xdr:rowOff>18421</xdr:rowOff>
    </xdr:to>
    <xdr:pic>
      <xdr:nvPicPr>
        <xdr:cNvPr id="2" name="Kép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90500" y="0"/>
          <a:ext cx="833206" cy="837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71206</xdr:colOff>
      <xdr:row>1</xdr:row>
      <xdr:rowOff>18421</xdr:rowOff>
    </xdr:to>
    <xdr:pic>
      <xdr:nvPicPr>
        <xdr:cNvPr id="2" name="Kép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90500" y="0"/>
          <a:ext cx="833206" cy="837571"/>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4">
    <tabColor rgb="FF00B050"/>
  </sheetPr>
  <dimension ref="A1:EK172"/>
  <sheetViews>
    <sheetView showGridLines="0" tabSelected="1" zoomScaleNormal="100" workbookViewId="0">
      <selection activeCell="K4" sqref="K4:AP4"/>
    </sheetView>
  </sheetViews>
  <sheetFormatPr defaultColWidth="0" defaultRowHeight="15" customHeight="1" x14ac:dyDescent="0.25"/>
  <cols>
    <col min="1" max="1" width="2.85546875" style="232" customWidth="1"/>
    <col min="2" max="2" width="2.85546875" style="233" customWidth="1"/>
    <col min="3" max="43" width="2.85546875" style="232" customWidth="1"/>
    <col min="44" max="44" width="2.85546875" style="3" hidden="1"/>
    <col min="45" max="46" width="1.5703125" hidden="1"/>
    <col min="47" max="48" width="3.7109375" style="2" hidden="1"/>
    <col min="49" max="49" width="6.85546875" style="2" hidden="1"/>
    <col min="50" max="50" width="10.28515625" hidden="1"/>
    <col min="51" max="51" width="6.85546875" hidden="1"/>
    <col min="52" max="52" width="2.85546875" hidden="1"/>
    <col min="53" max="53" width="5.140625" hidden="1"/>
    <col min="54" max="54" width="4.7109375" hidden="1"/>
    <col min="55" max="55" width="7.28515625" hidden="1"/>
    <col min="56" max="56" width="7.42578125" hidden="1"/>
    <col min="57" max="64" width="2.85546875" hidden="1"/>
    <col min="65" max="65" width="9" hidden="1"/>
    <col min="66" max="66" width="7" hidden="1"/>
    <col min="67" max="105" width="2.85546875" hidden="1"/>
    <col min="106" max="106" width="3.28515625" hidden="1"/>
    <col min="107" max="107" width="40.28515625" hidden="1"/>
    <col min="108" max="108" width="3.7109375" hidden="1"/>
    <col min="142" max="16384" width="9.140625" hidden="1"/>
  </cols>
  <sheetData>
    <row r="1" spans="2:141" ht="15.75" customHeight="1" thickBot="1" x14ac:dyDescent="0.3">
      <c r="DB1" s="128"/>
      <c r="DD1" s="132">
        <f>IF(DD2=$DC$2,1,0)</f>
        <v>0</v>
      </c>
      <c r="DE1" s="132">
        <f t="shared" ref="DE1:DQ1" si="0">IF(DE2=$DC$2,1,0)</f>
        <v>0</v>
      </c>
      <c r="DF1" s="132">
        <f t="shared" si="0"/>
        <v>0</v>
      </c>
      <c r="DG1" s="132">
        <f t="shared" si="0"/>
        <v>0</v>
      </c>
      <c r="DH1" s="132">
        <f t="shared" si="0"/>
        <v>0</v>
      </c>
      <c r="DI1" s="132">
        <f t="shared" si="0"/>
        <v>0</v>
      </c>
      <c r="DJ1" s="132">
        <f t="shared" si="0"/>
        <v>0</v>
      </c>
      <c r="DK1" s="132">
        <f t="shared" si="0"/>
        <v>0</v>
      </c>
      <c r="DL1" s="132">
        <f t="shared" si="0"/>
        <v>0</v>
      </c>
      <c r="DM1" s="132">
        <f t="shared" si="0"/>
        <v>0</v>
      </c>
      <c r="DN1" s="132">
        <f t="shared" si="0"/>
        <v>0</v>
      </c>
      <c r="DO1" s="132">
        <f t="shared" si="0"/>
        <v>0</v>
      </c>
      <c r="DP1" s="132">
        <f t="shared" si="0"/>
        <v>0</v>
      </c>
      <c r="DQ1" s="132">
        <f t="shared" si="0"/>
        <v>0</v>
      </c>
      <c r="DR1" s="132">
        <f>IF(OR(AW102=TRUE,AW109=TRUE),1,0)</f>
        <v>0</v>
      </c>
      <c r="DS1" s="132">
        <f>IF(OR(AW103=TRUE,AW110=TRUE),1,0)</f>
        <v>0</v>
      </c>
      <c r="DT1" s="132">
        <f>IF(OR(AW104=TRUE,AW111=TRUE),1,0)</f>
        <v>0</v>
      </c>
      <c r="DU1" s="132">
        <f>IF(OR(AW105=TRUE,AW112=TRUE),1,0)</f>
        <v>0</v>
      </c>
      <c r="DV1" s="132">
        <f>IF(OR(AW106=TRUE,AW113=TRUE),1,0)</f>
        <v>0</v>
      </c>
      <c r="DW1" s="132" t="e">
        <f>IF($U$147="HUF",1,0)</f>
        <v>#N/A</v>
      </c>
      <c r="DX1" s="132" t="e">
        <f>IF($U$147="EUR",1,0)</f>
        <v>#N/A</v>
      </c>
      <c r="DY1" s="155"/>
    </row>
    <row r="2" spans="2:141" ht="64.5" customHeight="1" thickBot="1" x14ac:dyDescent="0.3">
      <c r="AB2" s="234"/>
      <c r="AC2" s="234"/>
      <c r="AD2" s="234"/>
      <c r="AE2" s="234"/>
      <c r="AF2" s="234"/>
      <c r="AG2" s="234"/>
      <c r="AH2" s="234"/>
      <c r="AI2" s="234"/>
      <c r="AJ2" s="234"/>
      <c r="AK2" s="234"/>
      <c r="AL2" s="234"/>
      <c r="AM2" s="234"/>
      <c r="AN2" s="234"/>
      <c r="AO2" s="234"/>
      <c r="AP2" s="235" t="s">
        <v>0</v>
      </c>
      <c r="AX2" s="11"/>
      <c r="AZ2" s="383" t="s">
        <v>90</v>
      </c>
      <c r="BA2" s="383"/>
      <c r="BB2" s="383"/>
      <c r="BC2" s="383"/>
      <c r="BD2" s="383"/>
      <c r="BF2" s="94" t="s">
        <v>86</v>
      </c>
      <c r="BG2" s="95" t="s">
        <v>87</v>
      </c>
      <c r="BH2" s="95" t="s">
        <v>88</v>
      </c>
      <c r="BI2" s="95" t="s">
        <v>89</v>
      </c>
      <c r="BJ2" s="96" t="s">
        <v>90</v>
      </c>
      <c r="BK2" s="94" t="s">
        <v>266</v>
      </c>
      <c r="BL2" s="95" t="s">
        <v>267</v>
      </c>
      <c r="BM2" s="95" t="s">
        <v>256</v>
      </c>
      <c r="BN2" s="95" t="s">
        <v>91</v>
      </c>
      <c r="BO2" s="96" t="s">
        <v>92</v>
      </c>
      <c r="BP2" s="97" t="s">
        <v>99</v>
      </c>
      <c r="BQ2" s="98" t="str">
        <f>+BP32</f>
        <v>Terméktípus (UL, KL)</v>
      </c>
      <c r="BR2" s="98" t="str">
        <f>+BP33</f>
        <v>Gyakoriság (R, E)</v>
      </c>
      <c r="BS2" s="99" t="str">
        <f>+BP34</f>
        <v>Tartam (NY, H, WL)</v>
      </c>
      <c r="BT2" s="100" t="s">
        <v>144</v>
      </c>
      <c r="BW2" s="12"/>
      <c r="BX2" s="12"/>
      <c r="BY2" s="61" t="s">
        <v>40</v>
      </c>
      <c r="BZ2" s="61" t="s">
        <v>98</v>
      </c>
      <c r="CA2" s="61" t="s">
        <v>97</v>
      </c>
      <c r="CB2" s="61" t="s">
        <v>95</v>
      </c>
      <c r="CC2" s="61" t="s">
        <v>96</v>
      </c>
      <c r="CD2" s="61" t="s">
        <v>94</v>
      </c>
      <c r="CE2" s="61" t="s">
        <v>41</v>
      </c>
      <c r="CF2" s="61" t="s">
        <v>42</v>
      </c>
      <c r="CJ2" s="42"/>
      <c r="CK2" s="42"/>
      <c r="CL2" s="42"/>
      <c r="DB2" s="148" t="s">
        <v>210</v>
      </c>
      <c r="DC2" s="156" t="str">
        <f>AM133</f>
        <v/>
      </c>
      <c r="DD2" s="157">
        <v>230</v>
      </c>
      <c r="DE2" s="157">
        <v>240</v>
      </c>
      <c r="DF2" s="157">
        <v>243</v>
      </c>
      <c r="DG2" s="158">
        <v>170</v>
      </c>
      <c r="DH2" s="157">
        <v>224</v>
      </c>
      <c r="DI2" s="157">
        <v>247</v>
      </c>
      <c r="DJ2" s="157">
        <v>269</v>
      </c>
      <c r="DK2" s="157">
        <v>252</v>
      </c>
      <c r="DL2" s="157">
        <v>129</v>
      </c>
      <c r="DM2" s="157">
        <v>122</v>
      </c>
      <c r="DN2" s="157">
        <v>178</v>
      </c>
      <c r="DO2" s="157">
        <v>187</v>
      </c>
      <c r="DP2" s="157">
        <v>142</v>
      </c>
      <c r="DQ2" s="164">
        <v>144</v>
      </c>
      <c r="DR2" s="166" t="s">
        <v>197</v>
      </c>
      <c r="DS2" s="157" t="s">
        <v>198</v>
      </c>
      <c r="DT2" s="157" t="s">
        <v>199</v>
      </c>
      <c r="DU2" s="157" t="s">
        <v>200</v>
      </c>
      <c r="DV2" s="167" t="s">
        <v>201</v>
      </c>
      <c r="DW2" s="166" t="s">
        <v>262</v>
      </c>
      <c r="DX2" s="299" t="s">
        <v>263</v>
      </c>
      <c r="DY2" s="165" t="s">
        <v>170</v>
      </c>
      <c r="DZ2" s="163"/>
      <c r="EK2" s="134"/>
    </row>
    <row r="3" spans="2:141" ht="15" customHeight="1" x14ac:dyDescent="0.25">
      <c r="AA3" s="234"/>
      <c r="AB3" s="234"/>
      <c r="AC3" s="234"/>
      <c r="AD3" s="234"/>
      <c r="AE3" s="234"/>
      <c r="AF3" s="234"/>
      <c r="AG3" s="234"/>
      <c r="AH3" s="234"/>
      <c r="AI3" s="234"/>
      <c r="AJ3" s="234"/>
      <c r="AK3" s="234"/>
      <c r="AL3" s="234"/>
      <c r="AM3" s="234"/>
      <c r="AN3" s="234"/>
      <c r="AO3" s="234"/>
      <c r="AX3" s="11"/>
      <c r="BA3" s="5" t="s">
        <v>74</v>
      </c>
      <c r="BB3" s="11">
        <v>208</v>
      </c>
      <c r="BC3" s="6" t="s">
        <v>98</v>
      </c>
      <c r="BD3" s="2" t="s">
        <v>96</v>
      </c>
      <c r="BE3" s="2" t="s">
        <v>97</v>
      </c>
      <c r="BF3" s="85">
        <v>1</v>
      </c>
      <c r="BG3" s="86"/>
      <c r="BH3" s="86"/>
      <c r="BI3" s="86"/>
      <c r="BJ3" s="87">
        <v>1</v>
      </c>
      <c r="BK3" s="88">
        <v>1</v>
      </c>
      <c r="BL3" s="89"/>
      <c r="BM3" s="89">
        <v>144000</v>
      </c>
      <c r="BN3" s="86">
        <v>10</v>
      </c>
      <c r="BO3" s="87">
        <v>47</v>
      </c>
      <c r="BP3" s="90">
        <f>IF($AZ$2=$BF$2,BF3,IF($AZ$2=$BG$2,BG3,IF($AZ$2=$BH$2,BH3,IF($AZ$2=$BI$2,BI3,BJ3))))</f>
        <v>1</v>
      </c>
      <c r="BQ3" s="91">
        <f t="shared" ref="BQ3:BQ29" si="1">IF(BC3=$BQ$32,1,0)</f>
        <v>0</v>
      </c>
      <c r="BR3" s="91">
        <f t="shared" ref="BR3:BR29" si="2">IF(BE3=$BQ$33,1,0)</f>
        <v>0</v>
      </c>
      <c r="BS3" s="92">
        <f t="shared" ref="BS3:BS29" si="3">IF(BD3=$BQ$34,1,0)</f>
        <v>0</v>
      </c>
      <c r="BT3" s="93">
        <f>IF(SUM(BP3:BS3)=4,1,0)</f>
        <v>0</v>
      </c>
      <c r="BU3" s="108" t="str">
        <f>BA3</f>
        <v>Jövőkulcs Classic</v>
      </c>
      <c r="BV3" s="66">
        <v>1</v>
      </c>
      <c r="BW3" s="26" t="s">
        <v>43</v>
      </c>
      <c r="BX3" s="33">
        <f>+AW20</f>
        <v>0</v>
      </c>
      <c r="BY3" s="49"/>
      <c r="BZ3" s="23"/>
      <c r="CA3" s="52"/>
      <c r="CB3" s="45"/>
      <c r="CC3" s="52"/>
      <c r="CD3" s="43"/>
      <c r="CE3" s="45"/>
      <c r="CF3" s="15"/>
      <c r="CJ3" s="38" t="s">
        <v>157</v>
      </c>
      <c r="CK3" s="42"/>
      <c r="CL3" s="42"/>
      <c r="DA3">
        <v>1</v>
      </c>
      <c r="DB3" s="144" t="e">
        <f>IF(SUMPRODUCT($DD$1:$DQ$1,DD3:DQ3)*SUMPRODUCT($DR$1:$DV$1,DR3:DV3)*SUMPRODUCT($DW$1:$DX$1,DW3:DX3)&gt;0,1,"-")</f>
        <v>#N/A</v>
      </c>
      <c r="DC3" s="159" t="s">
        <v>182</v>
      </c>
      <c r="DD3" s="149">
        <v>1</v>
      </c>
      <c r="DE3" s="113">
        <v>1</v>
      </c>
      <c r="DF3" s="113">
        <v>1</v>
      </c>
      <c r="DG3" s="113">
        <v>1</v>
      </c>
      <c r="DH3" s="113">
        <v>1</v>
      </c>
      <c r="DI3" s="113">
        <v>1</v>
      </c>
      <c r="DJ3" s="113">
        <v>1</v>
      </c>
      <c r="DK3" s="113">
        <v>1</v>
      </c>
      <c r="DL3" s="113">
        <v>1</v>
      </c>
      <c r="DM3" s="113">
        <v>1</v>
      </c>
      <c r="DN3" s="113">
        <v>1</v>
      </c>
      <c r="DO3" s="113">
        <v>1</v>
      </c>
      <c r="DP3" s="113">
        <v>1</v>
      </c>
      <c r="DQ3" s="116"/>
      <c r="DR3" s="121">
        <v>1</v>
      </c>
      <c r="DS3" s="122"/>
      <c r="DT3" s="122"/>
      <c r="DU3" s="122"/>
      <c r="DV3" s="123"/>
      <c r="DW3" s="305">
        <v>1</v>
      </c>
      <c r="DX3" s="300"/>
      <c r="DY3" s="129">
        <v>1</v>
      </c>
      <c r="DZ3" s="163"/>
    </row>
    <row r="4" spans="2:141" ht="15" customHeight="1" x14ac:dyDescent="0.25">
      <c r="J4" s="236" t="s">
        <v>66</v>
      </c>
      <c r="K4" s="386"/>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8"/>
      <c r="AS4">
        <v>2</v>
      </c>
      <c r="AX4" s="11"/>
      <c r="BA4" s="5" t="s">
        <v>73</v>
      </c>
      <c r="BB4" s="11">
        <v>230</v>
      </c>
      <c r="BC4" s="6" t="s">
        <v>40</v>
      </c>
      <c r="BD4" s="25" t="s">
        <v>96</v>
      </c>
      <c r="BE4" s="2" t="s">
        <v>97</v>
      </c>
      <c r="BF4" s="81">
        <v>1</v>
      </c>
      <c r="BG4" s="21"/>
      <c r="BH4" s="21"/>
      <c r="BI4" s="21"/>
      <c r="BJ4" s="75">
        <v>1</v>
      </c>
      <c r="BK4" s="74">
        <v>1</v>
      </c>
      <c r="BL4" s="28">
        <v>1</v>
      </c>
      <c r="BM4" s="28">
        <v>144000</v>
      </c>
      <c r="BN4" s="21">
        <v>10</v>
      </c>
      <c r="BO4" s="75">
        <v>47</v>
      </c>
      <c r="BP4" s="69">
        <f t="shared" ref="BP4:BP29" si="4">IF($AZ$2=$BF$2,BF4,IF($AZ$2=$BG$2,BG4,IF($AZ$2=$BH$2,BH4,IF($AZ$2=$BI$2,BI4,BJ4))))</f>
        <v>1</v>
      </c>
      <c r="BQ4" s="68">
        <f t="shared" si="1"/>
        <v>0</v>
      </c>
      <c r="BR4" s="68">
        <f t="shared" si="2"/>
        <v>0</v>
      </c>
      <c r="BS4" s="70">
        <f t="shared" si="3"/>
        <v>0</v>
      </c>
      <c r="BT4" s="62">
        <f>IF(SUM(BP4:BS4)=4,SUM($BT$3:BT3)+1,0)</f>
        <v>0</v>
      </c>
      <c r="BU4" s="108" t="str">
        <f t="shared" ref="BU4:BU29" si="5">BA4</f>
        <v>Jövőkulcs Bonus</v>
      </c>
      <c r="BV4" s="67"/>
      <c r="BW4" s="10" t="s">
        <v>44</v>
      </c>
      <c r="BX4" s="34">
        <f>+AW21</f>
        <v>0</v>
      </c>
      <c r="BY4" s="50">
        <v>1</v>
      </c>
      <c r="BZ4" s="20">
        <v>1</v>
      </c>
      <c r="CA4" s="53"/>
      <c r="CB4" s="46"/>
      <c r="CC4" s="53"/>
      <c r="CD4" s="44"/>
      <c r="CE4" s="46"/>
      <c r="CF4" s="16"/>
      <c r="CJ4" s="357"/>
      <c r="CK4" s="358"/>
      <c r="CL4" s="354" t="s">
        <v>153</v>
      </c>
      <c r="CM4" s="354"/>
      <c r="CN4" s="354"/>
      <c r="CO4" s="354"/>
      <c r="CP4" s="168">
        <f t="shared" ref="CP4:CP9" si="6">IF($CQ$12=CQ4,1,0)</f>
        <v>1</v>
      </c>
      <c r="CQ4" s="2">
        <v>0</v>
      </c>
      <c r="CR4" s="11" t="s">
        <v>158</v>
      </c>
      <c r="DA4">
        <v>2</v>
      </c>
      <c r="DB4" s="145" t="e">
        <f>IF(SUMPRODUCT($DD$1:$DQ$1,DD4:DQ4)*SUMPRODUCT($DR$1:$DV$1,DR4:DV4)*SUMPRODUCT($DW$1:$DX$1,DW4:DX4)&gt;0,MAX($DB$3:DB3)+1,"-")</f>
        <v>#N/A</v>
      </c>
      <c r="DC4" s="160" t="s">
        <v>202</v>
      </c>
      <c r="DD4" s="150">
        <v>1</v>
      </c>
      <c r="DE4" s="21">
        <v>1</v>
      </c>
      <c r="DF4" s="21">
        <v>1</v>
      </c>
      <c r="DG4" s="21">
        <v>1</v>
      </c>
      <c r="DH4" s="21">
        <v>1</v>
      </c>
      <c r="DI4" s="21"/>
      <c r="DJ4" s="21">
        <v>1</v>
      </c>
      <c r="DK4" s="21">
        <v>1</v>
      </c>
      <c r="DL4" s="21">
        <v>1</v>
      </c>
      <c r="DM4" s="21">
        <v>1</v>
      </c>
      <c r="DN4" s="21"/>
      <c r="DO4" s="21"/>
      <c r="DP4" s="21">
        <v>1</v>
      </c>
      <c r="DQ4" s="117">
        <v>1</v>
      </c>
      <c r="DR4" s="135">
        <v>1</v>
      </c>
      <c r="DS4" s="120"/>
      <c r="DT4" s="120"/>
      <c r="DU4" s="120"/>
      <c r="DV4" s="136"/>
      <c r="DW4" s="135"/>
      <c r="DX4" s="301">
        <v>1</v>
      </c>
      <c r="DY4" s="130">
        <v>1</v>
      </c>
      <c r="DZ4" s="163"/>
    </row>
    <row r="5" spans="2:141" ht="15" customHeight="1" x14ac:dyDescent="0.25">
      <c r="J5" s="236" t="s">
        <v>64</v>
      </c>
      <c r="K5" s="386"/>
      <c r="L5" s="387"/>
      <c r="M5" s="387"/>
      <c r="N5" s="387"/>
      <c r="O5" s="387"/>
      <c r="P5" s="387"/>
      <c r="Q5" s="387"/>
      <c r="R5" s="387"/>
      <c r="S5" s="387"/>
      <c r="T5" s="387"/>
      <c r="U5" s="387"/>
      <c r="V5" s="388"/>
      <c r="W5" s="233" t="s">
        <v>1</v>
      </c>
      <c r="X5" s="377"/>
      <c r="Y5" s="378"/>
      <c r="Z5" s="378"/>
      <c r="AA5" s="379"/>
      <c r="AJ5" s="237" t="s">
        <v>65</v>
      </c>
      <c r="AK5" s="380"/>
      <c r="AL5" s="381"/>
      <c r="AM5" s="381"/>
      <c r="AN5" s="381"/>
      <c r="AO5" s="381"/>
      <c r="AP5" s="382"/>
      <c r="AX5" s="11"/>
      <c r="BA5" s="5" t="s">
        <v>75</v>
      </c>
      <c r="BB5" s="11">
        <v>240</v>
      </c>
      <c r="BC5" s="6" t="s">
        <v>40</v>
      </c>
      <c r="BD5" s="2" t="s">
        <v>94</v>
      </c>
      <c r="BE5" s="2" t="s">
        <v>97</v>
      </c>
      <c r="BF5" s="81">
        <v>1</v>
      </c>
      <c r="BG5" s="21"/>
      <c r="BH5" s="21"/>
      <c r="BI5" s="21"/>
      <c r="BJ5" s="75">
        <v>1</v>
      </c>
      <c r="BK5" s="74">
        <v>1</v>
      </c>
      <c r="BL5" s="28">
        <v>1</v>
      </c>
      <c r="BM5" s="28">
        <v>120000</v>
      </c>
      <c r="BN5" s="21">
        <v>10</v>
      </c>
      <c r="BO5" s="75">
        <v>35</v>
      </c>
      <c r="BP5" s="69">
        <f t="shared" si="4"/>
        <v>1</v>
      </c>
      <c r="BQ5" s="68">
        <f t="shared" si="1"/>
        <v>0</v>
      </c>
      <c r="BR5" s="68">
        <f t="shared" si="2"/>
        <v>0</v>
      </c>
      <c r="BS5" s="70">
        <f t="shared" si="3"/>
        <v>0</v>
      </c>
      <c r="BT5" s="62">
        <f>IF(SUM(BP5:BS5)=4,SUM($BT$3:BT4)+1,0)</f>
        <v>0</v>
      </c>
      <c r="BU5" s="108" t="str">
        <f t="shared" si="5"/>
        <v>Life Planet Bonus</v>
      </c>
      <c r="BV5" s="40"/>
      <c r="BW5" s="30" t="s">
        <v>45</v>
      </c>
      <c r="BX5" s="35">
        <f>+AW22</f>
        <v>0</v>
      </c>
      <c r="BY5" s="51">
        <v>1</v>
      </c>
      <c r="BZ5" s="18">
        <v>1</v>
      </c>
      <c r="CA5" s="54"/>
      <c r="CB5" s="48"/>
      <c r="CC5" s="54"/>
      <c r="CD5" s="47"/>
      <c r="CE5" s="48"/>
      <c r="CF5" s="18">
        <v>1</v>
      </c>
      <c r="CJ5" s="359"/>
      <c r="CK5" s="360"/>
      <c r="CL5" s="102" t="s">
        <v>17</v>
      </c>
      <c r="CM5" s="102" t="s">
        <v>18</v>
      </c>
      <c r="CN5" s="103" t="s">
        <v>155</v>
      </c>
      <c r="CO5" s="103" t="s">
        <v>156</v>
      </c>
      <c r="CP5" s="168">
        <f t="shared" si="6"/>
        <v>0</v>
      </c>
      <c r="CQ5" s="2">
        <v>2</v>
      </c>
      <c r="CR5" s="11" t="s">
        <v>148</v>
      </c>
      <c r="DA5">
        <v>3</v>
      </c>
      <c r="DB5" s="145" t="e">
        <f>IF(SUMPRODUCT($DD$1:$DQ$1,DD5:DQ5)*SUMPRODUCT($DR$1:$DV$1,DR5:DV5)*SUMPRODUCT($DW$1:$DX$1,DW5:DX5)&gt;0,MAX($DB$3:DB4)+1,"-")</f>
        <v>#N/A</v>
      </c>
      <c r="DC5" s="160" t="s">
        <v>196</v>
      </c>
      <c r="DD5" s="150">
        <v>1</v>
      </c>
      <c r="DE5" s="21">
        <v>1</v>
      </c>
      <c r="DF5" s="21">
        <v>1</v>
      </c>
      <c r="DG5" s="21">
        <v>1</v>
      </c>
      <c r="DH5" s="21">
        <v>1</v>
      </c>
      <c r="DI5" s="21">
        <v>1</v>
      </c>
      <c r="DJ5" s="21">
        <v>1</v>
      </c>
      <c r="DK5" s="21">
        <v>1</v>
      </c>
      <c r="DL5" s="21">
        <v>1</v>
      </c>
      <c r="DM5" s="21">
        <v>1</v>
      </c>
      <c r="DN5" s="21">
        <v>1</v>
      </c>
      <c r="DO5" s="21">
        <v>1</v>
      </c>
      <c r="DP5" s="21">
        <v>1</v>
      </c>
      <c r="DQ5" s="117"/>
      <c r="DR5" s="137">
        <v>1</v>
      </c>
      <c r="DS5" s="120"/>
      <c r="DT5" s="120"/>
      <c r="DU5" s="120"/>
      <c r="DV5" s="136"/>
      <c r="DW5" s="135">
        <v>1</v>
      </c>
      <c r="DX5" s="301"/>
      <c r="DY5" s="130">
        <v>1</v>
      </c>
      <c r="DZ5" s="163"/>
    </row>
    <row r="6" spans="2:141" ht="15" customHeight="1" x14ac:dyDescent="0.25">
      <c r="AX6" s="11"/>
      <c r="BA6" s="5" t="s">
        <v>75</v>
      </c>
      <c r="BB6" s="11">
        <v>240</v>
      </c>
      <c r="BC6" s="6" t="s">
        <v>40</v>
      </c>
      <c r="BD6" s="2" t="s">
        <v>41</v>
      </c>
      <c r="BE6" s="2" t="s">
        <v>97</v>
      </c>
      <c r="BF6" s="81">
        <v>1</v>
      </c>
      <c r="BG6" s="21"/>
      <c r="BH6" s="21"/>
      <c r="BI6" s="21"/>
      <c r="BJ6" s="75">
        <v>1</v>
      </c>
      <c r="BK6" s="74">
        <v>1</v>
      </c>
      <c r="BL6" s="28">
        <v>1</v>
      </c>
      <c r="BM6" s="29">
        <v>120000</v>
      </c>
      <c r="BN6" s="29"/>
      <c r="BO6" s="76"/>
      <c r="BP6" s="69">
        <f t="shared" si="4"/>
        <v>1</v>
      </c>
      <c r="BQ6" s="68">
        <f t="shared" si="1"/>
        <v>0</v>
      </c>
      <c r="BR6" s="68">
        <f t="shared" si="2"/>
        <v>0</v>
      </c>
      <c r="BS6" s="70">
        <f t="shared" si="3"/>
        <v>0</v>
      </c>
      <c r="BT6" s="62">
        <f>IF(SUM(BP6:BS6)=4,SUM($BT$3:BT5)+1,0)</f>
        <v>0</v>
      </c>
      <c r="BU6" s="108" t="str">
        <f t="shared" si="5"/>
        <v>Life Planet Bonus</v>
      </c>
      <c r="BV6" s="66">
        <v>2</v>
      </c>
      <c r="BW6" s="26" t="s">
        <v>43</v>
      </c>
      <c r="BX6" s="33">
        <f>IF(AND(AW25=1,N25&gt;0),1,0)</f>
        <v>0</v>
      </c>
      <c r="BY6" s="52"/>
      <c r="BZ6" s="45"/>
      <c r="CA6" s="52"/>
      <c r="CB6" s="45"/>
      <c r="CC6" s="49"/>
      <c r="CD6" s="14">
        <v>1</v>
      </c>
      <c r="CE6" s="23"/>
      <c r="CF6" s="45"/>
      <c r="CJ6" s="355" t="s">
        <v>154</v>
      </c>
      <c r="CK6" s="102" t="s">
        <v>17</v>
      </c>
      <c r="CL6" s="104">
        <v>0</v>
      </c>
      <c r="CM6" s="21">
        <v>0</v>
      </c>
      <c r="CN6" s="21">
        <v>0</v>
      </c>
      <c r="CO6" s="21">
        <v>0</v>
      </c>
      <c r="CP6" s="168">
        <f t="shared" si="6"/>
        <v>0</v>
      </c>
      <c r="CQ6" s="2">
        <v>3</v>
      </c>
      <c r="CR6" s="11" t="s">
        <v>149</v>
      </c>
      <c r="DA6">
        <v>4</v>
      </c>
      <c r="DB6" s="145" t="e">
        <f>IF(SUMPRODUCT($DD$1:$DQ$1,DD6:DQ6)*SUMPRODUCT($DR$1:$DV$1,DR6:DV6)*SUMPRODUCT($DW$1:$DX$1,DW6:DX6)&gt;0,MAX($DB$3:DB5)+1,"-")</f>
        <v>#N/A</v>
      </c>
      <c r="DC6" s="160" t="s">
        <v>183</v>
      </c>
      <c r="DD6" s="150">
        <v>1</v>
      </c>
      <c r="DE6" s="21">
        <v>1</v>
      </c>
      <c r="DF6" s="21">
        <v>1</v>
      </c>
      <c r="DG6" s="21">
        <v>1</v>
      </c>
      <c r="DH6" s="21">
        <v>1</v>
      </c>
      <c r="DI6" s="21">
        <v>1</v>
      </c>
      <c r="DJ6" s="21">
        <v>1</v>
      </c>
      <c r="DK6" s="21">
        <v>1</v>
      </c>
      <c r="DL6" s="21">
        <v>1</v>
      </c>
      <c r="DM6" s="21">
        <v>1</v>
      </c>
      <c r="DN6" s="21">
        <v>1</v>
      </c>
      <c r="DO6" s="21">
        <v>1</v>
      </c>
      <c r="DP6" s="21">
        <v>1</v>
      </c>
      <c r="DQ6" s="117"/>
      <c r="DR6" s="137">
        <v>1</v>
      </c>
      <c r="DS6" s="120"/>
      <c r="DT6" s="120"/>
      <c r="DU6" s="120"/>
      <c r="DV6" s="138"/>
      <c r="DW6" s="306">
        <v>1</v>
      </c>
      <c r="DX6" s="307"/>
      <c r="DY6" s="130">
        <v>2</v>
      </c>
      <c r="DZ6" s="163"/>
    </row>
    <row r="7" spans="2:141" ht="15" customHeight="1" x14ac:dyDescent="0.25">
      <c r="B7" s="391" t="s">
        <v>67</v>
      </c>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X7" s="11"/>
      <c r="BA7" s="5" t="s">
        <v>76</v>
      </c>
      <c r="BB7" s="11">
        <v>243</v>
      </c>
      <c r="BC7" s="6" t="s">
        <v>40</v>
      </c>
      <c r="BD7" s="2" t="s">
        <v>94</v>
      </c>
      <c r="BE7" s="2" t="s">
        <v>95</v>
      </c>
      <c r="BF7" s="81">
        <v>1</v>
      </c>
      <c r="BG7" s="21"/>
      <c r="BH7" s="21"/>
      <c r="BI7" s="21"/>
      <c r="BJ7" s="75">
        <v>1</v>
      </c>
      <c r="BK7" s="74">
        <v>1</v>
      </c>
      <c r="BL7" s="28">
        <v>1</v>
      </c>
      <c r="BM7" s="28">
        <v>300000</v>
      </c>
      <c r="BN7" s="21">
        <v>3</v>
      </c>
      <c r="BO7" s="75">
        <v>35</v>
      </c>
      <c r="BP7" s="69">
        <f t="shared" si="4"/>
        <v>1</v>
      </c>
      <c r="BQ7" s="68">
        <f t="shared" si="1"/>
        <v>0</v>
      </c>
      <c r="BR7" s="68">
        <f t="shared" si="2"/>
        <v>0</v>
      </c>
      <c r="BS7" s="70">
        <f t="shared" si="3"/>
        <v>0</v>
      </c>
      <c r="BT7" s="62">
        <f>IF(SUM(BP7:BS7)=4,SUM($BT$3:BT6)+1,0)</f>
        <v>0</v>
      </c>
      <c r="BU7" s="108" t="str">
        <f t="shared" si="5"/>
        <v>Life Planet x1</v>
      </c>
      <c r="BV7" s="67"/>
      <c r="BW7" s="10" t="s">
        <v>44</v>
      </c>
      <c r="BX7" s="34">
        <f>+AW26</f>
        <v>0</v>
      </c>
      <c r="BY7" s="53"/>
      <c r="BZ7" s="46"/>
      <c r="CA7" s="53"/>
      <c r="CB7" s="46"/>
      <c r="CC7" s="50">
        <v>1</v>
      </c>
      <c r="CD7" s="37"/>
      <c r="CE7" s="20"/>
      <c r="CF7" s="46"/>
      <c r="CJ7" s="355"/>
      <c r="CK7" s="102" t="s">
        <v>18</v>
      </c>
      <c r="CL7" s="104">
        <v>0</v>
      </c>
      <c r="CM7" s="21">
        <v>2</v>
      </c>
      <c r="CN7" s="21">
        <v>3</v>
      </c>
      <c r="CO7" s="21">
        <v>4</v>
      </c>
      <c r="CP7" s="168">
        <f t="shared" si="6"/>
        <v>0</v>
      </c>
      <c r="CQ7" s="2">
        <v>4</v>
      </c>
      <c r="CR7" t="s">
        <v>150</v>
      </c>
      <c r="DA7">
        <v>5</v>
      </c>
      <c r="DB7" s="145" t="e">
        <f>IF(SUMPRODUCT($DD$1:$DQ$1,DD7:DQ7)*SUMPRODUCT($DR$1:$DV$1,DR7:DV7)*SUMPRODUCT($DW$1:$DX$1,DW7:DX7)&gt;0,MAX($DB$3:DB6)+1,"-")</f>
        <v>#N/A</v>
      </c>
      <c r="DC7" s="160" t="s">
        <v>176</v>
      </c>
      <c r="DD7" s="150">
        <v>1</v>
      </c>
      <c r="DE7" s="21">
        <v>1</v>
      </c>
      <c r="DF7" s="21">
        <v>1</v>
      </c>
      <c r="DG7" s="21">
        <v>1</v>
      </c>
      <c r="DH7" s="21">
        <v>1</v>
      </c>
      <c r="DI7" s="21">
        <v>1</v>
      </c>
      <c r="DJ7" s="21">
        <v>1</v>
      </c>
      <c r="DK7" s="21">
        <v>1</v>
      </c>
      <c r="DL7" s="21">
        <v>1</v>
      </c>
      <c r="DM7" s="21">
        <v>1</v>
      </c>
      <c r="DN7" s="21">
        <v>1</v>
      </c>
      <c r="DO7" s="21">
        <v>1</v>
      </c>
      <c r="DP7" s="21">
        <v>1</v>
      </c>
      <c r="DQ7" s="117"/>
      <c r="DR7" s="137">
        <v>1</v>
      </c>
      <c r="DS7" s="120">
        <v>1</v>
      </c>
      <c r="DT7" s="120">
        <v>1</v>
      </c>
      <c r="DU7" s="120">
        <v>1</v>
      </c>
      <c r="DV7" s="136">
        <v>1</v>
      </c>
      <c r="DW7" s="135">
        <v>1</v>
      </c>
      <c r="DX7" s="301"/>
      <c r="DY7" s="130">
        <v>2</v>
      </c>
      <c r="DZ7" s="163"/>
    </row>
    <row r="8" spans="2:141" ht="15" customHeight="1" x14ac:dyDescent="0.25">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X8" s="11"/>
      <c r="BA8" s="5" t="s">
        <v>76</v>
      </c>
      <c r="BB8" s="11">
        <v>243</v>
      </c>
      <c r="BC8" s="6" t="s">
        <v>40</v>
      </c>
      <c r="BD8" s="2" t="s">
        <v>41</v>
      </c>
      <c r="BE8" s="2" t="s">
        <v>95</v>
      </c>
      <c r="BF8" s="81">
        <v>1</v>
      </c>
      <c r="BG8" s="21"/>
      <c r="BH8" s="21"/>
      <c r="BI8" s="21"/>
      <c r="BJ8" s="75">
        <v>1</v>
      </c>
      <c r="BK8" s="74">
        <v>1</v>
      </c>
      <c r="BL8" s="28">
        <v>1</v>
      </c>
      <c r="BM8" s="29">
        <v>300000</v>
      </c>
      <c r="BN8" s="29"/>
      <c r="BO8" s="76"/>
      <c r="BP8" s="69">
        <f t="shared" si="4"/>
        <v>1</v>
      </c>
      <c r="BQ8" s="68">
        <f t="shared" si="1"/>
        <v>0</v>
      </c>
      <c r="BR8" s="68">
        <f t="shared" si="2"/>
        <v>0</v>
      </c>
      <c r="BS8" s="70">
        <f t="shared" si="3"/>
        <v>0</v>
      </c>
      <c r="BT8" s="62">
        <f>IF(SUM(BP8:BS8)=4,SUM($BT$3:BT7)+1,0)</f>
        <v>0</v>
      </c>
      <c r="BU8" s="108" t="str">
        <f t="shared" si="5"/>
        <v>Life Planet x1</v>
      </c>
      <c r="BV8" s="67"/>
      <c r="BW8" s="10" t="s">
        <v>45</v>
      </c>
      <c r="BX8" s="34">
        <f>+AW27</f>
        <v>0</v>
      </c>
      <c r="BY8" s="53"/>
      <c r="BZ8" s="46"/>
      <c r="CA8" s="53"/>
      <c r="CB8" s="46"/>
      <c r="CC8" s="50"/>
      <c r="CD8" s="37"/>
      <c r="CE8" s="20">
        <v>1</v>
      </c>
      <c r="CF8" s="46"/>
      <c r="CJ8" s="355"/>
      <c r="CK8" s="103" t="s">
        <v>155</v>
      </c>
      <c r="CL8" s="104">
        <v>0</v>
      </c>
      <c r="CM8" s="21">
        <v>3</v>
      </c>
      <c r="CN8" s="21">
        <v>4</v>
      </c>
      <c r="CO8" s="21">
        <v>5</v>
      </c>
      <c r="CP8" s="168">
        <f t="shared" si="6"/>
        <v>0</v>
      </c>
      <c r="CQ8" s="2">
        <v>5</v>
      </c>
      <c r="CR8" t="s">
        <v>151</v>
      </c>
      <c r="DA8">
        <v>6</v>
      </c>
      <c r="DB8" s="145" t="e">
        <f>IF(SUMPRODUCT($DD$1:$DQ$1,DD8:DQ8)*SUMPRODUCT($DR$1:$DV$1,DR8:DV8)*SUMPRODUCT($DW$1:$DX$1,DW8:DX8)&gt;0,MAX($DB$3:DB7)+1,"-")</f>
        <v>#N/A</v>
      </c>
      <c r="DC8" s="160" t="s">
        <v>203</v>
      </c>
      <c r="DD8" s="150">
        <v>1</v>
      </c>
      <c r="DE8" s="21">
        <v>1</v>
      </c>
      <c r="DF8" s="21">
        <v>1</v>
      </c>
      <c r="DG8" s="21">
        <v>1</v>
      </c>
      <c r="DH8" s="21">
        <v>1</v>
      </c>
      <c r="DI8" s="21"/>
      <c r="DJ8" s="21">
        <v>1</v>
      </c>
      <c r="DK8" s="21">
        <v>1</v>
      </c>
      <c r="DL8" s="21">
        <v>1</v>
      </c>
      <c r="DM8" s="21">
        <v>1</v>
      </c>
      <c r="DN8" s="21"/>
      <c r="DO8" s="21"/>
      <c r="DP8" s="21">
        <v>1</v>
      </c>
      <c r="DQ8" s="117">
        <v>1</v>
      </c>
      <c r="DR8" s="137">
        <v>1</v>
      </c>
      <c r="DS8" s="120">
        <v>1</v>
      </c>
      <c r="DT8" s="120">
        <v>1</v>
      </c>
      <c r="DU8" s="120">
        <v>1</v>
      </c>
      <c r="DV8" s="136">
        <v>1</v>
      </c>
      <c r="DW8" s="135"/>
      <c r="DX8" s="301">
        <v>1</v>
      </c>
      <c r="DY8" s="130">
        <v>2</v>
      </c>
      <c r="DZ8" s="163"/>
    </row>
    <row r="9" spans="2:141" ht="15" customHeight="1" x14ac:dyDescent="0.25">
      <c r="B9" s="389" t="s">
        <v>217</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X9" s="11"/>
      <c r="BA9" s="5" t="s">
        <v>77</v>
      </c>
      <c r="BB9" s="11">
        <v>129</v>
      </c>
      <c r="BC9" s="6" t="s">
        <v>40</v>
      </c>
      <c r="BD9" s="2" t="s">
        <v>96</v>
      </c>
      <c r="BE9" s="2" t="s">
        <v>97</v>
      </c>
      <c r="BF9" s="81"/>
      <c r="BG9" s="21">
        <v>1</v>
      </c>
      <c r="BH9" s="21"/>
      <c r="BI9" s="21"/>
      <c r="BJ9" s="75"/>
      <c r="BK9" s="74">
        <v>1</v>
      </c>
      <c r="BL9" s="28">
        <v>1</v>
      </c>
      <c r="BM9" s="28">
        <v>144000</v>
      </c>
      <c r="BN9" s="21">
        <v>10</v>
      </c>
      <c r="BO9" s="75">
        <v>47</v>
      </c>
      <c r="BP9" s="69">
        <f t="shared" si="4"/>
        <v>0</v>
      </c>
      <c r="BQ9" s="68">
        <f t="shared" si="1"/>
        <v>0</v>
      </c>
      <c r="BR9" s="68">
        <f t="shared" si="2"/>
        <v>0</v>
      </c>
      <c r="BS9" s="70">
        <f t="shared" si="3"/>
        <v>0</v>
      </c>
      <c r="BT9" s="62">
        <f>IF(SUM(BP9:BS9)=4,SUM($BT$3:BT8)+1,0)</f>
        <v>0</v>
      </c>
      <c r="BU9" s="108" t="str">
        <f t="shared" si="5"/>
        <v>Pension Invest III.</v>
      </c>
      <c r="BV9" s="40"/>
      <c r="BW9" s="30" t="s">
        <v>46</v>
      </c>
      <c r="BX9" s="35">
        <f>+AW28</f>
        <v>0</v>
      </c>
      <c r="BY9" s="54"/>
      <c r="BZ9" s="48"/>
      <c r="CA9" s="54"/>
      <c r="CB9" s="48"/>
      <c r="CC9" s="51"/>
      <c r="CD9" s="17"/>
      <c r="CE9" s="18"/>
      <c r="CF9" s="48"/>
      <c r="CJ9" s="355"/>
      <c r="CK9" s="103" t="s">
        <v>156</v>
      </c>
      <c r="CL9" s="104">
        <v>0</v>
      </c>
      <c r="CM9" s="21">
        <v>4</v>
      </c>
      <c r="CN9" s="21">
        <v>5</v>
      </c>
      <c r="CO9" s="21">
        <v>7</v>
      </c>
      <c r="CP9" s="168">
        <f t="shared" si="6"/>
        <v>0</v>
      </c>
      <c r="CQ9" s="2">
        <v>7</v>
      </c>
      <c r="CR9" t="s">
        <v>152</v>
      </c>
      <c r="DA9">
        <v>7</v>
      </c>
      <c r="DB9" s="145" t="e">
        <f>IF(SUMPRODUCT($DD$1:$DQ$1,DD9:DQ9)*SUMPRODUCT($DR$1:$DV$1,DR9:DV9)*SUMPRODUCT($DW$1:$DX$1,DW9:DX9)&gt;0,MAX($DB$3:DB8)+1,"-")</f>
        <v>#N/A</v>
      </c>
      <c r="DC9" s="160" t="s">
        <v>177</v>
      </c>
      <c r="DD9" s="150">
        <v>1</v>
      </c>
      <c r="DE9" s="21">
        <v>1</v>
      </c>
      <c r="DF9" s="21">
        <v>1</v>
      </c>
      <c r="DG9" s="21">
        <v>1</v>
      </c>
      <c r="DH9" s="21">
        <v>1</v>
      </c>
      <c r="DI9" s="21">
        <v>1</v>
      </c>
      <c r="DJ9" s="21">
        <v>1</v>
      </c>
      <c r="DK9" s="21">
        <v>1</v>
      </c>
      <c r="DL9" s="21">
        <v>1</v>
      </c>
      <c r="DM9" s="21">
        <v>1</v>
      </c>
      <c r="DN9" s="21">
        <v>1</v>
      </c>
      <c r="DO9" s="21">
        <v>1</v>
      </c>
      <c r="DP9" s="21">
        <v>1</v>
      </c>
      <c r="DQ9" s="117"/>
      <c r="DR9" s="137">
        <v>1</v>
      </c>
      <c r="DS9" s="120">
        <v>1</v>
      </c>
      <c r="DT9" s="120">
        <v>1</v>
      </c>
      <c r="DU9" s="120">
        <v>1</v>
      </c>
      <c r="DV9" s="136">
        <v>1</v>
      </c>
      <c r="DW9" s="135">
        <v>1</v>
      </c>
      <c r="DX9" s="301"/>
      <c r="DY9" s="130">
        <v>2</v>
      </c>
      <c r="DZ9" s="163"/>
    </row>
    <row r="10" spans="2:141" ht="15" customHeight="1" x14ac:dyDescent="0.25">
      <c r="B10" s="389"/>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X10" s="11"/>
      <c r="BA10" s="5" t="s">
        <v>79</v>
      </c>
      <c r="BB10" s="11">
        <v>122</v>
      </c>
      <c r="BC10" s="6" t="s">
        <v>40</v>
      </c>
      <c r="BD10" s="25" t="s">
        <v>41</v>
      </c>
      <c r="BE10" s="2" t="s">
        <v>97</v>
      </c>
      <c r="BF10" s="81"/>
      <c r="BG10" s="21">
        <v>1</v>
      </c>
      <c r="BH10" s="21"/>
      <c r="BI10" s="21"/>
      <c r="BJ10" s="75"/>
      <c r="BK10" s="74">
        <v>1</v>
      </c>
      <c r="BL10" s="28">
        <v>1</v>
      </c>
      <c r="BM10" s="28">
        <v>144000</v>
      </c>
      <c r="BN10" s="21"/>
      <c r="BO10" s="75"/>
      <c r="BP10" s="69">
        <f t="shared" si="4"/>
        <v>0</v>
      </c>
      <c r="BQ10" s="68">
        <f t="shared" si="1"/>
        <v>0</v>
      </c>
      <c r="BR10" s="68">
        <f t="shared" si="2"/>
        <v>0</v>
      </c>
      <c r="BS10" s="70">
        <f t="shared" si="3"/>
        <v>0</v>
      </c>
      <c r="BT10" s="62">
        <f>IF(SUM(BP10:BS10)=4,SUM($BT$3:BT9)+1,0)</f>
        <v>0</v>
      </c>
      <c r="BU10" s="108" t="str">
        <f t="shared" si="5"/>
        <v>Premium 110</v>
      </c>
      <c r="BV10" s="66">
        <v>3</v>
      </c>
      <c r="BW10" s="26" t="s">
        <v>43</v>
      </c>
      <c r="BX10" s="33">
        <f>IF($I$33&gt;0,AW32,0)</f>
        <v>0</v>
      </c>
      <c r="BY10" s="52"/>
      <c r="BZ10" s="45"/>
      <c r="CA10" s="55">
        <v>1</v>
      </c>
      <c r="CB10" s="23"/>
      <c r="CC10" s="52"/>
      <c r="CD10" s="43"/>
      <c r="CE10" s="45"/>
      <c r="CF10" s="45"/>
      <c r="CK10" s="101"/>
      <c r="CL10" s="101"/>
      <c r="CM10" s="11"/>
      <c r="CN10" s="11"/>
      <c r="CO10" s="11"/>
      <c r="CP10" s="11"/>
      <c r="CQ10" s="11"/>
      <c r="CR10" s="11"/>
      <c r="DA10">
        <v>8</v>
      </c>
      <c r="DB10" s="145" t="e">
        <f>IF(SUMPRODUCT($DD$1:$DQ$1,DD10:DQ10)*SUMPRODUCT($DR$1:$DV$1,DR10:DV10)*SUMPRODUCT($DW$1:$DX$1,DW10:DX10)&gt;0,MAX($DB$3:DB9)+1,"-")</f>
        <v>#N/A</v>
      </c>
      <c r="DC10" s="160" t="s">
        <v>204</v>
      </c>
      <c r="DD10" s="150">
        <v>1</v>
      </c>
      <c r="DE10" s="21">
        <v>1</v>
      </c>
      <c r="DF10" s="21">
        <v>1</v>
      </c>
      <c r="DG10" s="21">
        <v>1</v>
      </c>
      <c r="DH10" s="21">
        <v>1</v>
      </c>
      <c r="DI10" s="21"/>
      <c r="DJ10" s="21">
        <v>1</v>
      </c>
      <c r="DK10" s="21">
        <v>1</v>
      </c>
      <c r="DL10" s="21">
        <v>1</v>
      </c>
      <c r="DM10" s="21">
        <v>1</v>
      </c>
      <c r="DN10" s="21"/>
      <c r="DO10" s="21"/>
      <c r="DP10" s="21">
        <v>1</v>
      </c>
      <c r="DQ10" s="117">
        <v>1</v>
      </c>
      <c r="DR10" s="137">
        <v>1</v>
      </c>
      <c r="DS10" s="120">
        <v>1</v>
      </c>
      <c r="DT10" s="120">
        <v>1</v>
      </c>
      <c r="DU10" s="120">
        <v>1</v>
      </c>
      <c r="DV10" s="136">
        <v>1</v>
      </c>
      <c r="DW10" s="135"/>
      <c r="DX10" s="301">
        <v>1</v>
      </c>
      <c r="DY10" s="130">
        <v>2</v>
      </c>
      <c r="DZ10" s="163"/>
    </row>
    <row r="11" spans="2:141" ht="15" customHeight="1" x14ac:dyDescent="0.25">
      <c r="B11" s="389"/>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X11" s="11"/>
      <c r="BA11" s="5" t="s">
        <v>80</v>
      </c>
      <c r="BB11" s="11">
        <v>178</v>
      </c>
      <c r="BC11" s="6" t="s">
        <v>40</v>
      </c>
      <c r="BD11" s="25" t="s">
        <v>96</v>
      </c>
      <c r="BE11" s="2" t="s">
        <v>97</v>
      </c>
      <c r="BF11" s="81"/>
      <c r="BG11" s="21"/>
      <c r="BH11" s="21">
        <v>1</v>
      </c>
      <c r="BI11" s="21"/>
      <c r="BJ11" s="75"/>
      <c r="BK11" s="74">
        <v>1</v>
      </c>
      <c r="BL11" s="28"/>
      <c r="BM11" s="28">
        <v>240000</v>
      </c>
      <c r="BN11" s="21">
        <v>10</v>
      </c>
      <c r="BO11" s="75">
        <v>47</v>
      </c>
      <c r="BP11" s="69">
        <f t="shared" si="4"/>
        <v>0</v>
      </c>
      <c r="BQ11" s="68">
        <f t="shared" si="1"/>
        <v>0</v>
      </c>
      <c r="BR11" s="68">
        <f t="shared" si="2"/>
        <v>0</v>
      </c>
      <c r="BS11" s="70">
        <f t="shared" si="3"/>
        <v>0</v>
      </c>
      <c r="BT11" s="62">
        <f>IF(SUM(BP11:BS11)=4,SUM($BT$3:BT10)+1,0)</f>
        <v>0</v>
      </c>
      <c r="BU11" s="108" t="str">
        <f t="shared" si="5"/>
        <v>Pro Viva 3</v>
      </c>
      <c r="BV11" s="67"/>
      <c r="BW11" s="10" t="s">
        <v>44</v>
      </c>
      <c r="BX11" s="34">
        <f>IF($I$33&gt;0,AW33,0)</f>
        <v>0</v>
      </c>
      <c r="BY11" s="53"/>
      <c r="BZ11" s="46"/>
      <c r="CA11" s="50">
        <v>1</v>
      </c>
      <c r="CB11" s="20"/>
      <c r="CC11" s="53"/>
      <c r="CD11" s="44"/>
      <c r="CE11" s="46"/>
      <c r="CF11" s="46"/>
      <c r="CJ11" s="38" t="s">
        <v>159</v>
      </c>
      <c r="CK11" s="42"/>
      <c r="CL11" s="42"/>
      <c r="CP11" s="11"/>
      <c r="CQ11" s="4" t="s">
        <v>251</v>
      </c>
      <c r="CR11" s="11"/>
      <c r="CS11" s="11"/>
      <c r="DA11">
        <v>9</v>
      </c>
      <c r="DB11" s="145" t="e">
        <f>IF(SUMPRODUCT($DD$1:$DQ$1,DD11:DQ11)*SUMPRODUCT($DR$1:$DV$1,DR11:DV11)*SUMPRODUCT($DW$1:$DX$1,DW11:DX11)&gt;0,MAX($DB$3:DB10)+1,"-")</f>
        <v>#N/A</v>
      </c>
      <c r="DC11" s="160" t="s">
        <v>186</v>
      </c>
      <c r="DD11" s="150">
        <v>1</v>
      </c>
      <c r="DE11" s="21">
        <v>1</v>
      </c>
      <c r="DF11" s="21">
        <v>1</v>
      </c>
      <c r="DG11" s="21">
        <v>1</v>
      </c>
      <c r="DH11" s="21">
        <v>1</v>
      </c>
      <c r="DI11" s="21">
        <v>1</v>
      </c>
      <c r="DJ11" s="21">
        <v>1</v>
      </c>
      <c r="DK11" s="21">
        <v>1</v>
      </c>
      <c r="DL11" s="21">
        <v>1</v>
      </c>
      <c r="DM11" s="21">
        <v>1</v>
      </c>
      <c r="DN11" s="21">
        <v>1</v>
      </c>
      <c r="DO11" s="21">
        <v>1</v>
      </c>
      <c r="DP11" s="21">
        <v>1</v>
      </c>
      <c r="DQ11" s="117"/>
      <c r="DR11" s="137">
        <v>1</v>
      </c>
      <c r="DS11" s="120"/>
      <c r="DT11" s="120"/>
      <c r="DU11" s="120"/>
      <c r="DV11" s="136"/>
      <c r="DW11" s="135">
        <v>1</v>
      </c>
      <c r="DX11" s="301"/>
      <c r="DY11" s="130">
        <v>3</v>
      </c>
      <c r="DZ11" s="163"/>
    </row>
    <row r="12" spans="2:141" ht="15" customHeight="1" thickBot="1" x14ac:dyDescent="0.3">
      <c r="B12" s="389"/>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U12" s="392" t="s">
        <v>215</v>
      </c>
      <c r="AX12" s="11"/>
      <c r="BA12" s="5" t="s">
        <v>78</v>
      </c>
      <c r="BB12" s="11">
        <v>187</v>
      </c>
      <c r="BC12" s="6" t="s">
        <v>40</v>
      </c>
      <c r="BD12" s="25" t="s">
        <v>94</v>
      </c>
      <c r="BE12" s="2" t="s">
        <v>97</v>
      </c>
      <c r="BF12" s="81"/>
      <c r="BG12" s="21"/>
      <c r="BH12" s="21">
        <v>1</v>
      </c>
      <c r="BI12" s="21"/>
      <c r="BJ12" s="75"/>
      <c r="BK12" s="74">
        <v>1</v>
      </c>
      <c r="BL12" s="28"/>
      <c r="BM12" s="28">
        <v>240000</v>
      </c>
      <c r="BN12" s="21">
        <v>10</v>
      </c>
      <c r="BO12" s="75">
        <v>35</v>
      </c>
      <c r="BP12" s="69">
        <f t="shared" si="4"/>
        <v>0</v>
      </c>
      <c r="BQ12" s="68">
        <f t="shared" si="1"/>
        <v>0</v>
      </c>
      <c r="BR12" s="68">
        <f t="shared" si="2"/>
        <v>0</v>
      </c>
      <c r="BS12" s="70">
        <f t="shared" si="3"/>
        <v>0</v>
      </c>
      <c r="BT12" s="62">
        <f>IF(SUM(BP12:BS12)=4,SUM($BT$3:BT11)+1,0)</f>
        <v>0</v>
      </c>
      <c r="BU12" s="108" t="str">
        <f t="shared" si="5"/>
        <v>Platinum Bonus VIP</v>
      </c>
      <c r="BV12" s="67"/>
      <c r="BW12" s="10" t="s">
        <v>45</v>
      </c>
      <c r="BX12" s="34">
        <f>IF($I$33&gt;0,AW34,0)</f>
        <v>0</v>
      </c>
      <c r="BY12" s="53"/>
      <c r="BZ12" s="46"/>
      <c r="CA12" s="50">
        <v>1</v>
      </c>
      <c r="CB12" s="20"/>
      <c r="CC12" s="53"/>
      <c r="CD12" s="44"/>
      <c r="CE12" s="46"/>
      <c r="CF12" s="46"/>
      <c r="CJ12" s="357"/>
      <c r="CK12" s="358"/>
      <c r="CL12" s="354" t="s">
        <v>153</v>
      </c>
      <c r="CM12" s="354"/>
      <c r="CN12" s="354"/>
      <c r="CO12" s="354"/>
      <c r="CP12" s="11"/>
      <c r="CQ12" s="36">
        <f>SUMPRODUCT(CL14:CO17,CL6:CO9)</f>
        <v>0</v>
      </c>
      <c r="CR12" s="11"/>
      <c r="CS12" s="11"/>
      <c r="DA12">
        <v>10</v>
      </c>
      <c r="DB12" s="146" t="e">
        <f>IF(SUMPRODUCT($DD$1:$DQ$1,DD12:DQ12)*SUMPRODUCT($DR$1:$DV$1,DR12:DV12)*SUMPRODUCT($DW$1:$DX$1,DW12:DX12)&gt;0,MAX($DB$3:DB11)+1,"-")</f>
        <v>#N/A</v>
      </c>
      <c r="DC12" s="161" t="s">
        <v>175</v>
      </c>
      <c r="DD12" s="151">
        <v>1</v>
      </c>
      <c r="DE12" s="83">
        <v>1</v>
      </c>
      <c r="DF12" s="83">
        <v>1</v>
      </c>
      <c r="DG12" s="83">
        <v>1</v>
      </c>
      <c r="DH12" s="83">
        <v>1</v>
      </c>
      <c r="DI12" s="83">
        <v>1</v>
      </c>
      <c r="DJ12" s="83">
        <v>1</v>
      </c>
      <c r="DK12" s="83">
        <v>1</v>
      </c>
      <c r="DL12" s="83">
        <v>1</v>
      </c>
      <c r="DM12" s="83">
        <v>1</v>
      </c>
      <c r="DN12" s="83">
        <v>1</v>
      </c>
      <c r="DO12" s="83">
        <v>1</v>
      </c>
      <c r="DP12" s="83">
        <v>1</v>
      </c>
      <c r="DQ12" s="118"/>
      <c r="DR12" s="139">
        <v>1</v>
      </c>
      <c r="DS12" s="125">
        <v>1</v>
      </c>
      <c r="DT12" s="125">
        <v>1</v>
      </c>
      <c r="DU12" s="125">
        <v>1</v>
      </c>
      <c r="DV12" s="140">
        <v>1</v>
      </c>
      <c r="DW12" s="143">
        <v>1</v>
      </c>
      <c r="DX12" s="302"/>
      <c r="DY12" s="131">
        <v>3</v>
      </c>
      <c r="DZ12" s="163"/>
    </row>
    <row r="13" spans="2:141" ht="15" customHeight="1" x14ac:dyDescent="0.25">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U13" s="392"/>
      <c r="AX13" s="11"/>
      <c r="BA13" s="5" t="s">
        <v>78</v>
      </c>
      <c r="BB13" s="11">
        <v>187</v>
      </c>
      <c r="BC13" s="6" t="s">
        <v>40</v>
      </c>
      <c r="BD13" s="25" t="s">
        <v>41</v>
      </c>
      <c r="BE13" s="2" t="s">
        <v>97</v>
      </c>
      <c r="BF13" s="81"/>
      <c r="BG13" s="21"/>
      <c r="BH13" s="21">
        <v>1</v>
      </c>
      <c r="BI13" s="21"/>
      <c r="BJ13" s="75"/>
      <c r="BK13" s="74">
        <v>1</v>
      </c>
      <c r="BL13" s="28"/>
      <c r="BM13" s="29">
        <v>240000</v>
      </c>
      <c r="BN13" s="29"/>
      <c r="BO13" s="76"/>
      <c r="BP13" s="69">
        <f t="shared" si="4"/>
        <v>0</v>
      </c>
      <c r="BQ13" s="68">
        <f t="shared" si="1"/>
        <v>0</v>
      </c>
      <c r="BR13" s="68">
        <f t="shared" si="2"/>
        <v>0</v>
      </c>
      <c r="BS13" s="70">
        <f t="shared" si="3"/>
        <v>0</v>
      </c>
      <c r="BT13" s="62">
        <f>IF(SUM(BP13:BS13)=4,SUM($BT$3:BT12)+1,0)</f>
        <v>0</v>
      </c>
      <c r="BU13" s="108" t="str">
        <f t="shared" si="5"/>
        <v>Platinum Bonus VIP</v>
      </c>
      <c r="BV13" s="67"/>
      <c r="BW13" s="10" t="s">
        <v>46</v>
      </c>
      <c r="BX13" s="34">
        <f>IF($I$33&gt;0,AW35,0)</f>
        <v>0</v>
      </c>
      <c r="BY13" s="53"/>
      <c r="BZ13" s="46"/>
      <c r="CA13" s="50">
        <v>1</v>
      </c>
      <c r="CB13" s="20"/>
      <c r="CC13" s="53"/>
      <c r="CD13" s="44"/>
      <c r="CE13" s="46"/>
      <c r="CF13" s="46"/>
      <c r="CJ13" s="359"/>
      <c r="CK13" s="360"/>
      <c r="CL13" s="102" t="s">
        <v>17</v>
      </c>
      <c r="CM13" s="102" t="s">
        <v>18</v>
      </c>
      <c r="CN13" s="103" t="s">
        <v>155</v>
      </c>
      <c r="CO13" s="103" t="s">
        <v>156</v>
      </c>
      <c r="CP13" s="11"/>
      <c r="CR13" s="11"/>
      <c r="CS13" s="11"/>
      <c r="DA13">
        <v>11</v>
      </c>
      <c r="DB13" s="144" t="e">
        <f>IF(SUMPRODUCT($DD$1:$DQ$1,DD13:DQ13)*SUMPRODUCT($DR$1:$DV$1,DR13:DV13)*SUMPRODUCT($DW$1:$DX$1,DW13:DX13)&gt;0,MAX($DB$3:DB12)+1,"-")</f>
        <v>#N/A</v>
      </c>
      <c r="DC13" s="159" t="s">
        <v>189</v>
      </c>
      <c r="DD13" s="149">
        <v>1</v>
      </c>
      <c r="DE13" s="113">
        <v>1</v>
      </c>
      <c r="DF13" s="113">
        <v>1</v>
      </c>
      <c r="DG13" s="113">
        <v>1</v>
      </c>
      <c r="DH13" s="113">
        <v>1</v>
      </c>
      <c r="DI13" s="113">
        <v>1</v>
      </c>
      <c r="DJ13" s="113">
        <v>1</v>
      </c>
      <c r="DK13" s="113">
        <v>1</v>
      </c>
      <c r="DL13" s="113">
        <v>1</v>
      </c>
      <c r="DM13" s="113">
        <v>1</v>
      </c>
      <c r="DN13" s="113">
        <v>1</v>
      </c>
      <c r="DO13" s="113">
        <v>1</v>
      </c>
      <c r="DP13" s="113">
        <v>1</v>
      </c>
      <c r="DQ13" s="116"/>
      <c r="DR13" s="153"/>
      <c r="DS13" s="124">
        <v>1</v>
      </c>
      <c r="DT13" s="124"/>
      <c r="DU13" s="124"/>
      <c r="DV13" s="154"/>
      <c r="DW13" s="153">
        <v>1</v>
      </c>
      <c r="DX13" s="303"/>
      <c r="DY13" s="129">
        <v>3</v>
      </c>
      <c r="DZ13" s="163"/>
    </row>
    <row r="14" spans="2:141" ht="15" customHeight="1" x14ac:dyDescent="0.25">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U14" s="392"/>
      <c r="AX14" s="11"/>
      <c r="BA14" s="5" t="s">
        <v>83</v>
      </c>
      <c r="BB14" s="11">
        <v>142</v>
      </c>
      <c r="BC14" s="6" t="s">
        <v>40</v>
      </c>
      <c r="BD14" s="25" t="s">
        <v>94</v>
      </c>
      <c r="BE14" s="2" t="s">
        <v>95</v>
      </c>
      <c r="BF14" s="81"/>
      <c r="BG14" s="21"/>
      <c r="BH14" s="21">
        <v>1</v>
      </c>
      <c r="BI14" s="21"/>
      <c r="BJ14" s="75"/>
      <c r="BK14" s="74">
        <v>1</v>
      </c>
      <c r="BL14" s="28"/>
      <c r="BM14" s="28">
        <v>500000</v>
      </c>
      <c r="BN14" s="21">
        <v>3</v>
      </c>
      <c r="BO14" s="75">
        <v>30</v>
      </c>
      <c r="BP14" s="69">
        <f t="shared" si="4"/>
        <v>0</v>
      </c>
      <c r="BQ14" s="68">
        <f t="shared" si="1"/>
        <v>0</v>
      </c>
      <c r="BR14" s="68">
        <f t="shared" si="2"/>
        <v>0</v>
      </c>
      <c r="BS14" s="70">
        <f t="shared" si="3"/>
        <v>0</v>
      </c>
      <c r="BT14" s="62">
        <f>IF(SUM(BP14:BS14)=4,SUM($BT$3:BT13)+1,0)</f>
        <v>0</v>
      </c>
      <c r="BU14" s="108" t="str">
        <f t="shared" si="5"/>
        <v>Talon Duo (HUF)</v>
      </c>
      <c r="BV14" s="40"/>
      <c r="BW14" s="30" t="s">
        <v>145</v>
      </c>
      <c r="BX14" s="35">
        <f>IF($I$33&gt;0,AW36,0)</f>
        <v>0</v>
      </c>
      <c r="BY14" s="54"/>
      <c r="BZ14" s="48"/>
      <c r="CA14" s="51"/>
      <c r="CB14" s="18">
        <v>1</v>
      </c>
      <c r="CC14" s="54"/>
      <c r="CD14" s="47"/>
      <c r="CE14" s="48"/>
      <c r="CF14" s="48"/>
      <c r="CJ14" s="355" t="s">
        <v>154</v>
      </c>
      <c r="CK14" s="102" t="s">
        <v>17</v>
      </c>
      <c r="CL14" s="105">
        <f t="shared" ref="CL14:CO17" si="7">+$BX29*INDEX($BX$25:$BX$28,CL$18)</f>
        <v>0</v>
      </c>
      <c r="CM14" s="105">
        <f t="shared" si="7"/>
        <v>0</v>
      </c>
      <c r="CN14" s="105">
        <f t="shared" si="7"/>
        <v>0</v>
      </c>
      <c r="CO14" s="105">
        <f t="shared" si="7"/>
        <v>0</v>
      </c>
      <c r="CQ14" s="11" t="s">
        <v>160</v>
      </c>
      <c r="DA14">
        <v>12</v>
      </c>
      <c r="DB14" s="145" t="e">
        <f>IF(SUMPRODUCT($DD$1:$DQ$1,DD14:DQ14)*SUMPRODUCT($DR$1:$DV$1,DR14:DV14)*SUMPRODUCT($DW$1:$DX$1,DW14:DX14)&gt;0,MAX($DB$3:DB13)+1,"-")</f>
        <v>#N/A</v>
      </c>
      <c r="DC14" s="160" t="s">
        <v>205</v>
      </c>
      <c r="DD14" s="150">
        <v>1</v>
      </c>
      <c r="DE14" s="21">
        <v>1</v>
      </c>
      <c r="DF14" s="21">
        <v>1</v>
      </c>
      <c r="DG14" s="21">
        <v>1</v>
      </c>
      <c r="DH14" s="21">
        <v>1</v>
      </c>
      <c r="DI14" s="21"/>
      <c r="DJ14" s="21">
        <v>1</v>
      </c>
      <c r="DK14" s="21">
        <v>1</v>
      </c>
      <c r="DL14" s="21">
        <v>1</v>
      </c>
      <c r="DM14" s="21">
        <v>1</v>
      </c>
      <c r="DN14" s="21"/>
      <c r="DO14" s="21"/>
      <c r="DP14" s="21">
        <v>1</v>
      </c>
      <c r="DQ14" s="117">
        <v>1</v>
      </c>
      <c r="DR14" s="135"/>
      <c r="DS14" s="120">
        <v>1</v>
      </c>
      <c r="DT14" s="120"/>
      <c r="DU14" s="120"/>
      <c r="DV14" s="136"/>
      <c r="DW14" s="135"/>
      <c r="DX14" s="301">
        <v>1</v>
      </c>
      <c r="DY14" s="130">
        <v>3</v>
      </c>
      <c r="DZ14" s="163"/>
    </row>
    <row r="15" spans="2:141" ht="15" customHeight="1" x14ac:dyDescent="0.25">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U15" s="392"/>
      <c r="AX15" s="11"/>
      <c r="BA15" s="5" t="s">
        <v>83</v>
      </c>
      <c r="BB15" s="11">
        <v>142</v>
      </c>
      <c r="BC15" s="6" t="s">
        <v>40</v>
      </c>
      <c r="BD15" s="25" t="s">
        <v>41</v>
      </c>
      <c r="BE15" s="2" t="s">
        <v>95</v>
      </c>
      <c r="BF15" s="81"/>
      <c r="BG15" s="21"/>
      <c r="BH15" s="21">
        <v>1</v>
      </c>
      <c r="BI15" s="21"/>
      <c r="BJ15" s="75"/>
      <c r="BK15" s="74">
        <v>1</v>
      </c>
      <c r="BL15" s="28"/>
      <c r="BM15" s="29">
        <v>500000</v>
      </c>
      <c r="BN15" s="29"/>
      <c r="BO15" s="76"/>
      <c r="BP15" s="69">
        <f t="shared" si="4"/>
        <v>0</v>
      </c>
      <c r="BQ15" s="68">
        <f t="shared" si="1"/>
        <v>0</v>
      </c>
      <c r="BR15" s="68">
        <f t="shared" si="2"/>
        <v>0</v>
      </c>
      <c r="BS15" s="70">
        <f t="shared" si="3"/>
        <v>0</v>
      </c>
      <c r="BT15" s="62">
        <f>IF(SUM(BP15:BS15)=4,SUM($BT$3:BT14)+1,0)</f>
        <v>0</v>
      </c>
      <c r="BU15" s="108" t="str">
        <f t="shared" si="5"/>
        <v>Talon Duo (HUF)</v>
      </c>
      <c r="BV15" s="66">
        <v>4</v>
      </c>
      <c r="BW15" s="31" t="s">
        <v>43</v>
      </c>
      <c r="BX15" s="33">
        <f>+AW39</f>
        <v>0</v>
      </c>
      <c r="BY15" s="49">
        <v>1</v>
      </c>
      <c r="BZ15" s="23"/>
      <c r="CA15" s="52"/>
      <c r="CB15" s="45"/>
      <c r="CC15" s="52"/>
      <c r="CD15" s="43"/>
      <c r="CE15" s="45"/>
      <c r="CF15" s="45"/>
      <c r="CJ15" s="355"/>
      <c r="CK15" s="102" t="s">
        <v>18</v>
      </c>
      <c r="CL15" s="105">
        <f t="shared" si="7"/>
        <v>0</v>
      </c>
      <c r="CM15" s="105">
        <f t="shared" si="7"/>
        <v>0</v>
      </c>
      <c r="CN15" s="105">
        <f t="shared" si="7"/>
        <v>0</v>
      </c>
      <c r="CO15" s="105">
        <f t="shared" si="7"/>
        <v>0</v>
      </c>
      <c r="CQ15" s="107" t="str">
        <f>VLOOKUP(CQ12,$CQ$4:$CR$9,2,0)</f>
        <v>KLASSZIKUS</v>
      </c>
      <c r="DA15">
        <v>13</v>
      </c>
      <c r="DB15" s="145" t="e">
        <f>IF(SUMPRODUCT($DD$1:$DQ$1,DD15:DQ15)*SUMPRODUCT($DR$1:$DV$1,DR15:DV15)*SUMPRODUCT($DW$1:$DX$1,DW15:DX15)&gt;0,MAX($DB$3:DB14)+1,"-")</f>
        <v>#N/A</v>
      </c>
      <c r="DC15" s="160" t="s">
        <v>178</v>
      </c>
      <c r="DD15" s="150">
        <v>1</v>
      </c>
      <c r="DE15" s="21">
        <v>1</v>
      </c>
      <c r="DF15" s="21">
        <v>1</v>
      </c>
      <c r="DG15" s="21">
        <v>1</v>
      </c>
      <c r="DH15" s="21">
        <v>1</v>
      </c>
      <c r="DI15" s="21">
        <v>1</v>
      </c>
      <c r="DJ15" s="21">
        <v>1</v>
      </c>
      <c r="DK15" s="21">
        <v>1</v>
      </c>
      <c r="DL15" s="21">
        <v>1</v>
      </c>
      <c r="DM15" s="21">
        <v>1</v>
      </c>
      <c r="DN15" s="21">
        <v>1</v>
      </c>
      <c r="DO15" s="21">
        <v>1</v>
      </c>
      <c r="DP15" s="21">
        <v>1</v>
      </c>
      <c r="DQ15" s="117"/>
      <c r="DR15" s="135">
        <v>1</v>
      </c>
      <c r="DS15" s="120">
        <v>1</v>
      </c>
      <c r="DT15" s="120">
        <v>1</v>
      </c>
      <c r="DU15" s="120">
        <v>1</v>
      </c>
      <c r="DV15" s="136">
        <v>1</v>
      </c>
      <c r="DW15" s="135">
        <v>1</v>
      </c>
      <c r="DX15" s="301"/>
      <c r="DY15" s="130">
        <v>4</v>
      </c>
      <c r="DZ15" s="163"/>
    </row>
    <row r="16" spans="2:141" ht="15" customHeight="1" x14ac:dyDescent="0.25">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U16" s="392"/>
      <c r="AX16" s="11"/>
      <c r="BA16" s="5" t="s">
        <v>82</v>
      </c>
      <c r="BB16" s="11">
        <v>144</v>
      </c>
      <c r="BC16" s="6" t="s">
        <v>40</v>
      </c>
      <c r="BD16" s="25" t="s">
        <v>94</v>
      </c>
      <c r="BE16" s="2" t="s">
        <v>95</v>
      </c>
      <c r="BF16" s="81"/>
      <c r="BG16" s="21"/>
      <c r="BH16" s="21">
        <v>1</v>
      </c>
      <c r="BI16" s="21"/>
      <c r="BJ16" s="75"/>
      <c r="BK16" s="74"/>
      <c r="BL16" s="28"/>
      <c r="BM16" s="28">
        <v>2000</v>
      </c>
      <c r="BN16" s="21">
        <v>3</v>
      </c>
      <c r="BO16" s="75">
        <v>30</v>
      </c>
      <c r="BP16" s="69">
        <f t="shared" si="4"/>
        <v>0</v>
      </c>
      <c r="BQ16" s="68">
        <f t="shared" si="1"/>
        <v>0</v>
      </c>
      <c r="BR16" s="68">
        <f t="shared" si="2"/>
        <v>0</v>
      </c>
      <c r="BS16" s="70">
        <f t="shared" si="3"/>
        <v>0</v>
      </c>
      <c r="BT16" s="62">
        <f>IF(SUM(BP16:BS16)=4,SUM($BT$3:BT15)+1,0)</f>
        <v>0</v>
      </c>
      <c r="BU16" s="108" t="str">
        <f t="shared" si="5"/>
        <v>Talon Duo (EUR)</v>
      </c>
      <c r="BV16" s="40"/>
      <c r="BW16" s="32" t="s">
        <v>44</v>
      </c>
      <c r="BX16" s="35">
        <f>+AW40</f>
        <v>0</v>
      </c>
      <c r="BY16" s="51"/>
      <c r="BZ16" s="18">
        <v>1</v>
      </c>
      <c r="CA16" s="54"/>
      <c r="CB16" s="48"/>
      <c r="CC16" s="54"/>
      <c r="CD16" s="47"/>
      <c r="CE16" s="48"/>
      <c r="CF16" s="48"/>
      <c r="CJ16" s="355"/>
      <c r="CK16" s="103" t="s">
        <v>155</v>
      </c>
      <c r="CL16" s="105">
        <f t="shared" si="7"/>
        <v>0</v>
      </c>
      <c r="CM16" s="105">
        <f t="shared" si="7"/>
        <v>0</v>
      </c>
      <c r="CN16" s="105">
        <f t="shared" si="7"/>
        <v>0</v>
      </c>
      <c r="CO16" s="105">
        <f t="shared" si="7"/>
        <v>0</v>
      </c>
      <c r="DA16">
        <v>14</v>
      </c>
      <c r="DB16" s="145" t="e">
        <f>IF(SUMPRODUCT($DD$1:$DQ$1,DD16:DQ16)*SUMPRODUCT($DR$1:$DV$1,DR16:DV16)*SUMPRODUCT($DW$1:$DX$1,DW16:DX16)&gt;0,MAX($DB$3:DB15)+1,"-")</f>
        <v>#N/A</v>
      </c>
      <c r="DC16" s="160" t="s">
        <v>206</v>
      </c>
      <c r="DD16" s="150">
        <v>1</v>
      </c>
      <c r="DE16" s="21">
        <v>1</v>
      </c>
      <c r="DF16" s="21">
        <v>1</v>
      </c>
      <c r="DG16" s="21">
        <v>1</v>
      </c>
      <c r="DH16" s="21">
        <v>1</v>
      </c>
      <c r="DI16" s="21"/>
      <c r="DJ16" s="21">
        <v>1</v>
      </c>
      <c r="DK16" s="21">
        <v>1</v>
      </c>
      <c r="DL16" s="21">
        <v>1</v>
      </c>
      <c r="DM16" s="21">
        <v>1</v>
      </c>
      <c r="DN16" s="21"/>
      <c r="DO16" s="21"/>
      <c r="DP16" s="21">
        <v>1</v>
      </c>
      <c r="DQ16" s="117">
        <v>1</v>
      </c>
      <c r="DR16" s="135">
        <v>1</v>
      </c>
      <c r="DS16" s="120">
        <v>1</v>
      </c>
      <c r="DT16" s="120">
        <v>1</v>
      </c>
      <c r="DU16" s="120">
        <v>1</v>
      </c>
      <c r="DV16" s="136">
        <v>1</v>
      </c>
      <c r="DW16" s="135"/>
      <c r="DX16" s="301">
        <v>1</v>
      </c>
      <c r="DY16" s="130">
        <v>4</v>
      </c>
      <c r="DZ16" s="163"/>
    </row>
    <row r="17" spans="1:130" ht="15" customHeight="1" thickBot="1" x14ac:dyDescent="0.3">
      <c r="B17" s="393" t="s">
        <v>3</v>
      </c>
      <c r="C17" s="393"/>
      <c r="D17" s="393"/>
      <c r="E17" s="393"/>
      <c r="F17" s="393"/>
      <c r="G17" s="393"/>
      <c r="H17" s="393"/>
      <c r="AT17" s="4"/>
      <c r="AU17" s="392"/>
      <c r="BA17" s="5" t="s">
        <v>82</v>
      </c>
      <c r="BB17" s="11">
        <v>144</v>
      </c>
      <c r="BC17" s="6" t="s">
        <v>40</v>
      </c>
      <c r="BD17" s="25" t="s">
        <v>41</v>
      </c>
      <c r="BE17" s="2" t="s">
        <v>95</v>
      </c>
      <c r="BF17" s="81"/>
      <c r="BG17" s="21"/>
      <c r="BH17" s="21">
        <v>1</v>
      </c>
      <c r="BI17" s="21"/>
      <c r="BJ17" s="75"/>
      <c r="BK17" s="74"/>
      <c r="BL17" s="28"/>
      <c r="BM17" s="29">
        <v>2000</v>
      </c>
      <c r="BN17" s="29"/>
      <c r="BO17" s="76"/>
      <c r="BP17" s="69">
        <f t="shared" si="4"/>
        <v>0</v>
      </c>
      <c r="BQ17" s="68">
        <f t="shared" si="1"/>
        <v>0</v>
      </c>
      <c r="BR17" s="68">
        <f t="shared" si="2"/>
        <v>0</v>
      </c>
      <c r="BS17" s="70">
        <f t="shared" si="3"/>
        <v>0</v>
      </c>
      <c r="BT17" s="62">
        <f>IF(SUM(BP17:BS17)=4,SUM($BT$3:BT16)+1,0)</f>
        <v>0</v>
      </c>
      <c r="BU17" s="108" t="str">
        <f t="shared" si="5"/>
        <v>Talon Duo (EUR)</v>
      </c>
      <c r="BV17" s="66">
        <v>5</v>
      </c>
      <c r="BW17" s="31" t="s">
        <v>43</v>
      </c>
      <c r="BX17" s="33">
        <f>+AW43</f>
        <v>0</v>
      </c>
      <c r="BY17" s="52"/>
      <c r="BZ17" s="45"/>
      <c r="CA17" s="52"/>
      <c r="CB17" s="45"/>
      <c r="CC17" s="49">
        <v>1</v>
      </c>
      <c r="CD17" s="14"/>
      <c r="CE17" s="23"/>
      <c r="CF17" s="45"/>
      <c r="CJ17" s="355"/>
      <c r="CK17" s="103" t="s">
        <v>156</v>
      </c>
      <c r="CL17" s="105">
        <f t="shared" si="7"/>
        <v>0</v>
      </c>
      <c r="CM17" s="105">
        <f t="shared" si="7"/>
        <v>0</v>
      </c>
      <c r="CN17" s="105">
        <f t="shared" si="7"/>
        <v>0</v>
      </c>
      <c r="CO17" s="105">
        <f t="shared" si="7"/>
        <v>0</v>
      </c>
      <c r="DA17">
        <v>15</v>
      </c>
      <c r="DB17" s="145" t="e">
        <f>IF(SUMPRODUCT($DD$1:$DQ$1,DD17:DQ17)*SUMPRODUCT($DR$1:$DV$1,DR17:DV17)*SUMPRODUCT($DW$1:$DX$1,DW17:DX17)&gt;0,MAX($DB$3:DB16)+1,"-")</f>
        <v>#N/A</v>
      </c>
      <c r="DC17" s="160" t="s">
        <v>188</v>
      </c>
      <c r="DD17" s="150">
        <v>1</v>
      </c>
      <c r="DE17" s="21">
        <v>1</v>
      </c>
      <c r="DF17" s="21">
        <v>1</v>
      </c>
      <c r="DG17" s="21">
        <v>1</v>
      </c>
      <c r="DH17" s="21">
        <v>1</v>
      </c>
      <c r="DI17" s="21">
        <v>1</v>
      </c>
      <c r="DJ17" s="21">
        <v>1</v>
      </c>
      <c r="DK17" s="21">
        <v>1</v>
      </c>
      <c r="DL17" s="21">
        <v>1</v>
      </c>
      <c r="DM17" s="21">
        <v>1</v>
      </c>
      <c r="DN17" s="21">
        <v>1</v>
      </c>
      <c r="DO17" s="21">
        <v>1</v>
      </c>
      <c r="DP17" s="21">
        <v>1</v>
      </c>
      <c r="DQ17" s="117"/>
      <c r="DR17" s="135"/>
      <c r="DS17" s="120">
        <v>1</v>
      </c>
      <c r="DT17" s="120"/>
      <c r="DU17" s="120"/>
      <c r="DV17" s="136"/>
      <c r="DW17" s="135">
        <v>1</v>
      </c>
      <c r="DX17" s="301"/>
      <c r="DY17" s="130">
        <v>4</v>
      </c>
      <c r="DZ17" s="163"/>
    </row>
    <row r="18" spans="1:130" ht="15" customHeight="1" x14ac:dyDescent="0.25">
      <c r="B18" s="393"/>
      <c r="C18" s="393"/>
      <c r="D18" s="393"/>
      <c r="E18" s="393"/>
      <c r="F18" s="393"/>
      <c r="G18" s="393"/>
      <c r="H18" s="393"/>
      <c r="AU18" s="392"/>
      <c r="BA18" s="5" t="s">
        <v>84</v>
      </c>
      <c r="BB18">
        <v>145</v>
      </c>
      <c r="BC18" s="6" t="s">
        <v>40</v>
      </c>
      <c r="BD18" s="25" t="s">
        <v>94</v>
      </c>
      <c r="BE18" s="2" t="s">
        <v>95</v>
      </c>
      <c r="BF18" s="81"/>
      <c r="BG18" s="21"/>
      <c r="BH18" s="21"/>
      <c r="BI18" s="21"/>
      <c r="BJ18" s="75"/>
      <c r="BK18" s="74"/>
      <c r="BL18" s="29"/>
      <c r="BM18" s="29">
        <v>70000</v>
      </c>
      <c r="BN18" s="21">
        <v>3</v>
      </c>
      <c r="BO18" s="75">
        <v>30</v>
      </c>
      <c r="BP18" s="69">
        <f t="shared" si="4"/>
        <v>0</v>
      </c>
      <c r="BQ18" s="68">
        <f t="shared" si="1"/>
        <v>0</v>
      </c>
      <c r="BR18" s="68">
        <f t="shared" si="2"/>
        <v>0</v>
      </c>
      <c r="BS18" s="70">
        <f t="shared" si="3"/>
        <v>0</v>
      </c>
      <c r="BT18" s="62">
        <f>IF(SUM(BP18:BS18)=4,SUM($BT$3:BT17)+1,0)</f>
        <v>0</v>
      </c>
      <c r="BU18" s="108" t="str">
        <f t="shared" si="5"/>
        <v>Talon Duo VIP (EUR)</v>
      </c>
      <c r="BV18" s="67"/>
      <c r="BW18" s="25" t="s">
        <v>44</v>
      </c>
      <c r="BX18" s="34">
        <f>+AW44</f>
        <v>0</v>
      </c>
      <c r="BY18" s="53"/>
      <c r="BZ18" s="46"/>
      <c r="CA18" s="53"/>
      <c r="CB18" s="46"/>
      <c r="CC18" s="50"/>
      <c r="CD18" s="37">
        <v>1</v>
      </c>
      <c r="CE18" s="20">
        <v>1</v>
      </c>
      <c r="CF18" s="46"/>
      <c r="CJ18" s="42"/>
      <c r="CK18" s="42"/>
      <c r="CL18" s="106">
        <v>1</v>
      </c>
      <c r="CM18" s="106">
        <v>2</v>
      </c>
      <c r="CN18" s="106">
        <v>3</v>
      </c>
      <c r="CO18" s="106">
        <v>4</v>
      </c>
      <c r="CY18" s="11"/>
      <c r="DA18">
        <v>16</v>
      </c>
      <c r="DB18" s="144" t="e">
        <f>IF(SUMPRODUCT($DD$1:$DQ$1,DD18:DQ18)*SUMPRODUCT($DR$1:$DV$1,DR18:DV18)*SUMPRODUCT($DW$1:$DX$1,DW18:DX18)&gt;0,MAX($DB$3:DB17)+1,"-")</f>
        <v>#N/A</v>
      </c>
      <c r="DC18" s="159" t="s">
        <v>181</v>
      </c>
      <c r="DD18" s="149">
        <v>1</v>
      </c>
      <c r="DE18" s="113">
        <v>1</v>
      </c>
      <c r="DF18" s="113">
        <v>1</v>
      </c>
      <c r="DG18" s="113">
        <v>1</v>
      </c>
      <c r="DH18" s="113">
        <v>1</v>
      </c>
      <c r="DI18" s="113">
        <v>1</v>
      </c>
      <c r="DJ18" s="113">
        <v>1</v>
      </c>
      <c r="DK18" s="113">
        <v>1</v>
      </c>
      <c r="DL18" s="113"/>
      <c r="DM18" s="113"/>
      <c r="DN18" s="113">
        <v>1</v>
      </c>
      <c r="DO18" s="113">
        <v>1</v>
      </c>
      <c r="DP18" s="113">
        <v>1</v>
      </c>
      <c r="DQ18" s="116"/>
      <c r="DR18" s="153"/>
      <c r="DS18" s="124"/>
      <c r="DT18" s="124"/>
      <c r="DU18" s="124">
        <v>1</v>
      </c>
      <c r="DV18" s="154"/>
      <c r="DW18" s="153">
        <v>1</v>
      </c>
      <c r="DX18" s="303"/>
      <c r="DY18" s="129">
        <v>4</v>
      </c>
      <c r="DZ18" s="163"/>
    </row>
    <row r="19" spans="1:130" ht="15" customHeight="1" thickBot="1" x14ac:dyDescent="0.3">
      <c r="B19" s="239" t="s">
        <v>4</v>
      </c>
      <c r="C19" s="240"/>
      <c r="D19" s="374" t="s">
        <v>5</v>
      </c>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6"/>
      <c r="AU19" s="2">
        <f>IF(OR(AW20=1,AV20=0),1,0)</f>
        <v>1</v>
      </c>
      <c r="AV19" s="356" t="s">
        <v>164</v>
      </c>
      <c r="AW19" s="356"/>
      <c r="BA19" s="5" t="s">
        <v>84</v>
      </c>
      <c r="BB19">
        <v>145</v>
      </c>
      <c r="BC19" s="6" t="s">
        <v>40</v>
      </c>
      <c r="BD19" s="25" t="s">
        <v>41</v>
      </c>
      <c r="BE19" s="2" t="s">
        <v>95</v>
      </c>
      <c r="BF19" s="81"/>
      <c r="BG19" s="21"/>
      <c r="BH19" s="21"/>
      <c r="BI19" s="21"/>
      <c r="BJ19" s="75"/>
      <c r="BK19" s="74"/>
      <c r="BL19" s="29"/>
      <c r="BM19" s="29">
        <v>70000</v>
      </c>
      <c r="BN19" s="29"/>
      <c r="BO19" s="76"/>
      <c r="BP19" s="69">
        <f t="shared" si="4"/>
        <v>0</v>
      </c>
      <c r="BQ19" s="68">
        <f t="shared" si="1"/>
        <v>0</v>
      </c>
      <c r="BR19" s="68">
        <f t="shared" si="2"/>
        <v>0</v>
      </c>
      <c r="BS19" s="70">
        <f t="shared" si="3"/>
        <v>0</v>
      </c>
      <c r="BT19" s="62">
        <f>IF(SUM(BP19:BS19)=4,SUM($BT$3:BT18)+1,0)</f>
        <v>0</v>
      </c>
      <c r="BU19" s="108" t="str">
        <f t="shared" si="5"/>
        <v>Talon Duo VIP (EUR)</v>
      </c>
      <c r="BV19" s="67"/>
      <c r="BW19" s="25" t="s">
        <v>45</v>
      </c>
      <c r="BX19" s="34">
        <f>+AW45</f>
        <v>0</v>
      </c>
      <c r="BY19" s="53"/>
      <c r="BZ19" s="46"/>
      <c r="CA19" s="53"/>
      <c r="CB19" s="46"/>
      <c r="CC19" s="50"/>
      <c r="CD19" s="37">
        <v>1</v>
      </c>
      <c r="CE19" s="20">
        <v>1</v>
      </c>
      <c r="CF19" s="46"/>
      <c r="CJ19" s="42"/>
      <c r="CK19" s="42"/>
      <c r="CL19" s="42"/>
      <c r="CY19" s="11"/>
      <c r="DA19">
        <v>17</v>
      </c>
      <c r="DB19" s="146" t="e">
        <f>IF(SUMPRODUCT($DD$1:$DQ$1,DD19:DQ19)*SUMPRODUCT($DR$1:$DV$1,DR19:DV19)*SUMPRODUCT($DW$1:$DX$1,DW19:DX19)&gt;0,MAX($DB$3:DB18)+1,"-")</f>
        <v>#N/A</v>
      </c>
      <c r="DC19" s="161" t="s">
        <v>207</v>
      </c>
      <c r="DD19" s="151">
        <v>1</v>
      </c>
      <c r="DE19" s="83">
        <v>1</v>
      </c>
      <c r="DF19" s="83">
        <v>1</v>
      </c>
      <c r="DG19" s="83">
        <v>1</v>
      </c>
      <c r="DH19" s="83">
        <v>1</v>
      </c>
      <c r="DI19" s="83"/>
      <c r="DJ19" s="83">
        <v>1</v>
      </c>
      <c r="DK19" s="83">
        <v>1</v>
      </c>
      <c r="DL19" s="83"/>
      <c r="DM19" s="83"/>
      <c r="DN19" s="83"/>
      <c r="DO19" s="83"/>
      <c r="DP19" s="83">
        <v>1</v>
      </c>
      <c r="DQ19" s="118">
        <v>1</v>
      </c>
      <c r="DR19" s="143"/>
      <c r="DS19" s="125"/>
      <c r="DT19" s="125"/>
      <c r="DU19" s="125">
        <v>1</v>
      </c>
      <c r="DV19" s="140"/>
      <c r="DW19" s="143"/>
      <c r="DX19" s="302">
        <v>1</v>
      </c>
      <c r="DY19" s="131">
        <v>4</v>
      </c>
      <c r="DZ19" s="163"/>
    </row>
    <row r="20" spans="1:130" ht="15" customHeight="1" x14ac:dyDescent="0.25">
      <c r="B20" s="241"/>
      <c r="C20" s="242"/>
      <c r="E20" s="243" t="s">
        <v>32</v>
      </c>
      <c r="F20" s="244"/>
      <c r="G20" s="244"/>
      <c r="H20" s="244"/>
      <c r="I20" s="244"/>
      <c r="J20" s="244"/>
      <c r="K20" s="244"/>
      <c r="L20" s="244"/>
      <c r="M20" s="244"/>
      <c r="N20" s="244"/>
      <c r="O20" s="244"/>
      <c r="P20" s="244"/>
      <c r="Q20" s="244"/>
      <c r="R20" s="244"/>
      <c r="S20" s="244"/>
      <c r="T20" s="244"/>
      <c r="U20" s="244"/>
      <c r="V20" s="244"/>
      <c r="W20" s="244"/>
      <c r="X20" s="244"/>
      <c r="Y20" s="244"/>
      <c r="Z20" s="244"/>
      <c r="AA20" s="244"/>
      <c r="AB20" s="384" t="str">
        <f>IF(AW20=1,"Megtakarítási biztosítás nem ajánlható!","")</f>
        <v/>
      </c>
      <c r="AC20" s="384"/>
      <c r="AD20" s="384"/>
      <c r="AE20" s="384"/>
      <c r="AF20" s="384"/>
      <c r="AG20" s="384"/>
      <c r="AH20" s="384"/>
      <c r="AI20" s="384"/>
      <c r="AJ20" s="384"/>
      <c r="AK20" s="384"/>
      <c r="AL20" s="384"/>
      <c r="AM20" s="384"/>
      <c r="AN20" s="384"/>
      <c r="AO20" s="384"/>
      <c r="AP20" s="384"/>
      <c r="AV20" s="231">
        <v>0</v>
      </c>
      <c r="AW20" s="231">
        <f>IF($AV$20=1,1,0)</f>
        <v>0</v>
      </c>
      <c r="BA20" s="5" t="s">
        <v>85</v>
      </c>
      <c r="BB20">
        <v>143</v>
      </c>
      <c r="BC20" s="6" t="s">
        <v>40</v>
      </c>
      <c r="BD20" s="25" t="s">
        <v>94</v>
      </c>
      <c r="BE20" s="2" t="s">
        <v>95</v>
      </c>
      <c r="BF20" s="81"/>
      <c r="BG20" s="21"/>
      <c r="BH20" s="21"/>
      <c r="BI20" s="21"/>
      <c r="BJ20" s="75"/>
      <c r="BK20" s="74">
        <v>1</v>
      </c>
      <c r="BL20" s="29"/>
      <c r="BM20" s="29">
        <v>20000000</v>
      </c>
      <c r="BN20" s="21">
        <v>3</v>
      </c>
      <c r="BO20" s="75">
        <v>30</v>
      </c>
      <c r="BP20" s="69">
        <f t="shared" si="4"/>
        <v>0</v>
      </c>
      <c r="BQ20" s="68">
        <f t="shared" si="1"/>
        <v>0</v>
      </c>
      <c r="BR20" s="68">
        <f t="shared" si="2"/>
        <v>0</v>
      </c>
      <c r="BS20" s="70">
        <f t="shared" si="3"/>
        <v>0</v>
      </c>
      <c r="BT20" s="62">
        <f>IF(SUM(BP20:BS20)=4,SUM($BT$3:BT19)+1,0)</f>
        <v>0</v>
      </c>
      <c r="BU20" s="108" t="str">
        <f t="shared" si="5"/>
        <v>Talon Duo VIP (HUF)</v>
      </c>
      <c r="BV20" s="40"/>
      <c r="BW20" s="32" t="s">
        <v>46</v>
      </c>
      <c r="BX20" s="35">
        <f>IF(AND(AW46=1,J46&lt;&gt;""),1,0)</f>
        <v>0</v>
      </c>
      <c r="BY20" s="54"/>
      <c r="BZ20" s="48"/>
      <c r="CA20" s="54"/>
      <c r="CB20" s="48"/>
      <c r="CC20" s="51"/>
      <c r="CD20" s="17">
        <v>1</v>
      </c>
      <c r="CE20" s="18">
        <v>1</v>
      </c>
      <c r="CF20" s="48"/>
      <c r="CJ20" s="42"/>
      <c r="CK20" s="42"/>
      <c r="CL20" s="42"/>
      <c r="CY20" s="11"/>
      <c r="DA20">
        <v>18</v>
      </c>
      <c r="DB20" s="145" t="e">
        <f>IF(SUMPRODUCT($DD$1:$DQ$1,DD20:DQ20)*SUMPRODUCT($DR$1:$DV$1,DR20:DV20)*SUMPRODUCT($DW$1:$DX$1,DW20:DX20)&gt;0,MAX($DB$3:DB19)+1,"-")</f>
        <v>#N/A</v>
      </c>
      <c r="DC20" s="160" t="s">
        <v>191</v>
      </c>
      <c r="DD20" s="150">
        <v>1</v>
      </c>
      <c r="DE20" s="21">
        <v>1</v>
      </c>
      <c r="DF20" s="21">
        <v>1</v>
      </c>
      <c r="DG20" s="21">
        <v>1</v>
      </c>
      <c r="DH20" s="21">
        <v>1</v>
      </c>
      <c r="DI20" s="21">
        <v>1</v>
      </c>
      <c r="DJ20" s="21">
        <v>1</v>
      </c>
      <c r="DK20" s="21">
        <v>1</v>
      </c>
      <c r="DL20" s="21">
        <v>1</v>
      </c>
      <c r="DM20" s="21">
        <v>1</v>
      </c>
      <c r="DN20" s="21">
        <v>1</v>
      </c>
      <c r="DO20" s="21">
        <v>1</v>
      </c>
      <c r="DP20" s="21">
        <v>1</v>
      </c>
      <c r="DQ20" s="117"/>
      <c r="DR20" s="135"/>
      <c r="DS20" s="120">
        <v>1</v>
      </c>
      <c r="DT20" s="120"/>
      <c r="DU20" s="120"/>
      <c r="DV20" s="136"/>
      <c r="DW20" s="135">
        <v>1</v>
      </c>
      <c r="DX20" s="301"/>
      <c r="DY20" s="130">
        <v>5</v>
      </c>
      <c r="DZ20" s="163"/>
    </row>
    <row r="21" spans="1:130" ht="15" customHeight="1" x14ac:dyDescent="0.25">
      <c r="B21" s="241"/>
      <c r="C21" s="242"/>
      <c r="E21" s="243" t="s">
        <v>33</v>
      </c>
      <c r="F21" s="245"/>
      <c r="G21" s="245"/>
      <c r="H21" s="245"/>
      <c r="I21" s="245"/>
      <c r="J21" s="245"/>
      <c r="K21" s="245"/>
      <c r="L21" s="245"/>
      <c r="M21" s="245"/>
      <c r="N21" s="245"/>
      <c r="O21" s="245"/>
      <c r="P21" s="245"/>
      <c r="Q21" s="245"/>
      <c r="R21" s="245"/>
      <c r="S21" s="245"/>
      <c r="T21" s="245"/>
      <c r="U21" s="245"/>
      <c r="V21" s="245"/>
      <c r="W21" s="245"/>
      <c r="X21" s="245"/>
      <c r="Y21" s="245"/>
      <c r="Z21" s="245"/>
      <c r="AA21" s="245"/>
      <c r="AB21" s="385"/>
      <c r="AC21" s="385"/>
      <c r="AD21" s="385"/>
      <c r="AE21" s="385"/>
      <c r="AF21" s="385"/>
      <c r="AG21" s="385"/>
      <c r="AH21" s="385"/>
      <c r="AI21" s="385"/>
      <c r="AJ21" s="385"/>
      <c r="AK21" s="385"/>
      <c r="AL21" s="385"/>
      <c r="AM21" s="385"/>
      <c r="AN21" s="385"/>
      <c r="AO21" s="385"/>
      <c r="AP21" s="385"/>
      <c r="AV21" s="231"/>
      <c r="AW21" s="231">
        <f>IF($AV$20=2,1,0)</f>
        <v>0</v>
      </c>
      <c r="BA21" s="5" t="s">
        <v>85</v>
      </c>
      <c r="BB21">
        <v>143</v>
      </c>
      <c r="BC21" s="6" t="s">
        <v>40</v>
      </c>
      <c r="BD21" s="25" t="s">
        <v>41</v>
      </c>
      <c r="BE21" s="2" t="s">
        <v>95</v>
      </c>
      <c r="BF21" s="81"/>
      <c r="BG21" s="21"/>
      <c r="BH21" s="21"/>
      <c r="BI21" s="21"/>
      <c r="BJ21" s="75"/>
      <c r="BK21" s="74">
        <v>1</v>
      </c>
      <c r="BL21" s="29"/>
      <c r="BM21" s="29">
        <v>20000000</v>
      </c>
      <c r="BN21" s="29"/>
      <c r="BO21" s="76"/>
      <c r="BP21" s="69">
        <f t="shared" si="4"/>
        <v>0</v>
      </c>
      <c r="BQ21" s="68">
        <f t="shared" si="1"/>
        <v>0</v>
      </c>
      <c r="BR21" s="68">
        <f t="shared" si="2"/>
        <v>0</v>
      </c>
      <c r="BS21" s="70">
        <f t="shared" si="3"/>
        <v>0</v>
      </c>
      <c r="BT21" s="62">
        <f>IF(SUM(BP21:BS21)=4,SUM($BT$3:BT20)+1,0)</f>
        <v>0</v>
      </c>
      <c r="BU21" s="108" t="str">
        <f t="shared" si="5"/>
        <v>Talon Duo VIP (HUF)</v>
      </c>
      <c r="BV21" s="66">
        <v>6</v>
      </c>
      <c r="BW21" s="31" t="s">
        <v>43</v>
      </c>
      <c r="BX21" s="33">
        <f>+AW49</f>
        <v>0</v>
      </c>
      <c r="BY21" s="49"/>
      <c r="BZ21" s="23">
        <v>1</v>
      </c>
      <c r="CA21" s="52"/>
      <c r="CB21" s="45"/>
      <c r="CC21" s="52"/>
      <c r="CD21" s="43"/>
      <c r="CE21" s="45"/>
      <c r="CF21" s="45"/>
      <c r="CJ21" s="42"/>
      <c r="CK21" s="42"/>
      <c r="CL21" s="42"/>
      <c r="DA21">
        <v>19</v>
      </c>
      <c r="DB21" s="145" t="e">
        <f>IF(SUMPRODUCT($DD$1:$DQ$1,DD21:DQ21)*SUMPRODUCT($DR$1:$DV$1,DR21:DV21)*SUMPRODUCT($DW$1:$DX$1,DW21:DX21)&gt;0,MAX($DB$3:DB20)+1,"-")</f>
        <v>#N/A</v>
      </c>
      <c r="DC21" s="160" t="s">
        <v>192</v>
      </c>
      <c r="DD21" s="150">
        <v>1</v>
      </c>
      <c r="DE21" s="21">
        <v>1</v>
      </c>
      <c r="DF21" s="21">
        <v>1</v>
      </c>
      <c r="DG21" s="21">
        <v>1</v>
      </c>
      <c r="DH21" s="21">
        <v>1</v>
      </c>
      <c r="DI21" s="21">
        <v>1</v>
      </c>
      <c r="DJ21" s="21">
        <v>1</v>
      </c>
      <c r="DK21" s="21">
        <v>1</v>
      </c>
      <c r="DL21" s="21">
        <v>1</v>
      </c>
      <c r="DM21" s="21">
        <v>1</v>
      </c>
      <c r="DN21" s="21">
        <v>1</v>
      </c>
      <c r="DO21" s="21">
        <v>1</v>
      </c>
      <c r="DP21" s="21">
        <v>1</v>
      </c>
      <c r="DQ21" s="117"/>
      <c r="DR21" s="135"/>
      <c r="DS21" s="120">
        <v>1</v>
      </c>
      <c r="DT21" s="120"/>
      <c r="DU21" s="120"/>
      <c r="DV21" s="136"/>
      <c r="DW21" s="135">
        <v>1</v>
      </c>
      <c r="DX21" s="301"/>
      <c r="DY21" s="130">
        <v>5</v>
      </c>
      <c r="DZ21" s="163"/>
    </row>
    <row r="22" spans="1:130" ht="15" customHeight="1" x14ac:dyDescent="0.25">
      <c r="B22" s="241"/>
      <c r="C22" s="242"/>
      <c r="E22" s="243" t="s">
        <v>34</v>
      </c>
      <c r="F22" s="245"/>
      <c r="G22" s="245"/>
      <c r="H22" s="245"/>
      <c r="I22" s="245"/>
      <c r="J22" s="245"/>
      <c r="K22" s="245"/>
      <c r="L22" s="245"/>
      <c r="M22" s="245"/>
      <c r="N22" s="245"/>
      <c r="O22" s="245"/>
      <c r="P22" s="245"/>
      <c r="Q22" s="245"/>
      <c r="R22" s="245"/>
      <c r="S22" s="245"/>
      <c r="T22" s="245"/>
      <c r="U22" s="245"/>
      <c r="V22" s="245"/>
      <c r="W22" s="245"/>
      <c r="X22" s="245"/>
      <c r="Y22" s="245"/>
      <c r="Z22" s="245"/>
      <c r="AA22" s="245"/>
      <c r="AB22" s="385"/>
      <c r="AC22" s="385"/>
      <c r="AD22" s="385"/>
      <c r="AE22" s="385"/>
      <c r="AF22" s="385"/>
      <c r="AG22" s="385"/>
      <c r="AH22" s="385"/>
      <c r="AI22" s="385"/>
      <c r="AJ22" s="385"/>
      <c r="AK22" s="385"/>
      <c r="AL22" s="385"/>
      <c r="AM22" s="385"/>
      <c r="AN22" s="385"/>
      <c r="AO22" s="385"/>
      <c r="AP22" s="385"/>
      <c r="AT22" s="1"/>
      <c r="AV22" s="231"/>
      <c r="AW22" s="231">
        <f>IF($AV$20=3,1,0)</f>
        <v>0</v>
      </c>
      <c r="BA22" s="5" t="s">
        <v>72</v>
      </c>
      <c r="BB22" s="11">
        <v>220</v>
      </c>
      <c r="BC22" s="6" t="s">
        <v>98</v>
      </c>
      <c r="BD22" s="25" t="s">
        <v>96</v>
      </c>
      <c r="BE22" s="2" t="s">
        <v>97</v>
      </c>
      <c r="BF22" s="81"/>
      <c r="BG22" s="21"/>
      <c r="BH22" s="21"/>
      <c r="BI22" s="21">
        <v>1</v>
      </c>
      <c r="BJ22" s="75"/>
      <c r="BK22" s="74">
        <v>1</v>
      </c>
      <c r="BL22" s="28"/>
      <c r="BM22" s="28">
        <v>120000</v>
      </c>
      <c r="BN22" s="21">
        <v>10</v>
      </c>
      <c r="BO22" s="75">
        <v>47</v>
      </c>
      <c r="BP22" s="69">
        <f t="shared" si="4"/>
        <v>0</v>
      </c>
      <c r="BQ22" s="68">
        <f t="shared" si="1"/>
        <v>0</v>
      </c>
      <c r="BR22" s="68">
        <f t="shared" si="2"/>
        <v>0</v>
      </c>
      <c r="BS22" s="70">
        <f t="shared" si="3"/>
        <v>0</v>
      </c>
      <c r="BT22" s="62">
        <f>IF(SUM(BP22:BS22)=4,SUM($BT$3:BT21)+1,0)</f>
        <v>0</v>
      </c>
      <c r="BU22" s="108" t="str">
        <f t="shared" si="5"/>
        <v>Harmónia Classic</v>
      </c>
      <c r="BV22" s="67"/>
      <c r="BW22" s="25" t="s">
        <v>44</v>
      </c>
      <c r="BX22" s="34">
        <f>+AW50</f>
        <v>0</v>
      </c>
      <c r="BY22" s="50">
        <v>1</v>
      </c>
      <c r="BZ22" s="20">
        <v>1</v>
      </c>
      <c r="CA22" s="53"/>
      <c r="CB22" s="46"/>
      <c r="CC22" s="53"/>
      <c r="CD22" s="44"/>
      <c r="CE22" s="46"/>
      <c r="CF22" s="46"/>
      <c r="CJ22" s="42"/>
      <c r="CK22" s="42"/>
      <c r="CL22" s="42"/>
      <c r="DA22">
        <v>20</v>
      </c>
      <c r="DB22" s="145" t="e">
        <f>IF(SUMPRODUCT($DD$1:$DQ$1,DD22:DQ22)*SUMPRODUCT($DR$1:$DV$1,DR22:DV22)*SUMPRODUCT($DW$1:$DX$1,DW22:DX22)&gt;0,MAX($DB$3:DB21)+1,"-")</f>
        <v>#N/A</v>
      </c>
      <c r="DC22" s="160" t="s">
        <v>193</v>
      </c>
      <c r="DD22" s="150">
        <v>1</v>
      </c>
      <c r="DE22" s="21">
        <v>1</v>
      </c>
      <c r="DF22" s="21">
        <v>1</v>
      </c>
      <c r="DG22" s="21">
        <v>1</v>
      </c>
      <c r="DH22" s="21">
        <v>1</v>
      </c>
      <c r="DI22" s="21">
        <v>1</v>
      </c>
      <c r="DJ22" s="21">
        <v>1</v>
      </c>
      <c r="DK22" s="21">
        <v>1</v>
      </c>
      <c r="DL22" s="21">
        <v>1</v>
      </c>
      <c r="DM22" s="21">
        <v>1</v>
      </c>
      <c r="DN22" s="21">
        <v>1</v>
      </c>
      <c r="DO22" s="21">
        <v>1</v>
      </c>
      <c r="DP22" s="21">
        <v>1</v>
      </c>
      <c r="DQ22" s="117"/>
      <c r="DR22" s="135"/>
      <c r="DS22" s="120">
        <v>1</v>
      </c>
      <c r="DT22" s="120"/>
      <c r="DU22" s="120"/>
      <c r="DV22" s="136"/>
      <c r="DW22" s="135">
        <v>1</v>
      </c>
      <c r="DX22" s="301"/>
      <c r="DY22" s="130">
        <v>5</v>
      </c>
      <c r="DZ22" s="163"/>
    </row>
    <row r="23" spans="1:130" ht="15" customHeight="1" x14ac:dyDescent="0.25">
      <c r="AT23" s="4"/>
      <c r="AV23" s="231"/>
      <c r="AW23" s="231"/>
      <c r="BA23" s="5" t="s">
        <v>71</v>
      </c>
      <c r="BB23" s="11">
        <v>170</v>
      </c>
      <c r="BC23" s="6" t="s">
        <v>40</v>
      </c>
      <c r="BD23" s="25" t="s">
        <v>96</v>
      </c>
      <c r="BE23" s="2" t="s">
        <v>97</v>
      </c>
      <c r="BF23" s="81"/>
      <c r="BG23" s="21"/>
      <c r="BH23" s="21"/>
      <c r="BI23" s="21">
        <v>1</v>
      </c>
      <c r="BJ23" s="75"/>
      <c r="BK23" s="74">
        <v>1</v>
      </c>
      <c r="BL23" s="28">
        <v>1</v>
      </c>
      <c r="BM23" s="28">
        <v>120000</v>
      </c>
      <c r="BN23" s="21">
        <v>10</v>
      </c>
      <c r="BO23" s="75">
        <v>47</v>
      </c>
      <c r="BP23" s="69">
        <f t="shared" si="4"/>
        <v>0</v>
      </c>
      <c r="BQ23" s="68">
        <f t="shared" si="1"/>
        <v>0</v>
      </c>
      <c r="BR23" s="68">
        <f t="shared" si="2"/>
        <v>0</v>
      </c>
      <c r="BS23" s="70">
        <f t="shared" si="3"/>
        <v>0</v>
      </c>
      <c r="BT23" s="62">
        <f>IF(SUM(BP23:BS23)=4,SUM($BT$3:BT22)+1,0)</f>
        <v>0</v>
      </c>
      <c r="BU23" s="108" t="str">
        <f t="shared" si="5"/>
        <v>Harmónia Bónusz</v>
      </c>
      <c r="BV23" s="67"/>
      <c r="BW23" s="25" t="s">
        <v>45</v>
      </c>
      <c r="BX23" s="34">
        <f>+AW51</f>
        <v>0</v>
      </c>
      <c r="BY23" s="50">
        <v>1</v>
      </c>
      <c r="BZ23" s="20">
        <v>1</v>
      </c>
      <c r="CA23" s="53"/>
      <c r="CB23" s="46"/>
      <c r="CC23" s="53"/>
      <c r="CD23" s="44"/>
      <c r="CE23" s="46"/>
      <c r="CF23" s="46"/>
      <c r="CJ23" s="42"/>
      <c r="CK23" s="42"/>
      <c r="CL23" s="42"/>
      <c r="DA23">
        <v>21</v>
      </c>
      <c r="DB23" s="145" t="e">
        <f>IF(SUMPRODUCT($DD$1:$DQ$1,DD23:DQ23)*SUMPRODUCT($DR$1:$DV$1,DR23:DV23)*SUMPRODUCT($DW$1:$DX$1,DW23:DX23)&gt;0,MAX($DB$3:DB22)+1,"-")</f>
        <v>#N/A</v>
      </c>
      <c r="DC23" s="160" t="s">
        <v>194</v>
      </c>
      <c r="DD23" s="150">
        <v>1</v>
      </c>
      <c r="DE23" s="21">
        <v>1</v>
      </c>
      <c r="DF23" s="21">
        <v>1</v>
      </c>
      <c r="DG23" s="21">
        <v>1</v>
      </c>
      <c r="DH23" s="21">
        <v>1</v>
      </c>
      <c r="DI23" s="21">
        <v>1</v>
      </c>
      <c r="DJ23" s="21">
        <v>1</v>
      </c>
      <c r="DK23" s="21">
        <v>1</v>
      </c>
      <c r="DL23" s="21">
        <v>1</v>
      </c>
      <c r="DM23" s="21">
        <v>1</v>
      </c>
      <c r="DN23" s="21">
        <v>1</v>
      </c>
      <c r="DO23" s="21">
        <v>1</v>
      </c>
      <c r="DP23" s="21">
        <v>1</v>
      </c>
      <c r="DQ23" s="117"/>
      <c r="DR23" s="135"/>
      <c r="DS23" s="120">
        <v>1</v>
      </c>
      <c r="DT23" s="120"/>
      <c r="DU23" s="120"/>
      <c r="DV23" s="136"/>
      <c r="DW23" s="135">
        <v>1</v>
      </c>
      <c r="DX23" s="301"/>
      <c r="DY23" s="130">
        <v>5</v>
      </c>
      <c r="DZ23" s="163"/>
    </row>
    <row r="24" spans="1:130" ht="15" customHeight="1" x14ac:dyDescent="0.25">
      <c r="B24" s="239" t="s">
        <v>7</v>
      </c>
      <c r="D24" s="374" t="s">
        <v>6</v>
      </c>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6"/>
      <c r="AU24" s="2">
        <f>IF(OR(AV25=0,AW28=1,AND(AW25=1,N25="")),1,0)</f>
        <v>1</v>
      </c>
      <c r="AV24" s="231"/>
      <c r="AW24" s="231"/>
      <c r="BA24" s="5" t="s">
        <v>69</v>
      </c>
      <c r="BB24" s="11">
        <v>224</v>
      </c>
      <c r="BC24" s="6" t="s">
        <v>40</v>
      </c>
      <c r="BD24" s="2" t="s">
        <v>94</v>
      </c>
      <c r="BE24" s="2" t="s">
        <v>97</v>
      </c>
      <c r="BF24" s="81"/>
      <c r="BG24" s="21"/>
      <c r="BH24" s="21"/>
      <c r="BI24" s="21">
        <v>1</v>
      </c>
      <c r="BJ24" s="75"/>
      <c r="BK24" s="74">
        <v>1</v>
      </c>
      <c r="BL24" s="28">
        <v>1</v>
      </c>
      <c r="BM24" s="28">
        <v>120000</v>
      </c>
      <c r="BN24" s="21">
        <v>10</v>
      </c>
      <c r="BO24" s="75">
        <v>35</v>
      </c>
      <c r="BP24" s="69">
        <f t="shared" si="4"/>
        <v>0</v>
      </c>
      <c r="BQ24" s="68">
        <f t="shared" si="1"/>
        <v>0</v>
      </c>
      <c r="BR24" s="68">
        <f t="shared" si="2"/>
        <v>0</v>
      </c>
      <c r="BS24" s="70">
        <f t="shared" si="3"/>
        <v>0</v>
      </c>
      <c r="BT24" s="62">
        <f>IF(SUM(BP24:BS24)=4,SUM($BT$3:BT23)+1,0)</f>
        <v>0</v>
      </c>
      <c r="BU24" s="108" t="str">
        <f t="shared" si="5"/>
        <v>Dimenziók Bónusz</v>
      </c>
      <c r="BV24" s="40"/>
      <c r="BW24" s="32" t="s">
        <v>46</v>
      </c>
      <c r="BX24" s="35">
        <f>+AW52</f>
        <v>0</v>
      </c>
      <c r="BY24" s="51">
        <v>1</v>
      </c>
      <c r="BZ24" s="18">
        <v>1</v>
      </c>
      <c r="CA24" s="54"/>
      <c r="CB24" s="48"/>
      <c r="CC24" s="54"/>
      <c r="CD24" s="47"/>
      <c r="CE24" s="48"/>
      <c r="CF24" s="48"/>
      <c r="CJ24" s="42"/>
      <c r="CK24" s="42"/>
      <c r="CL24" s="42"/>
      <c r="DA24">
        <v>22</v>
      </c>
      <c r="DB24" s="145" t="e">
        <f>IF(SUMPRODUCT($DD$1:$DQ$1,DD24:DQ24)*SUMPRODUCT($DR$1:$DV$1,DR24:DV24)*SUMPRODUCT($DW$1:$DX$1,DW24:DX24)&gt;0,MAX($DB$3:DB23)+1,"-")</f>
        <v>#N/A</v>
      </c>
      <c r="DC24" s="160" t="s">
        <v>195</v>
      </c>
      <c r="DD24" s="150">
        <v>1</v>
      </c>
      <c r="DE24" s="21">
        <v>1</v>
      </c>
      <c r="DF24" s="21">
        <v>1</v>
      </c>
      <c r="DG24" s="21">
        <v>1</v>
      </c>
      <c r="DH24" s="21">
        <v>1</v>
      </c>
      <c r="DI24" s="21">
        <v>1</v>
      </c>
      <c r="DJ24" s="21">
        <v>1</v>
      </c>
      <c r="DK24" s="21">
        <v>1</v>
      </c>
      <c r="DL24" s="21">
        <v>1</v>
      </c>
      <c r="DM24" s="21">
        <v>1</v>
      </c>
      <c r="DN24" s="21">
        <v>1</v>
      </c>
      <c r="DO24" s="21">
        <v>1</v>
      </c>
      <c r="DP24" s="21">
        <v>1</v>
      </c>
      <c r="DQ24" s="117"/>
      <c r="DR24" s="135"/>
      <c r="DS24" s="120">
        <v>1</v>
      </c>
      <c r="DT24" s="120"/>
      <c r="DU24" s="120"/>
      <c r="DV24" s="136"/>
      <c r="DW24" s="135">
        <v>1</v>
      </c>
      <c r="DX24" s="301"/>
      <c r="DY24" s="130">
        <v>5</v>
      </c>
      <c r="DZ24" s="163"/>
    </row>
    <row r="25" spans="1:130" ht="15" customHeight="1" x14ac:dyDescent="0.25">
      <c r="E25" s="244" t="s">
        <v>47</v>
      </c>
      <c r="F25" s="244"/>
      <c r="G25" s="244"/>
      <c r="H25" s="244"/>
      <c r="I25" s="244"/>
      <c r="J25" s="244"/>
      <c r="K25" s="244"/>
      <c r="L25" s="244"/>
      <c r="M25" s="246"/>
      <c r="N25" s="394"/>
      <c r="O25" s="395"/>
      <c r="P25" s="232" t="s">
        <v>15</v>
      </c>
      <c r="Y25" s="247"/>
      <c r="Z25" s="247"/>
      <c r="AA25" s="247"/>
      <c r="AB25" s="400" t="str">
        <f>IF(AW28=1,"Megtakarítási biztosítás nem ajánlható!",IF(AND(AW25=1,N25=""),"Kérem, adja meg a kívánt tartamot!",""))</f>
        <v/>
      </c>
      <c r="AC25" s="400"/>
      <c r="AD25" s="400"/>
      <c r="AE25" s="400"/>
      <c r="AF25" s="400"/>
      <c r="AG25" s="400"/>
      <c r="AH25" s="400"/>
      <c r="AI25" s="400"/>
      <c r="AJ25" s="400"/>
      <c r="AK25" s="400"/>
      <c r="AL25" s="400"/>
      <c r="AM25" s="400"/>
      <c r="AN25" s="400"/>
      <c r="AO25" s="400"/>
      <c r="AP25" s="400"/>
      <c r="AV25" s="231">
        <v>0</v>
      </c>
      <c r="AW25" s="231">
        <f>IF($AV$25=1,1,0)</f>
        <v>0</v>
      </c>
      <c r="BA25" s="5" t="s">
        <v>69</v>
      </c>
      <c r="BB25" s="11">
        <v>224</v>
      </c>
      <c r="BC25" s="6" t="s">
        <v>40</v>
      </c>
      <c r="BD25" s="25" t="s">
        <v>41</v>
      </c>
      <c r="BE25" s="2" t="s">
        <v>97</v>
      </c>
      <c r="BF25" s="81"/>
      <c r="BG25" s="21"/>
      <c r="BH25" s="21"/>
      <c r="BI25" s="21">
        <v>1</v>
      </c>
      <c r="BJ25" s="75"/>
      <c r="BK25" s="74">
        <v>1</v>
      </c>
      <c r="BL25" s="28">
        <v>1</v>
      </c>
      <c r="BM25" s="28">
        <v>120000</v>
      </c>
      <c r="BN25" s="29"/>
      <c r="BO25" s="76"/>
      <c r="BP25" s="69">
        <f t="shared" si="4"/>
        <v>0</v>
      </c>
      <c r="BQ25" s="68">
        <f t="shared" si="1"/>
        <v>0</v>
      </c>
      <c r="BR25" s="68">
        <f t="shared" si="2"/>
        <v>0</v>
      </c>
      <c r="BS25" s="70">
        <f t="shared" si="3"/>
        <v>0</v>
      </c>
      <c r="BT25" s="62">
        <f>IF(SUM(BP25:BS25)=4,SUM($BT$3:BT24)+1,0)</f>
        <v>0</v>
      </c>
      <c r="BU25" s="108" t="str">
        <f t="shared" si="5"/>
        <v>Dimenziók Bónusz</v>
      </c>
      <c r="BV25" s="66">
        <v>10</v>
      </c>
      <c r="BW25" s="31" t="s">
        <v>43</v>
      </c>
      <c r="BX25" s="33">
        <f>+AW86</f>
        <v>0</v>
      </c>
      <c r="BY25" s="49"/>
      <c r="BZ25" s="23">
        <v>1</v>
      </c>
      <c r="CA25" s="52"/>
      <c r="CB25" s="45"/>
      <c r="CC25" s="52"/>
      <c r="CD25" s="43"/>
      <c r="CE25" s="45"/>
      <c r="CF25" s="45"/>
      <c r="CJ25" s="42"/>
      <c r="CK25" s="42"/>
      <c r="CL25" s="42"/>
      <c r="DA25">
        <v>23</v>
      </c>
      <c r="DB25" s="145" t="e">
        <f>IF(SUMPRODUCT($DD$1:$DQ$1,DD25:DQ25)*SUMPRODUCT($DR$1:$DV$1,DR25:DV25)*SUMPRODUCT($DW$1:$DX$1,DW25:DX25)&gt;0,MAX($DB$3:DB24)+1,"-")</f>
        <v>#N/A</v>
      </c>
      <c r="DC25" s="160" t="s">
        <v>179</v>
      </c>
      <c r="DD25" s="150">
        <v>1</v>
      </c>
      <c r="DE25" s="21">
        <v>1</v>
      </c>
      <c r="DF25" s="21">
        <v>1</v>
      </c>
      <c r="DG25" s="21">
        <v>1</v>
      </c>
      <c r="DH25" s="21">
        <v>1</v>
      </c>
      <c r="DI25" s="21">
        <v>1</v>
      </c>
      <c r="DJ25" s="21">
        <v>1</v>
      </c>
      <c r="DK25" s="21">
        <v>1</v>
      </c>
      <c r="DL25" s="21">
        <v>1</v>
      </c>
      <c r="DM25" s="21">
        <v>1</v>
      </c>
      <c r="DN25" s="21">
        <v>1</v>
      </c>
      <c r="DO25" s="21">
        <v>1</v>
      </c>
      <c r="DP25" s="21">
        <v>1</v>
      </c>
      <c r="DQ25" s="117"/>
      <c r="DR25" s="135"/>
      <c r="DS25" s="120">
        <v>1</v>
      </c>
      <c r="DT25" s="120"/>
      <c r="DU25" s="120"/>
      <c r="DV25" s="136"/>
      <c r="DW25" s="135">
        <v>1</v>
      </c>
      <c r="DX25" s="301"/>
      <c r="DY25" s="130">
        <v>5</v>
      </c>
      <c r="DZ25" s="163"/>
    </row>
    <row r="26" spans="1:130" ht="15" customHeight="1" thickBot="1" x14ac:dyDescent="0.3">
      <c r="E26" s="245" t="s">
        <v>35</v>
      </c>
      <c r="F26" s="245"/>
      <c r="G26" s="245"/>
      <c r="H26" s="245"/>
      <c r="I26" s="245"/>
      <c r="J26" s="245"/>
      <c r="K26" s="245"/>
      <c r="L26" s="245"/>
      <c r="M26" s="245"/>
      <c r="N26" s="245"/>
      <c r="O26" s="245"/>
      <c r="P26" s="245"/>
      <c r="Q26" s="245"/>
      <c r="R26" s="245"/>
      <c r="S26" s="245"/>
      <c r="T26" s="245"/>
      <c r="U26" s="245"/>
      <c r="V26" s="245"/>
      <c r="W26" s="245"/>
      <c r="X26" s="248"/>
      <c r="Y26" s="248"/>
      <c r="Z26" s="248"/>
      <c r="AA26" s="248"/>
      <c r="AB26" s="401"/>
      <c r="AC26" s="401"/>
      <c r="AD26" s="401"/>
      <c r="AE26" s="401"/>
      <c r="AF26" s="401"/>
      <c r="AG26" s="401"/>
      <c r="AH26" s="401"/>
      <c r="AI26" s="401"/>
      <c r="AJ26" s="401"/>
      <c r="AK26" s="401"/>
      <c r="AL26" s="401"/>
      <c r="AM26" s="401"/>
      <c r="AN26" s="401"/>
      <c r="AO26" s="401"/>
      <c r="AP26" s="401"/>
      <c r="AV26" s="231"/>
      <c r="AW26" s="231">
        <f>IF($AV$25=2,1,0)</f>
        <v>0</v>
      </c>
      <c r="BA26" s="5" t="s">
        <v>70</v>
      </c>
      <c r="BB26" s="11">
        <v>247</v>
      </c>
      <c r="BC26" s="6" t="s">
        <v>40</v>
      </c>
      <c r="BD26" s="25" t="s">
        <v>94</v>
      </c>
      <c r="BE26" s="2" t="s">
        <v>95</v>
      </c>
      <c r="BF26" s="81"/>
      <c r="BG26" s="21"/>
      <c r="BH26" s="21"/>
      <c r="BI26" s="21">
        <v>1</v>
      </c>
      <c r="BJ26" s="75"/>
      <c r="BK26" s="74">
        <v>1</v>
      </c>
      <c r="BL26" s="28"/>
      <c r="BM26" s="28">
        <v>250000</v>
      </c>
      <c r="BN26" s="21">
        <v>5</v>
      </c>
      <c r="BO26" s="75">
        <v>35</v>
      </c>
      <c r="BP26" s="69">
        <f t="shared" si="4"/>
        <v>0</v>
      </c>
      <c r="BQ26" s="68">
        <f t="shared" si="1"/>
        <v>0</v>
      </c>
      <c r="BR26" s="68">
        <f t="shared" si="2"/>
        <v>0</v>
      </c>
      <c r="BS26" s="70">
        <f t="shared" si="3"/>
        <v>0</v>
      </c>
      <c r="BT26" s="62">
        <f>IF(SUM(BP26:BS26)=4,SUM($BT$3:BT25)+1,0)</f>
        <v>0</v>
      </c>
      <c r="BU26" s="108" t="str">
        <f t="shared" si="5"/>
        <v>Favorit Bónusz</v>
      </c>
      <c r="BV26" s="67"/>
      <c r="BW26" s="25" t="s">
        <v>44</v>
      </c>
      <c r="BX26" s="34">
        <f>+AW87</f>
        <v>0</v>
      </c>
      <c r="BY26" s="50">
        <v>1</v>
      </c>
      <c r="BZ26" s="20">
        <v>1</v>
      </c>
      <c r="CA26" s="53"/>
      <c r="CB26" s="46"/>
      <c r="CC26" s="53"/>
      <c r="CD26" s="44"/>
      <c r="CE26" s="46"/>
      <c r="CF26" s="46"/>
      <c r="CJ26" s="42"/>
      <c r="CK26" s="42"/>
      <c r="CL26" s="42"/>
      <c r="DA26">
        <v>24</v>
      </c>
      <c r="DB26" s="145" t="e">
        <f>IF(SUMPRODUCT($DD$1:$DQ$1,DD26:DQ26)*SUMPRODUCT($DR$1:$DV$1,DR26:DV26)*SUMPRODUCT($DW$1:$DX$1,DW26:DX26)&gt;0,MAX($DB$3:DB25)+1,"-")</f>
        <v>#N/A</v>
      </c>
      <c r="DC26" s="160" t="s">
        <v>184</v>
      </c>
      <c r="DD26" s="150">
        <v>1</v>
      </c>
      <c r="DE26" s="21">
        <v>1</v>
      </c>
      <c r="DF26" s="21">
        <v>1</v>
      </c>
      <c r="DG26" s="21">
        <v>1</v>
      </c>
      <c r="DH26" s="21">
        <v>1</v>
      </c>
      <c r="DI26" s="21">
        <v>1</v>
      </c>
      <c r="DJ26" s="21">
        <v>1</v>
      </c>
      <c r="DK26" s="21">
        <v>1</v>
      </c>
      <c r="DL26" s="21">
        <v>1</v>
      </c>
      <c r="DM26" s="21">
        <v>1</v>
      </c>
      <c r="DN26" s="21">
        <v>1</v>
      </c>
      <c r="DO26" s="21">
        <v>1</v>
      </c>
      <c r="DP26" s="21">
        <v>1</v>
      </c>
      <c r="DQ26" s="117"/>
      <c r="DR26" s="135"/>
      <c r="DS26" s="120">
        <v>1</v>
      </c>
      <c r="DT26" s="120"/>
      <c r="DU26" s="120"/>
      <c r="DV26" s="136"/>
      <c r="DW26" s="135">
        <v>1</v>
      </c>
      <c r="DX26" s="301"/>
      <c r="DY26" s="130">
        <v>5</v>
      </c>
      <c r="DZ26" s="163"/>
    </row>
    <row r="27" spans="1:130" ht="15" customHeight="1" thickBot="1" x14ac:dyDescent="0.3">
      <c r="A27" s="243"/>
      <c r="E27" s="245" t="s">
        <v>36</v>
      </c>
      <c r="F27" s="245"/>
      <c r="G27" s="245"/>
      <c r="H27" s="245"/>
      <c r="I27" s="245"/>
      <c r="J27" s="245"/>
      <c r="K27" s="245"/>
      <c r="L27" s="245"/>
      <c r="M27" s="245"/>
      <c r="N27" s="245"/>
      <c r="O27" s="245"/>
      <c r="P27" s="245"/>
      <c r="Q27" s="245"/>
      <c r="R27" s="245"/>
      <c r="S27" s="245"/>
      <c r="T27" s="245"/>
      <c r="U27" s="245"/>
      <c r="V27" s="245"/>
      <c r="W27" s="245"/>
      <c r="X27" s="248"/>
      <c r="Y27" s="248"/>
      <c r="Z27" s="248"/>
      <c r="AA27" s="248"/>
      <c r="AB27" s="401"/>
      <c r="AC27" s="401"/>
      <c r="AD27" s="401"/>
      <c r="AE27" s="401"/>
      <c r="AF27" s="401"/>
      <c r="AG27" s="401"/>
      <c r="AH27" s="401"/>
      <c r="AI27" s="401"/>
      <c r="AJ27" s="401"/>
      <c r="AK27" s="401"/>
      <c r="AL27" s="401"/>
      <c r="AM27" s="401"/>
      <c r="AN27" s="401"/>
      <c r="AO27" s="401"/>
      <c r="AP27" s="401"/>
      <c r="AV27" s="231"/>
      <c r="AW27" s="231">
        <f>IF($AV$25=3,1,0)</f>
        <v>0</v>
      </c>
      <c r="BA27" s="5" t="s">
        <v>81</v>
      </c>
      <c r="BB27" s="11">
        <v>269</v>
      </c>
      <c r="BC27" s="6" t="s">
        <v>40</v>
      </c>
      <c r="BD27" s="25" t="s">
        <v>96</v>
      </c>
      <c r="BE27" s="2" t="s">
        <v>97</v>
      </c>
      <c r="BF27" s="81"/>
      <c r="BG27" s="21"/>
      <c r="BH27" s="21"/>
      <c r="BI27" s="21"/>
      <c r="BJ27" s="75">
        <v>1</v>
      </c>
      <c r="BK27" s="74">
        <v>1</v>
      </c>
      <c r="BL27" s="28">
        <v>1</v>
      </c>
      <c r="BM27" s="28">
        <v>144000</v>
      </c>
      <c r="BN27" s="21">
        <v>10</v>
      </c>
      <c r="BO27" s="75">
        <v>47</v>
      </c>
      <c r="BP27" s="69">
        <f t="shared" si="4"/>
        <v>1</v>
      </c>
      <c r="BQ27" s="68">
        <f t="shared" si="1"/>
        <v>0</v>
      </c>
      <c r="BR27" s="68">
        <f t="shared" si="2"/>
        <v>0</v>
      </c>
      <c r="BS27" s="70">
        <f t="shared" si="3"/>
        <v>0</v>
      </c>
      <c r="BT27" s="62">
        <f>IF(SUM(BP27:BS27)=4,SUM($BT$3:BT26)+1,0)</f>
        <v>0</v>
      </c>
      <c r="BU27" s="108" t="str">
        <f t="shared" si="5"/>
        <v>ProLong Life</v>
      </c>
      <c r="BV27" s="67"/>
      <c r="BW27" s="25" t="s">
        <v>45</v>
      </c>
      <c r="BX27" s="34">
        <f>+AW89</f>
        <v>0</v>
      </c>
      <c r="BY27" s="50">
        <v>1</v>
      </c>
      <c r="BZ27" s="20">
        <v>1</v>
      </c>
      <c r="CA27" s="53"/>
      <c r="CB27" s="46"/>
      <c r="CC27" s="53"/>
      <c r="CD27" s="44"/>
      <c r="CE27" s="46"/>
      <c r="CF27" s="46"/>
      <c r="CJ27" s="42"/>
      <c r="CK27" s="42"/>
      <c r="CL27" s="42"/>
      <c r="DA27">
        <v>25</v>
      </c>
      <c r="DB27" s="147" t="e">
        <f>IF(SUMPRODUCT($DD$1:$DQ$1,DD27:DQ27)*SUMPRODUCT($DR$1:$DV$1,DR27:DV27)*SUMPRODUCT($DW$1:$DX$1,DW27:DX27)&gt;0,MAX($DB$3:DB26)+1,"-")</f>
        <v>#N/A</v>
      </c>
      <c r="DC27" s="162" t="s">
        <v>187</v>
      </c>
      <c r="DD27" s="152">
        <v>1</v>
      </c>
      <c r="DE27" s="114">
        <v>1</v>
      </c>
      <c r="DF27" s="114">
        <v>1</v>
      </c>
      <c r="DG27" s="114">
        <v>1</v>
      </c>
      <c r="DH27" s="114">
        <v>1</v>
      </c>
      <c r="DI27" s="114">
        <v>1</v>
      </c>
      <c r="DJ27" s="114">
        <v>1</v>
      </c>
      <c r="DK27" s="114">
        <v>1</v>
      </c>
      <c r="DL27" s="114"/>
      <c r="DM27" s="114"/>
      <c r="DN27" s="114">
        <v>1</v>
      </c>
      <c r="DO27" s="114">
        <v>1</v>
      </c>
      <c r="DP27" s="114">
        <v>1</v>
      </c>
      <c r="DQ27" s="119"/>
      <c r="DR27" s="141"/>
      <c r="DS27" s="126"/>
      <c r="DT27" s="126">
        <v>1</v>
      </c>
      <c r="DU27" s="126"/>
      <c r="DV27" s="142"/>
      <c r="DW27" s="141">
        <v>1</v>
      </c>
      <c r="DX27" s="304"/>
      <c r="DY27" s="133">
        <v>5</v>
      </c>
      <c r="DZ27" s="163"/>
    </row>
    <row r="28" spans="1:130" ht="15" customHeight="1" x14ac:dyDescent="0.25">
      <c r="A28" s="243"/>
      <c r="E28" s="245" t="s">
        <v>37</v>
      </c>
      <c r="F28" s="245"/>
      <c r="G28" s="245"/>
      <c r="H28" s="245"/>
      <c r="I28" s="245"/>
      <c r="J28" s="245"/>
      <c r="K28" s="245"/>
      <c r="L28" s="245"/>
      <c r="M28" s="245"/>
      <c r="N28" s="245"/>
      <c r="O28" s="245"/>
      <c r="P28" s="245"/>
      <c r="Q28" s="245"/>
      <c r="R28" s="245"/>
      <c r="S28" s="245"/>
      <c r="T28" s="245"/>
      <c r="U28" s="245"/>
      <c r="V28" s="245"/>
      <c r="W28" s="245"/>
      <c r="X28" s="248"/>
      <c r="Y28" s="248"/>
      <c r="Z28" s="248"/>
      <c r="AA28" s="248"/>
      <c r="AB28" s="401"/>
      <c r="AC28" s="401"/>
      <c r="AD28" s="401"/>
      <c r="AE28" s="401"/>
      <c r="AF28" s="401"/>
      <c r="AG28" s="401"/>
      <c r="AH28" s="401"/>
      <c r="AI28" s="401"/>
      <c r="AJ28" s="401"/>
      <c r="AK28" s="401"/>
      <c r="AL28" s="401"/>
      <c r="AM28" s="401"/>
      <c r="AN28" s="401"/>
      <c r="AO28" s="401"/>
      <c r="AP28" s="401"/>
      <c r="AT28" s="1"/>
      <c r="AV28" s="231"/>
      <c r="AW28" s="231">
        <f>IF($AV$25=4,1,0)</f>
        <v>0</v>
      </c>
      <c r="BA28" s="5" t="s">
        <v>68</v>
      </c>
      <c r="BB28" s="11">
        <v>252</v>
      </c>
      <c r="BC28" s="6" t="s">
        <v>40</v>
      </c>
      <c r="BD28" s="2" t="s">
        <v>94</v>
      </c>
      <c r="BE28" s="2" t="s">
        <v>97</v>
      </c>
      <c r="BF28" s="81"/>
      <c r="BG28" s="21"/>
      <c r="BH28" s="21">
        <v>1</v>
      </c>
      <c r="BI28" s="21"/>
      <c r="BJ28" s="75">
        <v>1</v>
      </c>
      <c r="BK28" s="74">
        <v>1</v>
      </c>
      <c r="BL28" s="28">
        <v>1</v>
      </c>
      <c r="BM28" s="28">
        <v>120000</v>
      </c>
      <c r="BN28" s="21">
        <v>10</v>
      </c>
      <c r="BO28" s="75">
        <v>35</v>
      </c>
      <c r="BP28" s="69">
        <f t="shared" si="4"/>
        <v>1</v>
      </c>
      <c r="BQ28" s="68">
        <f t="shared" si="1"/>
        <v>0</v>
      </c>
      <c r="BR28" s="68">
        <f t="shared" si="2"/>
        <v>0</v>
      </c>
      <c r="BS28" s="70">
        <f t="shared" si="3"/>
        <v>0</v>
      </c>
      <c r="BT28" s="62">
        <f>IF(SUM(BP28:BS28)=4,SUM($BT$3:BT27)+1,0)</f>
        <v>0</v>
      </c>
      <c r="BU28" s="108" t="str">
        <f t="shared" si="5"/>
        <v>Bonus Five</v>
      </c>
      <c r="BV28" s="40"/>
      <c r="BW28" s="32" t="s">
        <v>46</v>
      </c>
      <c r="BX28" s="35">
        <f>+AW91</f>
        <v>0</v>
      </c>
      <c r="BY28" s="51">
        <v>1</v>
      </c>
      <c r="BZ28" s="18">
        <v>1</v>
      </c>
      <c r="CA28" s="54"/>
      <c r="CB28" s="48"/>
      <c r="CC28" s="54"/>
      <c r="CD28" s="47"/>
      <c r="CE28" s="48"/>
      <c r="CF28" s="48"/>
      <c r="CJ28" s="42"/>
      <c r="CK28" s="42"/>
      <c r="CL28" s="42"/>
      <c r="CR28" s="27"/>
      <c r="DA28">
        <v>26</v>
      </c>
      <c r="DB28" s="145" t="e">
        <f>IF(SUMPRODUCT($DD$1:$DQ$1,DD28:DQ28)*SUMPRODUCT($DR$1:$DV$1,DR28:DV28)*SUMPRODUCT($DW$1:$DX$1,DW28:DX28)&gt;0,MAX($DB$3:DB27)+1,"-")</f>
        <v>#N/A</v>
      </c>
      <c r="DC28" s="160" t="s">
        <v>180</v>
      </c>
      <c r="DD28" s="150">
        <v>1</v>
      </c>
      <c r="DE28" s="21">
        <v>1</v>
      </c>
      <c r="DF28" s="21">
        <v>1</v>
      </c>
      <c r="DG28" s="21">
        <v>1</v>
      </c>
      <c r="DH28" s="21">
        <v>1</v>
      </c>
      <c r="DI28" s="21">
        <v>1</v>
      </c>
      <c r="DJ28" s="21">
        <v>1</v>
      </c>
      <c r="DK28" s="21">
        <v>1</v>
      </c>
      <c r="DL28" s="21">
        <v>1</v>
      </c>
      <c r="DM28" s="21">
        <v>1</v>
      </c>
      <c r="DN28" s="21">
        <v>1</v>
      </c>
      <c r="DO28" s="21">
        <v>1</v>
      </c>
      <c r="DP28" s="21">
        <v>1</v>
      </c>
      <c r="DQ28" s="117"/>
      <c r="DR28" s="135"/>
      <c r="DS28" s="120">
        <v>1</v>
      </c>
      <c r="DT28" s="120"/>
      <c r="DU28" s="120"/>
      <c r="DV28" s="136"/>
      <c r="DW28" s="135">
        <v>1</v>
      </c>
      <c r="DX28" s="301"/>
      <c r="DY28" s="130">
        <v>6</v>
      </c>
      <c r="DZ28" s="163"/>
    </row>
    <row r="29" spans="1:130" ht="15" customHeight="1" thickBot="1" x14ac:dyDescent="0.3">
      <c r="Y29" s="249"/>
      <c r="AV29" s="231"/>
      <c r="AW29" s="231"/>
      <c r="BA29" s="5" t="s">
        <v>68</v>
      </c>
      <c r="BB29" s="11">
        <v>252</v>
      </c>
      <c r="BC29" s="6" t="s">
        <v>40</v>
      </c>
      <c r="BD29" s="2" t="s">
        <v>41</v>
      </c>
      <c r="BE29" s="2" t="s">
        <v>97</v>
      </c>
      <c r="BF29" s="82"/>
      <c r="BG29" s="83"/>
      <c r="BH29" s="83">
        <v>1</v>
      </c>
      <c r="BI29" s="83"/>
      <c r="BJ29" s="84">
        <v>1</v>
      </c>
      <c r="BK29" s="77">
        <v>1</v>
      </c>
      <c r="BL29" s="78">
        <v>1</v>
      </c>
      <c r="BM29" s="79">
        <v>120000</v>
      </c>
      <c r="BN29" s="79"/>
      <c r="BO29" s="80"/>
      <c r="BP29" s="71">
        <f t="shared" si="4"/>
        <v>1</v>
      </c>
      <c r="BQ29" s="72">
        <f t="shared" si="1"/>
        <v>0</v>
      </c>
      <c r="BR29" s="72">
        <f t="shared" si="2"/>
        <v>0</v>
      </c>
      <c r="BS29" s="73">
        <f t="shared" si="3"/>
        <v>0</v>
      </c>
      <c r="BT29" s="63">
        <f>IF(SUM(BP29:BS29)=4,SUM($BT$3:BT28)+1,0)</f>
        <v>0</v>
      </c>
      <c r="BU29" s="108" t="str">
        <f t="shared" si="5"/>
        <v>Bonus Five</v>
      </c>
      <c r="BV29" s="66">
        <v>11</v>
      </c>
      <c r="BW29" s="31" t="s">
        <v>43</v>
      </c>
      <c r="BX29" s="33">
        <f>+AW95</f>
        <v>0</v>
      </c>
      <c r="BY29" s="49"/>
      <c r="BZ29" s="23">
        <v>1</v>
      </c>
      <c r="CA29" s="52"/>
      <c r="CB29" s="45"/>
      <c r="CC29" s="52"/>
      <c r="CD29" s="43"/>
      <c r="CE29" s="45"/>
      <c r="CF29" s="45"/>
      <c r="CJ29" s="42"/>
      <c r="CK29" s="42"/>
      <c r="CL29" s="42"/>
      <c r="DA29">
        <v>27</v>
      </c>
      <c r="DB29" s="145" t="e">
        <f>IF(SUMPRODUCT($DD$1:$DQ$1,DD29:DQ29)*SUMPRODUCT($DR$1:$DV$1,DR29:DV29)*SUMPRODUCT($DW$1:$DX$1,DW29:DX29)&gt;0,MAX($DB$3:DB28)+1,"-")</f>
        <v>#N/A</v>
      </c>
      <c r="DC29" s="160" t="s">
        <v>185</v>
      </c>
      <c r="DD29" s="150"/>
      <c r="DE29" s="21"/>
      <c r="DF29" s="21"/>
      <c r="DG29" s="21"/>
      <c r="DH29" s="21"/>
      <c r="DI29" s="21"/>
      <c r="DJ29" s="21"/>
      <c r="DK29" s="21"/>
      <c r="DL29" s="21"/>
      <c r="DM29" s="21"/>
      <c r="DN29" s="21">
        <v>1</v>
      </c>
      <c r="DO29" s="21">
        <v>1</v>
      </c>
      <c r="DP29" s="21">
        <v>1</v>
      </c>
      <c r="DQ29" s="117"/>
      <c r="DR29" s="135"/>
      <c r="DS29" s="120">
        <v>1</v>
      </c>
      <c r="DT29" s="120"/>
      <c r="DU29" s="120"/>
      <c r="DV29" s="136"/>
      <c r="DW29" s="135">
        <v>1</v>
      </c>
      <c r="DX29" s="301"/>
      <c r="DY29" s="130">
        <v>6</v>
      </c>
      <c r="DZ29" s="163"/>
    </row>
    <row r="30" spans="1:130" ht="15" customHeight="1" thickBot="1" x14ac:dyDescent="0.3">
      <c r="B30" s="250" t="s">
        <v>8</v>
      </c>
      <c r="C30" s="251"/>
      <c r="D30" s="364" t="s">
        <v>9</v>
      </c>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6"/>
      <c r="AU30" s="2">
        <f>IF(OR(AV32=0,I33=""),1,0)</f>
        <v>1</v>
      </c>
      <c r="AV30" s="231"/>
      <c r="AW30" s="231"/>
      <c r="BV30" s="67"/>
      <c r="BW30" s="25" t="s">
        <v>44</v>
      </c>
      <c r="BX30" s="34">
        <f>+AW97</f>
        <v>0</v>
      </c>
      <c r="BY30" s="50">
        <v>1</v>
      </c>
      <c r="BZ30" s="20">
        <v>1</v>
      </c>
      <c r="CA30" s="53"/>
      <c r="CB30" s="46"/>
      <c r="CC30" s="53"/>
      <c r="CD30" s="44"/>
      <c r="CE30" s="46"/>
      <c r="CF30" s="46"/>
      <c r="CJ30" s="42"/>
      <c r="DA30">
        <v>28</v>
      </c>
      <c r="DB30" s="146" t="e">
        <f>IF(SUMPRODUCT($DD$1:$DQ$1,DD30:DQ30)*SUMPRODUCT($DR$1:$DV$1,DR30:DV30)*SUMPRODUCT($DW$1:$DX$1,DW30:DX30)&gt;0,MAX($DB$3:DB29)+1,"-")</f>
        <v>#N/A</v>
      </c>
      <c r="DC30" s="161" t="s">
        <v>190</v>
      </c>
      <c r="DD30" s="151">
        <v>1</v>
      </c>
      <c r="DE30" s="83">
        <v>1</v>
      </c>
      <c r="DF30" s="83">
        <v>1</v>
      </c>
      <c r="DG30" s="83">
        <v>1</v>
      </c>
      <c r="DH30" s="83">
        <v>1</v>
      </c>
      <c r="DI30" s="83">
        <v>1</v>
      </c>
      <c r="DJ30" s="83">
        <v>1</v>
      </c>
      <c r="DK30" s="83">
        <v>1</v>
      </c>
      <c r="DL30" s="83">
        <v>1</v>
      </c>
      <c r="DM30" s="83">
        <v>1</v>
      </c>
      <c r="DN30" s="83">
        <v>1</v>
      </c>
      <c r="DO30" s="83">
        <v>1</v>
      </c>
      <c r="DP30" s="83">
        <v>1</v>
      </c>
      <c r="DQ30" s="118"/>
      <c r="DR30" s="143"/>
      <c r="DS30" s="125">
        <v>1</v>
      </c>
      <c r="DT30" s="125"/>
      <c r="DU30" s="125"/>
      <c r="DV30" s="140"/>
      <c r="DW30" s="143">
        <v>1</v>
      </c>
      <c r="DX30" s="302"/>
      <c r="DY30" s="131">
        <v>6</v>
      </c>
      <c r="DZ30" s="163"/>
    </row>
    <row r="31" spans="1:130" ht="15" customHeight="1" x14ac:dyDescent="0.25">
      <c r="B31" s="252"/>
      <c r="C31" s="251"/>
      <c r="D31" s="367"/>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9"/>
      <c r="AV31" s="231"/>
      <c r="AW31" s="231"/>
      <c r="BC31" s="5" t="s">
        <v>269</v>
      </c>
      <c r="BD31" t="str">
        <f>IF(AW25=1,"H",IF(AW26=1,"NY",IF(AW27=1,"WL","")))</f>
        <v/>
      </c>
      <c r="BI31" s="5"/>
      <c r="BL31" s="8"/>
      <c r="BM31" s="8"/>
      <c r="BN31" s="8"/>
      <c r="BO31" s="8"/>
      <c r="BP31" s="8"/>
      <c r="BQ31" s="8"/>
      <c r="BR31" s="8"/>
      <c r="BS31" s="8"/>
      <c r="BT31" s="8"/>
      <c r="BU31" s="9"/>
      <c r="BV31" s="67"/>
      <c r="BW31" s="25" t="s">
        <v>45</v>
      </c>
      <c r="BX31" s="34">
        <f>+AW98</f>
        <v>0</v>
      </c>
      <c r="BY31" s="50">
        <v>1</v>
      </c>
      <c r="BZ31" s="20">
        <v>1</v>
      </c>
      <c r="CA31" s="53"/>
      <c r="CB31" s="46"/>
      <c r="CC31" s="53"/>
      <c r="CD31" s="44"/>
      <c r="CE31" s="46"/>
      <c r="CF31" s="46"/>
      <c r="CJ31" s="42"/>
    </row>
    <row r="32" spans="1:130" ht="15" customHeight="1" x14ac:dyDescent="0.25">
      <c r="B32" s="252"/>
      <c r="C32" s="251"/>
      <c r="D32" s="253"/>
      <c r="E32" s="253"/>
      <c r="F32" s="253"/>
      <c r="G32" s="253"/>
      <c r="H32" s="253"/>
      <c r="I32" s="253"/>
      <c r="J32" s="253"/>
      <c r="K32" s="253"/>
      <c r="L32" s="253"/>
      <c r="M32" s="253"/>
      <c r="N32" s="253"/>
      <c r="P32" s="249" t="s">
        <v>103</v>
      </c>
      <c r="Q32" s="253"/>
      <c r="R32" s="253"/>
      <c r="S32" s="253"/>
      <c r="T32" s="253"/>
      <c r="U32" s="253"/>
      <c r="V32" s="253"/>
      <c r="W32" s="253"/>
      <c r="X32" s="254"/>
      <c r="Y32" s="254"/>
      <c r="Z32" s="253"/>
      <c r="AA32" s="253"/>
      <c r="AB32" s="402" t="str">
        <f>IF(BD33&lt;BD32,"Figyelem! A megadott díj alacsonyabb, mint a termékkínálat alapján várható minimumdíj összege!","")</f>
        <v/>
      </c>
      <c r="AC32" s="402"/>
      <c r="AD32" s="402"/>
      <c r="AE32" s="402"/>
      <c r="AF32" s="402"/>
      <c r="AG32" s="402"/>
      <c r="AH32" s="402"/>
      <c r="AI32" s="402"/>
      <c r="AJ32" s="402"/>
      <c r="AK32" s="402"/>
      <c r="AL32" s="402"/>
      <c r="AM32" s="402"/>
      <c r="AN32" s="402"/>
      <c r="AO32" s="402"/>
      <c r="AP32" s="402"/>
      <c r="AV32" s="231">
        <v>0</v>
      </c>
      <c r="AW32" s="231">
        <f>IF($AV$32=1,1,0)</f>
        <v>0</v>
      </c>
      <c r="AX32" t="s">
        <v>12</v>
      </c>
      <c r="AY32">
        <v>12</v>
      </c>
      <c r="BC32" s="5" t="s">
        <v>270</v>
      </c>
      <c r="BD32" s="312">
        <f>_xlfn.MINIFS(BM3:BM29,BP3:BP29,"=1",BR3:BR29,"=1",BD3:BD29,"="&amp;BD31,BK3:BK29,"=1")</f>
        <v>0</v>
      </c>
      <c r="BK32" s="7"/>
      <c r="BP32" s="5" t="s">
        <v>259</v>
      </c>
      <c r="BQ32" s="36" t="str">
        <f>IF(BY33=BY34,BY2,IF(BZ33=BZ34,BZ2,"HIBA"))</f>
        <v>HIBA</v>
      </c>
      <c r="BV32" s="40"/>
      <c r="BW32" s="32" t="s">
        <v>46</v>
      </c>
      <c r="BX32" s="35">
        <f>+AW99</f>
        <v>0</v>
      </c>
      <c r="BY32" s="51">
        <v>1</v>
      </c>
      <c r="BZ32" s="18">
        <v>1</v>
      </c>
      <c r="CA32" s="54"/>
      <c r="CB32" s="48"/>
      <c r="CC32" s="54"/>
      <c r="CD32" s="47"/>
      <c r="CE32" s="48"/>
      <c r="CF32" s="48"/>
      <c r="CJ32" s="42"/>
    </row>
    <row r="33" spans="1:104" ht="15" customHeight="1" x14ac:dyDescent="0.25">
      <c r="D33" s="249"/>
      <c r="E33" s="249"/>
      <c r="F33" s="249"/>
      <c r="G33" s="249"/>
      <c r="H33" s="255" t="s">
        <v>10</v>
      </c>
      <c r="I33" s="386"/>
      <c r="J33" s="387"/>
      <c r="K33" s="387"/>
      <c r="L33" s="388"/>
      <c r="M33" s="256" t="s">
        <v>11</v>
      </c>
      <c r="N33" s="257" t="s">
        <v>2</v>
      </c>
      <c r="O33" s="249"/>
      <c r="P33" s="249" t="s">
        <v>104</v>
      </c>
      <c r="Q33" s="249"/>
      <c r="R33" s="249"/>
      <c r="S33" s="249"/>
      <c r="V33" s="399" t="s">
        <v>107</v>
      </c>
      <c r="W33" s="399"/>
      <c r="X33" s="399"/>
      <c r="Y33" s="399"/>
      <c r="AB33" s="403"/>
      <c r="AC33" s="403"/>
      <c r="AD33" s="403"/>
      <c r="AE33" s="403"/>
      <c r="AF33" s="403"/>
      <c r="AG33" s="403"/>
      <c r="AH33" s="403"/>
      <c r="AI33" s="403"/>
      <c r="AJ33" s="403"/>
      <c r="AK33" s="403"/>
      <c r="AL33" s="403"/>
      <c r="AM33" s="403"/>
      <c r="AN33" s="403"/>
      <c r="AO33" s="403"/>
      <c r="AP33" s="403"/>
      <c r="AV33" s="231"/>
      <c r="AW33" s="231">
        <f>IF($AV$32=2,1,0)</f>
        <v>0</v>
      </c>
      <c r="AX33" t="s">
        <v>13</v>
      </c>
      <c r="AY33">
        <v>4</v>
      </c>
      <c r="BB33" s="5"/>
      <c r="BC33" s="5" t="s">
        <v>271</v>
      </c>
      <c r="BD33" s="313">
        <f>SUMPRODUCT(AW32:AW36,AY32:AY36)*I33</f>
        <v>0</v>
      </c>
      <c r="BK33" s="7"/>
      <c r="BP33" s="5" t="s">
        <v>260</v>
      </c>
      <c r="BQ33" s="36" t="str">
        <f>IF(CA33=CA34,CA2,IF(CB33=CB34,CB2,"HIBA"))</f>
        <v>HIBA</v>
      </c>
      <c r="BX33" s="56" t="s">
        <v>146</v>
      </c>
      <c r="BY33" s="57">
        <f t="shared" ref="BY33:CF33" si="8">SUMPRODUCT($BX$3:$BX$32,BY3:BY32)</f>
        <v>0</v>
      </c>
      <c r="BZ33" s="26">
        <f t="shared" si="8"/>
        <v>0</v>
      </c>
      <c r="CA33" s="57">
        <f t="shared" si="8"/>
        <v>0</v>
      </c>
      <c r="CB33" s="15">
        <f t="shared" si="8"/>
        <v>0</v>
      </c>
      <c r="CC33" s="57">
        <f t="shared" si="8"/>
        <v>0</v>
      </c>
      <c r="CD33" s="26">
        <f t="shared" si="8"/>
        <v>0</v>
      </c>
      <c r="CE33" s="15">
        <f t="shared" si="8"/>
        <v>0</v>
      </c>
      <c r="CF33" s="15">
        <f t="shared" si="8"/>
        <v>0</v>
      </c>
      <c r="CJ33" s="42"/>
    </row>
    <row r="34" spans="1:104" ht="15" customHeight="1" x14ac:dyDescent="0.25">
      <c r="B34" s="252"/>
      <c r="C34" s="251"/>
      <c r="D34" s="254"/>
      <c r="E34" s="254"/>
      <c r="F34" s="254"/>
      <c r="G34" s="249"/>
      <c r="O34" s="254"/>
      <c r="P34" s="249" t="s">
        <v>105</v>
      </c>
      <c r="Q34" s="249"/>
      <c r="R34" s="254"/>
      <c r="S34" s="254"/>
      <c r="V34" s="399"/>
      <c r="W34" s="399"/>
      <c r="X34" s="399"/>
      <c r="Y34" s="399"/>
      <c r="AB34" s="403"/>
      <c r="AC34" s="403"/>
      <c r="AD34" s="403"/>
      <c r="AE34" s="403"/>
      <c r="AF34" s="403"/>
      <c r="AG34" s="403"/>
      <c r="AH34" s="403"/>
      <c r="AI34" s="403"/>
      <c r="AJ34" s="403"/>
      <c r="AK34" s="403"/>
      <c r="AL34" s="403"/>
      <c r="AM34" s="403"/>
      <c r="AN34" s="403"/>
      <c r="AO34" s="403"/>
      <c r="AP34" s="403"/>
      <c r="AV34" s="231"/>
      <c r="AW34" s="231">
        <f>IF($AV$32=3,1,0)</f>
        <v>0</v>
      </c>
      <c r="AX34" t="s">
        <v>14</v>
      </c>
      <c r="AY34">
        <v>2</v>
      </c>
      <c r="BB34" s="5"/>
      <c r="BF34" s="5"/>
      <c r="BK34" s="7"/>
      <c r="BL34" s="8"/>
      <c r="BM34" s="8"/>
      <c r="BN34" s="8"/>
      <c r="BO34" s="8"/>
      <c r="BP34" s="64" t="s">
        <v>261</v>
      </c>
      <c r="BQ34" s="41" t="str">
        <f>IF(CC33=CC34,CC2,IF(CD33=CD34,CD2,IF(CE33=CE34,CE2,"HIBA")))</f>
        <v>HIBA</v>
      </c>
      <c r="BR34" s="8"/>
      <c r="BS34" s="8"/>
      <c r="BT34" s="8"/>
      <c r="BU34" s="8"/>
      <c r="BV34" s="8"/>
      <c r="BW34" s="8"/>
      <c r="BX34" s="65" t="s">
        <v>147</v>
      </c>
      <c r="BY34" s="58">
        <v>5</v>
      </c>
      <c r="BZ34" s="59">
        <v>5</v>
      </c>
      <c r="CA34" s="60">
        <v>1</v>
      </c>
      <c r="CB34" s="19">
        <v>1</v>
      </c>
      <c r="CC34" s="60">
        <v>2</v>
      </c>
      <c r="CD34" s="30">
        <v>2</v>
      </c>
      <c r="CE34" s="19">
        <v>2</v>
      </c>
      <c r="CF34" s="19">
        <v>1</v>
      </c>
      <c r="CJ34" s="42"/>
    </row>
    <row r="35" spans="1:104" ht="15" customHeight="1" x14ac:dyDescent="0.25">
      <c r="A35" s="243"/>
      <c r="D35" s="249"/>
      <c r="E35" s="249"/>
      <c r="F35" s="249"/>
      <c r="G35" s="249"/>
      <c r="H35" s="249"/>
      <c r="J35" s="249"/>
      <c r="K35" s="249"/>
      <c r="L35" s="249"/>
      <c r="M35" s="249"/>
      <c r="N35" s="249"/>
      <c r="O35" s="249"/>
      <c r="P35" s="249" t="s">
        <v>106</v>
      </c>
      <c r="Q35" s="249"/>
      <c r="R35" s="249"/>
      <c r="S35" s="249"/>
      <c r="AB35" s="403"/>
      <c r="AC35" s="403"/>
      <c r="AD35" s="403"/>
      <c r="AE35" s="403"/>
      <c r="AF35" s="403"/>
      <c r="AG35" s="403"/>
      <c r="AH35" s="403"/>
      <c r="AI35" s="403"/>
      <c r="AJ35" s="403"/>
      <c r="AK35" s="403"/>
      <c r="AL35" s="403"/>
      <c r="AM35" s="403"/>
      <c r="AN35" s="403"/>
      <c r="AO35" s="403"/>
      <c r="AP35" s="403"/>
      <c r="AV35" s="231"/>
      <c r="AW35" s="231">
        <f>IF($AV$32=4,1,0)</f>
        <v>0</v>
      </c>
      <c r="AX35" t="s">
        <v>15</v>
      </c>
      <c r="AY35">
        <v>1</v>
      </c>
      <c r="BB35" s="5"/>
      <c r="BF35" s="5"/>
    </row>
    <row r="36" spans="1:104" ht="15" customHeight="1" x14ac:dyDescent="0.25">
      <c r="A36" s="243"/>
      <c r="B36" s="393" t="s">
        <v>19</v>
      </c>
      <c r="C36" s="393"/>
      <c r="D36" s="393"/>
      <c r="E36" s="393"/>
      <c r="F36" s="393"/>
      <c r="G36" s="393"/>
      <c r="H36" s="393"/>
      <c r="I36" s="393"/>
      <c r="J36" s="393"/>
      <c r="K36" s="393"/>
      <c r="L36" s="393"/>
      <c r="M36" s="393"/>
      <c r="N36" s="393"/>
      <c r="AV36" s="231"/>
      <c r="AW36" s="231">
        <f>IF($AV$32=5,1,0)</f>
        <v>0</v>
      </c>
      <c r="AX36" t="s">
        <v>16</v>
      </c>
      <c r="AY36">
        <v>1</v>
      </c>
      <c r="BB36" s="5"/>
      <c r="BF36" s="5"/>
    </row>
    <row r="37" spans="1:104" ht="15" customHeight="1" x14ac:dyDescent="0.25">
      <c r="A37" s="243"/>
      <c r="B37" s="393"/>
      <c r="C37" s="393"/>
      <c r="D37" s="393"/>
      <c r="E37" s="393"/>
      <c r="F37" s="393"/>
      <c r="G37" s="393"/>
      <c r="H37" s="393"/>
      <c r="I37" s="393"/>
      <c r="J37" s="393"/>
      <c r="K37" s="393"/>
      <c r="L37" s="393"/>
      <c r="M37" s="393"/>
      <c r="N37" s="393"/>
      <c r="AV37" s="231"/>
      <c r="AW37" s="231"/>
      <c r="BB37" s="5"/>
      <c r="BF37" s="5"/>
    </row>
    <row r="38" spans="1:104" ht="15" customHeight="1" x14ac:dyDescent="0.25">
      <c r="A38" s="243"/>
      <c r="B38" s="239" t="s">
        <v>20</v>
      </c>
      <c r="D38" s="374" t="s">
        <v>102</v>
      </c>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6"/>
      <c r="AU38" s="2">
        <f>IF(AV39=0,1,0)</f>
        <v>1</v>
      </c>
      <c r="AV38" s="231"/>
      <c r="AW38" s="231"/>
    </row>
    <row r="39" spans="1:104" ht="15" customHeight="1" x14ac:dyDescent="0.25">
      <c r="B39" s="239"/>
      <c r="E39" s="244" t="s">
        <v>101</v>
      </c>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V39" s="231">
        <v>0</v>
      </c>
      <c r="AW39" s="231">
        <f>IF($AV$39=1,1,0)</f>
        <v>0</v>
      </c>
      <c r="CL39" s="12"/>
      <c r="CM39" s="12"/>
    </row>
    <row r="40" spans="1:104" ht="15" customHeight="1" x14ac:dyDescent="0.25">
      <c r="B40" s="239"/>
      <c r="E40" s="245" t="s">
        <v>100</v>
      </c>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V40" s="231"/>
      <c r="AW40" s="231">
        <f>IF($AV$39=2,1,0)</f>
        <v>0</v>
      </c>
      <c r="CL40" s="12"/>
      <c r="CM40" s="12"/>
    </row>
    <row r="41" spans="1:104" ht="15" customHeight="1" x14ac:dyDescent="0.25">
      <c r="A41" s="243"/>
      <c r="B41" s="239"/>
      <c r="AV41" s="231"/>
      <c r="AW41" s="231"/>
      <c r="CL41" s="12"/>
      <c r="CM41" s="12"/>
    </row>
    <row r="42" spans="1:104" ht="15" customHeight="1" x14ac:dyDescent="0.25">
      <c r="B42" s="239" t="s">
        <v>21</v>
      </c>
      <c r="D42" s="374" t="s">
        <v>38</v>
      </c>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6"/>
      <c r="AU42" s="2">
        <f>IF(OR(AV43=0,AND(AW46=1,J46=""),AND(AW43=1,AW26=0),AND(AW43=0,AW26=1)),1,0)</f>
        <v>1</v>
      </c>
      <c r="AV42" s="231"/>
      <c r="AW42" s="231"/>
      <c r="CL42" s="12"/>
      <c r="CM42" s="12"/>
    </row>
    <row r="43" spans="1:104" ht="15" customHeight="1" x14ac:dyDescent="0.25">
      <c r="B43" s="239"/>
      <c r="E43" s="244" t="s">
        <v>22</v>
      </c>
      <c r="F43" s="244"/>
      <c r="G43" s="244"/>
      <c r="H43" s="244"/>
      <c r="I43" s="244"/>
      <c r="J43" s="244"/>
      <c r="K43" s="244"/>
      <c r="L43" s="244"/>
      <c r="M43" s="244"/>
      <c r="N43" s="244"/>
      <c r="O43" s="244"/>
      <c r="P43" s="244"/>
      <c r="Q43" s="244"/>
      <c r="R43" s="244"/>
      <c r="S43" s="244"/>
      <c r="T43" s="244"/>
      <c r="U43" s="244"/>
      <c r="V43" s="244"/>
      <c r="W43" s="244"/>
      <c r="X43" s="400" t="str">
        <f>IF(AND(AW43=1,AV43&lt;&gt;0,AW26=0),"A választott megtakarítási cél csak nyugdíjkorhatárig terjedő tartammal valósítható meg (2. kérdés)!",IF(AND(AW43=0,AV43&lt;&gt;0,AW26=1),"A választott befektetési cél ellentmond a megjelölt, nyugdíjkorhatárig terjedő tartamnak (2. kérdés )!",""))</f>
        <v/>
      </c>
      <c r="Y43" s="400"/>
      <c r="Z43" s="400"/>
      <c r="AA43" s="400"/>
      <c r="AB43" s="400"/>
      <c r="AC43" s="400"/>
      <c r="AD43" s="400"/>
      <c r="AE43" s="400"/>
      <c r="AF43" s="400"/>
      <c r="AG43" s="400"/>
      <c r="AH43" s="400"/>
      <c r="AI43" s="400"/>
      <c r="AJ43" s="400"/>
      <c r="AK43" s="400"/>
      <c r="AL43" s="400"/>
      <c r="AM43" s="400"/>
      <c r="AN43" s="400"/>
      <c r="AO43" s="400"/>
      <c r="AV43" s="231">
        <v>0</v>
      </c>
      <c r="AW43" s="231">
        <f>IF($AV$43=1,1,0)</f>
        <v>0</v>
      </c>
      <c r="CL43" s="115"/>
      <c r="CM43" s="115"/>
      <c r="CN43" s="112"/>
      <c r="CO43" s="112"/>
      <c r="CP43" s="112"/>
      <c r="CQ43" s="112"/>
      <c r="CR43" s="112"/>
      <c r="CS43" s="112"/>
      <c r="CT43" s="112"/>
      <c r="CU43" s="112"/>
      <c r="CV43" s="112"/>
      <c r="CW43" s="112"/>
      <c r="CX43" s="112"/>
      <c r="CY43" s="112"/>
      <c r="CZ43" s="112"/>
    </row>
    <row r="44" spans="1:104" ht="15" customHeight="1" x14ac:dyDescent="0.25">
      <c r="B44" s="239"/>
      <c r="E44" s="245" t="s">
        <v>23</v>
      </c>
      <c r="F44" s="245"/>
      <c r="G44" s="245"/>
      <c r="H44" s="245"/>
      <c r="I44" s="245"/>
      <c r="J44" s="245"/>
      <c r="K44" s="245"/>
      <c r="L44" s="245"/>
      <c r="M44" s="245"/>
      <c r="N44" s="245"/>
      <c r="O44" s="245"/>
      <c r="P44" s="245"/>
      <c r="Q44" s="245"/>
      <c r="R44" s="245"/>
      <c r="S44" s="245"/>
      <c r="T44" s="245"/>
      <c r="U44" s="245"/>
      <c r="V44" s="245"/>
      <c r="W44" s="245"/>
      <c r="X44" s="401"/>
      <c r="Y44" s="401"/>
      <c r="Z44" s="401"/>
      <c r="AA44" s="401"/>
      <c r="AB44" s="401"/>
      <c r="AC44" s="401"/>
      <c r="AD44" s="401"/>
      <c r="AE44" s="401"/>
      <c r="AF44" s="401"/>
      <c r="AG44" s="401"/>
      <c r="AH44" s="401"/>
      <c r="AI44" s="401"/>
      <c r="AJ44" s="401"/>
      <c r="AK44" s="401"/>
      <c r="AL44" s="401"/>
      <c r="AM44" s="401"/>
      <c r="AN44" s="401"/>
      <c r="AO44" s="401"/>
      <c r="AV44" s="231"/>
      <c r="AW44" s="231">
        <f>IF($AV$43=2,1,0)</f>
        <v>0</v>
      </c>
      <c r="CL44" s="12"/>
      <c r="CM44" s="12"/>
    </row>
    <row r="45" spans="1:104" ht="15" customHeight="1" x14ac:dyDescent="0.25">
      <c r="B45" s="239"/>
      <c r="E45" s="245" t="s">
        <v>24</v>
      </c>
      <c r="F45" s="245"/>
      <c r="G45" s="245"/>
      <c r="H45" s="245"/>
      <c r="I45" s="245"/>
      <c r="J45" s="245"/>
      <c r="K45" s="245"/>
      <c r="L45" s="245"/>
      <c r="M45" s="245"/>
      <c r="N45" s="245"/>
      <c r="O45" s="245"/>
      <c r="P45" s="245"/>
      <c r="Q45" s="245"/>
      <c r="R45" s="245"/>
      <c r="S45" s="245"/>
      <c r="T45" s="245"/>
      <c r="U45" s="245"/>
      <c r="V45" s="245"/>
      <c r="W45" s="245"/>
      <c r="X45" s="432"/>
      <c r="Y45" s="432"/>
      <c r="Z45" s="432"/>
      <c r="AA45" s="432"/>
      <c r="AB45" s="432"/>
      <c r="AC45" s="432"/>
      <c r="AD45" s="432"/>
      <c r="AE45" s="432"/>
      <c r="AF45" s="432"/>
      <c r="AG45" s="432"/>
      <c r="AH45" s="432"/>
      <c r="AI45" s="432"/>
      <c r="AJ45" s="432"/>
      <c r="AK45" s="432"/>
      <c r="AL45" s="432"/>
      <c r="AM45" s="432"/>
      <c r="AN45" s="432"/>
      <c r="AO45" s="432"/>
      <c r="AV45" s="231"/>
      <c r="AW45" s="231">
        <f>IF($AV$43=3,1,0)</f>
        <v>0</v>
      </c>
      <c r="CL45" s="12"/>
      <c r="CM45" s="12"/>
    </row>
    <row r="46" spans="1:104" ht="15" customHeight="1" x14ac:dyDescent="0.25">
      <c r="B46" s="239"/>
      <c r="E46" s="232" t="s">
        <v>25</v>
      </c>
      <c r="J46" s="396"/>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8"/>
      <c r="AV46" s="231"/>
      <c r="AW46" s="231">
        <f>IF($AV$43=4,1,0)</f>
        <v>0</v>
      </c>
      <c r="CL46" s="12"/>
      <c r="CM46" s="12"/>
    </row>
    <row r="47" spans="1:104" ht="15" customHeight="1" x14ac:dyDescent="0.25">
      <c r="B47" s="239"/>
      <c r="AV47" s="231"/>
      <c r="AW47" s="231"/>
      <c r="AY47" s="39"/>
      <c r="AZ47" s="39"/>
      <c r="CL47" s="12"/>
      <c r="CM47" s="12"/>
    </row>
    <row r="48" spans="1:104" ht="15" customHeight="1" x14ac:dyDescent="0.25">
      <c r="B48" s="239" t="s">
        <v>26</v>
      </c>
      <c r="D48" s="374" t="s">
        <v>27</v>
      </c>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6"/>
      <c r="AU48" s="2">
        <f>IF(OR(AV49=0,AND(AW49=1,AW39=1)),1,0)</f>
        <v>1</v>
      </c>
      <c r="AV48" s="231"/>
      <c r="AW48" s="231"/>
      <c r="AY48" s="39"/>
      <c r="AZ48" s="39"/>
      <c r="CL48" s="12"/>
      <c r="CM48" s="12"/>
    </row>
    <row r="49" spans="2:91" ht="15" customHeight="1" x14ac:dyDescent="0.25">
      <c r="B49" s="239"/>
      <c r="E49" s="244" t="s">
        <v>28</v>
      </c>
      <c r="F49" s="244"/>
      <c r="G49" s="244"/>
      <c r="H49" s="244"/>
      <c r="I49" s="244"/>
      <c r="J49" s="244"/>
      <c r="K49" s="244"/>
      <c r="L49" s="244"/>
      <c r="M49" s="244"/>
      <c r="N49" s="244"/>
      <c r="O49" s="244"/>
      <c r="P49" s="244"/>
      <c r="Q49" s="244"/>
      <c r="R49" s="244"/>
      <c r="S49" s="244"/>
      <c r="T49" s="244"/>
      <c r="U49" s="244"/>
      <c r="V49" s="244"/>
      <c r="W49" s="244"/>
      <c r="X49" s="244"/>
      <c r="Y49" s="244"/>
      <c r="Z49" s="244"/>
      <c r="AA49" s="244"/>
      <c r="AB49" s="400" t="str">
        <f>IF(AND(AW49=1,AW39=1),"Befektetési egységekhez kötött biztosítás
(4. kérdés) nem ajánlható!","")</f>
        <v/>
      </c>
      <c r="AC49" s="400"/>
      <c r="AD49" s="400"/>
      <c r="AE49" s="400"/>
      <c r="AF49" s="400"/>
      <c r="AG49" s="400"/>
      <c r="AH49" s="400"/>
      <c r="AI49" s="400"/>
      <c r="AJ49" s="400"/>
      <c r="AK49" s="400"/>
      <c r="AL49" s="400"/>
      <c r="AM49" s="400"/>
      <c r="AN49" s="400"/>
      <c r="AO49" s="400"/>
      <c r="AP49" s="400"/>
      <c r="AV49" s="231">
        <v>0</v>
      </c>
      <c r="AW49" s="231">
        <f>IF($AV$49=1,1,0)</f>
        <v>0</v>
      </c>
      <c r="AY49" s="39"/>
      <c r="AZ49" s="39"/>
      <c r="CL49" s="12"/>
      <c r="CM49" s="12"/>
    </row>
    <row r="50" spans="2:91" ht="15" customHeight="1" x14ac:dyDescent="0.25">
      <c r="B50" s="239"/>
      <c r="E50" s="245" t="s">
        <v>29</v>
      </c>
      <c r="F50" s="245"/>
      <c r="G50" s="245"/>
      <c r="H50" s="245"/>
      <c r="I50" s="245"/>
      <c r="J50" s="245"/>
      <c r="K50" s="245"/>
      <c r="L50" s="245"/>
      <c r="M50" s="245"/>
      <c r="N50" s="245"/>
      <c r="O50" s="245"/>
      <c r="P50" s="245"/>
      <c r="Q50" s="245"/>
      <c r="R50" s="245"/>
      <c r="S50" s="245"/>
      <c r="T50" s="245"/>
      <c r="U50" s="245"/>
      <c r="V50" s="245"/>
      <c r="W50" s="245"/>
      <c r="X50" s="245"/>
      <c r="Y50" s="245"/>
      <c r="Z50" s="245"/>
      <c r="AA50" s="245"/>
      <c r="AB50" s="401"/>
      <c r="AC50" s="401"/>
      <c r="AD50" s="401"/>
      <c r="AE50" s="401"/>
      <c r="AF50" s="401"/>
      <c r="AG50" s="401"/>
      <c r="AH50" s="401"/>
      <c r="AI50" s="401"/>
      <c r="AJ50" s="401"/>
      <c r="AK50" s="401"/>
      <c r="AL50" s="401"/>
      <c r="AM50" s="401"/>
      <c r="AN50" s="401"/>
      <c r="AO50" s="401"/>
      <c r="AP50" s="401"/>
      <c r="AV50" s="231"/>
      <c r="AW50" s="231">
        <f>IF($AV$49=2,1,0)</f>
        <v>0</v>
      </c>
      <c r="AY50" s="39"/>
      <c r="AZ50" s="39"/>
      <c r="CL50" s="12"/>
      <c r="CM50" s="12"/>
    </row>
    <row r="51" spans="2:91" ht="15" customHeight="1" x14ac:dyDescent="0.25">
      <c r="B51" s="239"/>
      <c r="E51" s="245" t="s">
        <v>30</v>
      </c>
      <c r="F51" s="245"/>
      <c r="G51" s="245"/>
      <c r="H51" s="245"/>
      <c r="I51" s="245"/>
      <c r="J51" s="245"/>
      <c r="K51" s="245"/>
      <c r="L51" s="245"/>
      <c r="M51" s="245"/>
      <c r="N51" s="245"/>
      <c r="O51" s="245"/>
      <c r="P51" s="245"/>
      <c r="Q51" s="245"/>
      <c r="R51" s="245"/>
      <c r="S51" s="245"/>
      <c r="T51" s="245"/>
      <c r="U51" s="245"/>
      <c r="V51" s="245"/>
      <c r="W51" s="245"/>
      <c r="X51" s="245"/>
      <c r="Y51" s="245"/>
      <c r="Z51" s="245"/>
      <c r="AA51" s="245"/>
      <c r="AB51" s="401"/>
      <c r="AC51" s="401"/>
      <c r="AD51" s="401"/>
      <c r="AE51" s="401"/>
      <c r="AF51" s="401"/>
      <c r="AG51" s="401"/>
      <c r="AH51" s="401"/>
      <c r="AI51" s="401"/>
      <c r="AJ51" s="401"/>
      <c r="AK51" s="401"/>
      <c r="AL51" s="401"/>
      <c r="AM51" s="401"/>
      <c r="AN51" s="401"/>
      <c r="AO51" s="401"/>
      <c r="AP51" s="401"/>
      <c r="AV51" s="231"/>
      <c r="AW51" s="231">
        <f>IF($AV$49=3,1,0)</f>
        <v>0</v>
      </c>
      <c r="AY51" s="39"/>
      <c r="AZ51" s="39"/>
      <c r="CL51" s="12"/>
      <c r="CM51" s="12"/>
    </row>
    <row r="52" spans="2:91" ht="15" customHeight="1" x14ac:dyDescent="0.25">
      <c r="B52" s="239"/>
      <c r="E52" s="245" t="s">
        <v>31</v>
      </c>
      <c r="F52" s="245"/>
      <c r="G52" s="245"/>
      <c r="H52" s="245"/>
      <c r="I52" s="245"/>
      <c r="J52" s="245"/>
      <c r="K52" s="245"/>
      <c r="L52" s="245"/>
      <c r="M52" s="245"/>
      <c r="N52" s="245"/>
      <c r="O52" s="245"/>
      <c r="P52" s="245"/>
      <c r="Q52" s="245"/>
      <c r="R52" s="245"/>
      <c r="S52" s="245"/>
      <c r="T52" s="245"/>
      <c r="U52" s="245"/>
      <c r="V52" s="245"/>
      <c r="W52" s="245"/>
      <c r="X52" s="245"/>
      <c r="Y52" s="245"/>
      <c r="Z52" s="245"/>
      <c r="AA52" s="245"/>
      <c r="AB52" s="401"/>
      <c r="AC52" s="401"/>
      <c r="AD52" s="401"/>
      <c r="AE52" s="401"/>
      <c r="AF52" s="401"/>
      <c r="AG52" s="401"/>
      <c r="AH52" s="401"/>
      <c r="AI52" s="401"/>
      <c r="AJ52" s="401"/>
      <c r="AK52" s="401"/>
      <c r="AL52" s="401"/>
      <c r="AM52" s="401"/>
      <c r="AN52" s="401"/>
      <c r="AO52" s="401"/>
      <c r="AP52" s="401"/>
      <c r="AV52" s="231"/>
      <c r="AW52" s="231">
        <f>IF($AV$49=4,1,0)</f>
        <v>0</v>
      </c>
      <c r="AY52" s="39"/>
      <c r="AZ52" s="39"/>
      <c r="CL52" s="12"/>
      <c r="CM52" s="12"/>
    </row>
    <row r="53" spans="2:91" ht="15" customHeight="1" x14ac:dyDescent="0.25">
      <c r="B53" s="239"/>
      <c r="AV53" s="231"/>
      <c r="AW53" s="231"/>
      <c r="AY53" s="39"/>
      <c r="AZ53" s="39"/>
      <c r="CL53" s="12"/>
      <c r="CM53" s="12"/>
    </row>
    <row r="54" spans="2:91" ht="15" customHeight="1" x14ac:dyDescent="0.25">
      <c r="B54" s="239" t="s">
        <v>39</v>
      </c>
      <c r="D54" s="374" t="s">
        <v>108</v>
      </c>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6"/>
      <c r="AU54" s="2">
        <f>IF(AV60*AV55=0,1,0)</f>
        <v>1</v>
      </c>
      <c r="AV54" s="231"/>
      <c r="AW54" s="231"/>
      <c r="AY54" s="39"/>
      <c r="AZ54" s="39"/>
      <c r="CL54" s="12"/>
      <c r="CM54" s="12"/>
    </row>
    <row r="55" spans="2:91" ht="15" customHeight="1" x14ac:dyDescent="0.25">
      <c r="B55" s="239"/>
      <c r="D55" s="258" t="s">
        <v>109</v>
      </c>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V55" s="231">
        <f>MAX(IFERROR(VLOOKUP(TRUE,AX56:AX58,1,0),0),IFERROR(VLOOKUP(TRUE,AY56:AY57,1,0),0),IFERROR(VLOOKUP(TRUE,AW56:AW58,1,0),0))</f>
        <v>0</v>
      </c>
      <c r="AW55" s="231"/>
      <c r="AY55" s="39"/>
      <c r="AZ55" s="39"/>
      <c r="CL55" s="12"/>
      <c r="CM55" s="12"/>
    </row>
    <row r="56" spans="2:91" ht="15" customHeight="1" x14ac:dyDescent="0.25">
      <c r="B56" s="239"/>
      <c r="D56" s="249"/>
      <c r="E56" s="249"/>
      <c r="F56" s="249"/>
      <c r="G56" s="245" t="s">
        <v>111</v>
      </c>
      <c r="H56" s="249"/>
      <c r="I56" s="249"/>
      <c r="J56" s="249"/>
      <c r="K56" s="249"/>
      <c r="L56" s="249"/>
      <c r="M56" s="249"/>
      <c r="N56" s="249"/>
      <c r="O56" s="249"/>
      <c r="P56" s="245" t="s">
        <v>113</v>
      </c>
      <c r="Q56" s="249"/>
      <c r="R56" s="249"/>
      <c r="S56" s="249"/>
      <c r="T56" s="249"/>
      <c r="U56" s="249"/>
      <c r="V56" s="249"/>
      <c r="X56" s="249"/>
      <c r="Y56" s="245" t="s">
        <v>116</v>
      </c>
      <c r="Z56" s="249"/>
      <c r="AA56" s="249"/>
      <c r="AB56" s="249"/>
      <c r="AC56" s="249"/>
      <c r="AD56" s="249"/>
      <c r="AE56" s="249"/>
      <c r="AF56" s="249"/>
      <c r="AG56" s="249"/>
      <c r="AH56" s="249"/>
      <c r="AI56" s="249"/>
      <c r="AJ56" s="249"/>
      <c r="AK56" s="249"/>
      <c r="AL56" s="249"/>
      <c r="AM56" s="249"/>
      <c r="AN56" s="249"/>
      <c r="AO56" s="249"/>
      <c r="AP56" s="249"/>
      <c r="AV56" s="231"/>
      <c r="AW56" s="231" t="b">
        <v>0</v>
      </c>
      <c r="AX56" s="230" t="b">
        <v>0</v>
      </c>
      <c r="AY56" s="297" t="b">
        <v>0</v>
      </c>
      <c r="AZ56" s="39"/>
      <c r="CL56" s="12"/>
      <c r="CM56" s="12"/>
    </row>
    <row r="57" spans="2:91" ht="15" customHeight="1" x14ac:dyDescent="0.25">
      <c r="B57" s="239"/>
      <c r="D57" s="249"/>
      <c r="E57" s="249"/>
      <c r="F57" s="249"/>
      <c r="G57" s="245" t="s">
        <v>93</v>
      </c>
      <c r="H57" s="249"/>
      <c r="I57" s="249"/>
      <c r="J57" s="249"/>
      <c r="K57" s="249"/>
      <c r="L57" s="249"/>
      <c r="M57" s="249"/>
      <c r="N57" s="249"/>
      <c r="O57" s="249"/>
      <c r="P57" s="245" t="s">
        <v>114</v>
      </c>
      <c r="Q57" s="249"/>
      <c r="R57" s="249"/>
      <c r="S57" s="249"/>
      <c r="T57" s="249"/>
      <c r="U57" s="249"/>
      <c r="V57" s="249"/>
      <c r="X57" s="249"/>
      <c r="Y57" s="245" t="s">
        <v>117</v>
      </c>
      <c r="Z57" s="249"/>
      <c r="AA57" s="249"/>
      <c r="AB57" s="249"/>
      <c r="AC57" s="249"/>
      <c r="AD57" s="249"/>
      <c r="AE57" s="249"/>
      <c r="AF57" s="249"/>
      <c r="AG57" s="249"/>
      <c r="AH57" s="249"/>
      <c r="AI57" s="249"/>
      <c r="AJ57" s="249"/>
      <c r="AK57" s="249"/>
      <c r="AL57" s="249"/>
      <c r="AM57" s="249"/>
      <c r="AN57" s="249"/>
      <c r="AO57" s="249"/>
      <c r="AP57" s="249"/>
      <c r="AV57" s="231"/>
      <c r="AW57" s="231" t="b">
        <v>0</v>
      </c>
      <c r="AX57" s="230" t="b">
        <v>0</v>
      </c>
      <c r="AY57" s="297" t="b">
        <v>0</v>
      </c>
      <c r="AZ57" s="39"/>
      <c r="CL57" s="12"/>
      <c r="CM57" s="12"/>
    </row>
    <row r="58" spans="2:91" ht="15" customHeight="1" x14ac:dyDescent="0.25">
      <c r="B58" s="239"/>
      <c r="D58" s="249"/>
      <c r="E58" s="249"/>
      <c r="F58" s="249"/>
      <c r="G58" s="245" t="s">
        <v>112</v>
      </c>
      <c r="H58" s="249"/>
      <c r="I58" s="249"/>
      <c r="J58" s="249"/>
      <c r="K58" s="249"/>
      <c r="L58" s="249"/>
      <c r="M58" s="249"/>
      <c r="N58" s="249"/>
      <c r="O58" s="249"/>
      <c r="P58" s="245" t="s">
        <v>115</v>
      </c>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V58" s="231"/>
      <c r="AW58" s="231" t="b">
        <v>0</v>
      </c>
      <c r="AX58" s="230" t="b">
        <v>0</v>
      </c>
      <c r="AY58" s="297"/>
      <c r="AZ58" s="39"/>
      <c r="CL58" s="12"/>
      <c r="CM58" s="12"/>
    </row>
    <row r="59" spans="2:91" ht="15" customHeight="1" x14ac:dyDescent="0.25">
      <c r="B59" s="239"/>
      <c r="D59" s="258" t="s">
        <v>110</v>
      </c>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V59" s="231"/>
      <c r="AW59" s="231"/>
      <c r="AY59" s="39"/>
      <c r="AZ59" s="39"/>
      <c r="CL59" s="12"/>
      <c r="CM59" s="12"/>
    </row>
    <row r="60" spans="2:91" ht="15" customHeight="1" x14ac:dyDescent="0.25">
      <c r="B60" s="239"/>
      <c r="D60" s="249"/>
      <c r="E60" s="249"/>
      <c r="F60" s="249"/>
      <c r="G60" s="259" t="s">
        <v>118</v>
      </c>
      <c r="H60" s="249"/>
      <c r="I60" s="249"/>
      <c r="J60" s="249"/>
      <c r="K60" s="249"/>
      <c r="L60" s="249"/>
      <c r="M60" s="249"/>
      <c r="N60" s="249"/>
      <c r="O60" s="249"/>
      <c r="P60" s="249"/>
      <c r="Q60" s="249"/>
      <c r="R60" s="249"/>
      <c r="S60" s="249"/>
      <c r="T60" s="249"/>
      <c r="U60" s="249"/>
      <c r="V60" s="249"/>
      <c r="W60" s="249"/>
      <c r="X60" s="249"/>
      <c r="Y60" s="249"/>
      <c r="Z60" s="249"/>
      <c r="AA60" s="259"/>
      <c r="AB60" s="259"/>
      <c r="AC60" s="259"/>
      <c r="AD60" s="259"/>
      <c r="AE60" s="259"/>
      <c r="AF60" s="259"/>
      <c r="AG60" s="259"/>
      <c r="AH60" s="259"/>
      <c r="AI60" s="259"/>
      <c r="AJ60" s="259"/>
      <c r="AK60" s="259"/>
      <c r="AL60" s="259"/>
      <c r="AM60" s="259"/>
      <c r="AN60" s="259"/>
      <c r="AO60" s="259"/>
      <c r="AP60" s="259"/>
      <c r="AV60" s="231">
        <v>0</v>
      </c>
      <c r="AW60" s="231">
        <f>IF($AV$60=1,1,0)</f>
        <v>0</v>
      </c>
      <c r="AY60" s="39"/>
      <c r="AZ60" s="39"/>
      <c r="CL60" s="12"/>
      <c r="CM60" s="12"/>
    </row>
    <row r="61" spans="2:91" ht="15" customHeight="1" x14ac:dyDescent="0.25">
      <c r="B61" s="239"/>
      <c r="D61" s="249"/>
      <c r="E61" s="249"/>
      <c r="F61" s="249"/>
      <c r="G61" s="245" t="s">
        <v>119</v>
      </c>
      <c r="H61" s="249"/>
      <c r="I61" s="249"/>
      <c r="J61" s="249"/>
      <c r="K61" s="249"/>
      <c r="L61" s="249"/>
      <c r="M61" s="249"/>
      <c r="N61" s="249"/>
      <c r="O61" s="249"/>
      <c r="P61" s="249"/>
      <c r="Q61" s="249"/>
      <c r="R61" s="249"/>
      <c r="S61" s="249"/>
      <c r="T61" s="249"/>
      <c r="U61" s="249"/>
      <c r="V61" s="249"/>
      <c r="W61" s="249"/>
      <c r="X61" s="249"/>
      <c r="Y61" s="249"/>
      <c r="Z61" s="249"/>
      <c r="AA61" s="259"/>
      <c r="AB61" s="259"/>
      <c r="AC61" s="259"/>
      <c r="AD61" s="259"/>
      <c r="AE61" s="259"/>
      <c r="AF61" s="259"/>
      <c r="AG61" s="259"/>
      <c r="AH61" s="259"/>
      <c r="AI61" s="259"/>
      <c r="AJ61" s="259"/>
      <c r="AK61" s="259"/>
      <c r="AL61" s="259"/>
      <c r="AM61" s="259"/>
      <c r="AN61" s="259"/>
      <c r="AO61" s="259"/>
      <c r="AP61" s="259"/>
      <c r="AV61" s="231"/>
      <c r="AW61" s="231">
        <f>IF($AV$60=2,1,0)</f>
        <v>0</v>
      </c>
      <c r="CL61" s="12"/>
      <c r="CM61" s="12"/>
    </row>
    <row r="62" spans="2:91" ht="15" customHeight="1" x14ac:dyDescent="0.25">
      <c r="B62" s="239"/>
      <c r="D62" s="249"/>
      <c r="E62" s="249"/>
      <c r="F62" s="249"/>
      <c r="G62" s="245" t="s">
        <v>120</v>
      </c>
      <c r="H62" s="249"/>
      <c r="I62" s="249"/>
      <c r="J62" s="249"/>
      <c r="K62" s="249"/>
      <c r="L62" s="249"/>
      <c r="M62" s="249"/>
      <c r="N62" s="249"/>
      <c r="O62" s="249"/>
      <c r="P62" s="249"/>
      <c r="Q62" s="249"/>
      <c r="R62" s="249"/>
      <c r="S62" s="249"/>
      <c r="T62" s="249"/>
      <c r="U62" s="249"/>
      <c r="V62" s="249"/>
      <c r="W62" s="249"/>
      <c r="X62" s="249"/>
      <c r="Y62" s="249"/>
      <c r="Z62" s="249"/>
      <c r="AA62" s="259"/>
      <c r="AB62" s="259"/>
      <c r="AC62" s="259"/>
      <c r="AD62" s="259"/>
      <c r="AE62" s="259"/>
      <c r="AF62" s="259"/>
      <c r="AG62" s="259"/>
      <c r="AH62" s="259"/>
      <c r="AI62" s="259"/>
      <c r="AJ62" s="259"/>
      <c r="AK62" s="259"/>
      <c r="AL62" s="259"/>
      <c r="AM62" s="259"/>
      <c r="AN62" s="259"/>
      <c r="AO62" s="259"/>
      <c r="AP62" s="259"/>
      <c r="AV62" s="231"/>
      <c r="AW62" s="231">
        <f>IF($AV$60=3,1,0)</f>
        <v>0</v>
      </c>
      <c r="CL62" s="12"/>
      <c r="CM62" s="12"/>
    </row>
    <row r="63" spans="2:91" ht="15" customHeight="1" x14ac:dyDescent="0.25">
      <c r="B63" s="239"/>
      <c r="D63" s="249"/>
      <c r="E63" s="249"/>
      <c r="F63" s="249"/>
      <c r="G63" s="245" t="s">
        <v>121</v>
      </c>
      <c r="H63" s="249"/>
      <c r="I63" s="249"/>
      <c r="J63" s="249"/>
      <c r="K63" s="249"/>
      <c r="L63" s="249"/>
      <c r="M63" s="249"/>
      <c r="N63" s="249"/>
      <c r="O63" s="249"/>
      <c r="P63" s="249"/>
      <c r="Q63" s="249"/>
      <c r="R63" s="249"/>
      <c r="S63" s="249"/>
      <c r="T63" s="249"/>
      <c r="U63" s="249"/>
      <c r="V63" s="249"/>
      <c r="W63" s="249"/>
      <c r="X63" s="249"/>
      <c r="Y63" s="249"/>
      <c r="Z63" s="249"/>
      <c r="AA63" s="259"/>
      <c r="AB63" s="259"/>
      <c r="AC63" s="259"/>
      <c r="AD63" s="259"/>
      <c r="AE63" s="259"/>
      <c r="AF63" s="259"/>
      <c r="AG63" s="259"/>
      <c r="AH63" s="259"/>
      <c r="AI63" s="259"/>
      <c r="AJ63" s="259"/>
      <c r="AK63" s="259"/>
      <c r="AL63" s="259"/>
      <c r="AM63" s="259"/>
      <c r="AN63" s="259"/>
      <c r="AO63" s="259"/>
      <c r="AP63" s="259"/>
      <c r="AV63" s="231"/>
      <c r="AW63" s="231">
        <f>IF($AV$60=4,1,0)</f>
        <v>0</v>
      </c>
      <c r="CL63" s="12"/>
      <c r="CM63" s="12"/>
    </row>
    <row r="64" spans="2:91" ht="15" customHeight="1" x14ac:dyDescent="0.25">
      <c r="B64" s="239"/>
      <c r="AV64" s="231"/>
      <c r="AW64" s="231"/>
      <c r="CL64" s="12"/>
      <c r="CM64" s="12"/>
    </row>
    <row r="65" spans="2:91" ht="15" customHeight="1" x14ac:dyDescent="0.25">
      <c r="B65" s="239" t="s">
        <v>48</v>
      </c>
      <c r="D65" s="374" t="s">
        <v>122</v>
      </c>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6"/>
      <c r="AU65" s="2">
        <f>IF(OR(AV70*AV66=0,AV70&gt;AV60),1,0)</f>
        <v>1</v>
      </c>
      <c r="AV65" s="231"/>
      <c r="AW65" s="231"/>
      <c r="AY65" s="39"/>
      <c r="AZ65" s="39"/>
      <c r="BA65" s="39"/>
      <c r="BB65" s="39"/>
      <c r="BC65" s="39"/>
      <c r="BD65" s="39"/>
      <c r="BE65" s="39"/>
      <c r="BF65" s="39"/>
      <c r="BG65" s="39"/>
      <c r="BH65" s="39"/>
      <c r="BI65" s="39"/>
      <c r="BJ65" s="39"/>
      <c r="BK65" s="39"/>
      <c r="CL65" s="12"/>
      <c r="CM65" s="12"/>
    </row>
    <row r="66" spans="2:91" ht="15" customHeight="1" x14ac:dyDescent="0.25">
      <c r="B66" s="239"/>
      <c r="D66" s="258" t="s">
        <v>123</v>
      </c>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V66" s="231">
        <f>MAX(IFERROR(VLOOKUP(TRUE,AX67:AX68,1,0),0),IFERROR(VLOOKUP(TRUE,AW67:AW68,1,0),0))</f>
        <v>0</v>
      </c>
      <c r="AW66" s="231"/>
      <c r="AY66" s="39"/>
      <c r="AZ66" s="39"/>
      <c r="BA66" s="39"/>
      <c r="BB66" s="39"/>
      <c r="BC66" s="39"/>
      <c r="BD66" s="39"/>
      <c r="BE66" s="39"/>
      <c r="BF66" s="39"/>
      <c r="BG66" s="39"/>
      <c r="BH66" s="39"/>
      <c r="BI66" s="39"/>
      <c r="BJ66" s="39"/>
      <c r="BK66" s="39"/>
      <c r="CL66" s="12"/>
      <c r="CM66" s="12"/>
    </row>
    <row r="67" spans="2:91" ht="15" customHeight="1" x14ac:dyDescent="0.25">
      <c r="B67" s="239"/>
      <c r="D67" s="249"/>
      <c r="E67" s="249"/>
      <c r="F67" s="249"/>
      <c r="G67" s="245" t="s">
        <v>125</v>
      </c>
      <c r="H67" s="249"/>
      <c r="I67" s="249"/>
      <c r="J67" s="249"/>
      <c r="K67" s="249"/>
      <c r="L67" s="249"/>
      <c r="M67" s="249"/>
      <c r="N67" s="249"/>
      <c r="O67" s="249"/>
      <c r="P67" s="245" t="s">
        <v>127</v>
      </c>
      <c r="Q67" s="249"/>
      <c r="R67" s="249"/>
      <c r="S67" s="249"/>
      <c r="T67" s="249"/>
      <c r="U67" s="249"/>
      <c r="V67" s="249"/>
      <c r="X67" s="249"/>
      <c r="Y67" s="245"/>
      <c r="Z67" s="249"/>
      <c r="AA67" s="249"/>
      <c r="AB67" s="249"/>
      <c r="AC67" s="249"/>
      <c r="AD67" s="249"/>
      <c r="AE67" s="249"/>
      <c r="AF67" s="249"/>
      <c r="AG67" s="249"/>
      <c r="AH67" s="249"/>
      <c r="AI67" s="249"/>
      <c r="AJ67" s="249"/>
      <c r="AK67" s="249"/>
      <c r="AL67" s="249"/>
      <c r="AM67" s="249"/>
      <c r="AN67" s="249"/>
      <c r="AO67" s="249"/>
      <c r="AP67" s="249"/>
      <c r="AV67" s="231"/>
      <c r="AW67" s="296" t="b">
        <v>0</v>
      </c>
      <c r="AX67" s="230" t="b">
        <v>0</v>
      </c>
      <c r="AY67" s="39"/>
      <c r="AZ67" s="39"/>
      <c r="BA67" s="39"/>
      <c r="BB67" s="39"/>
      <c r="BC67" s="39"/>
      <c r="BD67" s="39"/>
      <c r="BE67" s="39"/>
      <c r="BF67" s="39"/>
      <c r="BG67" s="39"/>
      <c r="BH67" s="39"/>
      <c r="BI67" s="39"/>
      <c r="BJ67" s="39"/>
      <c r="BK67" s="39"/>
      <c r="BL67" s="39"/>
      <c r="BM67" s="39"/>
      <c r="BN67" s="39"/>
      <c r="BO67" s="39"/>
      <c r="BP67" s="39"/>
      <c r="BQ67" s="39"/>
    </row>
    <row r="68" spans="2:91" ht="15" customHeight="1" x14ac:dyDescent="0.25">
      <c r="B68" s="239"/>
      <c r="D68" s="249"/>
      <c r="E68" s="249"/>
      <c r="F68" s="249"/>
      <c r="G68" s="245" t="s">
        <v>126</v>
      </c>
      <c r="H68" s="249"/>
      <c r="I68" s="249"/>
      <c r="J68" s="249"/>
      <c r="K68" s="249"/>
      <c r="L68" s="249"/>
      <c r="M68" s="249"/>
      <c r="N68" s="249"/>
      <c r="O68" s="249"/>
      <c r="P68" s="245" t="s">
        <v>117</v>
      </c>
      <c r="Q68" s="249"/>
      <c r="R68" s="249"/>
      <c r="S68" s="249"/>
      <c r="T68" s="249"/>
      <c r="U68" s="249"/>
      <c r="V68" s="249"/>
      <c r="X68" s="249"/>
      <c r="Y68" s="245"/>
      <c r="Z68" s="249"/>
      <c r="AA68" s="249"/>
      <c r="AB68" s="249"/>
      <c r="AC68" s="249"/>
      <c r="AD68" s="249"/>
      <c r="AE68" s="249"/>
      <c r="AF68" s="249"/>
      <c r="AG68" s="249"/>
      <c r="AH68" s="249"/>
      <c r="AI68" s="249"/>
      <c r="AJ68" s="249"/>
      <c r="AK68" s="249"/>
      <c r="AL68" s="249"/>
      <c r="AM68" s="249"/>
      <c r="AN68" s="249"/>
      <c r="AO68" s="249"/>
      <c r="AP68" s="249"/>
      <c r="AV68" s="231"/>
      <c r="AW68" s="231" t="b">
        <v>0</v>
      </c>
      <c r="AX68" s="230" t="b">
        <v>0</v>
      </c>
      <c r="AY68" s="39"/>
      <c r="AZ68" s="39"/>
      <c r="BA68" s="39"/>
      <c r="BB68" s="39"/>
      <c r="BC68" s="39"/>
      <c r="BD68" s="39"/>
      <c r="BE68" s="39"/>
      <c r="BF68" s="39"/>
      <c r="BG68" s="39"/>
      <c r="BH68" s="39"/>
      <c r="BI68" s="39"/>
      <c r="BJ68" s="39"/>
      <c r="BK68" s="39"/>
      <c r="BL68" s="39"/>
      <c r="BM68" s="39"/>
      <c r="BN68" s="39"/>
      <c r="BO68" s="39"/>
      <c r="BP68" s="39"/>
    </row>
    <row r="69" spans="2:91" ht="15" customHeight="1" x14ac:dyDescent="0.25">
      <c r="B69" s="239"/>
      <c r="D69" s="258" t="s">
        <v>124</v>
      </c>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V69" s="231"/>
      <c r="AW69" s="231"/>
      <c r="AY69" s="39"/>
      <c r="AZ69" s="39"/>
      <c r="BA69" s="39"/>
      <c r="BB69" s="39"/>
      <c r="BC69" s="39"/>
      <c r="BD69" s="39"/>
      <c r="BE69" s="39"/>
      <c r="BF69" s="39"/>
      <c r="BG69" s="39"/>
      <c r="BH69" s="39"/>
      <c r="BI69" s="39"/>
      <c r="BJ69" s="39"/>
      <c r="BK69" s="39"/>
      <c r="BL69" s="39"/>
      <c r="BM69" s="39"/>
      <c r="BN69" s="39"/>
      <c r="BO69" s="39"/>
      <c r="BP69" s="39"/>
      <c r="BQ69" s="39"/>
    </row>
    <row r="70" spans="2:91" ht="15" customHeight="1" x14ac:dyDescent="0.25">
      <c r="B70" s="239"/>
      <c r="D70" s="249"/>
      <c r="E70" s="249"/>
      <c r="F70" s="249"/>
      <c r="G70" s="259" t="s">
        <v>118</v>
      </c>
      <c r="H70" s="249"/>
      <c r="I70" s="249"/>
      <c r="J70" s="249"/>
      <c r="K70" s="249"/>
      <c r="L70" s="249"/>
      <c r="M70" s="249"/>
      <c r="N70" s="249"/>
      <c r="O70" s="249"/>
      <c r="P70" s="249"/>
      <c r="Q70" s="249"/>
      <c r="R70" s="249"/>
      <c r="S70" s="249"/>
      <c r="T70" s="249"/>
      <c r="U70" s="249"/>
      <c r="V70" s="249"/>
      <c r="Z70" s="401" t="str">
        <f>IF(AV70&gt;AV60,"A rendszeres kötelezettségek összege magasabb, mint a rendszeres jövedelmeké (7. kérdés).
Megtakarítási biztosítás nem ajánlható!","")</f>
        <v/>
      </c>
      <c r="AA70" s="401"/>
      <c r="AB70" s="401"/>
      <c r="AC70" s="401"/>
      <c r="AD70" s="401"/>
      <c r="AE70" s="401"/>
      <c r="AF70" s="401"/>
      <c r="AG70" s="401"/>
      <c r="AH70" s="401"/>
      <c r="AI70" s="401"/>
      <c r="AJ70" s="401"/>
      <c r="AK70" s="401"/>
      <c r="AL70" s="401"/>
      <c r="AM70" s="401"/>
      <c r="AN70" s="401"/>
      <c r="AO70" s="401"/>
      <c r="AP70" s="401"/>
      <c r="AV70" s="231">
        <v>0</v>
      </c>
      <c r="AW70" s="231">
        <f>IF($AV$70=1,1,0)</f>
        <v>0</v>
      </c>
      <c r="AY70" s="39"/>
      <c r="AZ70" s="39"/>
      <c r="BA70" s="39"/>
      <c r="BB70" s="39"/>
      <c r="BC70" s="39"/>
      <c r="BD70" s="39"/>
      <c r="BE70" s="39"/>
      <c r="BF70" s="39"/>
      <c r="BG70" s="39"/>
      <c r="BH70" s="39"/>
      <c r="BI70" s="39"/>
      <c r="BJ70" s="39"/>
      <c r="BK70" s="39"/>
      <c r="BL70" s="39"/>
      <c r="BM70" s="39"/>
      <c r="BN70" s="39"/>
      <c r="BO70" s="39"/>
      <c r="BP70" s="39"/>
      <c r="BQ70" s="39"/>
    </row>
    <row r="71" spans="2:91" ht="15" customHeight="1" x14ac:dyDescent="0.25">
      <c r="B71" s="239"/>
      <c r="D71" s="249"/>
      <c r="E71" s="249"/>
      <c r="F71" s="249"/>
      <c r="G71" s="245" t="s">
        <v>119</v>
      </c>
      <c r="H71" s="249"/>
      <c r="I71" s="249"/>
      <c r="J71" s="249"/>
      <c r="K71" s="249"/>
      <c r="L71" s="249"/>
      <c r="M71" s="249"/>
      <c r="N71" s="249"/>
      <c r="O71" s="249"/>
      <c r="P71" s="249"/>
      <c r="Q71" s="249"/>
      <c r="R71" s="249"/>
      <c r="S71" s="249"/>
      <c r="T71" s="249"/>
      <c r="U71" s="249"/>
      <c r="V71" s="249"/>
      <c r="W71" s="260"/>
      <c r="X71" s="260"/>
      <c r="Y71" s="260"/>
      <c r="Z71" s="401"/>
      <c r="AA71" s="401"/>
      <c r="AB71" s="401"/>
      <c r="AC71" s="401"/>
      <c r="AD71" s="401"/>
      <c r="AE71" s="401"/>
      <c r="AF71" s="401"/>
      <c r="AG71" s="401"/>
      <c r="AH71" s="401"/>
      <c r="AI71" s="401"/>
      <c r="AJ71" s="401"/>
      <c r="AK71" s="401"/>
      <c r="AL71" s="401"/>
      <c r="AM71" s="401"/>
      <c r="AN71" s="401"/>
      <c r="AO71" s="401"/>
      <c r="AP71" s="401"/>
      <c r="AV71" s="231"/>
      <c r="AW71" s="231">
        <f>IF($AV$70=2,1,0)</f>
        <v>0</v>
      </c>
    </row>
    <row r="72" spans="2:91" ht="15" customHeight="1" x14ac:dyDescent="0.25">
      <c r="B72" s="239"/>
      <c r="D72" s="249"/>
      <c r="E72" s="249"/>
      <c r="F72" s="249"/>
      <c r="G72" s="245" t="s">
        <v>120</v>
      </c>
      <c r="H72" s="249"/>
      <c r="I72" s="249"/>
      <c r="J72" s="249"/>
      <c r="K72" s="249"/>
      <c r="L72" s="249"/>
      <c r="M72" s="249"/>
      <c r="N72" s="249"/>
      <c r="O72" s="249"/>
      <c r="P72" s="249"/>
      <c r="Q72" s="249"/>
      <c r="R72" s="249"/>
      <c r="S72" s="249"/>
      <c r="T72" s="249"/>
      <c r="U72" s="249"/>
      <c r="V72" s="249"/>
      <c r="W72" s="260"/>
      <c r="X72" s="260"/>
      <c r="Y72" s="260"/>
      <c r="Z72" s="401"/>
      <c r="AA72" s="401"/>
      <c r="AB72" s="401"/>
      <c r="AC72" s="401"/>
      <c r="AD72" s="401"/>
      <c r="AE72" s="401"/>
      <c r="AF72" s="401"/>
      <c r="AG72" s="401"/>
      <c r="AH72" s="401"/>
      <c r="AI72" s="401"/>
      <c r="AJ72" s="401"/>
      <c r="AK72" s="401"/>
      <c r="AL72" s="401"/>
      <c r="AM72" s="401"/>
      <c r="AN72" s="401"/>
      <c r="AO72" s="401"/>
      <c r="AP72" s="401"/>
      <c r="AV72" s="231"/>
      <c r="AW72" s="231">
        <f>IF($AV$70=3,1,0)</f>
        <v>0</v>
      </c>
    </row>
    <row r="73" spans="2:91" ht="15" customHeight="1" x14ac:dyDescent="0.25">
      <c r="B73" s="239"/>
      <c r="D73" s="249"/>
      <c r="E73" s="249"/>
      <c r="F73" s="249"/>
      <c r="G73" s="245" t="s">
        <v>121</v>
      </c>
      <c r="H73" s="249"/>
      <c r="I73" s="249"/>
      <c r="J73" s="249"/>
      <c r="K73" s="249"/>
      <c r="L73" s="249"/>
      <c r="M73" s="249"/>
      <c r="N73" s="249"/>
      <c r="O73" s="249"/>
      <c r="P73" s="249"/>
      <c r="Q73" s="249"/>
      <c r="R73" s="249"/>
      <c r="S73" s="249"/>
      <c r="T73" s="249"/>
      <c r="U73" s="249"/>
      <c r="V73" s="249"/>
      <c r="W73" s="260"/>
      <c r="X73" s="260"/>
      <c r="Y73" s="260"/>
      <c r="Z73" s="401"/>
      <c r="AA73" s="401"/>
      <c r="AB73" s="401"/>
      <c r="AC73" s="401"/>
      <c r="AD73" s="401"/>
      <c r="AE73" s="401"/>
      <c r="AF73" s="401"/>
      <c r="AG73" s="401"/>
      <c r="AH73" s="401"/>
      <c r="AI73" s="401"/>
      <c r="AJ73" s="401"/>
      <c r="AK73" s="401"/>
      <c r="AL73" s="401"/>
      <c r="AM73" s="401"/>
      <c r="AN73" s="401"/>
      <c r="AO73" s="401"/>
      <c r="AP73" s="401"/>
      <c r="AV73" s="231"/>
      <c r="AW73" s="231">
        <f>IF($AV$70=4,1,0)</f>
        <v>0</v>
      </c>
    </row>
    <row r="74" spans="2:91" ht="15" customHeight="1" x14ac:dyDescent="0.25">
      <c r="B74" s="239"/>
      <c r="AV74" s="231"/>
      <c r="AW74" s="231"/>
    </row>
    <row r="75" spans="2:91" ht="15" customHeight="1" x14ac:dyDescent="0.25">
      <c r="B75" s="239" t="s">
        <v>49</v>
      </c>
      <c r="D75" s="374" t="s">
        <v>128</v>
      </c>
      <c r="E75" s="375"/>
      <c r="F75" s="375"/>
      <c r="G75" s="375"/>
      <c r="H75" s="375"/>
      <c r="I75" s="375"/>
      <c r="J75" s="375"/>
      <c r="K75" s="375"/>
      <c r="L75" s="375"/>
      <c r="M75" s="375"/>
      <c r="N75" s="375"/>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375"/>
      <c r="AL75" s="375"/>
      <c r="AM75" s="375"/>
      <c r="AN75" s="375"/>
      <c r="AO75" s="375"/>
      <c r="AP75" s="376"/>
      <c r="AU75" s="2">
        <f>IF(OR(AV80*AV76=0,AND(AW36=1,IF(AW80=1,500000,IF(AW81=1,3000000,IF(AW82=1,99999999999)))&lt;I33)),1,0)</f>
        <v>1</v>
      </c>
      <c r="AV75" s="231"/>
      <c r="AW75" s="231"/>
      <c r="AY75" s="39"/>
      <c r="AZ75" s="39"/>
      <c r="BA75" s="39"/>
      <c r="BB75" s="39"/>
      <c r="BC75" s="39"/>
      <c r="BD75" s="39"/>
      <c r="BE75" s="39"/>
      <c r="BF75" s="39"/>
      <c r="BG75" s="39"/>
      <c r="BH75" s="39"/>
      <c r="BI75" s="39"/>
      <c r="BJ75" s="39"/>
      <c r="BK75" s="39"/>
      <c r="BL75" s="39"/>
      <c r="BM75" s="39"/>
      <c r="BN75" s="39"/>
      <c r="BO75" s="39"/>
      <c r="BP75" s="39"/>
      <c r="BQ75" s="39"/>
    </row>
    <row r="76" spans="2:91" ht="15" customHeight="1" x14ac:dyDescent="0.25">
      <c r="B76" s="239"/>
      <c r="D76" s="258" t="s">
        <v>129</v>
      </c>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V76" s="231">
        <f>MAX(IFERROR(VLOOKUP(TRUE,AX77:AX78,1,0),0),IFERROR(VLOOKUP(TRUE,AW77:AW78,1,0),0))</f>
        <v>0</v>
      </c>
      <c r="AW76" s="231"/>
      <c r="AY76" s="39"/>
      <c r="AZ76" s="39"/>
      <c r="BA76" s="39"/>
      <c r="BB76" s="39"/>
      <c r="BC76" s="39"/>
      <c r="BD76" s="39"/>
      <c r="BE76" s="39"/>
      <c r="BF76" s="39"/>
      <c r="BG76" s="39"/>
      <c r="BH76" s="39"/>
      <c r="BI76" s="39"/>
      <c r="BJ76" s="39"/>
      <c r="BK76" s="39"/>
      <c r="BL76" s="39"/>
      <c r="BM76" s="39"/>
      <c r="BN76" s="39"/>
      <c r="BO76" s="39"/>
      <c r="BP76" s="39"/>
      <c r="BQ76" s="39"/>
    </row>
    <row r="77" spans="2:91" ht="15" customHeight="1" x14ac:dyDescent="0.25">
      <c r="B77" s="239"/>
      <c r="D77" s="249"/>
      <c r="E77" s="249"/>
      <c r="F77" s="249"/>
      <c r="G77" s="245" t="s">
        <v>131</v>
      </c>
      <c r="H77" s="249"/>
      <c r="I77" s="249"/>
      <c r="J77" s="249"/>
      <c r="K77" s="249"/>
      <c r="L77" s="249"/>
      <c r="M77" s="249"/>
      <c r="N77" s="249"/>
      <c r="O77" s="249"/>
      <c r="P77" s="245" t="s">
        <v>133</v>
      </c>
      <c r="Q77" s="249"/>
      <c r="R77" s="249"/>
      <c r="S77" s="249"/>
      <c r="T77" s="249"/>
      <c r="U77" s="249"/>
      <c r="V77" s="249"/>
      <c r="X77" s="249"/>
      <c r="Y77" s="245"/>
      <c r="Z77" s="249"/>
      <c r="AA77" s="249"/>
      <c r="AB77" s="249"/>
      <c r="AC77" s="249"/>
      <c r="AD77" s="249"/>
      <c r="AE77" s="249"/>
      <c r="AF77" s="249"/>
      <c r="AG77" s="249"/>
      <c r="AH77" s="249"/>
      <c r="AI77" s="249"/>
      <c r="AJ77" s="249"/>
      <c r="AK77" s="249"/>
      <c r="AL77" s="249"/>
      <c r="AM77" s="249"/>
      <c r="AN77" s="249"/>
      <c r="AO77" s="249"/>
      <c r="AP77" s="249"/>
      <c r="AV77" s="231"/>
      <c r="AW77" s="231" t="b">
        <v>0</v>
      </c>
      <c r="AX77" s="230" t="b">
        <v>0</v>
      </c>
      <c r="AY77" s="39"/>
      <c r="AZ77" s="39"/>
      <c r="BA77" s="39"/>
      <c r="BB77" s="39"/>
      <c r="BC77" s="39"/>
      <c r="BD77" s="39"/>
      <c r="BE77" s="39"/>
      <c r="BF77" s="39"/>
      <c r="BG77" s="39"/>
      <c r="BH77" s="39"/>
      <c r="BI77" s="39"/>
      <c r="BJ77" s="39"/>
      <c r="BK77" s="39"/>
      <c r="BL77" s="39"/>
      <c r="BM77" s="39"/>
      <c r="BN77" s="39"/>
      <c r="BO77" s="39"/>
      <c r="BP77" s="39"/>
      <c r="BQ77" s="39"/>
    </row>
    <row r="78" spans="2:91" ht="15" customHeight="1" x14ac:dyDescent="0.25">
      <c r="B78" s="239"/>
      <c r="D78" s="249"/>
      <c r="E78" s="249"/>
      <c r="F78" s="249"/>
      <c r="G78" s="245" t="s">
        <v>132</v>
      </c>
      <c r="H78" s="249"/>
      <c r="I78" s="249"/>
      <c r="J78" s="249"/>
      <c r="K78" s="249"/>
      <c r="L78" s="249"/>
      <c r="M78" s="249"/>
      <c r="N78" s="249"/>
      <c r="O78" s="249"/>
      <c r="P78" s="245" t="s">
        <v>117</v>
      </c>
      <c r="Q78" s="249"/>
      <c r="R78" s="249"/>
      <c r="S78" s="249"/>
      <c r="T78" s="249"/>
      <c r="U78" s="249"/>
      <c r="V78" s="249"/>
      <c r="X78" s="249"/>
      <c r="Y78" s="245"/>
      <c r="Z78" s="249"/>
      <c r="AA78" s="249"/>
      <c r="AB78" s="249"/>
      <c r="AC78" s="249"/>
      <c r="AD78" s="249"/>
      <c r="AE78" s="249"/>
      <c r="AF78" s="249"/>
      <c r="AG78" s="249"/>
      <c r="AH78" s="249"/>
      <c r="AI78" s="249"/>
      <c r="AJ78" s="249"/>
      <c r="AK78" s="249"/>
      <c r="AL78" s="249"/>
      <c r="AM78" s="249"/>
      <c r="AN78" s="249"/>
      <c r="AO78" s="249"/>
      <c r="AP78" s="249"/>
      <c r="AV78" s="231"/>
      <c r="AW78" s="231" t="b">
        <v>0</v>
      </c>
      <c r="AX78" s="230" t="b">
        <v>0</v>
      </c>
      <c r="AY78" s="39"/>
      <c r="AZ78" s="39"/>
      <c r="BA78" s="39"/>
      <c r="BB78" s="39"/>
      <c r="BC78" s="39"/>
      <c r="BD78" s="39"/>
      <c r="BE78" s="39"/>
      <c r="BF78" s="39"/>
      <c r="BG78" s="39"/>
      <c r="BH78" s="39"/>
      <c r="BI78" s="39"/>
      <c r="BJ78" s="39"/>
      <c r="BK78" s="39"/>
      <c r="BL78" s="39"/>
      <c r="BM78" s="39"/>
      <c r="BN78" s="39"/>
      <c r="BO78" s="39"/>
      <c r="BP78" s="39"/>
      <c r="BQ78" s="39"/>
    </row>
    <row r="79" spans="2:91" ht="15" customHeight="1" x14ac:dyDescent="0.25">
      <c r="B79" s="239"/>
      <c r="D79" s="258" t="s">
        <v>130</v>
      </c>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49"/>
      <c r="AM79" s="249"/>
      <c r="AN79" s="249"/>
      <c r="AO79" s="249"/>
      <c r="AP79" s="249"/>
      <c r="AV79" s="231"/>
      <c r="AW79" s="231"/>
      <c r="AY79" s="39"/>
      <c r="AZ79" s="39"/>
      <c r="BA79" s="39"/>
      <c r="BB79" s="39"/>
      <c r="BC79" s="39"/>
      <c r="BD79" s="39"/>
      <c r="BE79" s="39"/>
      <c r="BF79" s="39"/>
      <c r="BG79" s="39"/>
      <c r="BH79" s="39"/>
      <c r="BI79" s="39"/>
      <c r="BJ79" s="39"/>
      <c r="BK79" s="39"/>
      <c r="BL79" s="39"/>
      <c r="BM79" s="39"/>
      <c r="BN79" s="39"/>
      <c r="BO79" s="39"/>
      <c r="BP79" s="39"/>
      <c r="BQ79" s="39"/>
    </row>
    <row r="80" spans="2:91" ht="15" customHeight="1" x14ac:dyDescent="0.25">
      <c r="B80" s="239"/>
      <c r="D80" s="249"/>
      <c r="E80" s="249"/>
      <c r="F80" s="249"/>
      <c r="G80" s="259" t="s">
        <v>134</v>
      </c>
      <c r="H80" s="249"/>
      <c r="I80" s="249"/>
      <c r="J80" s="249"/>
      <c r="K80" s="249"/>
      <c r="L80" s="249"/>
      <c r="M80" s="249"/>
      <c r="N80" s="249"/>
      <c r="O80" s="249"/>
      <c r="P80" s="249"/>
      <c r="Q80" s="249"/>
      <c r="R80" s="249"/>
      <c r="S80" s="249"/>
      <c r="T80" s="249"/>
      <c r="U80" s="249"/>
      <c r="V80" s="249"/>
      <c r="W80" s="401" t="str">
        <f>IF(AND(AW36=1,IF(AW80=1,500000,IF(AW81=1,3000000,IF(AW82=1,99999999999)))&lt;I33),"A szabadon felhasználható megtakarítás összege alacsonyabb, mint a választott egyszeri biztosítási díj (3. kérdés).
Megtakarítási biztosítás nem ajánlható!","")</f>
        <v/>
      </c>
      <c r="X80" s="401"/>
      <c r="Y80" s="401"/>
      <c r="Z80" s="401"/>
      <c r="AA80" s="401"/>
      <c r="AB80" s="401"/>
      <c r="AC80" s="401"/>
      <c r="AD80" s="401"/>
      <c r="AE80" s="401"/>
      <c r="AF80" s="401"/>
      <c r="AG80" s="401"/>
      <c r="AH80" s="401"/>
      <c r="AI80" s="401"/>
      <c r="AJ80" s="401"/>
      <c r="AK80" s="401"/>
      <c r="AL80" s="401"/>
      <c r="AM80" s="401"/>
      <c r="AN80" s="401"/>
      <c r="AO80" s="401"/>
      <c r="AP80" s="401"/>
      <c r="AV80" s="231">
        <v>0</v>
      </c>
      <c r="AW80" s="231">
        <f>IF($AV$80=1,1,0)</f>
        <v>0</v>
      </c>
      <c r="AY80" s="39"/>
      <c r="AZ80" s="39"/>
      <c r="BA80" s="39"/>
      <c r="BB80" s="39"/>
      <c r="BC80" s="39"/>
      <c r="BD80" s="39"/>
      <c r="BE80" s="39"/>
      <c r="BF80" s="39"/>
      <c r="BG80" s="39"/>
      <c r="BH80" s="39"/>
      <c r="BI80" s="39"/>
      <c r="BJ80" s="39"/>
      <c r="BK80" s="39"/>
      <c r="BL80" s="39"/>
      <c r="BM80" s="39"/>
      <c r="BN80" s="39"/>
      <c r="BO80" s="39"/>
      <c r="BP80" s="39"/>
      <c r="BQ80" s="39"/>
    </row>
    <row r="81" spans="2:49" ht="15" customHeight="1" x14ac:dyDescent="0.25">
      <c r="B81" s="239"/>
      <c r="D81" s="249"/>
      <c r="E81" s="249"/>
      <c r="F81" s="249"/>
      <c r="G81" s="245" t="s">
        <v>135</v>
      </c>
      <c r="H81" s="249"/>
      <c r="I81" s="249"/>
      <c r="J81" s="249"/>
      <c r="K81" s="249"/>
      <c r="L81" s="249"/>
      <c r="M81" s="249"/>
      <c r="N81" s="249"/>
      <c r="O81" s="249"/>
      <c r="P81" s="249"/>
      <c r="Q81" s="249"/>
      <c r="R81" s="249"/>
      <c r="S81" s="249"/>
      <c r="T81" s="249"/>
      <c r="U81" s="249"/>
      <c r="V81" s="249"/>
      <c r="W81" s="401"/>
      <c r="X81" s="401"/>
      <c r="Y81" s="401"/>
      <c r="Z81" s="401"/>
      <c r="AA81" s="401"/>
      <c r="AB81" s="401"/>
      <c r="AC81" s="401"/>
      <c r="AD81" s="401"/>
      <c r="AE81" s="401"/>
      <c r="AF81" s="401"/>
      <c r="AG81" s="401"/>
      <c r="AH81" s="401"/>
      <c r="AI81" s="401"/>
      <c r="AJ81" s="401"/>
      <c r="AK81" s="401"/>
      <c r="AL81" s="401"/>
      <c r="AM81" s="401"/>
      <c r="AN81" s="401"/>
      <c r="AO81" s="401"/>
      <c r="AP81" s="401"/>
      <c r="AV81" s="231"/>
      <c r="AW81" s="231">
        <f>IF($AV$80=2,1,0)</f>
        <v>0</v>
      </c>
    </row>
    <row r="82" spans="2:49" ht="15" customHeight="1" x14ac:dyDescent="0.25">
      <c r="B82" s="239"/>
      <c r="D82" s="249"/>
      <c r="E82" s="249"/>
      <c r="F82" s="249"/>
      <c r="G82" s="245" t="s">
        <v>136</v>
      </c>
      <c r="H82" s="249"/>
      <c r="I82" s="249"/>
      <c r="J82" s="249"/>
      <c r="K82" s="249"/>
      <c r="L82" s="249"/>
      <c r="M82" s="249"/>
      <c r="N82" s="249"/>
      <c r="O82" s="249"/>
      <c r="P82" s="249"/>
      <c r="Q82" s="249"/>
      <c r="R82" s="249"/>
      <c r="S82" s="249"/>
      <c r="T82" s="249"/>
      <c r="U82" s="249"/>
      <c r="V82" s="249"/>
      <c r="W82" s="401"/>
      <c r="X82" s="401"/>
      <c r="Y82" s="401"/>
      <c r="Z82" s="401"/>
      <c r="AA82" s="401"/>
      <c r="AB82" s="401"/>
      <c r="AC82" s="401"/>
      <c r="AD82" s="401"/>
      <c r="AE82" s="401"/>
      <c r="AF82" s="401"/>
      <c r="AG82" s="401"/>
      <c r="AH82" s="401"/>
      <c r="AI82" s="401"/>
      <c r="AJ82" s="401"/>
      <c r="AK82" s="401"/>
      <c r="AL82" s="401"/>
      <c r="AM82" s="401"/>
      <c r="AN82" s="401"/>
      <c r="AO82" s="401"/>
      <c r="AP82" s="401"/>
      <c r="AV82" s="231"/>
      <c r="AW82" s="231">
        <f>IF($AV$80=3,1,0)</f>
        <v>0</v>
      </c>
    </row>
    <row r="83" spans="2:49" ht="15" customHeight="1" x14ac:dyDescent="0.25">
      <c r="B83" s="239"/>
      <c r="AV83" s="231"/>
      <c r="AW83" s="231"/>
    </row>
    <row r="84" spans="2:49" ht="15" customHeight="1" x14ac:dyDescent="0.25">
      <c r="B84" s="239" t="s">
        <v>56</v>
      </c>
      <c r="D84" s="365" t="s">
        <v>51</v>
      </c>
      <c r="E84" s="365"/>
      <c r="F84" s="365"/>
      <c r="G84" s="365"/>
      <c r="H84" s="365"/>
      <c r="I84" s="365"/>
      <c r="J84" s="365"/>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5"/>
      <c r="AK84" s="365"/>
      <c r="AL84" s="365"/>
      <c r="AM84" s="365"/>
      <c r="AN84" s="365"/>
      <c r="AO84" s="365"/>
      <c r="AP84" s="365"/>
      <c r="AU84" s="2">
        <f>IF(OR(AV86=0,AND(AW39=1,AW86=1)),1,0)</f>
        <v>1</v>
      </c>
      <c r="AV84" s="231"/>
      <c r="AW84" s="231"/>
    </row>
    <row r="85" spans="2:49" ht="15" customHeight="1" x14ac:dyDescent="0.25">
      <c r="B85" s="239"/>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370"/>
      <c r="AM85" s="370"/>
      <c r="AN85" s="370"/>
      <c r="AO85" s="370"/>
      <c r="AP85" s="370"/>
      <c r="AV85" s="231"/>
      <c r="AW85" s="231"/>
    </row>
    <row r="86" spans="2:49" ht="15" customHeight="1" x14ac:dyDescent="0.25">
      <c r="B86" s="239"/>
      <c r="E86" s="373" t="s">
        <v>52</v>
      </c>
      <c r="F86" s="373"/>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373"/>
      <c r="AJ86" s="373"/>
      <c r="AK86" s="373"/>
      <c r="AL86" s="373"/>
      <c r="AM86" s="373"/>
      <c r="AN86" s="373"/>
      <c r="AO86" s="373"/>
      <c r="AV86" s="231">
        <v>0</v>
      </c>
      <c r="AW86" s="231">
        <f>IF($AV$86=1,1,0)</f>
        <v>0</v>
      </c>
    </row>
    <row r="87" spans="2:49" ht="15" customHeight="1" x14ac:dyDescent="0.25">
      <c r="B87" s="239"/>
      <c r="E87" s="363" t="s">
        <v>53</v>
      </c>
      <c r="F87" s="363"/>
      <c r="G87" s="363"/>
      <c r="H87" s="363"/>
      <c r="I87" s="363"/>
      <c r="J87" s="363"/>
      <c r="K87" s="363"/>
      <c r="L87" s="363"/>
      <c r="M87" s="363"/>
      <c r="N87" s="363"/>
      <c r="O87" s="363"/>
      <c r="P87" s="363"/>
      <c r="Q87" s="363"/>
      <c r="R87" s="363"/>
      <c r="S87" s="363"/>
      <c r="T87" s="363"/>
      <c r="U87" s="363"/>
      <c r="V87" s="363"/>
      <c r="W87" s="363"/>
      <c r="X87" s="363"/>
      <c r="Y87" s="363"/>
      <c r="Z87" s="363"/>
      <c r="AA87" s="363"/>
      <c r="AB87" s="363"/>
      <c r="AC87" s="363"/>
      <c r="AD87" s="363"/>
      <c r="AE87" s="363"/>
      <c r="AF87" s="363"/>
      <c r="AG87" s="363"/>
      <c r="AH87" s="363"/>
      <c r="AI87" s="363"/>
      <c r="AJ87" s="363"/>
      <c r="AK87" s="363"/>
      <c r="AL87" s="363"/>
      <c r="AM87" s="363"/>
      <c r="AN87" s="363"/>
      <c r="AO87" s="363"/>
      <c r="AP87" s="363"/>
      <c r="AV87" s="231"/>
      <c r="AW87" s="231">
        <f>IF($AV$86=2,1,0)</f>
        <v>0</v>
      </c>
    </row>
    <row r="88" spans="2:49" ht="15" customHeight="1" x14ac:dyDescent="0.25">
      <c r="B88" s="239"/>
      <c r="E88" s="363"/>
      <c r="F88" s="363"/>
      <c r="G88" s="363"/>
      <c r="H88" s="363"/>
      <c r="I88" s="363"/>
      <c r="J88" s="363"/>
      <c r="K88" s="363"/>
      <c r="L88" s="363"/>
      <c r="M88" s="363"/>
      <c r="N88" s="363"/>
      <c r="O88" s="363"/>
      <c r="P88" s="363"/>
      <c r="Q88" s="363"/>
      <c r="R88" s="363"/>
      <c r="S88" s="363"/>
      <c r="T88" s="363"/>
      <c r="U88" s="363"/>
      <c r="V88" s="363"/>
      <c r="W88" s="363"/>
      <c r="X88" s="363"/>
      <c r="Y88" s="363"/>
      <c r="Z88" s="363"/>
      <c r="AA88" s="363"/>
      <c r="AB88" s="363"/>
      <c r="AC88" s="363"/>
      <c r="AD88" s="363"/>
      <c r="AE88" s="363"/>
      <c r="AF88" s="363"/>
      <c r="AG88" s="363"/>
      <c r="AH88" s="363"/>
      <c r="AI88" s="363"/>
      <c r="AJ88" s="363"/>
      <c r="AK88" s="363"/>
      <c r="AL88" s="363"/>
      <c r="AM88" s="363"/>
      <c r="AN88" s="363"/>
      <c r="AO88" s="363"/>
      <c r="AP88" s="363"/>
      <c r="AV88" s="231"/>
      <c r="AW88" s="231"/>
    </row>
    <row r="89" spans="2:49" ht="15" customHeight="1" x14ac:dyDescent="0.25">
      <c r="B89" s="239"/>
      <c r="E89" s="363" t="s">
        <v>54</v>
      </c>
      <c r="F89" s="363"/>
      <c r="G89" s="363"/>
      <c r="H89" s="363"/>
      <c r="I89" s="363"/>
      <c r="J89" s="363"/>
      <c r="K89" s="363"/>
      <c r="L89" s="363"/>
      <c r="M89" s="363"/>
      <c r="N89" s="363"/>
      <c r="O89" s="363"/>
      <c r="P89" s="363"/>
      <c r="Q89" s="363"/>
      <c r="R89" s="363"/>
      <c r="S89" s="363"/>
      <c r="T89" s="363"/>
      <c r="U89" s="363"/>
      <c r="V89" s="363"/>
      <c r="W89" s="363"/>
      <c r="X89" s="363"/>
      <c r="Y89" s="363"/>
      <c r="Z89" s="363"/>
      <c r="AA89" s="363"/>
      <c r="AB89" s="363"/>
      <c r="AC89" s="363"/>
      <c r="AD89" s="363"/>
      <c r="AE89" s="363"/>
      <c r="AF89" s="363"/>
      <c r="AG89" s="363"/>
      <c r="AH89" s="363"/>
      <c r="AI89" s="363"/>
      <c r="AJ89" s="363"/>
      <c r="AK89" s="363"/>
      <c r="AL89" s="363"/>
      <c r="AM89" s="363"/>
      <c r="AN89" s="363"/>
      <c r="AO89" s="363"/>
      <c r="AV89" s="231"/>
      <c r="AW89" s="231">
        <f>IF($AV$86=3,1,0)</f>
        <v>0</v>
      </c>
    </row>
    <row r="90" spans="2:49" ht="15" customHeight="1" x14ac:dyDescent="0.25">
      <c r="B90" s="239"/>
      <c r="E90" s="363"/>
      <c r="F90" s="363"/>
      <c r="G90" s="363"/>
      <c r="H90" s="363"/>
      <c r="I90" s="363"/>
      <c r="J90" s="363"/>
      <c r="K90" s="363"/>
      <c r="L90" s="363"/>
      <c r="M90" s="363"/>
      <c r="N90" s="363"/>
      <c r="O90" s="363"/>
      <c r="P90" s="363"/>
      <c r="Q90" s="363"/>
      <c r="R90" s="363"/>
      <c r="S90" s="363"/>
      <c r="T90" s="363"/>
      <c r="U90" s="363"/>
      <c r="V90" s="363"/>
      <c r="W90" s="363"/>
      <c r="X90" s="363"/>
      <c r="Y90" s="363"/>
      <c r="Z90" s="363"/>
      <c r="AA90" s="363"/>
      <c r="AB90" s="363"/>
      <c r="AC90" s="363"/>
      <c r="AD90" s="363"/>
      <c r="AE90" s="363"/>
      <c r="AF90" s="363"/>
      <c r="AG90" s="363"/>
      <c r="AH90" s="363"/>
      <c r="AI90" s="363"/>
      <c r="AJ90" s="363"/>
      <c r="AK90" s="363"/>
      <c r="AL90" s="363"/>
      <c r="AM90" s="363"/>
      <c r="AN90" s="363"/>
      <c r="AO90" s="363"/>
      <c r="AV90" s="231"/>
      <c r="AW90" s="231"/>
    </row>
    <row r="91" spans="2:49" ht="15" customHeight="1" x14ac:dyDescent="0.25">
      <c r="B91" s="239"/>
      <c r="E91" s="363" t="s">
        <v>63</v>
      </c>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K91" s="363"/>
      <c r="AL91" s="363"/>
      <c r="AM91" s="363"/>
      <c r="AN91" s="363"/>
      <c r="AO91" s="363"/>
      <c r="AP91" s="261"/>
      <c r="AV91" s="231"/>
      <c r="AW91" s="231">
        <f>IF($AV$86=4,1,0)</f>
        <v>0</v>
      </c>
    </row>
    <row r="92" spans="2:49" ht="15" customHeight="1" x14ac:dyDescent="0.25">
      <c r="B92" s="239"/>
      <c r="E92" s="363"/>
      <c r="F92" s="363"/>
      <c r="G92" s="363"/>
      <c r="H92" s="363"/>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363"/>
      <c r="AG92" s="363"/>
      <c r="AH92" s="363"/>
      <c r="AI92" s="363"/>
      <c r="AJ92" s="363"/>
      <c r="AK92" s="363"/>
      <c r="AL92" s="363"/>
      <c r="AM92" s="363"/>
      <c r="AN92" s="363"/>
      <c r="AO92" s="363"/>
      <c r="AP92" s="261"/>
      <c r="AV92" s="231"/>
      <c r="AW92" s="231"/>
    </row>
    <row r="93" spans="2:49" ht="15" customHeight="1" x14ac:dyDescent="0.25">
      <c r="B93" s="239"/>
      <c r="AV93" s="231"/>
      <c r="AW93" s="231"/>
    </row>
    <row r="94" spans="2:49" ht="15" customHeight="1" x14ac:dyDescent="0.25">
      <c r="B94" s="239" t="s">
        <v>50</v>
      </c>
      <c r="D94" s="371" t="s">
        <v>57</v>
      </c>
      <c r="E94" s="371"/>
      <c r="F94" s="371"/>
      <c r="G94" s="371"/>
      <c r="H94" s="371"/>
      <c r="I94" s="371"/>
      <c r="J94" s="371"/>
      <c r="K94" s="371"/>
      <c r="L94" s="371"/>
      <c r="M94" s="371"/>
      <c r="N94" s="371"/>
      <c r="O94" s="371"/>
      <c r="P94" s="371"/>
      <c r="Q94" s="371"/>
      <c r="R94" s="371"/>
      <c r="S94" s="371"/>
      <c r="T94" s="371"/>
      <c r="U94" s="371"/>
      <c r="V94" s="371"/>
      <c r="W94" s="371"/>
      <c r="X94" s="371"/>
      <c r="Y94" s="371"/>
      <c r="Z94" s="371"/>
      <c r="AA94" s="371"/>
      <c r="AB94" s="371"/>
      <c r="AC94" s="371"/>
      <c r="AD94" s="371"/>
      <c r="AE94" s="371"/>
      <c r="AF94" s="371"/>
      <c r="AG94" s="371"/>
      <c r="AH94" s="371"/>
      <c r="AI94" s="371"/>
      <c r="AJ94" s="371"/>
      <c r="AK94" s="371"/>
      <c r="AL94" s="371"/>
      <c r="AM94" s="371"/>
      <c r="AN94" s="371"/>
      <c r="AO94" s="371"/>
      <c r="AP94" s="371"/>
      <c r="AU94" s="2">
        <f>IF(OR(AV95=0,AND(AW39=1,AW95=1)),1,0)</f>
        <v>1</v>
      </c>
      <c r="AV94" s="231"/>
      <c r="AW94" s="231"/>
    </row>
    <row r="95" spans="2:49" ht="15" customHeight="1" x14ac:dyDescent="0.25">
      <c r="B95" s="239"/>
      <c r="E95" s="372" t="s">
        <v>58</v>
      </c>
      <c r="F95" s="372"/>
      <c r="G95" s="372"/>
      <c r="H95" s="372"/>
      <c r="I95" s="372"/>
      <c r="J95" s="372"/>
      <c r="K95" s="372"/>
      <c r="L95" s="372"/>
      <c r="M95" s="372"/>
      <c r="N95" s="372"/>
      <c r="O95" s="372"/>
      <c r="P95" s="372"/>
      <c r="Q95" s="372"/>
      <c r="R95" s="372"/>
      <c r="S95" s="372"/>
      <c r="T95" s="372"/>
      <c r="U95" s="372"/>
      <c r="V95" s="372"/>
      <c r="W95" s="372"/>
      <c r="X95" s="372"/>
      <c r="Y95" s="372"/>
      <c r="Z95" s="372"/>
      <c r="AA95" s="372"/>
      <c r="AB95" s="372"/>
      <c r="AC95" s="372"/>
      <c r="AD95" s="372"/>
      <c r="AE95" s="372"/>
      <c r="AF95" s="372"/>
      <c r="AG95" s="372"/>
      <c r="AH95" s="372"/>
      <c r="AI95" s="372"/>
      <c r="AJ95" s="372"/>
      <c r="AK95" s="372"/>
      <c r="AL95" s="372"/>
      <c r="AM95" s="372"/>
      <c r="AN95" s="372"/>
      <c r="AO95" s="372"/>
      <c r="AV95" s="231">
        <v>0</v>
      </c>
      <c r="AW95" s="231">
        <f>IF($AV$95=1,1,0)</f>
        <v>0</v>
      </c>
    </row>
    <row r="96" spans="2:49" ht="15" customHeight="1" x14ac:dyDescent="0.25">
      <c r="B96" s="239"/>
      <c r="E96" s="372"/>
      <c r="F96" s="372"/>
      <c r="G96" s="372"/>
      <c r="H96" s="372"/>
      <c r="I96" s="372"/>
      <c r="J96" s="372"/>
      <c r="K96" s="372"/>
      <c r="L96" s="372"/>
      <c r="M96" s="372"/>
      <c r="N96" s="372"/>
      <c r="O96" s="372"/>
      <c r="P96" s="372"/>
      <c r="Q96" s="372"/>
      <c r="R96" s="372"/>
      <c r="S96" s="372"/>
      <c r="T96" s="372"/>
      <c r="U96" s="372"/>
      <c r="V96" s="372"/>
      <c r="W96" s="372"/>
      <c r="X96" s="372"/>
      <c r="Y96" s="372"/>
      <c r="Z96" s="372"/>
      <c r="AA96" s="372"/>
      <c r="AB96" s="372"/>
      <c r="AC96" s="372"/>
      <c r="AD96" s="372"/>
      <c r="AE96" s="372"/>
      <c r="AF96" s="372"/>
      <c r="AG96" s="372"/>
      <c r="AH96" s="372"/>
      <c r="AI96" s="372"/>
      <c r="AJ96" s="372"/>
      <c r="AK96" s="372"/>
      <c r="AL96" s="372"/>
      <c r="AM96" s="372"/>
      <c r="AN96" s="372"/>
      <c r="AO96" s="372"/>
      <c r="AV96" s="231"/>
      <c r="AW96" s="231"/>
    </row>
    <row r="97" spans="2:49" ht="15" customHeight="1" x14ac:dyDescent="0.25">
      <c r="B97" s="239"/>
      <c r="E97" s="262" t="s">
        <v>59</v>
      </c>
      <c r="F97" s="262"/>
      <c r="G97" s="262"/>
      <c r="H97" s="262"/>
      <c r="I97" s="262"/>
      <c r="J97" s="262"/>
      <c r="K97" s="262"/>
      <c r="L97" s="262"/>
      <c r="M97" s="262"/>
      <c r="N97" s="262"/>
      <c r="O97" s="262"/>
      <c r="P97" s="262"/>
      <c r="Q97" s="262"/>
      <c r="R97" s="262"/>
      <c r="S97" s="262"/>
      <c r="T97" s="414" t="str">
        <f>IF(AND(AW39=1,OR(AW86=1,AW95=1)),"A 10-11. kérdésekre adott válaszok alapján befektetései egységekhez kötött biztosítás (4. kérdés) nem ajánlható!","")</f>
        <v/>
      </c>
      <c r="U97" s="414"/>
      <c r="V97" s="414"/>
      <c r="W97" s="414"/>
      <c r="X97" s="414"/>
      <c r="Y97" s="414"/>
      <c r="Z97" s="414"/>
      <c r="AA97" s="414"/>
      <c r="AB97" s="414"/>
      <c r="AC97" s="414"/>
      <c r="AD97" s="414"/>
      <c r="AE97" s="414"/>
      <c r="AF97" s="414"/>
      <c r="AG97" s="414"/>
      <c r="AH97" s="414"/>
      <c r="AI97" s="414"/>
      <c r="AJ97" s="414"/>
      <c r="AK97" s="414"/>
      <c r="AL97" s="414"/>
      <c r="AM97" s="414"/>
      <c r="AN97" s="414"/>
      <c r="AO97" s="414"/>
      <c r="AP97" s="414"/>
      <c r="AV97" s="231"/>
      <c r="AW97" s="231">
        <f>IF($AV$95=2,1,0)</f>
        <v>0</v>
      </c>
    </row>
    <row r="98" spans="2:49" ht="15" customHeight="1" x14ac:dyDescent="0.25">
      <c r="B98" s="239"/>
      <c r="E98" s="262" t="s">
        <v>60</v>
      </c>
      <c r="F98" s="262"/>
      <c r="G98" s="262"/>
      <c r="H98" s="262"/>
      <c r="I98" s="262"/>
      <c r="J98" s="262"/>
      <c r="K98" s="262"/>
      <c r="L98" s="262"/>
      <c r="M98" s="262"/>
      <c r="N98" s="262"/>
      <c r="O98" s="262"/>
      <c r="P98" s="262"/>
      <c r="Q98" s="262"/>
      <c r="R98" s="262"/>
      <c r="S98" s="262"/>
      <c r="T98" s="414"/>
      <c r="U98" s="414"/>
      <c r="V98" s="414"/>
      <c r="W98" s="414"/>
      <c r="X98" s="414"/>
      <c r="Y98" s="414"/>
      <c r="Z98" s="414"/>
      <c r="AA98" s="414"/>
      <c r="AB98" s="414"/>
      <c r="AC98" s="414"/>
      <c r="AD98" s="414"/>
      <c r="AE98" s="414"/>
      <c r="AF98" s="414"/>
      <c r="AG98" s="414"/>
      <c r="AH98" s="414"/>
      <c r="AI98" s="414"/>
      <c r="AJ98" s="414"/>
      <c r="AK98" s="414"/>
      <c r="AL98" s="414"/>
      <c r="AM98" s="414"/>
      <c r="AN98" s="414"/>
      <c r="AO98" s="414"/>
      <c r="AP98" s="414"/>
      <c r="AV98" s="231"/>
      <c r="AW98" s="231">
        <f>IF($AV$95=3,1,0)</f>
        <v>0</v>
      </c>
    </row>
    <row r="99" spans="2:49" ht="15" customHeight="1" x14ac:dyDescent="0.25">
      <c r="B99" s="239"/>
      <c r="E99" s="262" t="s">
        <v>61</v>
      </c>
      <c r="F99" s="262"/>
      <c r="G99" s="262"/>
      <c r="H99" s="262"/>
      <c r="I99" s="262"/>
      <c r="J99" s="262"/>
      <c r="K99" s="262"/>
      <c r="L99" s="262"/>
      <c r="M99" s="262"/>
      <c r="N99" s="262"/>
      <c r="O99" s="262"/>
      <c r="P99" s="262"/>
      <c r="Q99" s="262"/>
      <c r="R99" s="262"/>
      <c r="S99" s="262"/>
      <c r="T99" s="414"/>
      <c r="U99" s="414"/>
      <c r="V99" s="414"/>
      <c r="W99" s="414"/>
      <c r="X99" s="414"/>
      <c r="Y99" s="414"/>
      <c r="Z99" s="414"/>
      <c r="AA99" s="414"/>
      <c r="AB99" s="414"/>
      <c r="AC99" s="414"/>
      <c r="AD99" s="414"/>
      <c r="AE99" s="414"/>
      <c r="AF99" s="414"/>
      <c r="AG99" s="414"/>
      <c r="AH99" s="414"/>
      <c r="AI99" s="414"/>
      <c r="AJ99" s="414"/>
      <c r="AK99" s="414"/>
      <c r="AL99" s="414"/>
      <c r="AM99" s="414"/>
      <c r="AN99" s="414"/>
      <c r="AO99" s="414"/>
      <c r="AP99" s="414"/>
      <c r="AV99" s="231"/>
      <c r="AW99" s="231">
        <f>IF($AV$95=4,1,0)</f>
        <v>0</v>
      </c>
    </row>
    <row r="100" spans="2:49" ht="15" customHeight="1" x14ac:dyDescent="0.25">
      <c r="B100" s="239"/>
      <c r="AV100" s="231"/>
      <c r="AW100" s="231"/>
    </row>
    <row r="101" spans="2:49" ht="15" customHeight="1" x14ac:dyDescent="0.25">
      <c r="B101" s="239" t="s">
        <v>55</v>
      </c>
      <c r="D101" s="371" t="s">
        <v>137</v>
      </c>
      <c r="E101" s="371"/>
      <c r="F101" s="371"/>
      <c r="G101" s="371"/>
      <c r="H101" s="371"/>
      <c r="I101" s="371"/>
      <c r="J101" s="371"/>
      <c r="K101" s="371"/>
      <c r="L101" s="371"/>
      <c r="M101" s="371"/>
      <c r="N101" s="371"/>
      <c r="O101" s="371"/>
      <c r="P101" s="371"/>
      <c r="Q101" s="371"/>
      <c r="R101" s="371"/>
      <c r="S101" s="371"/>
      <c r="T101" s="371"/>
      <c r="U101" s="371"/>
      <c r="V101" s="371"/>
      <c r="W101" s="371"/>
      <c r="X101" s="371"/>
      <c r="Y101" s="371"/>
      <c r="Z101" s="371"/>
      <c r="AA101" s="371"/>
      <c r="AB101" s="371"/>
      <c r="AC101" s="371"/>
      <c r="AD101" s="371"/>
      <c r="AE101" s="371"/>
      <c r="AF101" s="371"/>
      <c r="AG101" s="371"/>
      <c r="AH101" s="371"/>
      <c r="AI101" s="371"/>
      <c r="AJ101" s="371"/>
      <c r="AK101" s="371"/>
      <c r="AL101" s="371"/>
      <c r="AM101" s="371"/>
      <c r="AN101" s="371"/>
      <c r="AO101" s="371"/>
      <c r="AP101" s="371"/>
      <c r="AU101" s="2">
        <f>IF(OR(AV102=0,T103&lt;&gt;""),1,0)</f>
        <v>1</v>
      </c>
      <c r="AV101" s="231"/>
      <c r="AW101" s="231"/>
    </row>
    <row r="102" spans="2:49" ht="15" customHeight="1" x14ac:dyDescent="0.25">
      <c r="B102" s="239"/>
      <c r="E102" s="243" t="s">
        <v>139</v>
      </c>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V102" s="231">
        <f>IFERROR(VLOOKUP(TRUE,AW102:AW106,1,0),0)*1</f>
        <v>0</v>
      </c>
      <c r="AW102" s="296" t="b">
        <v>0</v>
      </c>
    </row>
    <row r="103" spans="2:49" ht="15" customHeight="1" x14ac:dyDescent="0.25">
      <c r="B103" s="239"/>
      <c r="E103" s="263" t="s">
        <v>140</v>
      </c>
      <c r="F103" s="263"/>
      <c r="G103" s="263"/>
      <c r="H103" s="263"/>
      <c r="I103" s="263"/>
      <c r="J103" s="263"/>
      <c r="K103" s="263"/>
      <c r="L103" s="263"/>
      <c r="M103" s="263"/>
      <c r="N103" s="263"/>
      <c r="O103" s="263"/>
      <c r="P103" s="263"/>
      <c r="Q103" s="263"/>
      <c r="R103" s="263"/>
      <c r="S103" s="263"/>
      <c r="T103" s="414" t="str">
        <f>IF(AND(IFERROR(VLOOKUP(TRUE,AW102:AW105,1,0),0)*1=1,AW106=TRUE),"Nem jelölhető meg egyszerre konkrét
eszközkategória és az 'Egyik sem' válasz!","")</f>
        <v/>
      </c>
      <c r="U103" s="414"/>
      <c r="V103" s="414"/>
      <c r="W103" s="414"/>
      <c r="X103" s="414"/>
      <c r="Y103" s="414"/>
      <c r="Z103" s="414"/>
      <c r="AA103" s="414"/>
      <c r="AB103" s="414"/>
      <c r="AC103" s="414"/>
      <c r="AD103" s="414"/>
      <c r="AE103" s="414"/>
      <c r="AF103" s="414"/>
      <c r="AG103" s="414"/>
      <c r="AH103" s="414"/>
      <c r="AI103" s="414"/>
      <c r="AJ103" s="414"/>
      <c r="AK103" s="414"/>
      <c r="AL103" s="414"/>
      <c r="AM103" s="414"/>
      <c r="AN103" s="414"/>
      <c r="AO103" s="414"/>
      <c r="AP103" s="414"/>
      <c r="AV103" s="231"/>
      <c r="AW103" s="296" t="b">
        <v>0</v>
      </c>
    </row>
    <row r="104" spans="2:49" ht="15" customHeight="1" x14ac:dyDescent="0.25">
      <c r="B104" s="239"/>
      <c r="E104" s="263" t="s">
        <v>141</v>
      </c>
      <c r="F104" s="263"/>
      <c r="G104" s="263"/>
      <c r="H104" s="263"/>
      <c r="I104" s="263"/>
      <c r="J104" s="263"/>
      <c r="K104" s="263"/>
      <c r="L104" s="263"/>
      <c r="M104" s="263"/>
      <c r="N104" s="263"/>
      <c r="O104" s="263"/>
      <c r="P104" s="263"/>
      <c r="Q104" s="263"/>
      <c r="R104" s="263"/>
      <c r="S104" s="263"/>
      <c r="T104" s="414"/>
      <c r="U104" s="414"/>
      <c r="V104" s="414"/>
      <c r="W104" s="414"/>
      <c r="X104" s="414"/>
      <c r="Y104" s="414"/>
      <c r="Z104" s="414"/>
      <c r="AA104" s="414"/>
      <c r="AB104" s="414"/>
      <c r="AC104" s="414"/>
      <c r="AD104" s="414"/>
      <c r="AE104" s="414"/>
      <c r="AF104" s="414"/>
      <c r="AG104" s="414"/>
      <c r="AH104" s="414"/>
      <c r="AI104" s="414"/>
      <c r="AJ104" s="414"/>
      <c r="AK104" s="414"/>
      <c r="AL104" s="414"/>
      <c r="AM104" s="414"/>
      <c r="AN104" s="414"/>
      <c r="AO104" s="414"/>
      <c r="AP104" s="414"/>
      <c r="AV104" s="231"/>
      <c r="AW104" s="296" t="b">
        <v>0</v>
      </c>
    </row>
    <row r="105" spans="2:49" ht="15" customHeight="1" x14ac:dyDescent="0.25">
      <c r="B105" s="239"/>
      <c r="E105" s="263" t="s">
        <v>142</v>
      </c>
      <c r="F105" s="263"/>
      <c r="G105" s="263"/>
      <c r="H105" s="263"/>
      <c r="I105" s="263"/>
      <c r="J105" s="263"/>
      <c r="K105" s="263"/>
      <c r="L105" s="263"/>
      <c r="M105" s="263"/>
      <c r="N105" s="263"/>
      <c r="O105" s="263"/>
      <c r="P105" s="263"/>
      <c r="Q105" s="263"/>
      <c r="R105" s="263"/>
      <c r="S105" s="263"/>
      <c r="T105" s="414"/>
      <c r="U105" s="414"/>
      <c r="V105" s="414"/>
      <c r="W105" s="414"/>
      <c r="X105" s="414"/>
      <c r="Y105" s="414"/>
      <c r="Z105" s="414"/>
      <c r="AA105" s="414"/>
      <c r="AB105" s="414"/>
      <c r="AC105" s="414"/>
      <c r="AD105" s="414"/>
      <c r="AE105" s="414"/>
      <c r="AF105" s="414"/>
      <c r="AG105" s="414"/>
      <c r="AH105" s="414"/>
      <c r="AI105" s="414"/>
      <c r="AJ105" s="414"/>
      <c r="AK105" s="414"/>
      <c r="AL105" s="414"/>
      <c r="AM105" s="414"/>
      <c r="AN105" s="414"/>
      <c r="AO105" s="414"/>
      <c r="AP105" s="414"/>
      <c r="AV105" s="231"/>
      <c r="AW105" s="296" t="b">
        <v>0</v>
      </c>
    </row>
    <row r="106" spans="2:49" ht="15" customHeight="1" x14ac:dyDescent="0.25">
      <c r="B106" s="239"/>
      <c r="E106" s="263" t="s">
        <v>143</v>
      </c>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V106" s="231"/>
      <c r="AW106" s="296" t="b">
        <v>0</v>
      </c>
    </row>
    <row r="107" spans="2:49" ht="15" customHeight="1" x14ac:dyDescent="0.25">
      <c r="B107" s="239"/>
      <c r="AV107" s="231"/>
      <c r="AW107" s="296"/>
    </row>
    <row r="108" spans="2:49" ht="15" customHeight="1" x14ac:dyDescent="0.25">
      <c r="B108" s="239" t="s">
        <v>62</v>
      </c>
      <c r="D108" s="371" t="s">
        <v>138</v>
      </c>
      <c r="E108" s="371"/>
      <c r="F108" s="371"/>
      <c r="G108" s="371"/>
      <c r="H108" s="371"/>
      <c r="I108" s="371"/>
      <c r="J108" s="371"/>
      <c r="K108" s="371"/>
      <c r="L108" s="371"/>
      <c r="M108" s="371"/>
      <c r="N108" s="371"/>
      <c r="O108" s="371"/>
      <c r="P108" s="371"/>
      <c r="Q108" s="371"/>
      <c r="R108" s="371"/>
      <c r="S108" s="371"/>
      <c r="T108" s="371"/>
      <c r="U108" s="371"/>
      <c r="V108" s="371"/>
      <c r="W108" s="371"/>
      <c r="X108" s="371"/>
      <c r="Y108" s="371"/>
      <c r="Z108" s="371"/>
      <c r="AA108" s="371"/>
      <c r="AB108" s="371"/>
      <c r="AC108" s="371"/>
      <c r="AD108" s="371"/>
      <c r="AE108" s="371"/>
      <c r="AF108" s="371"/>
      <c r="AG108" s="371"/>
      <c r="AH108" s="371"/>
      <c r="AI108" s="371"/>
      <c r="AJ108" s="371"/>
      <c r="AK108" s="371"/>
      <c r="AL108" s="371"/>
      <c r="AM108" s="371"/>
      <c r="AN108" s="371"/>
      <c r="AO108" s="371"/>
      <c r="AP108" s="371"/>
      <c r="AU108" s="2">
        <f>IF(OR(AV109=0,T110&lt;&gt;""),1,0)</f>
        <v>1</v>
      </c>
      <c r="AV108" s="231"/>
      <c r="AW108" s="296"/>
    </row>
    <row r="109" spans="2:49" ht="15" customHeight="1" x14ac:dyDescent="0.25">
      <c r="E109" s="245" t="s">
        <v>139</v>
      </c>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5"/>
      <c r="AJ109" s="245"/>
      <c r="AK109" s="245"/>
      <c r="AL109" s="245"/>
      <c r="AM109" s="245"/>
      <c r="AN109" s="245"/>
      <c r="AO109" s="245"/>
      <c r="AV109" s="231">
        <f>IFERROR(VLOOKUP(TRUE,AW109:AW113,1,0),0)*1</f>
        <v>0</v>
      </c>
      <c r="AW109" s="296" t="b">
        <v>0</v>
      </c>
    </row>
    <row r="110" spans="2:49" ht="15" customHeight="1" x14ac:dyDescent="0.25">
      <c r="E110" s="262" t="s">
        <v>140</v>
      </c>
      <c r="F110" s="262"/>
      <c r="G110" s="262"/>
      <c r="H110" s="262"/>
      <c r="I110" s="262"/>
      <c r="J110" s="262"/>
      <c r="K110" s="262"/>
      <c r="L110" s="262"/>
      <c r="M110" s="262"/>
      <c r="N110" s="262"/>
      <c r="O110" s="262"/>
      <c r="P110" s="262"/>
      <c r="Q110" s="262"/>
      <c r="R110" s="262"/>
      <c r="S110" s="262"/>
      <c r="T110" s="414" t="str">
        <f>IF(AND(IFERROR(VLOOKUP(TRUE,AW109:AW112,1,0),0)*1=1,AW113=TRUE),"Nem jelölhető meg egyszerre konkrét
eszközkategória és az 'Egyik sem' válasz!","")</f>
        <v/>
      </c>
      <c r="U110" s="414"/>
      <c r="V110" s="414"/>
      <c r="W110" s="414"/>
      <c r="X110" s="414"/>
      <c r="Y110" s="414"/>
      <c r="Z110" s="414"/>
      <c r="AA110" s="414"/>
      <c r="AB110" s="414"/>
      <c r="AC110" s="414"/>
      <c r="AD110" s="414"/>
      <c r="AE110" s="414"/>
      <c r="AF110" s="414"/>
      <c r="AG110" s="414"/>
      <c r="AH110" s="414"/>
      <c r="AI110" s="414"/>
      <c r="AJ110" s="414"/>
      <c r="AK110" s="414"/>
      <c r="AL110" s="414"/>
      <c r="AM110" s="414"/>
      <c r="AN110" s="414"/>
      <c r="AO110" s="414"/>
      <c r="AP110" s="414"/>
      <c r="AV110" s="231"/>
      <c r="AW110" s="296" t="b">
        <v>0</v>
      </c>
    </row>
    <row r="111" spans="2:49" ht="15" customHeight="1" x14ac:dyDescent="0.25">
      <c r="E111" s="262" t="s">
        <v>141</v>
      </c>
      <c r="F111" s="262"/>
      <c r="G111" s="262"/>
      <c r="H111" s="262"/>
      <c r="I111" s="262"/>
      <c r="J111" s="262"/>
      <c r="K111" s="262"/>
      <c r="L111" s="262"/>
      <c r="M111" s="262"/>
      <c r="N111" s="262"/>
      <c r="O111" s="262"/>
      <c r="P111" s="262"/>
      <c r="Q111" s="262"/>
      <c r="R111" s="262"/>
      <c r="S111" s="262"/>
      <c r="T111" s="414"/>
      <c r="U111" s="414"/>
      <c r="V111" s="414"/>
      <c r="W111" s="414"/>
      <c r="X111" s="414"/>
      <c r="Y111" s="414"/>
      <c r="Z111" s="414"/>
      <c r="AA111" s="414"/>
      <c r="AB111" s="414"/>
      <c r="AC111" s="414"/>
      <c r="AD111" s="414"/>
      <c r="AE111" s="414"/>
      <c r="AF111" s="414"/>
      <c r="AG111" s="414"/>
      <c r="AH111" s="414"/>
      <c r="AI111" s="414"/>
      <c r="AJ111" s="414"/>
      <c r="AK111" s="414"/>
      <c r="AL111" s="414"/>
      <c r="AM111" s="414"/>
      <c r="AN111" s="414"/>
      <c r="AO111" s="414"/>
      <c r="AP111" s="414"/>
      <c r="AV111" s="231"/>
      <c r="AW111" s="296" t="b">
        <v>0</v>
      </c>
    </row>
    <row r="112" spans="2:49" ht="15" customHeight="1" x14ac:dyDescent="0.25">
      <c r="E112" s="262" t="s">
        <v>142</v>
      </c>
      <c r="F112" s="262"/>
      <c r="G112" s="262"/>
      <c r="H112" s="262"/>
      <c r="I112" s="262"/>
      <c r="J112" s="262"/>
      <c r="K112" s="262"/>
      <c r="L112" s="262"/>
      <c r="M112" s="262"/>
      <c r="N112" s="262"/>
      <c r="O112" s="262"/>
      <c r="P112" s="262"/>
      <c r="Q112" s="262"/>
      <c r="R112" s="262"/>
      <c r="S112" s="262"/>
      <c r="T112" s="414"/>
      <c r="U112" s="414"/>
      <c r="V112" s="414"/>
      <c r="W112" s="414"/>
      <c r="X112" s="414"/>
      <c r="Y112" s="414"/>
      <c r="Z112" s="414"/>
      <c r="AA112" s="414"/>
      <c r="AB112" s="414"/>
      <c r="AC112" s="414"/>
      <c r="AD112" s="414"/>
      <c r="AE112" s="414"/>
      <c r="AF112" s="414"/>
      <c r="AG112" s="414"/>
      <c r="AH112" s="414"/>
      <c r="AI112" s="414"/>
      <c r="AJ112" s="414"/>
      <c r="AK112" s="414"/>
      <c r="AL112" s="414"/>
      <c r="AM112" s="414"/>
      <c r="AN112" s="414"/>
      <c r="AO112" s="414"/>
      <c r="AP112" s="414"/>
      <c r="AV112" s="231"/>
      <c r="AW112" s="296" t="b">
        <v>0</v>
      </c>
    </row>
    <row r="113" spans="2:75" ht="15" customHeight="1" x14ac:dyDescent="0.25">
      <c r="E113" s="262" t="s">
        <v>143</v>
      </c>
      <c r="F113" s="262"/>
      <c r="G113" s="262"/>
      <c r="H113" s="262"/>
      <c r="I113" s="262"/>
      <c r="J113" s="262"/>
      <c r="K113" s="262"/>
      <c r="L113" s="262"/>
      <c r="M113" s="262"/>
      <c r="N113" s="262"/>
      <c r="O113" s="262"/>
      <c r="P113" s="262"/>
      <c r="Q113" s="262"/>
      <c r="R113" s="262"/>
      <c r="S113" s="262"/>
      <c r="T113" s="262"/>
      <c r="U113" s="262"/>
      <c r="V113" s="262"/>
      <c r="W113" s="262"/>
      <c r="X113" s="262"/>
      <c r="Y113" s="262"/>
      <c r="Z113" s="262"/>
      <c r="AA113" s="262"/>
      <c r="AB113" s="262"/>
      <c r="AC113" s="262"/>
      <c r="AD113" s="262"/>
      <c r="AE113" s="262"/>
      <c r="AF113" s="262"/>
      <c r="AG113" s="262"/>
      <c r="AH113" s="262"/>
      <c r="AI113" s="262"/>
      <c r="AJ113" s="262"/>
      <c r="AK113" s="262"/>
      <c r="AL113" s="262"/>
      <c r="AM113" s="262"/>
      <c r="AN113" s="262"/>
      <c r="AO113" s="262"/>
      <c r="AV113" s="231"/>
      <c r="AW113" s="296" t="b">
        <v>0</v>
      </c>
    </row>
    <row r="114" spans="2:75" ht="15" customHeight="1" x14ac:dyDescent="0.25">
      <c r="B114" s="433" t="str">
        <f>IF(AU114&gt;0,"Az Alkalmassági teszt kitöltése hiányos és/vagy ellentmondást tartalmaz "&amp;AU114&amp;" db kérdés esetén.
Kérem, ellenőrizze a kérdőív kitöltését!","")</f>
        <v>Az Alkalmassági teszt kitöltése hiányos és/vagy ellentmondást tartalmaz 13 db kérdés esetén.
Kérem, ellenőrizze a kérdőív kitöltését!</v>
      </c>
      <c r="C114" s="433"/>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33"/>
      <c r="AE114" s="433"/>
      <c r="AF114" s="433"/>
      <c r="AG114" s="433"/>
      <c r="AH114" s="433"/>
      <c r="AI114" s="433"/>
      <c r="AJ114" s="433"/>
      <c r="AK114" s="433"/>
      <c r="AL114" s="433"/>
      <c r="AM114" s="433"/>
      <c r="AN114" s="433"/>
      <c r="AO114" s="433"/>
      <c r="AP114" s="433"/>
      <c r="AU114" s="36">
        <f>+SUM(AU19:AU108)</f>
        <v>13</v>
      </c>
    </row>
    <row r="115" spans="2:75" ht="15" customHeight="1" x14ac:dyDescent="0.25">
      <c r="B115" s="433"/>
      <c r="C115" s="433"/>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33"/>
      <c r="AK115" s="433"/>
      <c r="AL115" s="433"/>
      <c r="AM115" s="433"/>
      <c r="AN115" s="433"/>
      <c r="AO115" s="433"/>
      <c r="AP115" s="433"/>
    </row>
    <row r="116" spans="2:75" ht="15" customHeight="1" x14ac:dyDescent="0.25">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434"/>
      <c r="AE116" s="434"/>
      <c r="AF116" s="434"/>
      <c r="AG116" s="434"/>
      <c r="AH116" s="434"/>
      <c r="AI116" s="434"/>
      <c r="AJ116" s="434"/>
      <c r="AK116" s="434"/>
      <c r="AL116" s="434"/>
      <c r="AM116" s="434"/>
      <c r="AN116" s="434"/>
      <c r="AO116" s="434"/>
      <c r="AP116" s="434"/>
      <c r="BJ116" s="109"/>
      <c r="BK116" s="109"/>
      <c r="BL116" s="109"/>
      <c r="BM116" s="109"/>
      <c r="BN116" s="109"/>
      <c r="BO116" s="109"/>
      <c r="BP116" s="109"/>
      <c r="BQ116" s="109"/>
      <c r="BR116" s="109"/>
      <c r="BS116" s="109"/>
      <c r="BT116" s="109"/>
      <c r="BU116" s="109"/>
      <c r="BV116" s="109"/>
      <c r="BW116" s="109"/>
    </row>
    <row r="117" spans="2:75" ht="15" customHeight="1" x14ac:dyDescent="0.25">
      <c r="B117" s="408" t="s">
        <v>173</v>
      </c>
      <c r="C117" s="409"/>
      <c r="D117" s="409"/>
      <c r="E117" s="409"/>
      <c r="F117" s="409"/>
      <c r="G117" s="409"/>
      <c r="H117" s="409"/>
      <c r="I117" s="409"/>
      <c r="J117" s="409"/>
      <c r="K117" s="409"/>
      <c r="L117" s="409"/>
      <c r="M117" s="409"/>
      <c r="N117" s="409"/>
      <c r="O117" s="409"/>
      <c r="P117" s="409"/>
      <c r="Q117" s="409"/>
      <c r="R117" s="409"/>
      <c r="S117" s="409"/>
      <c r="T117" s="409"/>
      <c r="U117" s="409"/>
      <c r="V117" s="409"/>
      <c r="W117" s="409"/>
      <c r="X117" s="409"/>
      <c r="Y117" s="409"/>
      <c r="Z117" s="409"/>
      <c r="AA117" s="409"/>
      <c r="AB117" s="409"/>
      <c r="AC117" s="409"/>
      <c r="AD117" s="409"/>
      <c r="AE117" s="409"/>
      <c r="AF117" s="409"/>
      <c r="AG117" s="409"/>
      <c r="AH117" s="409"/>
      <c r="AI117" s="409"/>
      <c r="AJ117" s="409"/>
      <c r="AK117" s="409"/>
      <c r="AL117" s="409"/>
      <c r="AM117" s="409"/>
      <c r="AN117" s="409"/>
      <c r="AO117" s="409"/>
      <c r="AP117" s="410"/>
      <c r="BJ117" s="109"/>
      <c r="BK117" s="109"/>
      <c r="BL117" s="109"/>
      <c r="BM117" s="109"/>
      <c r="BN117" s="109"/>
      <c r="BO117" s="109"/>
      <c r="BP117" s="109"/>
      <c r="BQ117" s="109"/>
      <c r="BR117" s="109"/>
      <c r="BS117" s="109"/>
      <c r="BT117" s="109"/>
      <c r="BU117" s="109"/>
      <c r="BV117" s="109"/>
      <c r="BW117" s="109"/>
    </row>
    <row r="118" spans="2:75" ht="15" customHeight="1" x14ac:dyDescent="0.25">
      <c r="B118" s="411"/>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12"/>
      <c r="AA118" s="412"/>
      <c r="AB118" s="412"/>
      <c r="AC118" s="412"/>
      <c r="AD118" s="412"/>
      <c r="AE118" s="412"/>
      <c r="AF118" s="412"/>
      <c r="AG118" s="412"/>
      <c r="AH118" s="412"/>
      <c r="AI118" s="412"/>
      <c r="AJ118" s="412"/>
      <c r="AK118" s="412"/>
      <c r="AL118" s="412"/>
      <c r="AM118" s="412"/>
      <c r="AN118" s="412"/>
      <c r="AO118" s="412"/>
      <c r="AP118" s="413"/>
      <c r="BJ118" s="109"/>
      <c r="BK118" s="109"/>
      <c r="BL118" s="109"/>
      <c r="BM118" s="109"/>
      <c r="BN118" s="109"/>
      <c r="BO118" s="109"/>
      <c r="BP118" s="109"/>
      <c r="BQ118" s="109"/>
      <c r="BR118" s="109"/>
      <c r="BS118" s="109"/>
      <c r="BT118" s="109"/>
      <c r="BU118" s="109"/>
      <c r="BV118" s="109"/>
      <c r="BW118" s="109"/>
    </row>
    <row r="119" spans="2:75" ht="12.75" customHeight="1" x14ac:dyDescent="0.25">
      <c r="B119" s="264"/>
      <c r="C119" s="249"/>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49"/>
      <c r="AF119" s="249"/>
      <c r="AG119" s="249"/>
      <c r="AH119" s="249"/>
      <c r="AI119" s="249"/>
      <c r="AJ119" s="249"/>
      <c r="AK119" s="249"/>
      <c r="AL119" s="249"/>
      <c r="AM119" s="249"/>
      <c r="AN119" s="249"/>
      <c r="AO119" s="249"/>
      <c r="AP119" s="265"/>
      <c r="BJ119" s="109"/>
      <c r="BK119" s="109"/>
      <c r="BL119" s="109"/>
    </row>
    <row r="120" spans="2:75" ht="12.75" customHeight="1" x14ac:dyDescent="0.25">
      <c r="B120" s="264"/>
      <c r="C120" s="249"/>
      <c r="D120" s="249"/>
      <c r="E120" s="249"/>
      <c r="F120" s="249"/>
      <c r="G120" s="249"/>
      <c r="H120" s="404" t="s">
        <v>174</v>
      </c>
      <c r="I120" s="404"/>
      <c r="J120" s="404"/>
      <c r="K120" s="404"/>
      <c r="L120" s="404"/>
      <c r="M120" s="404"/>
      <c r="N120" s="404"/>
      <c r="O120" s="404"/>
      <c r="P120" s="404"/>
      <c r="Q120" s="404"/>
      <c r="R120" s="404"/>
      <c r="S120" s="404"/>
      <c r="T120" s="404"/>
      <c r="U120" s="404"/>
      <c r="V120" s="404"/>
      <c r="W120" s="404"/>
      <c r="X120" s="404"/>
      <c r="Y120" s="404"/>
      <c r="Z120" s="404"/>
      <c r="AA120" s="249"/>
      <c r="AB120" s="249"/>
      <c r="AC120" s="404" t="s">
        <v>157</v>
      </c>
      <c r="AD120" s="404"/>
      <c r="AE120" s="404"/>
      <c r="AF120" s="404"/>
      <c r="AG120" s="404"/>
      <c r="AH120" s="404"/>
      <c r="AI120" s="404"/>
      <c r="AJ120" s="404"/>
      <c r="AK120" s="404"/>
      <c r="AL120" s="404"/>
      <c r="AM120" s="404" t="s">
        <v>170</v>
      </c>
      <c r="AN120" s="404"/>
      <c r="AO120" s="404"/>
      <c r="AP120" s="265"/>
      <c r="BJ120" s="109"/>
      <c r="BK120" s="109"/>
      <c r="BL120" s="109"/>
    </row>
    <row r="121" spans="2:75" ht="15" customHeight="1" x14ac:dyDescent="0.25">
      <c r="B121" s="264"/>
      <c r="C121" s="249"/>
      <c r="D121" s="249"/>
      <c r="E121" s="249"/>
      <c r="F121" s="249"/>
      <c r="G121" s="255" t="s">
        <v>161</v>
      </c>
      <c r="H121" s="361" t="str">
        <f>IF(BQ32="UL","Befektetési egységekhez kötött",IF(BQ32="KL","Hagyományos","-"))</f>
        <v>-</v>
      </c>
      <c r="I121" s="361"/>
      <c r="J121" s="361"/>
      <c r="K121" s="361"/>
      <c r="L121" s="361"/>
      <c r="M121" s="361"/>
      <c r="N121" s="361"/>
      <c r="O121" s="361"/>
      <c r="P121" s="361"/>
      <c r="Q121" s="361"/>
      <c r="R121" s="361"/>
      <c r="S121" s="361"/>
      <c r="T121" s="361"/>
      <c r="U121" s="361"/>
      <c r="V121" s="361"/>
      <c r="W121" s="361"/>
      <c r="X121" s="361"/>
      <c r="Y121" s="361"/>
      <c r="Z121" s="361"/>
      <c r="AA121" s="249"/>
      <c r="AB121" s="266" t="s">
        <v>167</v>
      </c>
      <c r="AC121" s="315" t="s">
        <v>158</v>
      </c>
      <c r="AD121" s="315"/>
      <c r="AE121" s="315"/>
      <c r="AF121" s="315"/>
      <c r="AG121" s="315"/>
      <c r="AH121" s="315"/>
      <c r="AI121" s="315"/>
      <c r="AJ121" s="315"/>
      <c r="AK121" s="315"/>
      <c r="AL121" s="315"/>
      <c r="AM121" s="316">
        <v>0</v>
      </c>
      <c r="AN121" s="317"/>
      <c r="AO121" s="318"/>
      <c r="AP121" s="267" t="s">
        <v>168</v>
      </c>
    </row>
    <row r="122" spans="2:75" ht="15" customHeight="1" x14ac:dyDescent="0.25">
      <c r="B122" s="264"/>
      <c r="C122" s="249"/>
      <c r="D122" s="249"/>
      <c r="E122" s="249"/>
      <c r="F122" s="249"/>
      <c r="G122" s="255" t="s">
        <v>162</v>
      </c>
      <c r="H122" s="361" t="str">
        <f>IF(BQ34="NY","Nyugdíjbiztosítás",IF(OR(BQ34="H",BQ34="WL"),"Életbiztosítás","-"))</f>
        <v>-</v>
      </c>
      <c r="I122" s="361"/>
      <c r="J122" s="361"/>
      <c r="K122" s="361"/>
      <c r="L122" s="361"/>
      <c r="M122" s="361"/>
      <c r="N122" s="361"/>
      <c r="O122" s="361"/>
      <c r="P122" s="361"/>
      <c r="Q122" s="361"/>
      <c r="R122" s="361"/>
      <c r="S122" s="361"/>
      <c r="T122" s="361"/>
      <c r="U122" s="361"/>
      <c r="V122" s="361"/>
      <c r="W122" s="361"/>
      <c r="X122" s="361"/>
      <c r="Y122" s="361"/>
      <c r="Z122" s="361"/>
      <c r="AA122" s="249"/>
      <c r="AB122" s="266" t="s">
        <v>167</v>
      </c>
      <c r="AC122" s="315" t="s">
        <v>148</v>
      </c>
      <c r="AD122" s="315"/>
      <c r="AE122" s="315"/>
      <c r="AF122" s="315"/>
      <c r="AG122" s="315"/>
      <c r="AH122" s="315"/>
      <c r="AI122" s="315"/>
      <c r="AJ122" s="315"/>
      <c r="AK122" s="315"/>
      <c r="AL122" s="315"/>
      <c r="AM122" s="316">
        <v>2</v>
      </c>
      <c r="AN122" s="317"/>
      <c r="AO122" s="318"/>
      <c r="AP122" s="267" t="s">
        <v>168</v>
      </c>
    </row>
    <row r="123" spans="2:75" ht="15" customHeight="1" x14ac:dyDescent="0.25">
      <c r="B123" s="264"/>
      <c r="C123" s="249"/>
      <c r="D123" s="249"/>
      <c r="E123" s="249"/>
      <c r="F123" s="249"/>
      <c r="G123" s="255" t="s">
        <v>163</v>
      </c>
      <c r="H123" s="362" t="str">
        <f>IF(BQ34="NY","Nyugdíjkorhatárig terjedő",IF(BQ34="H","Határozott, "&amp;N25&amp;" év",IF(BQ34="WL","Élethosszig szóló","-")))</f>
        <v>-</v>
      </c>
      <c r="I123" s="362"/>
      <c r="J123" s="362"/>
      <c r="K123" s="362"/>
      <c r="L123" s="362"/>
      <c r="M123" s="362"/>
      <c r="N123" s="362"/>
      <c r="O123" s="362"/>
      <c r="P123" s="362"/>
      <c r="Q123" s="362"/>
      <c r="R123" s="362"/>
      <c r="S123" s="362"/>
      <c r="T123" s="362"/>
      <c r="U123" s="362"/>
      <c r="V123" s="362"/>
      <c r="W123" s="362"/>
      <c r="X123" s="362"/>
      <c r="Y123" s="362"/>
      <c r="Z123" s="362"/>
      <c r="AA123" s="249"/>
      <c r="AB123" s="266" t="s">
        <v>167</v>
      </c>
      <c r="AC123" s="315" t="s">
        <v>149</v>
      </c>
      <c r="AD123" s="315"/>
      <c r="AE123" s="315"/>
      <c r="AF123" s="315"/>
      <c r="AG123" s="315"/>
      <c r="AH123" s="315"/>
      <c r="AI123" s="315"/>
      <c r="AJ123" s="315"/>
      <c r="AK123" s="315"/>
      <c r="AL123" s="315"/>
      <c r="AM123" s="316">
        <v>3</v>
      </c>
      <c r="AN123" s="317"/>
      <c r="AO123" s="318"/>
      <c r="AP123" s="267" t="s">
        <v>168</v>
      </c>
    </row>
    <row r="124" spans="2:75" ht="15" customHeight="1" x14ac:dyDescent="0.25">
      <c r="B124" s="264"/>
      <c r="C124" s="249"/>
      <c r="D124" s="249"/>
      <c r="E124" s="249"/>
      <c r="F124" s="249"/>
      <c r="G124" s="255" t="s">
        <v>171</v>
      </c>
      <c r="H124" s="361" t="str">
        <f>IF(AW22=1,"Igen","Nem")</f>
        <v>Nem</v>
      </c>
      <c r="I124" s="361"/>
      <c r="J124" s="361"/>
      <c r="K124" s="361"/>
      <c r="L124" s="361"/>
      <c r="M124" s="361"/>
      <c r="N124" s="361"/>
      <c r="O124" s="361"/>
      <c r="P124" s="361"/>
      <c r="Q124" s="361"/>
      <c r="R124" s="361"/>
      <c r="S124" s="361"/>
      <c r="T124" s="361"/>
      <c r="U124" s="361"/>
      <c r="V124" s="361"/>
      <c r="W124" s="361"/>
      <c r="X124" s="361"/>
      <c r="Y124" s="361"/>
      <c r="Z124" s="361"/>
      <c r="AA124" s="249"/>
      <c r="AB124" s="266" t="s">
        <v>167</v>
      </c>
      <c r="AC124" s="315" t="s">
        <v>150</v>
      </c>
      <c r="AD124" s="315"/>
      <c r="AE124" s="315"/>
      <c r="AF124" s="315"/>
      <c r="AG124" s="315"/>
      <c r="AH124" s="315"/>
      <c r="AI124" s="315"/>
      <c r="AJ124" s="315"/>
      <c r="AK124" s="315"/>
      <c r="AL124" s="315"/>
      <c r="AM124" s="316">
        <v>4</v>
      </c>
      <c r="AN124" s="317"/>
      <c r="AO124" s="318"/>
      <c r="AP124" s="267" t="s">
        <v>168</v>
      </c>
    </row>
    <row r="125" spans="2:75" ht="15" customHeight="1" x14ac:dyDescent="0.25">
      <c r="B125" s="264"/>
      <c r="C125" s="249"/>
      <c r="D125" s="249"/>
      <c r="E125" s="249"/>
      <c r="F125" s="249"/>
      <c r="G125" s="255" t="s">
        <v>165</v>
      </c>
      <c r="H125" s="361" t="str">
        <f>IF(AW32=1,"Havi",IF(AW33=1,"Negyedéves",IF(AW34=1,"Féléves",IF(AW35=1,"Éves",IF(AW36=1,"Egyszeri","-")))))</f>
        <v>-</v>
      </c>
      <c r="I125" s="361"/>
      <c r="J125" s="361"/>
      <c r="K125" s="361"/>
      <c r="L125" s="361"/>
      <c r="M125" s="361"/>
      <c r="N125" s="361"/>
      <c r="O125" s="361"/>
      <c r="P125" s="361"/>
      <c r="Q125" s="361"/>
      <c r="R125" s="361"/>
      <c r="S125" s="361"/>
      <c r="T125" s="361"/>
      <c r="U125" s="361"/>
      <c r="V125" s="361"/>
      <c r="W125" s="361"/>
      <c r="X125" s="361"/>
      <c r="Y125" s="361"/>
      <c r="Z125" s="361"/>
      <c r="AA125" s="249"/>
      <c r="AB125" s="266" t="s">
        <v>167</v>
      </c>
      <c r="AC125" s="315" t="s">
        <v>151</v>
      </c>
      <c r="AD125" s="315"/>
      <c r="AE125" s="315"/>
      <c r="AF125" s="315"/>
      <c r="AG125" s="315"/>
      <c r="AH125" s="315"/>
      <c r="AI125" s="315"/>
      <c r="AJ125" s="315"/>
      <c r="AK125" s="315"/>
      <c r="AL125" s="315"/>
      <c r="AM125" s="316">
        <v>5</v>
      </c>
      <c r="AN125" s="317"/>
      <c r="AO125" s="318"/>
      <c r="AP125" s="267" t="s">
        <v>168</v>
      </c>
    </row>
    <row r="126" spans="2:75" ht="15" customHeight="1" x14ac:dyDescent="0.25">
      <c r="B126" s="264"/>
      <c r="C126" s="249"/>
      <c r="D126" s="249"/>
      <c r="E126" s="249"/>
      <c r="F126" s="249"/>
      <c r="G126" s="255" t="s">
        <v>166</v>
      </c>
      <c r="H126" s="362" t="str">
        <f>+CQ15</f>
        <v>KLASSZIKUS</v>
      </c>
      <c r="I126" s="362"/>
      <c r="J126" s="362"/>
      <c r="K126" s="362"/>
      <c r="L126" s="362"/>
      <c r="M126" s="362"/>
      <c r="N126" s="362"/>
      <c r="O126" s="362"/>
      <c r="P126" s="362"/>
      <c r="Q126" s="362"/>
      <c r="R126" s="362"/>
      <c r="S126" s="362"/>
      <c r="T126" s="362"/>
      <c r="U126" s="362"/>
      <c r="V126" s="362"/>
      <c r="W126" s="362"/>
      <c r="X126" s="362"/>
      <c r="Y126" s="362"/>
      <c r="Z126" s="362"/>
      <c r="AA126" s="249"/>
      <c r="AB126" s="266" t="s">
        <v>167</v>
      </c>
      <c r="AC126" s="315" t="s">
        <v>152</v>
      </c>
      <c r="AD126" s="315"/>
      <c r="AE126" s="315"/>
      <c r="AF126" s="315"/>
      <c r="AG126" s="315"/>
      <c r="AH126" s="315"/>
      <c r="AI126" s="315"/>
      <c r="AJ126" s="315"/>
      <c r="AK126" s="315"/>
      <c r="AL126" s="315"/>
      <c r="AM126" s="316">
        <v>7</v>
      </c>
      <c r="AN126" s="317"/>
      <c r="AO126" s="318"/>
      <c r="AP126" s="267" t="s">
        <v>168</v>
      </c>
      <c r="AY126" s="110"/>
    </row>
    <row r="127" spans="2:75" ht="15" customHeight="1" x14ac:dyDescent="0.25">
      <c r="B127" s="268"/>
      <c r="C127" s="269"/>
      <c r="D127" s="269"/>
      <c r="E127" s="269"/>
      <c r="F127" s="269"/>
      <c r="G127" s="269"/>
      <c r="H127" s="269"/>
      <c r="I127" s="269"/>
      <c r="J127" s="269"/>
      <c r="K127" s="269"/>
      <c r="L127" s="269"/>
      <c r="M127" s="270"/>
      <c r="N127" s="269"/>
      <c r="O127" s="269"/>
      <c r="P127" s="269"/>
      <c r="Q127" s="269"/>
      <c r="R127" s="269"/>
      <c r="S127" s="271"/>
      <c r="T127" s="269"/>
      <c r="U127" s="269"/>
      <c r="V127" s="269"/>
      <c r="W127" s="269"/>
      <c r="X127" s="269"/>
      <c r="Y127" s="269"/>
      <c r="Z127" s="269"/>
      <c r="AA127" s="269"/>
      <c r="AB127" s="269"/>
      <c r="AC127" s="269"/>
      <c r="AD127" s="269"/>
      <c r="AE127" s="269"/>
      <c r="AF127" s="269"/>
      <c r="AG127" s="269"/>
      <c r="AH127" s="269"/>
      <c r="AI127" s="269"/>
      <c r="AJ127" s="269"/>
      <c r="AK127" s="269"/>
      <c r="AL127" s="269"/>
      <c r="AM127" s="269"/>
      <c r="AN127" s="269"/>
      <c r="AO127" s="269"/>
      <c r="AP127" s="272"/>
      <c r="AW127" s="38" t="s">
        <v>172</v>
      </c>
      <c r="AY127" s="110"/>
      <c r="BA127" t="s">
        <v>253</v>
      </c>
      <c r="BB127" t="s">
        <v>254</v>
      </c>
      <c r="BC127" t="s">
        <v>255</v>
      </c>
    </row>
    <row r="128" spans="2:75" ht="15" customHeight="1" x14ac:dyDescent="0.25">
      <c r="AW128" s="57">
        <v>1</v>
      </c>
      <c r="AX128" s="13" t="str">
        <f>IFERROR(VLOOKUP(AW128,$BT$3:$BU$29,2,0),"Sajnos nem tudunk biztosítási terméket javasolni!")</f>
        <v>Sajnos nem tudunk biztosítási terméket javasolni!</v>
      </c>
      <c r="AY128" s="13"/>
      <c r="AZ128" s="22"/>
      <c r="BA128" t="e">
        <f>VLOOKUP($AX$128,$BA$3:$BO$29,14,0)</f>
        <v>#N/A</v>
      </c>
      <c r="BB128" t="e">
        <f>VLOOKUP($AX$128,$BA$3:$BO$29,15,0)</f>
        <v>#N/A</v>
      </c>
      <c r="BC128" s="314" t="e">
        <f>VLOOKUP($AX$128,$BA$3:$BO$29,13,0)</f>
        <v>#N/A</v>
      </c>
    </row>
    <row r="129" spans="1:55" ht="15" customHeight="1" x14ac:dyDescent="0.25">
      <c r="B129" s="408" t="s">
        <v>169</v>
      </c>
      <c r="C129" s="409"/>
      <c r="D129" s="409"/>
      <c r="E129" s="409"/>
      <c r="F129" s="409"/>
      <c r="G129" s="409"/>
      <c r="H129" s="409"/>
      <c r="I129" s="409"/>
      <c r="J129" s="409"/>
      <c r="K129" s="409"/>
      <c r="L129" s="409"/>
      <c r="M129" s="409"/>
      <c r="N129" s="409"/>
      <c r="O129" s="409"/>
      <c r="P129" s="409"/>
      <c r="Q129" s="409"/>
      <c r="R129" s="409"/>
      <c r="S129" s="409"/>
      <c r="T129" s="409"/>
      <c r="U129" s="409"/>
      <c r="V129" s="409"/>
      <c r="W129" s="409"/>
      <c r="X129" s="409"/>
      <c r="Y129" s="409"/>
      <c r="Z129" s="409"/>
      <c r="AA129" s="409"/>
      <c r="AB129" s="409"/>
      <c r="AC129" s="409"/>
      <c r="AD129" s="409"/>
      <c r="AE129" s="409"/>
      <c r="AF129" s="409"/>
      <c r="AG129" s="409"/>
      <c r="AH129" s="409"/>
      <c r="AI129" s="409"/>
      <c r="AJ129" s="409"/>
      <c r="AK129" s="409"/>
      <c r="AL129" s="409"/>
      <c r="AM129" s="409"/>
      <c r="AN129" s="409"/>
      <c r="AO129" s="409"/>
      <c r="AP129" s="410"/>
      <c r="AW129" s="60" t="str">
        <f>IF(MAX(BT3:BT29)&gt;1,2,"")</f>
        <v/>
      </c>
      <c r="AX129" s="8" t="str">
        <f>IFERROR(VLOOKUP(AW129,$BT$3:$BU$29,2,0),"")</f>
        <v/>
      </c>
      <c r="AY129" s="8"/>
      <c r="AZ129" s="9"/>
      <c r="BA129" t="e">
        <f>VLOOKUP($AX$129,$BA$3:$BO$29,14,0)</f>
        <v>#N/A</v>
      </c>
      <c r="BB129" t="e">
        <f>VLOOKUP($AX$129,$BA$3:$BO$29,15,0)</f>
        <v>#N/A</v>
      </c>
      <c r="BC129" s="314" t="e">
        <f>VLOOKUP($AX$129,$BA$3:$BO$29,13,0)</f>
        <v>#N/A</v>
      </c>
    </row>
    <row r="130" spans="1:55" ht="15" customHeight="1" x14ac:dyDescent="0.25">
      <c r="B130" s="411"/>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3"/>
      <c r="AW130" s="127" t="s">
        <v>265</v>
      </c>
      <c r="AY130" s="308" t="e">
        <f>IF(VLOOKUP(AM133,BB3:BK29,10,0)=1,"HUF","EUR")</f>
        <v>#N/A</v>
      </c>
      <c r="AZ130" s="127">
        <v>1</v>
      </c>
    </row>
    <row r="131" spans="1:55" ht="12.75" customHeight="1" x14ac:dyDescent="0.25">
      <c r="B131" s="325" t="str">
        <f>IF(MAX(AW128:AW129)&gt;1,"Figyelem! Az alkalmassági teszt alapján az ügyfélnek a "&amp;AX128&amp;" és "&amp;AX129&amp;" termékek is ajánlhatók. Kérem, válassza ki a ténylegesen javasolt terméket a lenti legördülő menüből, és a termékindoklásnál mindenképpen adja meg, hogy az ügyfél igényeinek miért a kiválasztott termék felel meg jobban!","")</f>
        <v/>
      </c>
      <c r="C131" s="326"/>
      <c r="D131" s="326"/>
      <c r="E131" s="326"/>
      <c r="F131" s="326"/>
      <c r="G131" s="326"/>
      <c r="H131" s="326"/>
      <c r="I131" s="326"/>
      <c r="J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326"/>
      <c r="AO131" s="326"/>
      <c r="AP131" s="327"/>
      <c r="AV131"/>
      <c r="AW131" s="24"/>
      <c r="AX131" s="111"/>
      <c r="AY131" s="309" t="e">
        <f>IF(AND(AY130="HUF",VLOOKUP(AM133,BB3:BL29,11,0)=1),"EUR","")</f>
        <v>#N/A</v>
      </c>
      <c r="AZ131" s="310" t="e">
        <f>IF(AY131&lt;&gt;"",2,"")</f>
        <v>#N/A</v>
      </c>
      <c r="BA131" s="229"/>
    </row>
    <row r="132" spans="1:55" ht="12.75" customHeight="1" x14ac:dyDescent="0.25">
      <c r="B132" s="325"/>
      <c r="C132" s="326"/>
      <c r="D132" s="326"/>
      <c r="E132" s="326"/>
      <c r="F132" s="326"/>
      <c r="G132" s="326"/>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7"/>
    </row>
    <row r="133" spans="1:55" ht="15" customHeight="1" x14ac:dyDescent="0.25">
      <c r="B133" s="322" t="s">
        <v>249</v>
      </c>
      <c r="C133" s="323"/>
      <c r="D133" s="323"/>
      <c r="E133" s="323"/>
      <c r="F133" s="323"/>
      <c r="G133" s="323"/>
      <c r="H133" s="323"/>
      <c r="I133" s="323"/>
      <c r="J133" s="324"/>
      <c r="K133" s="349" t="str">
        <f>AX128</f>
        <v>Sajnos nem tudunk biztosítási terméket javasolni!</v>
      </c>
      <c r="L133" s="350"/>
      <c r="M133" s="350"/>
      <c r="N133" s="350"/>
      <c r="O133" s="350"/>
      <c r="P133" s="350"/>
      <c r="Q133" s="350"/>
      <c r="R133" s="350"/>
      <c r="S133" s="350"/>
      <c r="T133" s="350"/>
      <c r="U133" s="350"/>
      <c r="V133" s="350"/>
      <c r="W133" s="350"/>
      <c r="X133" s="350"/>
      <c r="Y133" s="350"/>
      <c r="Z133" s="350"/>
      <c r="AA133" s="350"/>
      <c r="AB133" s="350"/>
      <c r="AC133" s="350"/>
      <c r="AD133" s="350"/>
      <c r="AE133" s="350"/>
      <c r="AF133" s="350"/>
      <c r="AG133" s="350"/>
      <c r="AH133" s="351"/>
      <c r="AL133" s="251" t="s">
        <v>208</v>
      </c>
      <c r="AM133" s="346" t="str">
        <f>IFERROR(VLOOKUP(K133,BA3:BB29,2,0),"")</f>
        <v/>
      </c>
      <c r="AN133" s="347"/>
      <c r="AO133" s="348"/>
      <c r="AP133" s="265"/>
      <c r="AU133" s="2">
        <f>IF(MAX(BT3:BT29)=0,1,0)</f>
        <v>1</v>
      </c>
    </row>
    <row r="134" spans="1:55" ht="3" customHeight="1" x14ac:dyDescent="0.25">
      <c r="A134" s="265"/>
      <c r="B134" s="273"/>
      <c r="C134" s="274"/>
      <c r="D134" s="274"/>
      <c r="E134" s="274"/>
      <c r="F134" s="274"/>
      <c r="G134" s="274"/>
      <c r="H134" s="274"/>
      <c r="I134" s="274"/>
      <c r="J134" s="274"/>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65"/>
      <c r="AW134" s="38"/>
    </row>
    <row r="135" spans="1:55" ht="15" customHeight="1" x14ac:dyDescent="0.25">
      <c r="A135" s="265"/>
      <c r="B135" s="322" t="s">
        <v>163</v>
      </c>
      <c r="C135" s="323"/>
      <c r="D135" s="323"/>
      <c r="E135" s="323"/>
      <c r="F135" s="323"/>
      <c r="G135" s="323"/>
      <c r="H135" s="323"/>
      <c r="I135" s="323"/>
      <c r="J135" s="323"/>
      <c r="K135" s="346" t="str">
        <f>H123</f>
        <v>-</v>
      </c>
      <c r="L135" s="347"/>
      <c r="M135" s="347"/>
      <c r="N135" s="347"/>
      <c r="O135" s="347"/>
      <c r="P135" s="347"/>
      <c r="Q135" s="347"/>
      <c r="R135" s="347"/>
      <c r="S135" s="347"/>
      <c r="T135" s="347"/>
      <c r="U135" s="348"/>
      <c r="V135" s="275"/>
      <c r="W135" s="276" t="str">
        <f>IF(AU135=1,"A választott tartammal jelen termék nem köthető meg!","")</f>
        <v/>
      </c>
      <c r="X135" s="275"/>
      <c r="Y135" s="275"/>
      <c r="Z135" s="275"/>
      <c r="AA135" s="275"/>
      <c r="AB135" s="275"/>
      <c r="AC135" s="275"/>
      <c r="AD135" s="275"/>
      <c r="AE135" s="275"/>
      <c r="AF135" s="275"/>
      <c r="AG135" s="275"/>
      <c r="AH135" s="275"/>
      <c r="AI135" s="275"/>
      <c r="AJ135" s="275"/>
      <c r="AK135" s="275"/>
      <c r="AL135" s="275"/>
      <c r="AM135" s="275"/>
      <c r="AN135" s="275"/>
      <c r="AO135" s="275"/>
      <c r="AP135" s="265"/>
      <c r="AU135" s="2">
        <f>IF(AND(BQ34="H",OR(N25&lt;IFERROR(VLOOKUP(K133,AX128:BB129,4,0),0),N25&gt;IFERROR(VLOOKUP(K133,AX128:BB129,5,0),0))),1,0)</f>
        <v>0</v>
      </c>
      <c r="AW135" s="127" t="s">
        <v>258</v>
      </c>
      <c r="AX135" t="e">
        <f>VLOOKUP(S137,AX32:AY36,2,0)*K137</f>
        <v>#N/A</v>
      </c>
    </row>
    <row r="136" spans="1:55" ht="3" customHeight="1" x14ac:dyDescent="0.25">
      <c r="A136" s="265"/>
      <c r="B136" s="277"/>
      <c r="C136" s="278"/>
      <c r="D136" s="278"/>
      <c r="E136" s="278"/>
      <c r="F136" s="278"/>
      <c r="G136" s="278"/>
      <c r="H136" s="278"/>
      <c r="I136" s="278"/>
      <c r="J136" s="278"/>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c r="AK136" s="275"/>
      <c r="AL136" s="275"/>
      <c r="AM136" s="275"/>
      <c r="AN136" s="275"/>
      <c r="AO136" s="275"/>
      <c r="AP136" s="265"/>
      <c r="AW136" s="127"/>
    </row>
    <row r="137" spans="1:55" ht="15" customHeight="1" x14ac:dyDescent="0.25">
      <c r="A137" s="265"/>
      <c r="B137" s="319" t="s">
        <v>10</v>
      </c>
      <c r="C137" s="320"/>
      <c r="D137" s="320"/>
      <c r="E137" s="320"/>
      <c r="F137" s="320"/>
      <c r="G137" s="320"/>
      <c r="H137" s="320"/>
      <c r="I137" s="320"/>
      <c r="J137" s="321"/>
      <c r="K137" s="343">
        <f>I33/IF(AM133=144,AX137,1)</f>
        <v>0</v>
      </c>
      <c r="L137" s="344"/>
      <c r="M137" s="344"/>
      <c r="N137" s="344"/>
      <c r="O137" s="344"/>
      <c r="P137" s="345"/>
      <c r="Q137" s="279" t="str">
        <f>IF(K133="Talon Duo (EUR)","€","Ft")</f>
        <v>Ft</v>
      </c>
      <c r="R137" s="280" t="s">
        <v>2</v>
      </c>
      <c r="S137" s="281" t="str">
        <f>IFERROR(VLOOKUP(1,AW32:AX36,2,0),"")</f>
        <v/>
      </c>
      <c r="U137" s="282"/>
      <c r="V137" s="282"/>
      <c r="W137" s="352" t="str">
        <f>IF(AND(K137&gt;0,AU137=1),"A javasolt díj "&amp;TEXT(I33/IF(AM133=144,AX137,1),"# ##")&amp;IF(AM133=144," €-tól legfeljebb + - 20%-kal térhet el!"," Ft-tól legfeljebb + - 20%-kal térhet el!"),IF(AND(K137&gt;0,AV137=1),"A választott díj nem éri el a módozat minimumdíját!",""))</f>
        <v/>
      </c>
      <c r="X137" s="352"/>
      <c r="Y137" s="352"/>
      <c r="Z137" s="352"/>
      <c r="AA137" s="352"/>
      <c r="AB137" s="352"/>
      <c r="AC137" s="352"/>
      <c r="AD137" s="352"/>
      <c r="AE137" s="352"/>
      <c r="AF137" s="352"/>
      <c r="AG137" s="352"/>
      <c r="AH137" s="352"/>
      <c r="AI137" s="352"/>
      <c r="AJ137" s="352"/>
      <c r="AK137" s="352"/>
      <c r="AL137" s="352"/>
      <c r="AM137" s="352"/>
      <c r="AN137" s="352"/>
      <c r="AO137" s="352"/>
      <c r="AP137" s="353"/>
      <c r="AU137" s="2">
        <f>IF(AND(K137&gt;=I33/IF(K133="Talon Duo (EUR)",AX137,1)*0.8,K137&lt;=I33/IF(K133="Talon Duo (EUR)",AX137,1)*1.2),0,1)</f>
        <v>0</v>
      </c>
      <c r="AV137" s="2">
        <f>IFERROR(IF(AX135&lt;VLOOKUP(K133,AX128:BC129,6,0),1,0),1)</f>
        <v>1</v>
      </c>
      <c r="AW137" s="127" t="s">
        <v>257</v>
      </c>
      <c r="AX137">
        <v>330</v>
      </c>
    </row>
    <row r="138" spans="1:55" ht="3" customHeight="1" x14ac:dyDescent="0.25">
      <c r="A138" s="265"/>
      <c r="B138" s="283"/>
      <c r="C138" s="284"/>
      <c r="D138" s="284"/>
      <c r="E138" s="284"/>
      <c r="F138" s="284"/>
      <c r="G138" s="284"/>
      <c r="H138" s="284"/>
      <c r="I138" s="284"/>
      <c r="J138" s="284"/>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65"/>
    </row>
    <row r="139" spans="1:55" ht="15" customHeight="1" x14ac:dyDescent="0.25">
      <c r="A139" s="265"/>
      <c r="B139" s="340" t="s">
        <v>250</v>
      </c>
      <c r="C139" s="341"/>
      <c r="D139" s="341"/>
      <c r="E139" s="341"/>
      <c r="F139" s="341"/>
      <c r="G139" s="341"/>
      <c r="H139" s="341"/>
      <c r="I139" s="341"/>
      <c r="J139" s="342"/>
      <c r="K139" s="337"/>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c r="AJ139" s="338"/>
      <c r="AK139" s="338"/>
      <c r="AL139" s="338"/>
      <c r="AM139" s="338"/>
      <c r="AN139" s="338"/>
      <c r="AO139" s="339"/>
      <c r="AP139" s="265"/>
      <c r="AU139" s="2">
        <f>IF(AND(AW22=1,K139=""),1,0)</f>
        <v>0</v>
      </c>
    </row>
    <row r="140" spans="1:55" ht="3" customHeight="1" x14ac:dyDescent="0.25">
      <c r="A140" s="265"/>
      <c r="B140" s="286"/>
      <c r="C140" s="287"/>
      <c r="D140" s="287"/>
      <c r="E140" s="287"/>
      <c r="F140" s="287"/>
      <c r="G140" s="287"/>
      <c r="H140" s="287"/>
      <c r="I140" s="287"/>
      <c r="J140" s="287"/>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65"/>
    </row>
    <row r="141" spans="1:55" ht="15" customHeight="1" x14ac:dyDescent="0.25">
      <c r="A141" s="265"/>
      <c r="B141" s="340" t="s">
        <v>252</v>
      </c>
      <c r="C141" s="341"/>
      <c r="D141" s="341"/>
      <c r="E141" s="341"/>
      <c r="F141" s="341"/>
      <c r="G141" s="341"/>
      <c r="H141" s="341"/>
      <c r="I141" s="341"/>
      <c r="J141" s="342"/>
      <c r="K141" s="328"/>
      <c r="L141" s="329"/>
      <c r="M141" s="329"/>
      <c r="N141" s="329"/>
      <c r="O141" s="329"/>
      <c r="P141" s="329"/>
      <c r="Q141" s="329"/>
      <c r="R141" s="329"/>
      <c r="S141" s="329"/>
      <c r="T141" s="329"/>
      <c r="U141" s="329"/>
      <c r="V141" s="329"/>
      <c r="W141" s="329"/>
      <c r="X141" s="329"/>
      <c r="Y141" s="329"/>
      <c r="Z141" s="329"/>
      <c r="AA141" s="329"/>
      <c r="AB141" s="329"/>
      <c r="AC141" s="329"/>
      <c r="AD141" s="329"/>
      <c r="AE141" s="329"/>
      <c r="AF141" s="329"/>
      <c r="AG141" s="329"/>
      <c r="AH141" s="329"/>
      <c r="AI141" s="329"/>
      <c r="AJ141" s="329"/>
      <c r="AK141" s="329"/>
      <c r="AL141" s="329"/>
      <c r="AM141" s="329"/>
      <c r="AN141" s="329"/>
      <c r="AO141" s="330"/>
      <c r="AP141" s="265"/>
      <c r="AU141" s="2">
        <f>IF(AND(MAX(AW128:AW129)&gt;1,K141=""),1,0)</f>
        <v>0</v>
      </c>
    </row>
    <row r="142" spans="1:55" ht="15" customHeight="1" x14ac:dyDescent="0.25">
      <c r="A142" s="265"/>
      <c r="B142" s="340"/>
      <c r="C142" s="341"/>
      <c r="D142" s="341"/>
      <c r="E142" s="341"/>
      <c r="F142" s="341"/>
      <c r="G142" s="341"/>
      <c r="H142" s="341"/>
      <c r="I142" s="341"/>
      <c r="J142" s="342"/>
      <c r="K142" s="331"/>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332"/>
      <c r="AM142" s="332"/>
      <c r="AN142" s="332"/>
      <c r="AO142" s="333"/>
      <c r="AP142" s="265"/>
    </row>
    <row r="143" spans="1:55" ht="15" customHeight="1" x14ac:dyDescent="0.25">
      <c r="A143" s="265"/>
      <c r="B143" s="340"/>
      <c r="C143" s="341"/>
      <c r="D143" s="341"/>
      <c r="E143" s="341"/>
      <c r="F143" s="341"/>
      <c r="G143" s="341"/>
      <c r="H143" s="341"/>
      <c r="I143" s="341"/>
      <c r="J143" s="342"/>
      <c r="K143" s="331"/>
      <c r="L143" s="332"/>
      <c r="M143" s="332"/>
      <c r="N143" s="332"/>
      <c r="O143" s="332"/>
      <c r="P143" s="332"/>
      <c r="Q143" s="332"/>
      <c r="R143" s="332"/>
      <c r="S143" s="332"/>
      <c r="T143" s="332"/>
      <c r="U143" s="332"/>
      <c r="V143" s="332"/>
      <c r="W143" s="332"/>
      <c r="X143" s="332"/>
      <c r="Y143" s="332"/>
      <c r="Z143" s="332"/>
      <c r="AA143" s="332"/>
      <c r="AB143" s="332"/>
      <c r="AC143" s="332"/>
      <c r="AD143" s="332"/>
      <c r="AE143" s="332"/>
      <c r="AF143" s="332"/>
      <c r="AG143" s="332"/>
      <c r="AH143" s="332"/>
      <c r="AI143" s="332"/>
      <c r="AJ143" s="332"/>
      <c r="AK143" s="332"/>
      <c r="AL143" s="332"/>
      <c r="AM143" s="332"/>
      <c r="AN143" s="332"/>
      <c r="AO143" s="333"/>
      <c r="AP143" s="265"/>
    </row>
    <row r="144" spans="1:55" ht="15" customHeight="1" x14ac:dyDescent="0.25">
      <c r="A144" s="265"/>
      <c r="B144" s="340"/>
      <c r="C144" s="341"/>
      <c r="D144" s="341"/>
      <c r="E144" s="341"/>
      <c r="F144" s="341"/>
      <c r="G144" s="341"/>
      <c r="H144" s="341"/>
      <c r="I144" s="341"/>
      <c r="J144" s="342"/>
      <c r="K144" s="334"/>
      <c r="L144" s="335"/>
      <c r="M144" s="335"/>
      <c r="N144" s="335"/>
      <c r="O144" s="335"/>
      <c r="P144" s="335"/>
      <c r="Q144" s="335"/>
      <c r="R144" s="335"/>
      <c r="S144" s="335"/>
      <c r="T144" s="335"/>
      <c r="U144" s="335"/>
      <c r="V144" s="335"/>
      <c r="W144" s="335"/>
      <c r="X144" s="335"/>
      <c r="Y144" s="335"/>
      <c r="Z144" s="335"/>
      <c r="AA144" s="335"/>
      <c r="AB144" s="335"/>
      <c r="AC144" s="335"/>
      <c r="AD144" s="335"/>
      <c r="AE144" s="335"/>
      <c r="AF144" s="335"/>
      <c r="AG144" s="335"/>
      <c r="AH144" s="335"/>
      <c r="AI144" s="335"/>
      <c r="AJ144" s="335"/>
      <c r="AK144" s="335"/>
      <c r="AL144" s="335"/>
      <c r="AM144" s="335"/>
      <c r="AN144" s="335"/>
      <c r="AO144" s="336"/>
      <c r="AP144" s="265"/>
      <c r="AU144" s="36">
        <f>+SUM(AU133:AU141)+AV137</f>
        <v>2</v>
      </c>
    </row>
    <row r="145" spans="1:47" ht="3" customHeight="1" x14ac:dyDescent="0.25">
      <c r="A145" s="265"/>
      <c r="B145" s="264"/>
      <c r="C145" s="249"/>
      <c r="D145" s="249"/>
      <c r="E145" s="249"/>
      <c r="F145" s="249"/>
      <c r="G145" s="249"/>
      <c r="H145" s="249"/>
      <c r="I145" s="249"/>
      <c r="J145" s="249"/>
      <c r="K145" s="249"/>
      <c r="L145" s="249"/>
      <c r="M145" s="249"/>
      <c r="N145" s="249"/>
      <c r="O145" s="249"/>
      <c r="P145" s="249"/>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65"/>
    </row>
    <row r="146" spans="1:47" ht="15" customHeight="1" x14ac:dyDescent="0.25">
      <c r="A146" s="265"/>
      <c r="B146" s="289"/>
      <c r="C146" s="290"/>
      <c r="E146" s="298"/>
      <c r="F146" s="298"/>
      <c r="G146" s="298"/>
      <c r="H146" s="298"/>
      <c r="I146" s="298"/>
      <c r="J146" s="298"/>
      <c r="K146" s="298"/>
      <c r="L146" s="298"/>
      <c r="M146" s="298"/>
      <c r="N146" s="298"/>
      <c r="O146" s="298"/>
      <c r="P146" s="298"/>
      <c r="Q146" s="298"/>
      <c r="R146" s="298"/>
      <c r="S146" s="298"/>
      <c r="T146" s="298"/>
      <c r="U146" s="298"/>
      <c r="V146" s="298"/>
      <c r="W146" s="290"/>
      <c r="X146" s="249"/>
      <c r="Y146" s="249"/>
      <c r="Z146" s="249"/>
      <c r="AA146" s="249"/>
      <c r="AB146" s="249"/>
      <c r="AC146" s="249"/>
      <c r="AD146" s="249"/>
      <c r="AE146" s="249"/>
      <c r="AF146" s="249"/>
      <c r="AG146" s="249"/>
      <c r="AH146" s="249"/>
      <c r="AI146" s="249"/>
      <c r="AJ146" s="249"/>
      <c r="AK146" s="249"/>
      <c r="AL146" s="249"/>
      <c r="AM146" s="249"/>
      <c r="AN146" s="249"/>
      <c r="AO146" s="249"/>
      <c r="AP146" s="265"/>
    </row>
    <row r="147" spans="1:47" ht="15" customHeight="1" x14ac:dyDescent="0.25">
      <c r="A147" s="265"/>
      <c r="B147" s="289"/>
      <c r="C147" s="425" t="s">
        <v>264</v>
      </c>
      <c r="D147" s="425"/>
      <c r="E147" s="425"/>
      <c r="F147" s="425"/>
      <c r="G147" s="425"/>
      <c r="H147" s="425"/>
      <c r="I147" s="425"/>
      <c r="J147" s="425"/>
      <c r="K147" s="425"/>
      <c r="L147" s="425"/>
      <c r="M147" s="425"/>
      <c r="N147" s="425"/>
      <c r="O147" s="425"/>
      <c r="P147" s="425"/>
      <c r="Q147" s="425"/>
      <c r="R147" s="298"/>
      <c r="S147" s="298"/>
      <c r="T147" s="311" t="s">
        <v>268</v>
      </c>
      <c r="U147" s="349" t="e">
        <f>AY130</f>
        <v>#N/A</v>
      </c>
      <c r="V147" s="350"/>
      <c r="W147" s="351"/>
      <c r="X147" s="426" t="e">
        <f>IF(U147&lt;&gt;AY130,"Figyelem! Kizárólag rendkívüli díj fektethető EUR eszközalapba!","")</f>
        <v>#N/A</v>
      </c>
      <c r="Y147" s="427"/>
      <c r="Z147" s="427"/>
      <c r="AA147" s="427"/>
      <c r="AB147" s="427"/>
      <c r="AC147" s="427"/>
      <c r="AD147" s="427"/>
      <c r="AE147" s="427"/>
      <c r="AF147" s="427"/>
      <c r="AG147" s="427"/>
      <c r="AH147" s="427"/>
      <c r="AI147" s="427"/>
      <c r="AJ147" s="427"/>
      <c r="AK147" s="427"/>
      <c r="AL147" s="427"/>
      <c r="AM147" s="427"/>
      <c r="AN147" s="427"/>
      <c r="AO147" s="427"/>
      <c r="AP147" s="428"/>
    </row>
    <row r="148" spans="1:47" ht="15" customHeight="1" x14ac:dyDescent="0.25">
      <c r="A148" s="265"/>
      <c r="B148" s="289"/>
      <c r="C148" s="290"/>
      <c r="D148" s="298"/>
      <c r="E148" s="298"/>
      <c r="F148" s="298"/>
      <c r="G148" s="298"/>
      <c r="H148" s="298"/>
      <c r="I148" s="298"/>
      <c r="J148" s="298"/>
      <c r="K148" s="298"/>
      <c r="L148" s="298"/>
      <c r="M148" s="298"/>
      <c r="N148" s="298"/>
      <c r="O148" s="298"/>
      <c r="P148" s="298"/>
      <c r="Q148" s="298"/>
      <c r="R148" s="298"/>
      <c r="S148" s="298"/>
      <c r="T148" s="298"/>
      <c r="U148" s="298"/>
      <c r="V148" s="298"/>
      <c r="W148" s="290"/>
      <c r="X148" s="249"/>
      <c r="Y148" s="249"/>
      <c r="Z148" s="249"/>
      <c r="AA148" s="249"/>
      <c r="AB148" s="249"/>
      <c r="AC148" s="249"/>
      <c r="AD148" s="249"/>
      <c r="AE148" s="249"/>
      <c r="AF148" s="249"/>
      <c r="AG148" s="249"/>
      <c r="AH148" s="249"/>
      <c r="AI148" s="249"/>
      <c r="AJ148" s="249"/>
      <c r="AK148" s="249"/>
      <c r="AL148" s="249"/>
      <c r="AM148" s="249"/>
      <c r="AN148" s="249"/>
      <c r="AP148" s="265"/>
    </row>
    <row r="149" spans="1:47" ht="15" customHeight="1" x14ac:dyDescent="0.25">
      <c r="A149" s="265"/>
      <c r="B149" s="264"/>
      <c r="C149" s="404" t="s">
        <v>209</v>
      </c>
      <c r="D149" s="404"/>
      <c r="E149" s="404"/>
      <c r="F149" s="404"/>
      <c r="G149" s="404"/>
      <c r="H149" s="404"/>
      <c r="I149" s="404"/>
      <c r="J149" s="404"/>
      <c r="K149" s="404"/>
      <c r="L149" s="404"/>
      <c r="M149" s="404"/>
      <c r="N149" s="404"/>
      <c r="O149" s="404"/>
      <c r="P149" s="404"/>
      <c r="Q149" s="404"/>
      <c r="R149" s="404" t="s">
        <v>170</v>
      </c>
      <c r="S149" s="404"/>
      <c r="T149" s="404"/>
      <c r="U149" s="404" t="s">
        <v>214</v>
      </c>
      <c r="V149" s="404"/>
      <c r="W149" s="404"/>
      <c r="X149" s="249"/>
      <c r="Y149" s="435" t="s">
        <v>213</v>
      </c>
      <c r="Z149" s="435"/>
      <c r="AA149" s="435"/>
      <c r="AB149" s="435"/>
      <c r="AC149" s="435"/>
      <c r="AD149" s="435"/>
      <c r="AE149" s="435"/>
      <c r="AF149" s="435"/>
      <c r="AG149" s="291"/>
      <c r="AH149" s="436" t="str">
        <f>H126&amp;" 
profil kockázati szintje"</f>
        <v>KLASSZIKUS 
profil kockázati szintje</v>
      </c>
      <c r="AI149" s="436"/>
      <c r="AJ149" s="436"/>
      <c r="AK149" s="436"/>
      <c r="AL149" s="436"/>
      <c r="AM149" s="436"/>
      <c r="AN149" s="436"/>
      <c r="AO149" s="436"/>
      <c r="AP149" s="437"/>
    </row>
    <row r="150" spans="1:47" ht="15" customHeight="1" x14ac:dyDescent="0.25">
      <c r="A150" s="265"/>
      <c r="B150" s="264"/>
      <c r="C150" s="292">
        <v>1</v>
      </c>
      <c r="D150" s="405" t="str">
        <f>IFERROR(VLOOKUP(C150,$DB$3:$DC$30,2,0),"")</f>
        <v/>
      </c>
      <c r="E150" s="406"/>
      <c r="F150" s="406"/>
      <c r="G150" s="406"/>
      <c r="H150" s="406"/>
      <c r="I150" s="406"/>
      <c r="J150" s="406"/>
      <c r="K150" s="406"/>
      <c r="L150" s="406"/>
      <c r="M150" s="406"/>
      <c r="N150" s="406"/>
      <c r="O150" s="406"/>
      <c r="P150" s="406"/>
      <c r="Q150" s="407"/>
      <c r="R150" s="416" t="str">
        <f>IFERROR(VLOOKUP(C150,$DB$3:$DY$30,24,0),"")</f>
        <v/>
      </c>
      <c r="S150" s="417"/>
      <c r="T150" s="418"/>
      <c r="U150" s="415"/>
      <c r="V150" s="415"/>
      <c r="W150" s="415"/>
      <c r="X150" s="249"/>
      <c r="Z150" s="259"/>
      <c r="AA150" s="259"/>
      <c r="AB150" s="259"/>
      <c r="AC150" s="255" t="s">
        <v>211</v>
      </c>
      <c r="AD150" s="422">
        <f>SUM(U150:W171)</f>
        <v>0</v>
      </c>
      <c r="AE150" s="423"/>
      <c r="AF150" s="424"/>
      <c r="AH150" s="436"/>
      <c r="AI150" s="436"/>
      <c r="AJ150" s="436"/>
      <c r="AK150" s="436"/>
      <c r="AL150" s="436"/>
      <c r="AM150" s="436"/>
      <c r="AN150" s="436"/>
      <c r="AO150" s="436"/>
      <c r="AP150" s="437"/>
      <c r="AU150" s="2">
        <f>+IF(AD150&lt;&gt;1,1,0)</f>
        <v>1</v>
      </c>
    </row>
    <row r="151" spans="1:47" ht="15" customHeight="1" x14ac:dyDescent="0.25">
      <c r="A151" s="265"/>
      <c r="B151" s="264"/>
      <c r="C151" s="292" t="str">
        <f>IFERROR(IF(C150+1&lt;=MAX($DB$3:$DB$30),C150+1,""),"")</f>
        <v/>
      </c>
      <c r="D151" s="405" t="str">
        <f t="shared" ref="D151:D171" si="9">IFERROR(VLOOKUP(C151,$DB$3:$DC$30,2,0),"")</f>
        <v/>
      </c>
      <c r="E151" s="406"/>
      <c r="F151" s="406"/>
      <c r="G151" s="406"/>
      <c r="H151" s="406"/>
      <c r="I151" s="406"/>
      <c r="J151" s="406"/>
      <c r="K151" s="406"/>
      <c r="L151" s="406"/>
      <c r="M151" s="406"/>
      <c r="N151" s="406"/>
      <c r="O151" s="406"/>
      <c r="P151" s="406"/>
      <c r="Q151" s="407"/>
      <c r="R151" s="416" t="str">
        <f t="shared" ref="R151:R171" si="10">IFERROR(VLOOKUP(C151,$DB$3:$DY$30,24,0),"")</f>
        <v/>
      </c>
      <c r="S151" s="417"/>
      <c r="T151" s="418"/>
      <c r="U151" s="415"/>
      <c r="V151" s="415"/>
      <c r="W151" s="415"/>
      <c r="X151" s="249"/>
      <c r="AC151" s="255" t="s">
        <v>212</v>
      </c>
      <c r="AD151" s="419">
        <f>SUMPRODUCT(R150:T171,U150:W171)</f>
        <v>0</v>
      </c>
      <c r="AE151" s="420"/>
      <c r="AF151" s="421"/>
      <c r="AH151" s="245"/>
      <c r="AI151" s="245"/>
      <c r="AK151" s="419">
        <f>VLOOKUP(H126,AC121:AO126,11,0)</f>
        <v>0</v>
      </c>
      <c r="AL151" s="420"/>
      <c r="AM151" s="421"/>
      <c r="AP151" s="265"/>
      <c r="AU151" s="2">
        <f>IF($AD$151-$AK$151&gt;=0.5,1,0)</f>
        <v>0</v>
      </c>
    </row>
    <row r="152" spans="1:47" ht="15" customHeight="1" x14ac:dyDescent="0.25">
      <c r="A152" s="265"/>
      <c r="B152" s="264"/>
      <c r="C152" s="292" t="str">
        <f t="shared" ref="C152:C171" si="11">IFERROR(IF(C151+1&lt;=MAX($DB$3:$DB$30),C151+1,""),"")</f>
        <v/>
      </c>
      <c r="D152" s="405" t="str">
        <f t="shared" si="9"/>
        <v/>
      </c>
      <c r="E152" s="406"/>
      <c r="F152" s="406"/>
      <c r="G152" s="406"/>
      <c r="H152" s="406"/>
      <c r="I152" s="406"/>
      <c r="J152" s="406"/>
      <c r="K152" s="406"/>
      <c r="L152" s="406"/>
      <c r="M152" s="406"/>
      <c r="N152" s="406"/>
      <c r="O152" s="406"/>
      <c r="P152" s="406"/>
      <c r="Q152" s="407"/>
      <c r="R152" s="416" t="str">
        <f t="shared" si="10"/>
        <v/>
      </c>
      <c r="S152" s="417"/>
      <c r="T152" s="418"/>
      <c r="U152" s="415"/>
      <c r="V152" s="415"/>
      <c r="W152" s="415"/>
      <c r="AQ152" s="293"/>
    </row>
    <row r="153" spans="1:47" ht="15" customHeight="1" x14ac:dyDescent="0.25">
      <c r="A153" s="265"/>
      <c r="B153" s="264"/>
      <c r="C153" s="292" t="str">
        <f t="shared" si="11"/>
        <v/>
      </c>
      <c r="D153" s="405" t="str">
        <f t="shared" si="9"/>
        <v/>
      </c>
      <c r="E153" s="406"/>
      <c r="F153" s="406"/>
      <c r="G153" s="406"/>
      <c r="H153" s="406"/>
      <c r="I153" s="406"/>
      <c r="J153" s="406"/>
      <c r="K153" s="406"/>
      <c r="L153" s="406"/>
      <c r="M153" s="406"/>
      <c r="N153" s="406"/>
      <c r="O153" s="406"/>
      <c r="P153" s="406"/>
      <c r="Q153" s="407"/>
      <c r="R153" s="416" t="str">
        <f t="shared" si="10"/>
        <v/>
      </c>
      <c r="S153" s="417"/>
      <c r="T153" s="418"/>
      <c r="U153" s="415"/>
      <c r="V153" s="415"/>
      <c r="W153" s="415"/>
      <c r="X153" s="429" t="str">
        <f>IF(AD150&lt;&gt;1,"Kérem, adja meg a választott eszközalapokat
összesen 100% arányban!","")&amp;IF($AD$151-$AK$151&gt;=0.5,"
A választott eszközalapok összkockázata túl magas! A "&amp;H126&amp;" profilhoz - tűréshatárral - legfeljebb "&amp;(AK151+0.49)&amp;" összkockázatú portfólió választható. Kérem, csökkentse a magasabb kockázatú eszközalapok részarányát az alacsonyabb kockázatúak javára!","")</f>
        <v>Kérem, adja meg a választott eszközalapokat
összesen 100% arányban!</v>
      </c>
      <c r="Y153" s="430"/>
      <c r="Z153" s="430"/>
      <c r="AA153" s="430"/>
      <c r="AB153" s="430"/>
      <c r="AC153" s="430"/>
      <c r="AD153" s="430"/>
      <c r="AE153" s="430"/>
      <c r="AF153" s="430"/>
      <c r="AG153" s="430"/>
      <c r="AH153" s="430"/>
      <c r="AI153" s="430"/>
      <c r="AJ153" s="430"/>
      <c r="AK153" s="430"/>
      <c r="AL153" s="430"/>
      <c r="AM153" s="430"/>
      <c r="AN153" s="430"/>
      <c r="AO153" s="430"/>
      <c r="AP153" s="431"/>
    </row>
    <row r="154" spans="1:47" ht="15" customHeight="1" x14ac:dyDescent="0.25">
      <c r="A154" s="265"/>
      <c r="B154" s="264"/>
      <c r="C154" s="292" t="str">
        <f t="shared" si="11"/>
        <v/>
      </c>
      <c r="D154" s="405" t="str">
        <f t="shared" si="9"/>
        <v/>
      </c>
      <c r="E154" s="406"/>
      <c r="F154" s="406"/>
      <c r="G154" s="406"/>
      <c r="H154" s="406"/>
      <c r="I154" s="406"/>
      <c r="J154" s="406"/>
      <c r="K154" s="406"/>
      <c r="L154" s="406"/>
      <c r="M154" s="406"/>
      <c r="N154" s="406"/>
      <c r="O154" s="406"/>
      <c r="P154" s="406"/>
      <c r="Q154" s="407"/>
      <c r="R154" s="416" t="str">
        <f t="shared" si="10"/>
        <v/>
      </c>
      <c r="S154" s="417"/>
      <c r="T154" s="418"/>
      <c r="U154" s="415"/>
      <c r="V154" s="415"/>
      <c r="W154" s="415"/>
      <c r="X154" s="429"/>
      <c r="Y154" s="430"/>
      <c r="Z154" s="430"/>
      <c r="AA154" s="430"/>
      <c r="AB154" s="430"/>
      <c r="AC154" s="430"/>
      <c r="AD154" s="430"/>
      <c r="AE154" s="430"/>
      <c r="AF154" s="430"/>
      <c r="AG154" s="430"/>
      <c r="AH154" s="430"/>
      <c r="AI154" s="430"/>
      <c r="AJ154" s="430"/>
      <c r="AK154" s="430"/>
      <c r="AL154" s="430"/>
      <c r="AM154" s="430"/>
      <c r="AN154" s="430"/>
      <c r="AO154" s="430"/>
      <c r="AP154" s="431"/>
      <c r="AU154" s="36"/>
    </row>
    <row r="155" spans="1:47" ht="15" customHeight="1" x14ac:dyDescent="0.25">
      <c r="A155" s="265"/>
      <c r="B155" s="264"/>
      <c r="C155" s="292" t="str">
        <f t="shared" si="11"/>
        <v/>
      </c>
      <c r="D155" s="405" t="str">
        <f t="shared" si="9"/>
        <v/>
      </c>
      <c r="E155" s="406"/>
      <c r="F155" s="406"/>
      <c r="G155" s="406"/>
      <c r="H155" s="406"/>
      <c r="I155" s="406"/>
      <c r="J155" s="406"/>
      <c r="K155" s="406"/>
      <c r="L155" s="406"/>
      <c r="M155" s="406"/>
      <c r="N155" s="406"/>
      <c r="O155" s="406"/>
      <c r="P155" s="406"/>
      <c r="Q155" s="407"/>
      <c r="R155" s="416" t="str">
        <f t="shared" si="10"/>
        <v/>
      </c>
      <c r="S155" s="417"/>
      <c r="T155" s="418"/>
      <c r="U155" s="415"/>
      <c r="V155" s="415"/>
      <c r="W155" s="415"/>
      <c r="X155" s="429"/>
      <c r="Y155" s="430"/>
      <c r="Z155" s="430"/>
      <c r="AA155" s="430"/>
      <c r="AB155" s="430"/>
      <c r="AC155" s="430"/>
      <c r="AD155" s="430"/>
      <c r="AE155" s="430"/>
      <c r="AF155" s="430"/>
      <c r="AG155" s="430"/>
      <c r="AH155" s="430"/>
      <c r="AI155" s="430"/>
      <c r="AJ155" s="430"/>
      <c r="AK155" s="430"/>
      <c r="AL155" s="430"/>
      <c r="AM155" s="430"/>
      <c r="AN155" s="430"/>
      <c r="AO155" s="430"/>
      <c r="AP155" s="431"/>
    </row>
    <row r="156" spans="1:47" ht="15" customHeight="1" x14ac:dyDescent="0.25">
      <c r="A156" s="265"/>
      <c r="B156" s="264"/>
      <c r="C156" s="292" t="str">
        <f t="shared" si="11"/>
        <v/>
      </c>
      <c r="D156" s="405" t="str">
        <f t="shared" si="9"/>
        <v/>
      </c>
      <c r="E156" s="406"/>
      <c r="F156" s="406"/>
      <c r="G156" s="406"/>
      <c r="H156" s="406"/>
      <c r="I156" s="406"/>
      <c r="J156" s="406"/>
      <c r="K156" s="406"/>
      <c r="L156" s="406"/>
      <c r="M156" s="406"/>
      <c r="N156" s="406"/>
      <c r="O156" s="406"/>
      <c r="P156" s="406"/>
      <c r="Q156" s="407"/>
      <c r="R156" s="416" t="str">
        <f t="shared" si="10"/>
        <v/>
      </c>
      <c r="S156" s="417"/>
      <c r="T156" s="418"/>
      <c r="U156" s="415"/>
      <c r="V156" s="415"/>
      <c r="W156" s="415"/>
      <c r="X156" s="429"/>
      <c r="Y156" s="430"/>
      <c r="Z156" s="430"/>
      <c r="AA156" s="430"/>
      <c r="AB156" s="430"/>
      <c r="AC156" s="430"/>
      <c r="AD156" s="430"/>
      <c r="AE156" s="430"/>
      <c r="AF156" s="430"/>
      <c r="AG156" s="430"/>
      <c r="AH156" s="430"/>
      <c r="AI156" s="430"/>
      <c r="AJ156" s="430"/>
      <c r="AK156" s="430"/>
      <c r="AL156" s="430"/>
      <c r="AM156" s="430"/>
      <c r="AN156" s="430"/>
      <c r="AO156" s="430"/>
      <c r="AP156" s="431"/>
    </row>
    <row r="157" spans="1:47" ht="15" customHeight="1" x14ac:dyDescent="0.25">
      <c r="A157" s="265"/>
      <c r="B157" s="264"/>
      <c r="C157" s="292" t="str">
        <f t="shared" si="11"/>
        <v/>
      </c>
      <c r="D157" s="405" t="str">
        <f t="shared" si="9"/>
        <v/>
      </c>
      <c r="E157" s="406"/>
      <c r="F157" s="406"/>
      <c r="G157" s="406"/>
      <c r="H157" s="406"/>
      <c r="I157" s="406"/>
      <c r="J157" s="406"/>
      <c r="K157" s="406"/>
      <c r="L157" s="406"/>
      <c r="M157" s="406"/>
      <c r="N157" s="406"/>
      <c r="O157" s="406"/>
      <c r="P157" s="406"/>
      <c r="Q157" s="407"/>
      <c r="R157" s="416" t="str">
        <f t="shared" si="10"/>
        <v/>
      </c>
      <c r="S157" s="417"/>
      <c r="T157" s="418"/>
      <c r="U157" s="415"/>
      <c r="V157" s="415"/>
      <c r="W157" s="415"/>
      <c r="X157" s="429"/>
      <c r="Y157" s="430"/>
      <c r="Z157" s="430"/>
      <c r="AA157" s="430"/>
      <c r="AB157" s="430"/>
      <c r="AC157" s="430"/>
      <c r="AD157" s="430"/>
      <c r="AE157" s="430"/>
      <c r="AF157" s="430"/>
      <c r="AG157" s="430"/>
      <c r="AH157" s="430"/>
      <c r="AI157" s="430"/>
      <c r="AJ157" s="430"/>
      <c r="AK157" s="430"/>
      <c r="AL157" s="430"/>
      <c r="AM157" s="430"/>
      <c r="AN157" s="430"/>
      <c r="AO157" s="430"/>
      <c r="AP157" s="431"/>
    </row>
    <row r="158" spans="1:47" ht="15" customHeight="1" x14ac:dyDescent="0.25">
      <c r="A158" s="265"/>
      <c r="B158" s="264"/>
      <c r="C158" s="292" t="str">
        <f t="shared" si="11"/>
        <v/>
      </c>
      <c r="D158" s="405" t="str">
        <f t="shared" si="9"/>
        <v/>
      </c>
      <c r="E158" s="406"/>
      <c r="F158" s="406"/>
      <c r="G158" s="406"/>
      <c r="H158" s="406"/>
      <c r="I158" s="406"/>
      <c r="J158" s="406"/>
      <c r="K158" s="406"/>
      <c r="L158" s="406"/>
      <c r="M158" s="406"/>
      <c r="N158" s="406"/>
      <c r="O158" s="406"/>
      <c r="P158" s="406"/>
      <c r="Q158" s="407"/>
      <c r="R158" s="416" t="str">
        <f t="shared" si="10"/>
        <v/>
      </c>
      <c r="S158" s="417"/>
      <c r="T158" s="418"/>
      <c r="U158" s="415"/>
      <c r="V158" s="415"/>
      <c r="W158" s="415"/>
      <c r="X158" s="429"/>
      <c r="Y158" s="430"/>
      <c r="Z158" s="430"/>
      <c r="AA158" s="430"/>
      <c r="AB158" s="430"/>
      <c r="AC158" s="430"/>
      <c r="AD158" s="430"/>
      <c r="AE158" s="430"/>
      <c r="AF158" s="430"/>
      <c r="AG158" s="430"/>
      <c r="AH158" s="430"/>
      <c r="AI158" s="430"/>
      <c r="AJ158" s="430"/>
      <c r="AK158" s="430"/>
      <c r="AL158" s="430"/>
      <c r="AM158" s="430"/>
      <c r="AN158" s="430"/>
      <c r="AO158" s="430"/>
      <c r="AP158" s="431"/>
    </row>
    <row r="159" spans="1:47" ht="15" customHeight="1" x14ac:dyDescent="0.25">
      <c r="A159" s="265"/>
      <c r="B159" s="264"/>
      <c r="C159" s="292" t="str">
        <f t="shared" si="11"/>
        <v/>
      </c>
      <c r="D159" s="405" t="str">
        <f t="shared" si="9"/>
        <v/>
      </c>
      <c r="E159" s="406"/>
      <c r="F159" s="406"/>
      <c r="G159" s="406"/>
      <c r="H159" s="406"/>
      <c r="I159" s="406"/>
      <c r="J159" s="406"/>
      <c r="K159" s="406"/>
      <c r="L159" s="406"/>
      <c r="M159" s="406"/>
      <c r="N159" s="406"/>
      <c r="O159" s="406"/>
      <c r="P159" s="406"/>
      <c r="Q159" s="407"/>
      <c r="R159" s="416" t="str">
        <f t="shared" si="10"/>
        <v/>
      </c>
      <c r="S159" s="417"/>
      <c r="T159" s="418"/>
      <c r="U159" s="415"/>
      <c r="V159" s="415"/>
      <c r="W159" s="415"/>
      <c r="X159" s="429"/>
      <c r="Y159" s="430"/>
      <c r="Z159" s="430"/>
      <c r="AA159" s="430"/>
      <c r="AB159" s="430"/>
      <c r="AC159" s="430"/>
      <c r="AD159" s="430"/>
      <c r="AE159" s="430"/>
      <c r="AF159" s="430"/>
      <c r="AG159" s="430"/>
      <c r="AH159" s="430"/>
      <c r="AI159" s="430"/>
      <c r="AJ159" s="430"/>
      <c r="AK159" s="430"/>
      <c r="AL159" s="430"/>
      <c r="AM159" s="430"/>
      <c r="AN159" s="430"/>
      <c r="AO159" s="430"/>
      <c r="AP159" s="431"/>
    </row>
    <row r="160" spans="1:47" ht="15" customHeight="1" x14ac:dyDescent="0.25">
      <c r="A160" s="265"/>
      <c r="B160" s="264"/>
      <c r="C160" s="292" t="str">
        <f t="shared" si="11"/>
        <v/>
      </c>
      <c r="D160" s="405" t="str">
        <f t="shared" si="9"/>
        <v/>
      </c>
      <c r="E160" s="406"/>
      <c r="F160" s="406"/>
      <c r="G160" s="406"/>
      <c r="H160" s="406"/>
      <c r="I160" s="406"/>
      <c r="J160" s="406"/>
      <c r="K160" s="406"/>
      <c r="L160" s="406"/>
      <c r="M160" s="406"/>
      <c r="N160" s="406"/>
      <c r="O160" s="406"/>
      <c r="P160" s="406"/>
      <c r="Q160" s="407"/>
      <c r="R160" s="416" t="str">
        <f t="shared" si="10"/>
        <v/>
      </c>
      <c r="S160" s="417"/>
      <c r="T160" s="418"/>
      <c r="U160" s="415"/>
      <c r="V160" s="415"/>
      <c r="W160" s="415"/>
      <c r="X160" s="294"/>
      <c r="Y160" s="260"/>
      <c r="Z160" s="260"/>
      <c r="AA160" s="260"/>
      <c r="AB160" s="260"/>
      <c r="AC160" s="260"/>
      <c r="AD160" s="260"/>
      <c r="AE160" s="260"/>
      <c r="AF160" s="260"/>
      <c r="AG160" s="260"/>
      <c r="AH160" s="260"/>
      <c r="AI160" s="260"/>
      <c r="AJ160" s="260"/>
      <c r="AK160" s="260"/>
      <c r="AL160" s="260"/>
      <c r="AM160" s="260"/>
      <c r="AN160" s="260"/>
      <c r="AO160" s="260"/>
      <c r="AP160" s="295"/>
    </row>
    <row r="161" spans="1:42" ht="15" customHeight="1" x14ac:dyDescent="0.25">
      <c r="A161" s="265"/>
      <c r="B161" s="264"/>
      <c r="C161" s="292" t="str">
        <f t="shared" si="11"/>
        <v/>
      </c>
      <c r="D161" s="405" t="str">
        <f t="shared" si="9"/>
        <v/>
      </c>
      <c r="E161" s="406"/>
      <c r="F161" s="406"/>
      <c r="G161" s="406"/>
      <c r="H161" s="406"/>
      <c r="I161" s="406"/>
      <c r="J161" s="406"/>
      <c r="K161" s="406"/>
      <c r="L161" s="406"/>
      <c r="M161" s="406"/>
      <c r="N161" s="406"/>
      <c r="O161" s="406"/>
      <c r="P161" s="406"/>
      <c r="Q161" s="407"/>
      <c r="R161" s="416" t="str">
        <f t="shared" si="10"/>
        <v/>
      </c>
      <c r="S161" s="417"/>
      <c r="T161" s="418"/>
      <c r="U161" s="415"/>
      <c r="V161" s="415"/>
      <c r="W161" s="415"/>
      <c r="X161" s="249"/>
      <c r="Y161" s="249"/>
      <c r="Z161" s="249"/>
      <c r="AA161" s="249"/>
      <c r="AB161" s="249"/>
      <c r="AC161" s="249"/>
      <c r="AD161" s="249"/>
      <c r="AE161" s="249"/>
      <c r="AF161" s="249"/>
      <c r="AG161" s="249"/>
      <c r="AH161" s="249"/>
      <c r="AI161" s="249"/>
      <c r="AJ161" s="249"/>
      <c r="AK161" s="249"/>
      <c r="AL161" s="249"/>
      <c r="AM161" s="249"/>
      <c r="AN161" s="249"/>
      <c r="AO161" s="249"/>
      <c r="AP161" s="265"/>
    </row>
    <row r="162" spans="1:42" ht="15" customHeight="1" x14ac:dyDescent="0.25">
      <c r="A162" s="265"/>
      <c r="B162" s="264"/>
      <c r="C162" s="292" t="str">
        <f t="shared" si="11"/>
        <v/>
      </c>
      <c r="D162" s="405" t="str">
        <f t="shared" si="9"/>
        <v/>
      </c>
      <c r="E162" s="406"/>
      <c r="F162" s="406"/>
      <c r="G162" s="406"/>
      <c r="H162" s="406"/>
      <c r="I162" s="406"/>
      <c r="J162" s="406"/>
      <c r="K162" s="406"/>
      <c r="L162" s="406"/>
      <c r="M162" s="406"/>
      <c r="N162" s="406"/>
      <c r="O162" s="406"/>
      <c r="P162" s="406"/>
      <c r="Q162" s="407"/>
      <c r="R162" s="416" t="str">
        <f t="shared" si="10"/>
        <v/>
      </c>
      <c r="S162" s="417"/>
      <c r="T162" s="418"/>
      <c r="U162" s="415"/>
      <c r="V162" s="415"/>
      <c r="W162" s="415"/>
      <c r="X162" s="249"/>
      <c r="Y162" s="249"/>
      <c r="Z162" s="249"/>
      <c r="AA162" s="249"/>
      <c r="AB162" s="249"/>
      <c r="AC162" s="249"/>
      <c r="AD162" s="249"/>
      <c r="AE162" s="249"/>
      <c r="AF162" s="249"/>
      <c r="AG162" s="249"/>
      <c r="AH162" s="249"/>
      <c r="AI162" s="249"/>
      <c r="AJ162" s="249"/>
      <c r="AK162" s="249"/>
      <c r="AL162" s="249"/>
      <c r="AM162" s="249"/>
      <c r="AN162" s="249"/>
      <c r="AO162" s="249"/>
      <c r="AP162" s="265"/>
    </row>
    <row r="163" spans="1:42" ht="15" customHeight="1" x14ac:dyDescent="0.25">
      <c r="A163" s="265"/>
      <c r="B163" s="264"/>
      <c r="C163" s="292" t="str">
        <f t="shared" si="11"/>
        <v/>
      </c>
      <c r="D163" s="405" t="str">
        <f t="shared" si="9"/>
        <v/>
      </c>
      <c r="E163" s="406"/>
      <c r="F163" s="406"/>
      <c r="G163" s="406"/>
      <c r="H163" s="406"/>
      <c r="I163" s="406"/>
      <c r="J163" s="406"/>
      <c r="K163" s="406"/>
      <c r="L163" s="406"/>
      <c r="M163" s="406"/>
      <c r="N163" s="406"/>
      <c r="O163" s="406"/>
      <c r="P163" s="406"/>
      <c r="Q163" s="407"/>
      <c r="R163" s="416" t="str">
        <f t="shared" si="10"/>
        <v/>
      </c>
      <c r="S163" s="417"/>
      <c r="T163" s="418"/>
      <c r="U163" s="415"/>
      <c r="V163" s="415"/>
      <c r="W163" s="415"/>
      <c r="X163" s="249"/>
      <c r="Y163" s="249"/>
      <c r="Z163" s="249"/>
      <c r="AA163" s="249"/>
      <c r="AB163" s="249"/>
      <c r="AC163" s="249"/>
      <c r="AD163" s="249"/>
      <c r="AE163" s="249"/>
      <c r="AF163" s="249"/>
      <c r="AG163" s="249"/>
      <c r="AH163" s="249"/>
      <c r="AI163" s="249"/>
      <c r="AJ163" s="249"/>
      <c r="AK163" s="249"/>
      <c r="AL163" s="249"/>
      <c r="AM163" s="249"/>
      <c r="AN163" s="249"/>
      <c r="AO163" s="249"/>
      <c r="AP163" s="265"/>
    </row>
    <row r="164" spans="1:42" ht="15" customHeight="1" x14ac:dyDescent="0.25">
      <c r="A164" s="265"/>
      <c r="B164" s="264"/>
      <c r="C164" s="292" t="str">
        <f t="shared" si="11"/>
        <v/>
      </c>
      <c r="D164" s="405" t="str">
        <f t="shared" si="9"/>
        <v/>
      </c>
      <c r="E164" s="406"/>
      <c r="F164" s="406"/>
      <c r="G164" s="406"/>
      <c r="H164" s="406"/>
      <c r="I164" s="406"/>
      <c r="J164" s="406"/>
      <c r="K164" s="406"/>
      <c r="L164" s="406"/>
      <c r="M164" s="406"/>
      <c r="N164" s="406"/>
      <c r="O164" s="406"/>
      <c r="P164" s="406"/>
      <c r="Q164" s="407"/>
      <c r="R164" s="416" t="str">
        <f t="shared" si="10"/>
        <v/>
      </c>
      <c r="S164" s="417"/>
      <c r="T164" s="418"/>
      <c r="U164" s="415"/>
      <c r="V164" s="415"/>
      <c r="W164" s="415"/>
      <c r="X164" s="249"/>
      <c r="Y164" s="249"/>
      <c r="Z164" s="249"/>
      <c r="AA164" s="249"/>
      <c r="AB164" s="249"/>
      <c r="AC164" s="249"/>
      <c r="AD164" s="249"/>
      <c r="AE164" s="249"/>
      <c r="AF164" s="249"/>
      <c r="AG164" s="249"/>
      <c r="AH164" s="249"/>
      <c r="AI164" s="249"/>
      <c r="AJ164" s="249"/>
      <c r="AK164" s="249"/>
      <c r="AL164" s="249"/>
      <c r="AM164" s="249"/>
      <c r="AN164" s="249"/>
      <c r="AO164" s="249"/>
      <c r="AP164" s="265"/>
    </row>
    <row r="165" spans="1:42" ht="15" customHeight="1" x14ac:dyDescent="0.25">
      <c r="A165" s="265"/>
      <c r="B165" s="264"/>
      <c r="C165" s="292" t="str">
        <f t="shared" si="11"/>
        <v/>
      </c>
      <c r="D165" s="405" t="str">
        <f t="shared" si="9"/>
        <v/>
      </c>
      <c r="E165" s="406"/>
      <c r="F165" s="406"/>
      <c r="G165" s="406"/>
      <c r="H165" s="406"/>
      <c r="I165" s="406"/>
      <c r="J165" s="406"/>
      <c r="K165" s="406"/>
      <c r="L165" s="406"/>
      <c r="M165" s="406"/>
      <c r="N165" s="406"/>
      <c r="O165" s="406"/>
      <c r="P165" s="406"/>
      <c r="Q165" s="407"/>
      <c r="R165" s="416" t="str">
        <f t="shared" si="10"/>
        <v/>
      </c>
      <c r="S165" s="417"/>
      <c r="T165" s="418"/>
      <c r="U165" s="415"/>
      <c r="V165" s="415"/>
      <c r="W165" s="415"/>
      <c r="X165" s="249"/>
      <c r="Y165" s="249"/>
      <c r="Z165" s="249"/>
      <c r="AA165" s="249"/>
      <c r="AB165" s="249"/>
      <c r="AC165" s="249"/>
      <c r="AD165" s="249"/>
      <c r="AE165" s="249"/>
      <c r="AF165" s="249"/>
      <c r="AG165" s="249"/>
      <c r="AH165" s="249"/>
      <c r="AI165" s="249"/>
      <c r="AJ165" s="249"/>
      <c r="AK165" s="249"/>
      <c r="AL165" s="249"/>
      <c r="AM165" s="249"/>
      <c r="AN165" s="249"/>
      <c r="AO165" s="249"/>
      <c r="AP165" s="265"/>
    </row>
    <row r="166" spans="1:42" ht="15" customHeight="1" x14ac:dyDescent="0.25">
      <c r="A166" s="265"/>
      <c r="B166" s="264"/>
      <c r="C166" s="292" t="str">
        <f t="shared" si="11"/>
        <v/>
      </c>
      <c r="D166" s="405" t="str">
        <f t="shared" si="9"/>
        <v/>
      </c>
      <c r="E166" s="406"/>
      <c r="F166" s="406"/>
      <c r="G166" s="406"/>
      <c r="H166" s="406"/>
      <c r="I166" s="406"/>
      <c r="J166" s="406"/>
      <c r="K166" s="406"/>
      <c r="L166" s="406"/>
      <c r="M166" s="406"/>
      <c r="N166" s="406"/>
      <c r="O166" s="406"/>
      <c r="P166" s="406"/>
      <c r="Q166" s="407"/>
      <c r="R166" s="416" t="str">
        <f t="shared" si="10"/>
        <v/>
      </c>
      <c r="S166" s="417"/>
      <c r="T166" s="418"/>
      <c r="U166" s="415"/>
      <c r="V166" s="415"/>
      <c r="W166" s="415"/>
      <c r="X166" s="249"/>
      <c r="Y166" s="249"/>
      <c r="Z166" s="249"/>
      <c r="AA166" s="249"/>
      <c r="AB166" s="249"/>
      <c r="AC166" s="249"/>
      <c r="AD166" s="249"/>
      <c r="AE166" s="249"/>
      <c r="AF166" s="249"/>
      <c r="AG166" s="249"/>
      <c r="AH166" s="249"/>
      <c r="AI166" s="249"/>
      <c r="AJ166" s="249"/>
      <c r="AK166" s="249"/>
      <c r="AL166" s="249"/>
      <c r="AM166" s="249"/>
      <c r="AN166" s="249"/>
      <c r="AO166" s="249"/>
      <c r="AP166" s="265"/>
    </row>
    <row r="167" spans="1:42" ht="15" customHeight="1" x14ac:dyDescent="0.25">
      <c r="A167" s="265"/>
      <c r="B167" s="264"/>
      <c r="C167" s="292" t="str">
        <f t="shared" si="11"/>
        <v/>
      </c>
      <c r="D167" s="405" t="str">
        <f t="shared" si="9"/>
        <v/>
      </c>
      <c r="E167" s="406"/>
      <c r="F167" s="406"/>
      <c r="G167" s="406"/>
      <c r="H167" s="406"/>
      <c r="I167" s="406"/>
      <c r="J167" s="406"/>
      <c r="K167" s="406"/>
      <c r="L167" s="406"/>
      <c r="M167" s="406"/>
      <c r="N167" s="406"/>
      <c r="O167" s="406"/>
      <c r="P167" s="406"/>
      <c r="Q167" s="407"/>
      <c r="R167" s="416" t="str">
        <f t="shared" si="10"/>
        <v/>
      </c>
      <c r="S167" s="417"/>
      <c r="T167" s="418"/>
      <c r="U167" s="415"/>
      <c r="V167" s="415"/>
      <c r="W167" s="415"/>
      <c r="X167" s="249"/>
      <c r="Y167" s="249"/>
      <c r="Z167" s="249"/>
      <c r="AA167" s="249"/>
      <c r="AB167" s="249"/>
      <c r="AC167" s="249"/>
      <c r="AD167" s="249"/>
      <c r="AE167" s="249"/>
      <c r="AF167" s="249"/>
      <c r="AG167" s="249"/>
      <c r="AH167" s="249"/>
      <c r="AI167" s="249"/>
      <c r="AJ167" s="249"/>
      <c r="AK167" s="249"/>
      <c r="AL167" s="249"/>
      <c r="AM167" s="249"/>
      <c r="AN167" s="249"/>
      <c r="AO167" s="249"/>
      <c r="AP167" s="265"/>
    </row>
    <row r="168" spans="1:42" ht="15" customHeight="1" x14ac:dyDescent="0.25">
      <c r="A168" s="265"/>
      <c r="B168" s="264"/>
      <c r="C168" s="292" t="str">
        <f t="shared" si="11"/>
        <v/>
      </c>
      <c r="D168" s="405" t="str">
        <f t="shared" si="9"/>
        <v/>
      </c>
      <c r="E168" s="406"/>
      <c r="F168" s="406"/>
      <c r="G168" s="406"/>
      <c r="H168" s="406"/>
      <c r="I168" s="406"/>
      <c r="J168" s="406"/>
      <c r="K168" s="406"/>
      <c r="L168" s="406"/>
      <c r="M168" s="406"/>
      <c r="N168" s="406"/>
      <c r="O168" s="406"/>
      <c r="P168" s="406"/>
      <c r="Q168" s="407"/>
      <c r="R168" s="416" t="str">
        <f t="shared" si="10"/>
        <v/>
      </c>
      <c r="S168" s="417"/>
      <c r="T168" s="418"/>
      <c r="U168" s="415"/>
      <c r="V168" s="415"/>
      <c r="W168" s="415"/>
      <c r="X168" s="249"/>
      <c r="Y168" s="249"/>
      <c r="Z168" s="249"/>
      <c r="AA168" s="249"/>
      <c r="AB168" s="249"/>
      <c r="AC168" s="249"/>
      <c r="AD168" s="249"/>
      <c r="AE168" s="249"/>
      <c r="AF168" s="249"/>
      <c r="AG168" s="249"/>
      <c r="AH168" s="249"/>
      <c r="AI168" s="249"/>
      <c r="AJ168" s="249"/>
      <c r="AK168" s="249"/>
      <c r="AL168" s="249"/>
      <c r="AM168" s="249"/>
      <c r="AN168" s="249"/>
      <c r="AO168" s="249"/>
      <c r="AP168" s="265"/>
    </row>
    <row r="169" spans="1:42" ht="15" customHeight="1" x14ac:dyDescent="0.25">
      <c r="A169" s="265"/>
      <c r="B169" s="264"/>
      <c r="C169" s="292" t="str">
        <f t="shared" si="11"/>
        <v/>
      </c>
      <c r="D169" s="405" t="str">
        <f t="shared" si="9"/>
        <v/>
      </c>
      <c r="E169" s="406"/>
      <c r="F169" s="406"/>
      <c r="G169" s="406"/>
      <c r="H169" s="406"/>
      <c r="I169" s="406"/>
      <c r="J169" s="406"/>
      <c r="K169" s="406"/>
      <c r="L169" s="406"/>
      <c r="M169" s="406"/>
      <c r="N169" s="406"/>
      <c r="O169" s="406"/>
      <c r="P169" s="406"/>
      <c r="Q169" s="407"/>
      <c r="R169" s="416" t="str">
        <f t="shared" si="10"/>
        <v/>
      </c>
      <c r="S169" s="417"/>
      <c r="T169" s="418"/>
      <c r="U169" s="415"/>
      <c r="V169" s="415"/>
      <c r="W169" s="415"/>
      <c r="X169" s="249"/>
      <c r="Y169" s="249"/>
      <c r="Z169" s="249"/>
      <c r="AA169" s="249"/>
      <c r="AB169" s="249"/>
      <c r="AC169" s="249"/>
      <c r="AD169" s="249"/>
      <c r="AE169" s="249"/>
      <c r="AF169" s="249"/>
      <c r="AG169" s="249"/>
      <c r="AH169" s="249"/>
      <c r="AI169" s="249"/>
      <c r="AJ169" s="249"/>
      <c r="AK169" s="249"/>
      <c r="AL169" s="249"/>
      <c r="AM169" s="249"/>
      <c r="AN169" s="249"/>
      <c r="AO169" s="249"/>
      <c r="AP169" s="265"/>
    </row>
    <row r="170" spans="1:42" ht="15" customHeight="1" x14ac:dyDescent="0.25">
      <c r="A170" s="265"/>
      <c r="B170" s="264"/>
      <c r="C170" s="292" t="str">
        <f t="shared" si="11"/>
        <v/>
      </c>
      <c r="D170" s="405" t="str">
        <f t="shared" si="9"/>
        <v/>
      </c>
      <c r="E170" s="406"/>
      <c r="F170" s="406"/>
      <c r="G170" s="406"/>
      <c r="H170" s="406"/>
      <c r="I170" s="406"/>
      <c r="J170" s="406"/>
      <c r="K170" s="406"/>
      <c r="L170" s="406"/>
      <c r="M170" s="406"/>
      <c r="N170" s="406"/>
      <c r="O170" s="406"/>
      <c r="P170" s="406"/>
      <c r="Q170" s="407"/>
      <c r="R170" s="416" t="str">
        <f t="shared" si="10"/>
        <v/>
      </c>
      <c r="S170" s="417"/>
      <c r="T170" s="418"/>
      <c r="U170" s="415"/>
      <c r="V170" s="415"/>
      <c r="W170" s="415"/>
      <c r="X170" s="249"/>
      <c r="Y170" s="249"/>
      <c r="Z170" s="249"/>
      <c r="AA170" s="249"/>
      <c r="AB170" s="249"/>
      <c r="AC170" s="249"/>
      <c r="AD170" s="249"/>
      <c r="AE170" s="249"/>
      <c r="AF170" s="249"/>
      <c r="AG170" s="249"/>
      <c r="AH170" s="249"/>
      <c r="AI170" s="249"/>
      <c r="AJ170" s="249"/>
      <c r="AK170" s="249"/>
      <c r="AL170" s="249"/>
      <c r="AM170" s="249"/>
      <c r="AN170" s="249"/>
      <c r="AO170" s="249"/>
      <c r="AP170" s="265"/>
    </row>
    <row r="171" spans="1:42" ht="15" customHeight="1" x14ac:dyDescent="0.25">
      <c r="A171" s="265"/>
      <c r="B171" s="264"/>
      <c r="C171" s="292" t="str">
        <f t="shared" si="11"/>
        <v/>
      </c>
      <c r="D171" s="405" t="str">
        <f t="shared" si="9"/>
        <v/>
      </c>
      <c r="E171" s="406"/>
      <c r="F171" s="406"/>
      <c r="G171" s="406"/>
      <c r="H171" s="406"/>
      <c r="I171" s="406"/>
      <c r="J171" s="406"/>
      <c r="K171" s="406"/>
      <c r="L171" s="406"/>
      <c r="M171" s="406"/>
      <c r="N171" s="406"/>
      <c r="O171" s="406"/>
      <c r="P171" s="406"/>
      <c r="Q171" s="407"/>
      <c r="R171" s="416" t="str">
        <f t="shared" si="10"/>
        <v/>
      </c>
      <c r="S171" s="417"/>
      <c r="T171" s="418"/>
      <c r="U171" s="415"/>
      <c r="V171" s="415"/>
      <c r="W171" s="415"/>
      <c r="X171" s="249"/>
      <c r="Y171" s="249"/>
      <c r="Z171" s="249"/>
      <c r="AA171" s="249"/>
      <c r="AB171" s="249"/>
      <c r="AC171" s="249"/>
      <c r="AD171" s="249"/>
      <c r="AE171" s="249"/>
      <c r="AF171" s="249"/>
      <c r="AG171" s="249"/>
      <c r="AH171" s="249"/>
      <c r="AI171" s="249"/>
      <c r="AJ171" s="249"/>
      <c r="AK171" s="249"/>
      <c r="AL171" s="249"/>
      <c r="AM171" s="249"/>
      <c r="AN171" s="249"/>
      <c r="AO171" s="249"/>
      <c r="AP171" s="265"/>
    </row>
    <row r="172" spans="1:42" ht="15" customHeight="1" x14ac:dyDescent="0.25">
      <c r="A172" s="265"/>
      <c r="B172" s="268"/>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72"/>
    </row>
  </sheetData>
  <sheetProtection algorithmName="SHA-512" hashValue="kO2v9HNZTu8UDYR4y8Hvkg+sVMKs8qf2/2EJawrqWLVF6UVRwlWVxEcoLkikt5KjolvJ+Kp/lMSbx1PVPS1ImQ==" saltValue="LNQm7LqtkywvMKItgOBDoA==" spinCount="100000" sheet="1" objects="1" scenarios="1"/>
  <mergeCells count="164">
    <mergeCell ref="C147:Q147"/>
    <mergeCell ref="U147:W147"/>
    <mergeCell ref="X147:AP147"/>
    <mergeCell ref="X153:AP159"/>
    <mergeCell ref="X43:AO45"/>
    <mergeCell ref="B141:J144"/>
    <mergeCell ref="AB49:AP52"/>
    <mergeCell ref="Z70:AP73"/>
    <mergeCell ref="W80:AP82"/>
    <mergeCell ref="T97:AP99"/>
    <mergeCell ref="B114:AP116"/>
    <mergeCell ref="AK151:AM151"/>
    <mergeCell ref="Y149:AF149"/>
    <mergeCell ref="AH149:AP150"/>
    <mergeCell ref="R149:T149"/>
    <mergeCell ref="U154:W154"/>
    <mergeCell ref="R150:T150"/>
    <mergeCell ref="R151:T151"/>
    <mergeCell ref="R152:T152"/>
    <mergeCell ref="R153:T153"/>
    <mergeCell ref="R154:T154"/>
    <mergeCell ref="R155:T155"/>
    <mergeCell ref="R156:T156"/>
    <mergeCell ref="R157:T157"/>
    <mergeCell ref="R158:T158"/>
    <mergeCell ref="R159:T159"/>
    <mergeCell ref="D153:Q153"/>
    <mergeCell ref="U170:W170"/>
    <mergeCell ref="U171:W171"/>
    <mergeCell ref="U149:W149"/>
    <mergeCell ref="AD151:AF151"/>
    <mergeCell ref="AD150:AF150"/>
    <mergeCell ref="U165:W165"/>
    <mergeCell ref="U166:W166"/>
    <mergeCell ref="U167:W167"/>
    <mergeCell ref="U168:W168"/>
    <mergeCell ref="U169:W169"/>
    <mergeCell ref="U160:W160"/>
    <mergeCell ref="U161:W161"/>
    <mergeCell ref="U162:W162"/>
    <mergeCell ref="U163:W163"/>
    <mergeCell ref="U164:W164"/>
    <mergeCell ref="U155:W155"/>
    <mergeCell ref="U156:W156"/>
    <mergeCell ref="U157:W157"/>
    <mergeCell ref="U158:W158"/>
    <mergeCell ref="U159:W159"/>
    <mergeCell ref="U150:W150"/>
    <mergeCell ref="U151:W151"/>
    <mergeCell ref="U152:W152"/>
    <mergeCell ref="U153:W153"/>
    <mergeCell ref="R168:T168"/>
    <mergeCell ref="R169:T169"/>
    <mergeCell ref="R170:T170"/>
    <mergeCell ref="D171:Q171"/>
    <mergeCell ref="R171:T171"/>
    <mergeCell ref="R163:T163"/>
    <mergeCell ref="R164:T164"/>
    <mergeCell ref="R165:T165"/>
    <mergeCell ref="R166:T166"/>
    <mergeCell ref="R167:T167"/>
    <mergeCell ref="D168:Q168"/>
    <mergeCell ref="D169:Q169"/>
    <mergeCell ref="D170:Q170"/>
    <mergeCell ref="R160:T160"/>
    <mergeCell ref="R161:T161"/>
    <mergeCell ref="R162:T162"/>
    <mergeCell ref="D163:Q163"/>
    <mergeCell ref="D164:Q164"/>
    <mergeCell ref="D165:Q165"/>
    <mergeCell ref="D166:Q166"/>
    <mergeCell ref="D167:Q167"/>
    <mergeCell ref="D158:Q158"/>
    <mergeCell ref="D159:Q159"/>
    <mergeCell ref="D160:Q160"/>
    <mergeCell ref="D161:Q161"/>
    <mergeCell ref="D162:Q162"/>
    <mergeCell ref="D154:Q154"/>
    <mergeCell ref="D155:Q155"/>
    <mergeCell ref="D156:Q156"/>
    <mergeCell ref="D157:Q157"/>
    <mergeCell ref="C149:Q149"/>
    <mergeCell ref="D150:Q150"/>
    <mergeCell ref="D151:Q151"/>
    <mergeCell ref="D152:Q152"/>
    <mergeCell ref="D54:AP54"/>
    <mergeCell ref="H124:Z124"/>
    <mergeCell ref="AM125:AO125"/>
    <mergeCell ref="AM126:AO126"/>
    <mergeCell ref="H125:Z125"/>
    <mergeCell ref="H126:Z126"/>
    <mergeCell ref="AC122:AL122"/>
    <mergeCell ref="B117:AP118"/>
    <mergeCell ref="H120:Z120"/>
    <mergeCell ref="B129:AP130"/>
    <mergeCell ref="H121:Z121"/>
    <mergeCell ref="AC123:AL123"/>
    <mergeCell ref="AC124:AL124"/>
    <mergeCell ref="AC125:AL125"/>
    <mergeCell ref="AC126:AL126"/>
    <mergeCell ref="AC120:AL120"/>
    <mergeCell ref="T103:AP105"/>
    <mergeCell ref="T110:AP112"/>
    <mergeCell ref="AM120:AO120"/>
    <mergeCell ref="AM121:AO121"/>
    <mergeCell ref="N25:O25"/>
    <mergeCell ref="D48:AP48"/>
    <mergeCell ref="D42:AP42"/>
    <mergeCell ref="J46:AO46"/>
    <mergeCell ref="B36:N37"/>
    <mergeCell ref="D38:AP38"/>
    <mergeCell ref="I33:L33"/>
    <mergeCell ref="V33:Y34"/>
    <mergeCell ref="AB25:AP28"/>
    <mergeCell ref="AB32:AP35"/>
    <mergeCell ref="D24:AP24"/>
    <mergeCell ref="AZ2:BD2"/>
    <mergeCell ref="AB20:AP22"/>
    <mergeCell ref="K4:AP4"/>
    <mergeCell ref="B9:AP15"/>
    <mergeCell ref="B7:AP7"/>
    <mergeCell ref="K5:V5"/>
    <mergeCell ref="AU12:AU18"/>
    <mergeCell ref="B17:H18"/>
    <mergeCell ref="CL12:CO12"/>
    <mergeCell ref="CJ14:CJ17"/>
    <mergeCell ref="AV19:AW19"/>
    <mergeCell ref="CJ6:CJ9"/>
    <mergeCell ref="CL4:CO4"/>
    <mergeCell ref="CJ4:CK5"/>
    <mergeCell ref="CJ12:CK13"/>
    <mergeCell ref="H122:Z122"/>
    <mergeCell ref="H123:Z123"/>
    <mergeCell ref="E89:AO90"/>
    <mergeCell ref="D30:AP31"/>
    <mergeCell ref="E87:AP88"/>
    <mergeCell ref="D84:AP85"/>
    <mergeCell ref="D108:AP108"/>
    <mergeCell ref="D101:AP101"/>
    <mergeCell ref="D94:AP94"/>
    <mergeCell ref="E95:AO96"/>
    <mergeCell ref="E91:AO92"/>
    <mergeCell ref="E86:AO86"/>
    <mergeCell ref="D65:AP65"/>
    <mergeCell ref="D75:AP75"/>
    <mergeCell ref="X5:AA5"/>
    <mergeCell ref="AK5:AP5"/>
    <mergeCell ref="D19:AP19"/>
    <mergeCell ref="AC121:AL121"/>
    <mergeCell ref="AM122:AO122"/>
    <mergeCell ref="AM123:AO123"/>
    <mergeCell ref="AM124:AO124"/>
    <mergeCell ref="B137:J137"/>
    <mergeCell ref="B133:J133"/>
    <mergeCell ref="B131:AP132"/>
    <mergeCell ref="K141:AO144"/>
    <mergeCell ref="K139:AO139"/>
    <mergeCell ref="B139:J139"/>
    <mergeCell ref="K137:P137"/>
    <mergeCell ref="AM133:AO133"/>
    <mergeCell ref="K133:AH133"/>
    <mergeCell ref="W137:AP137"/>
    <mergeCell ref="B135:J135"/>
    <mergeCell ref="K135:U135"/>
  </mergeCells>
  <conditionalFormatting sqref="E25:E28">
    <cfRule type="expression" dxfId="60" priority="112">
      <formula>AW25=1</formula>
    </cfRule>
  </conditionalFormatting>
  <conditionalFormatting sqref="E39">
    <cfRule type="expression" dxfId="59" priority="116">
      <formula>AV39=1</formula>
    </cfRule>
  </conditionalFormatting>
  <conditionalFormatting sqref="E43:E46">
    <cfRule type="expression" dxfId="58" priority="103">
      <formula>AW43=1</formula>
    </cfRule>
  </conditionalFormatting>
  <conditionalFormatting sqref="E49:E52">
    <cfRule type="expression" dxfId="57" priority="102">
      <formula>AW49=1</formula>
    </cfRule>
  </conditionalFormatting>
  <conditionalFormatting sqref="P25">
    <cfRule type="expression" dxfId="56" priority="101">
      <formula>AW25=1</formula>
    </cfRule>
  </conditionalFormatting>
  <conditionalFormatting sqref="N25">
    <cfRule type="expression" dxfId="55" priority="100">
      <formula>AW25=1</formula>
    </cfRule>
  </conditionalFormatting>
  <conditionalFormatting sqref="J46:AO46">
    <cfRule type="expression" dxfId="54" priority="99">
      <formula>$AW$46=1</formula>
    </cfRule>
  </conditionalFormatting>
  <conditionalFormatting sqref="E86:E87">
    <cfRule type="expression" dxfId="53" priority="93">
      <formula>AW86=1</formula>
    </cfRule>
  </conditionalFormatting>
  <conditionalFormatting sqref="E91">
    <cfRule type="expression" dxfId="52" priority="125">
      <formula>AW91</formula>
    </cfRule>
  </conditionalFormatting>
  <conditionalFormatting sqref="E89">
    <cfRule type="expression" dxfId="51" priority="128">
      <formula>AW89=1</formula>
    </cfRule>
  </conditionalFormatting>
  <conditionalFormatting sqref="E97:E99 E95">
    <cfRule type="expression" dxfId="50" priority="89">
      <formula>AW95=1</formula>
    </cfRule>
  </conditionalFormatting>
  <conditionalFormatting sqref="E20:E22">
    <cfRule type="expression" dxfId="49" priority="68">
      <formula>AW20=1</formula>
    </cfRule>
  </conditionalFormatting>
  <conditionalFormatting sqref="E40">
    <cfRule type="expression" dxfId="48" priority="66">
      <formula>AW40=1</formula>
    </cfRule>
  </conditionalFormatting>
  <conditionalFormatting sqref="E102:F106 E109:F113">
    <cfRule type="expression" dxfId="47" priority="65">
      <formula>AW102=TRUE</formula>
    </cfRule>
  </conditionalFormatting>
  <conditionalFormatting sqref="BP3:BP29">
    <cfRule type="expression" dxfId="46" priority="62">
      <formula>BP3=1</formula>
    </cfRule>
  </conditionalFormatting>
  <conditionalFormatting sqref="G102:Y102 G109:Y109 G106:Y106 G103:S105 G113:Y113 G110:S112">
    <cfRule type="expression" dxfId="45" priority="145">
      <formula>#REF!=TRUE</formula>
    </cfRule>
  </conditionalFormatting>
  <conditionalFormatting sqref="Z102:AF102 Z109:AF109 Z106:AF106 Z113:AF113">
    <cfRule type="expression" dxfId="44" priority="148">
      <formula>#REF!=TRUE</formula>
    </cfRule>
  </conditionalFormatting>
  <conditionalFormatting sqref="AG102:AO102 AG109:AO109 AG106:AO106 AG113:AO113">
    <cfRule type="expression" dxfId="43" priority="150">
      <formula>#REF!=TRUE</formula>
    </cfRule>
  </conditionalFormatting>
  <conditionalFormatting sqref="BQ3:BT29">
    <cfRule type="expression" dxfId="42" priority="61">
      <formula>BQ3&gt;0</formula>
    </cfRule>
  </conditionalFormatting>
  <conditionalFormatting sqref="P33:P35">
    <cfRule type="expression" dxfId="41" priority="158">
      <formula>AW33</formula>
    </cfRule>
  </conditionalFormatting>
  <conditionalFormatting sqref="V33:Y34">
    <cfRule type="expression" dxfId="40" priority="159">
      <formula>$AW$36=1</formula>
    </cfRule>
  </conditionalFormatting>
  <conditionalFormatting sqref="P32">
    <cfRule type="expression" dxfId="39" priority="162">
      <formula>AW32</formula>
    </cfRule>
  </conditionalFormatting>
  <conditionalFormatting sqref="G60:G63 G80:G82">
    <cfRule type="expression" dxfId="38" priority="58">
      <formula>AW60=1</formula>
    </cfRule>
  </conditionalFormatting>
  <conditionalFormatting sqref="G56 G68">
    <cfRule type="expression" dxfId="37" priority="57">
      <formula>AW56=TRUE</formula>
    </cfRule>
  </conditionalFormatting>
  <conditionalFormatting sqref="G57:G58">
    <cfRule type="expression" dxfId="36" priority="56">
      <formula>AW57=TRUE</formula>
    </cfRule>
  </conditionalFormatting>
  <conditionalFormatting sqref="P56 P68">
    <cfRule type="expression" dxfId="35" priority="55">
      <formula>AX56=TRUE</formula>
    </cfRule>
  </conditionalFormatting>
  <conditionalFormatting sqref="P57:P58">
    <cfRule type="expression" dxfId="34" priority="53">
      <formula>AX57=TRUE</formula>
    </cfRule>
  </conditionalFormatting>
  <conditionalFormatting sqref="Y56">
    <cfRule type="expression" dxfId="33" priority="52">
      <formula>AY56=TRUE</formula>
    </cfRule>
  </conditionalFormatting>
  <conditionalFormatting sqref="Y57">
    <cfRule type="expression" dxfId="32" priority="51">
      <formula>AY57=TRUE</formula>
    </cfRule>
  </conditionalFormatting>
  <conditionalFormatting sqref="G70:G73">
    <cfRule type="expression" dxfId="31" priority="49">
      <formula>AW70=1</formula>
    </cfRule>
  </conditionalFormatting>
  <conditionalFormatting sqref="G67">
    <cfRule type="expression" dxfId="30" priority="48">
      <formula>AW67=TRUE</formula>
    </cfRule>
  </conditionalFormatting>
  <conditionalFormatting sqref="P67">
    <cfRule type="expression" dxfId="29" priority="46">
      <formula>AX67=TRUE</formula>
    </cfRule>
  </conditionalFormatting>
  <conditionalFormatting sqref="Y67">
    <cfRule type="expression" dxfId="28" priority="44">
      <formula>AY67=TRUE</formula>
    </cfRule>
  </conditionalFormatting>
  <conditionalFormatting sqref="Y68">
    <cfRule type="expression" dxfId="27" priority="43">
      <formula>AY68=TRUE</formula>
    </cfRule>
  </conditionalFormatting>
  <conditionalFormatting sqref="G78">
    <cfRule type="expression" dxfId="26" priority="41">
      <formula>AW78=TRUE</formula>
    </cfRule>
  </conditionalFormatting>
  <conditionalFormatting sqref="P78">
    <cfRule type="expression" dxfId="25" priority="40">
      <formula>AX78=TRUE</formula>
    </cfRule>
  </conditionalFormatting>
  <conditionalFormatting sqref="G77">
    <cfRule type="expression" dxfId="24" priority="38">
      <formula>AW77=TRUE</formula>
    </cfRule>
  </conditionalFormatting>
  <conditionalFormatting sqref="P77">
    <cfRule type="expression" dxfId="23" priority="37">
      <formula>AX77=TRUE</formula>
    </cfRule>
  </conditionalFormatting>
  <conditionalFormatting sqref="Y77">
    <cfRule type="expression" dxfId="22" priority="36">
      <formula>AY77=TRUE</formula>
    </cfRule>
  </conditionalFormatting>
  <conditionalFormatting sqref="Y78">
    <cfRule type="expression" dxfId="21" priority="35">
      <formula>AY78=TRUE</formula>
    </cfRule>
  </conditionalFormatting>
  <conditionalFormatting sqref="BY15:BZ16 BY21:BZ32 CC17:CE20 BY3:BZ5 CC6:CE9 CF3:CF5 BY34:BZ34 CA10:CB14">
    <cfRule type="expression" dxfId="20" priority="170">
      <formula>$BX3=1</formula>
    </cfRule>
  </conditionalFormatting>
  <conditionalFormatting sqref="CL6:CO9">
    <cfRule type="colorScale" priority="29">
      <colorScale>
        <cfvo type="min"/>
        <cfvo type="percentile" val="50"/>
        <cfvo type="max"/>
        <color rgb="FF63BE7B"/>
        <color rgb="FFFFEB84"/>
        <color rgb="FFF8696B"/>
      </colorScale>
    </cfRule>
  </conditionalFormatting>
  <conditionalFormatting sqref="CQ4:CQ9">
    <cfRule type="colorScale" priority="28">
      <colorScale>
        <cfvo type="min"/>
        <cfvo type="percentile" val="50"/>
        <cfvo type="max"/>
        <color rgb="FF63BE7B"/>
        <color rgb="FFFFEB84"/>
        <color rgb="FFF8696B"/>
      </colorScale>
    </cfRule>
  </conditionalFormatting>
  <conditionalFormatting sqref="CL14:CO17">
    <cfRule type="expression" dxfId="19" priority="27">
      <formula>CL14=1</formula>
    </cfRule>
  </conditionalFormatting>
  <conditionalFormatting sqref="AM121:AM126">
    <cfRule type="colorScale" priority="26">
      <colorScale>
        <cfvo type="num" val="0"/>
        <cfvo type="percent" val="50"/>
        <cfvo type="num" val="7"/>
        <color rgb="FF00B050"/>
        <color rgb="FFFFEB84"/>
        <color rgb="FFFF0000"/>
      </colorScale>
    </cfRule>
  </conditionalFormatting>
  <conditionalFormatting sqref="AP121:AP126 AB121:AC126">
    <cfRule type="expression" dxfId="18" priority="191">
      <formula>$AC121=$H$126</formula>
    </cfRule>
  </conditionalFormatting>
  <conditionalFormatting sqref="DD2:DX30">
    <cfRule type="expression" dxfId="17" priority="24">
      <formula>DD$1=1</formula>
    </cfRule>
  </conditionalFormatting>
  <conditionalFormatting sqref="DY3:DY30">
    <cfRule type="colorScale" priority="203">
      <colorScale>
        <cfvo type="min"/>
        <cfvo type="percentile" val="50"/>
        <cfvo type="max"/>
        <color rgb="FF63BE7B"/>
        <color rgb="FFFFEB84"/>
        <color rgb="FFF8696B"/>
      </colorScale>
    </cfRule>
  </conditionalFormatting>
  <conditionalFormatting sqref="R150:R171">
    <cfRule type="colorScale" priority="21">
      <colorScale>
        <cfvo type="num" val="0"/>
        <cfvo type="num" val="3.5"/>
        <cfvo type="num" val="7"/>
        <color rgb="FF00B050"/>
        <color rgb="FFFFEB84"/>
        <color rgb="FFFF0000"/>
      </colorScale>
    </cfRule>
  </conditionalFormatting>
  <conditionalFormatting sqref="C150:W171">
    <cfRule type="expression" dxfId="16" priority="20">
      <formula>$C150=""</formula>
    </cfRule>
  </conditionalFormatting>
  <conditionalFormatting sqref="AD150:AF150">
    <cfRule type="expression" dxfId="15" priority="19">
      <formula>$AD$150&lt;&gt;1</formula>
    </cfRule>
  </conditionalFormatting>
  <conditionalFormatting sqref="AD151:AF151">
    <cfRule type="expression" dxfId="14" priority="18">
      <formula>$AD$151-VLOOKUP($H$126,$AC$121:$AO$126,11,0)&gt;=0.5</formula>
    </cfRule>
  </conditionalFormatting>
  <conditionalFormatting sqref="B19:B30">
    <cfRule type="expression" dxfId="13" priority="16">
      <formula>AU19=0</formula>
    </cfRule>
  </conditionalFormatting>
  <conditionalFormatting sqref="B38:B108">
    <cfRule type="expression" dxfId="12" priority="15">
      <formula>AU38=0</formula>
    </cfRule>
  </conditionalFormatting>
  <conditionalFormatting sqref="B117:AP172">
    <cfRule type="expression" dxfId="11" priority="12">
      <formula>$AU$114&gt;0</formula>
    </cfRule>
  </conditionalFormatting>
  <conditionalFormatting sqref="K133:AH133">
    <cfRule type="expression" dxfId="10" priority="4">
      <formula>AND($AU$133=1,$AU$114=0)</formula>
    </cfRule>
    <cfRule type="expression" dxfId="9" priority="14">
      <formula>MAX(AW128:AW129)&gt;1</formula>
    </cfRule>
  </conditionalFormatting>
  <conditionalFormatting sqref="B135:AP172">
    <cfRule type="expression" dxfId="8" priority="9">
      <formula>$AU$133=1</formula>
    </cfRule>
  </conditionalFormatting>
  <conditionalFormatting sqref="AL133:AO133">
    <cfRule type="expression" dxfId="7" priority="11">
      <formula>$AU$133=1</formula>
    </cfRule>
  </conditionalFormatting>
  <conditionalFormatting sqref="B134:AP134">
    <cfRule type="expression" dxfId="6" priority="10">
      <formula>AND($AU$133=1,$AU$114=0)</formula>
    </cfRule>
  </conditionalFormatting>
  <conditionalFormatting sqref="B146:AP172">
    <cfRule type="expression" dxfId="5" priority="1">
      <formula>$BQ$32="KL"</formula>
    </cfRule>
  </conditionalFormatting>
  <conditionalFormatting sqref="B145:AP145">
    <cfRule type="expression" dxfId="4" priority="8">
      <formula>AND($BQ$32="KL",$AU$114=0,$AU$133=0)</formula>
    </cfRule>
  </conditionalFormatting>
  <conditionalFormatting sqref="B137:J137">
    <cfRule type="expression" dxfId="3" priority="7">
      <formula>AND($AU$137=0,$AV$137=0)</formula>
    </cfRule>
  </conditionalFormatting>
  <conditionalFormatting sqref="B139:J139">
    <cfRule type="expression" dxfId="2" priority="6">
      <formula>$AU$139=0</formula>
    </cfRule>
  </conditionalFormatting>
  <conditionalFormatting sqref="B141:J144">
    <cfRule type="expression" dxfId="1" priority="5">
      <formula>$AU$141=0</formula>
    </cfRule>
  </conditionalFormatting>
  <conditionalFormatting sqref="U147:W147">
    <cfRule type="expression" dxfId="0" priority="13">
      <formula>$AZ$131=2</formula>
    </cfRule>
  </conditionalFormatting>
  <dataValidations count="4">
    <dataValidation type="list" allowBlank="1" showInputMessage="1" showErrorMessage="1" sqref="AZ2" xr:uid="{00000000-0002-0000-0000-000000000000}">
      <formula1>$BF$2:$BJ$2</formula1>
    </dataValidation>
    <dataValidation type="list" allowBlank="1" showInputMessage="1" showErrorMessage="1" sqref="K133" xr:uid="{00000000-0002-0000-0000-000001000000}">
      <formula1>OFFSET($AX$128:$AX$129,0,0,COUNT($AW$128:$AW$129))</formula1>
    </dataValidation>
    <dataValidation type="date" operator="greaterThan" allowBlank="1" showInputMessage="1" showErrorMessage="1" error="Kérlek, a születési dátumot éééé.hh.nn formátumban add meg!" sqref="X5:AA5" xr:uid="{00000000-0002-0000-0000-000002000000}">
      <formula1>1</formula1>
    </dataValidation>
    <dataValidation type="list" allowBlank="1" showInputMessage="1" showErrorMessage="1" sqref="U147:W147" xr:uid="{00000000-0002-0000-0000-000003000000}">
      <formula1>OFFSET($AY$130:$AY$131,0,0,COUNT($AZ$130:$AZ$131))</formula1>
    </dataValidation>
  </dataValidations>
  <pageMargins left="0.7" right="0.7" top="0.75" bottom="0.75" header="0.3" footer="0.3"/>
  <pageSetup paperSize="9" orientation="portrait" verticalDpi="0" r:id="rId1"/>
  <ignoredErrors>
    <ignoredError sqref="AW20:AW56 AV76:AW76 AV113:AW136 AV112 AV111 AV110 AV109 AW58:AW66 AW69:AW72 AV78:AW79 AV77 AV81:AW85 AW80 AV87:AW94 AW86 AV96:AW101 AW95 AV106:AW108 AV103 AV104 AV102 AV105 AV138:AW153 AW137 K137 K133" unlockedFormula="1"/>
    <ignoredError sqref="U147" evalError="1" unlockedFormula="1"/>
    <ignoredError sqref="V147:AP147"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3</xdr:col>
                    <xdr:colOff>0</xdr:colOff>
                    <xdr:row>19</xdr:row>
                    <xdr:rowOff>9525</xdr:rowOff>
                  </from>
                  <to>
                    <xdr:col>4</xdr:col>
                    <xdr:colOff>28575</xdr:colOff>
                    <xdr:row>20</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3</xdr:col>
                    <xdr:colOff>0</xdr:colOff>
                    <xdr:row>20</xdr:row>
                    <xdr:rowOff>9525</xdr:rowOff>
                  </from>
                  <to>
                    <xdr:col>4</xdr:col>
                    <xdr:colOff>28575</xdr:colOff>
                    <xdr:row>21</xdr:row>
                    <xdr:rowOff>0</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3</xdr:col>
                    <xdr:colOff>0</xdr:colOff>
                    <xdr:row>21</xdr:row>
                    <xdr:rowOff>9525</xdr:rowOff>
                  </from>
                  <to>
                    <xdr:col>4</xdr:col>
                    <xdr:colOff>28575</xdr:colOff>
                    <xdr:row>22</xdr:row>
                    <xdr:rowOff>0</xdr:rowOff>
                  </to>
                </anchor>
              </controlPr>
            </control>
          </mc:Choice>
        </mc:AlternateContent>
        <mc:AlternateContent xmlns:mc="http://schemas.openxmlformats.org/markup-compatibility/2006">
          <mc:Choice Requires="x14">
            <control shapeId="4100" r:id="rId7" name="Option Button 4">
              <controlPr defaultSize="0" autoFill="0" autoLine="0" autoPict="0">
                <anchor moveWithCells="1">
                  <from>
                    <xdr:col>3</xdr:col>
                    <xdr:colOff>0</xdr:colOff>
                    <xdr:row>24</xdr:row>
                    <xdr:rowOff>9525</xdr:rowOff>
                  </from>
                  <to>
                    <xdr:col>4</xdr:col>
                    <xdr:colOff>28575</xdr:colOff>
                    <xdr:row>25</xdr:row>
                    <xdr:rowOff>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3</xdr:col>
                    <xdr:colOff>0</xdr:colOff>
                    <xdr:row>25</xdr:row>
                    <xdr:rowOff>9525</xdr:rowOff>
                  </from>
                  <to>
                    <xdr:col>4</xdr:col>
                    <xdr:colOff>28575</xdr:colOff>
                    <xdr:row>26</xdr:row>
                    <xdr:rowOff>0</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3</xdr:col>
                    <xdr:colOff>0</xdr:colOff>
                    <xdr:row>26</xdr:row>
                    <xdr:rowOff>9525</xdr:rowOff>
                  </from>
                  <to>
                    <xdr:col>4</xdr:col>
                    <xdr:colOff>28575</xdr:colOff>
                    <xdr:row>27</xdr:row>
                    <xdr:rowOff>0</xdr:rowOff>
                  </to>
                </anchor>
              </controlPr>
            </control>
          </mc:Choice>
        </mc:AlternateContent>
        <mc:AlternateContent xmlns:mc="http://schemas.openxmlformats.org/markup-compatibility/2006">
          <mc:Choice Requires="x14">
            <control shapeId="4103" r:id="rId10" name="Option Button 7">
              <controlPr defaultSize="0" autoFill="0" autoLine="0" autoPict="0">
                <anchor moveWithCells="1">
                  <from>
                    <xdr:col>3</xdr:col>
                    <xdr:colOff>0</xdr:colOff>
                    <xdr:row>27</xdr:row>
                    <xdr:rowOff>9525</xdr:rowOff>
                  </from>
                  <to>
                    <xdr:col>4</xdr:col>
                    <xdr:colOff>28575</xdr:colOff>
                    <xdr:row>28</xdr:row>
                    <xdr:rowOff>0</xdr:rowOff>
                  </to>
                </anchor>
              </controlPr>
            </control>
          </mc:Choice>
        </mc:AlternateContent>
        <mc:AlternateContent xmlns:mc="http://schemas.openxmlformats.org/markup-compatibility/2006">
          <mc:Choice Requires="x14">
            <control shapeId="4104" r:id="rId11" name="Group Box 8">
              <controlPr defaultSize="0" autoFill="0" autoPict="0">
                <anchor moveWithCells="1">
                  <from>
                    <xdr:col>3</xdr:col>
                    <xdr:colOff>0</xdr:colOff>
                    <xdr:row>19</xdr:row>
                    <xdr:rowOff>0</xdr:rowOff>
                  </from>
                  <to>
                    <xdr:col>42</xdr:col>
                    <xdr:colOff>0</xdr:colOff>
                    <xdr:row>22</xdr:row>
                    <xdr:rowOff>38100</xdr:rowOff>
                  </to>
                </anchor>
              </controlPr>
            </control>
          </mc:Choice>
        </mc:AlternateContent>
        <mc:AlternateContent xmlns:mc="http://schemas.openxmlformats.org/markup-compatibility/2006">
          <mc:Choice Requires="x14">
            <control shapeId="4105" r:id="rId12" name="Group Box 9">
              <controlPr defaultSize="0" autoFill="0" autoPict="0">
                <anchor moveWithCells="1">
                  <from>
                    <xdr:col>3</xdr:col>
                    <xdr:colOff>0</xdr:colOff>
                    <xdr:row>24</xdr:row>
                    <xdr:rowOff>0</xdr:rowOff>
                  </from>
                  <to>
                    <xdr:col>42</xdr:col>
                    <xdr:colOff>0</xdr:colOff>
                    <xdr:row>28</xdr:row>
                    <xdr:rowOff>38100</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3</xdr:col>
                    <xdr:colOff>0</xdr:colOff>
                    <xdr:row>31</xdr:row>
                    <xdr:rowOff>0</xdr:rowOff>
                  </from>
                  <to>
                    <xdr:col>42</xdr:col>
                    <xdr:colOff>0</xdr:colOff>
                    <xdr:row>35</xdr:row>
                    <xdr:rowOff>19050</xdr:rowOff>
                  </to>
                </anchor>
              </controlPr>
            </control>
          </mc:Choice>
        </mc:AlternateContent>
        <mc:AlternateContent xmlns:mc="http://schemas.openxmlformats.org/markup-compatibility/2006">
          <mc:Choice Requires="x14">
            <control shapeId="4108" r:id="rId14" name="Option Button 12">
              <controlPr defaultSize="0" autoFill="0" autoLine="0" autoPict="0">
                <anchor moveWithCells="1">
                  <from>
                    <xdr:col>14</xdr:col>
                    <xdr:colOff>0</xdr:colOff>
                    <xdr:row>31</xdr:row>
                    <xdr:rowOff>9525</xdr:rowOff>
                  </from>
                  <to>
                    <xdr:col>15</xdr:col>
                    <xdr:colOff>28575</xdr:colOff>
                    <xdr:row>32</xdr:row>
                    <xdr:rowOff>0</xdr:rowOff>
                  </to>
                </anchor>
              </controlPr>
            </control>
          </mc:Choice>
        </mc:AlternateContent>
        <mc:AlternateContent xmlns:mc="http://schemas.openxmlformats.org/markup-compatibility/2006">
          <mc:Choice Requires="x14">
            <control shapeId="4109" r:id="rId15" name="Option Button 13">
              <controlPr defaultSize="0" autoFill="0" autoLine="0" autoPict="0">
                <anchor moveWithCells="1">
                  <from>
                    <xdr:col>14</xdr:col>
                    <xdr:colOff>0</xdr:colOff>
                    <xdr:row>32</xdr:row>
                    <xdr:rowOff>9525</xdr:rowOff>
                  </from>
                  <to>
                    <xdr:col>15</xdr:col>
                    <xdr:colOff>28575</xdr:colOff>
                    <xdr:row>33</xdr:row>
                    <xdr:rowOff>0</xdr:rowOff>
                  </to>
                </anchor>
              </controlPr>
            </control>
          </mc:Choice>
        </mc:AlternateContent>
        <mc:AlternateContent xmlns:mc="http://schemas.openxmlformats.org/markup-compatibility/2006">
          <mc:Choice Requires="x14">
            <control shapeId="4110" r:id="rId16" name="Option Button 14">
              <controlPr defaultSize="0" autoFill="0" autoLine="0" autoPict="0">
                <anchor moveWithCells="1">
                  <from>
                    <xdr:col>14</xdr:col>
                    <xdr:colOff>0</xdr:colOff>
                    <xdr:row>33</xdr:row>
                    <xdr:rowOff>9525</xdr:rowOff>
                  </from>
                  <to>
                    <xdr:col>15</xdr:col>
                    <xdr:colOff>28575</xdr:colOff>
                    <xdr:row>34</xdr:row>
                    <xdr:rowOff>0</xdr:rowOff>
                  </to>
                </anchor>
              </controlPr>
            </control>
          </mc:Choice>
        </mc:AlternateContent>
        <mc:AlternateContent xmlns:mc="http://schemas.openxmlformats.org/markup-compatibility/2006">
          <mc:Choice Requires="x14">
            <control shapeId="4111" r:id="rId17" name="Option Button 15">
              <controlPr defaultSize="0" autoFill="0" autoLine="0" autoPict="0">
                <anchor moveWithCells="1">
                  <from>
                    <xdr:col>14</xdr:col>
                    <xdr:colOff>0</xdr:colOff>
                    <xdr:row>34</xdr:row>
                    <xdr:rowOff>9525</xdr:rowOff>
                  </from>
                  <to>
                    <xdr:col>15</xdr:col>
                    <xdr:colOff>28575</xdr:colOff>
                    <xdr:row>35</xdr:row>
                    <xdr:rowOff>0</xdr:rowOff>
                  </to>
                </anchor>
              </controlPr>
            </control>
          </mc:Choice>
        </mc:AlternateContent>
        <mc:AlternateContent xmlns:mc="http://schemas.openxmlformats.org/markup-compatibility/2006">
          <mc:Choice Requires="x14">
            <control shapeId="4113" r:id="rId18" name="Option Button 17">
              <controlPr defaultSize="0" autoFill="0" autoLine="0" autoPict="0">
                <anchor moveWithCells="1">
                  <from>
                    <xdr:col>20</xdr:col>
                    <xdr:colOff>0</xdr:colOff>
                    <xdr:row>32</xdr:row>
                    <xdr:rowOff>95250</xdr:rowOff>
                  </from>
                  <to>
                    <xdr:col>21</xdr:col>
                    <xdr:colOff>28575</xdr:colOff>
                    <xdr:row>33</xdr:row>
                    <xdr:rowOff>85725</xdr:rowOff>
                  </to>
                </anchor>
              </controlPr>
            </control>
          </mc:Choice>
        </mc:AlternateContent>
        <mc:AlternateContent xmlns:mc="http://schemas.openxmlformats.org/markup-compatibility/2006">
          <mc:Choice Requires="x14">
            <control shapeId="4114" r:id="rId19" name="Option Button 18">
              <controlPr defaultSize="0" autoFill="0" autoLine="0" autoPict="0">
                <anchor moveWithCells="1">
                  <from>
                    <xdr:col>3</xdr:col>
                    <xdr:colOff>0</xdr:colOff>
                    <xdr:row>38</xdr:row>
                    <xdr:rowOff>9525</xdr:rowOff>
                  </from>
                  <to>
                    <xdr:col>4</xdr:col>
                    <xdr:colOff>28575</xdr:colOff>
                    <xdr:row>39</xdr:row>
                    <xdr:rowOff>0</xdr:rowOff>
                  </to>
                </anchor>
              </controlPr>
            </control>
          </mc:Choice>
        </mc:AlternateContent>
        <mc:AlternateContent xmlns:mc="http://schemas.openxmlformats.org/markup-compatibility/2006">
          <mc:Choice Requires="x14">
            <control shapeId="4115" r:id="rId20" name="Option Button 19">
              <controlPr defaultSize="0" autoFill="0" autoLine="0" autoPict="0">
                <anchor moveWithCells="1">
                  <from>
                    <xdr:col>3</xdr:col>
                    <xdr:colOff>0</xdr:colOff>
                    <xdr:row>39</xdr:row>
                    <xdr:rowOff>9525</xdr:rowOff>
                  </from>
                  <to>
                    <xdr:col>4</xdr:col>
                    <xdr:colOff>28575</xdr:colOff>
                    <xdr:row>40</xdr:row>
                    <xdr:rowOff>0</xdr:rowOff>
                  </to>
                </anchor>
              </controlPr>
            </control>
          </mc:Choice>
        </mc:AlternateContent>
        <mc:AlternateContent xmlns:mc="http://schemas.openxmlformats.org/markup-compatibility/2006">
          <mc:Choice Requires="x14">
            <control shapeId="4117" r:id="rId21" name="Group Box 21">
              <controlPr defaultSize="0" autoFill="0" autoPict="0">
                <anchor moveWithCells="1">
                  <from>
                    <xdr:col>3</xdr:col>
                    <xdr:colOff>0</xdr:colOff>
                    <xdr:row>38</xdr:row>
                    <xdr:rowOff>0</xdr:rowOff>
                  </from>
                  <to>
                    <xdr:col>42</xdr:col>
                    <xdr:colOff>0</xdr:colOff>
                    <xdr:row>40</xdr:row>
                    <xdr:rowOff>47625</xdr:rowOff>
                  </to>
                </anchor>
              </controlPr>
            </control>
          </mc:Choice>
        </mc:AlternateContent>
        <mc:AlternateContent xmlns:mc="http://schemas.openxmlformats.org/markup-compatibility/2006">
          <mc:Choice Requires="x14">
            <control shapeId="4118" r:id="rId22" name="Option Button 22">
              <controlPr defaultSize="0" autoFill="0" autoLine="0" autoPict="0">
                <anchor moveWithCells="1">
                  <from>
                    <xdr:col>3</xdr:col>
                    <xdr:colOff>0</xdr:colOff>
                    <xdr:row>42</xdr:row>
                    <xdr:rowOff>9525</xdr:rowOff>
                  </from>
                  <to>
                    <xdr:col>4</xdr:col>
                    <xdr:colOff>28575</xdr:colOff>
                    <xdr:row>43</xdr:row>
                    <xdr:rowOff>0</xdr:rowOff>
                  </to>
                </anchor>
              </controlPr>
            </control>
          </mc:Choice>
        </mc:AlternateContent>
        <mc:AlternateContent xmlns:mc="http://schemas.openxmlformats.org/markup-compatibility/2006">
          <mc:Choice Requires="x14">
            <control shapeId="4119" r:id="rId23" name="Option Button 23">
              <controlPr defaultSize="0" autoFill="0" autoLine="0" autoPict="0">
                <anchor moveWithCells="1">
                  <from>
                    <xdr:col>3</xdr:col>
                    <xdr:colOff>0</xdr:colOff>
                    <xdr:row>43</xdr:row>
                    <xdr:rowOff>9525</xdr:rowOff>
                  </from>
                  <to>
                    <xdr:col>4</xdr:col>
                    <xdr:colOff>28575</xdr:colOff>
                    <xdr:row>44</xdr:row>
                    <xdr:rowOff>0</xdr:rowOff>
                  </to>
                </anchor>
              </controlPr>
            </control>
          </mc:Choice>
        </mc:AlternateContent>
        <mc:AlternateContent xmlns:mc="http://schemas.openxmlformats.org/markup-compatibility/2006">
          <mc:Choice Requires="x14">
            <control shapeId="4120" r:id="rId24" name="Option Button 24">
              <controlPr defaultSize="0" autoFill="0" autoLine="0" autoPict="0">
                <anchor moveWithCells="1">
                  <from>
                    <xdr:col>3</xdr:col>
                    <xdr:colOff>0</xdr:colOff>
                    <xdr:row>44</xdr:row>
                    <xdr:rowOff>9525</xdr:rowOff>
                  </from>
                  <to>
                    <xdr:col>4</xdr:col>
                    <xdr:colOff>28575</xdr:colOff>
                    <xdr:row>45</xdr:row>
                    <xdr:rowOff>0</xdr:rowOff>
                  </to>
                </anchor>
              </controlPr>
            </control>
          </mc:Choice>
        </mc:AlternateContent>
        <mc:AlternateContent xmlns:mc="http://schemas.openxmlformats.org/markup-compatibility/2006">
          <mc:Choice Requires="x14">
            <control shapeId="4121" r:id="rId25" name="Option Button 25">
              <controlPr defaultSize="0" autoFill="0" autoLine="0" autoPict="0">
                <anchor moveWithCells="1">
                  <from>
                    <xdr:col>3</xdr:col>
                    <xdr:colOff>0</xdr:colOff>
                    <xdr:row>45</xdr:row>
                    <xdr:rowOff>9525</xdr:rowOff>
                  </from>
                  <to>
                    <xdr:col>4</xdr:col>
                    <xdr:colOff>28575</xdr:colOff>
                    <xdr:row>46</xdr:row>
                    <xdr:rowOff>0</xdr:rowOff>
                  </to>
                </anchor>
              </controlPr>
            </control>
          </mc:Choice>
        </mc:AlternateContent>
        <mc:AlternateContent xmlns:mc="http://schemas.openxmlformats.org/markup-compatibility/2006">
          <mc:Choice Requires="x14">
            <control shapeId="4122" r:id="rId26" name="Group Box 26">
              <controlPr defaultSize="0" autoFill="0" autoPict="0">
                <anchor moveWithCells="1">
                  <from>
                    <xdr:col>3</xdr:col>
                    <xdr:colOff>0</xdr:colOff>
                    <xdr:row>42</xdr:row>
                    <xdr:rowOff>0</xdr:rowOff>
                  </from>
                  <to>
                    <xdr:col>42</xdr:col>
                    <xdr:colOff>0</xdr:colOff>
                    <xdr:row>46</xdr:row>
                    <xdr:rowOff>47625</xdr:rowOff>
                  </to>
                </anchor>
              </controlPr>
            </control>
          </mc:Choice>
        </mc:AlternateContent>
        <mc:AlternateContent xmlns:mc="http://schemas.openxmlformats.org/markup-compatibility/2006">
          <mc:Choice Requires="x14">
            <control shapeId="4123" r:id="rId27" name="Option Button 27">
              <controlPr defaultSize="0" autoFill="0" autoLine="0" autoPict="0">
                <anchor moveWithCells="1">
                  <from>
                    <xdr:col>3</xdr:col>
                    <xdr:colOff>0</xdr:colOff>
                    <xdr:row>48</xdr:row>
                    <xdr:rowOff>9525</xdr:rowOff>
                  </from>
                  <to>
                    <xdr:col>4</xdr:col>
                    <xdr:colOff>28575</xdr:colOff>
                    <xdr:row>49</xdr:row>
                    <xdr:rowOff>0</xdr:rowOff>
                  </to>
                </anchor>
              </controlPr>
            </control>
          </mc:Choice>
        </mc:AlternateContent>
        <mc:AlternateContent xmlns:mc="http://schemas.openxmlformats.org/markup-compatibility/2006">
          <mc:Choice Requires="x14">
            <control shapeId="4124" r:id="rId28" name="Option Button 28">
              <controlPr defaultSize="0" autoFill="0" autoLine="0" autoPict="0">
                <anchor moveWithCells="1">
                  <from>
                    <xdr:col>3</xdr:col>
                    <xdr:colOff>0</xdr:colOff>
                    <xdr:row>49</xdr:row>
                    <xdr:rowOff>9525</xdr:rowOff>
                  </from>
                  <to>
                    <xdr:col>4</xdr:col>
                    <xdr:colOff>28575</xdr:colOff>
                    <xdr:row>50</xdr:row>
                    <xdr:rowOff>0</xdr:rowOff>
                  </to>
                </anchor>
              </controlPr>
            </control>
          </mc:Choice>
        </mc:AlternateContent>
        <mc:AlternateContent xmlns:mc="http://schemas.openxmlformats.org/markup-compatibility/2006">
          <mc:Choice Requires="x14">
            <control shapeId="4125" r:id="rId29" name="Option Button 29">
              <controlPr defaultSize="0" autoFill="0" autoLine="0" autoPict="0">
                <anchor moveWithCells="1">
                  <from>
                    <xdr:col>3</xdr:col>
                    <xdr:colOff>0</xdr:colOff>
                    <xdr:row>50</xdr:row>
                    <xdr:rowOff>9525</xdr:rowOff>
                  </from>
                  <to>
                    <xdr:col>4</xdr:col>
                    <xdr:colOff>28575</xdr:colOff>
                    <xdr:row>51</xdr:row>
                    <xdr:rowOff>0</xdr:rowOff>
                  </to>
                </anchor>
              </controlPr>
            </control>
          </mc:Choice>
        </mc:AlternateContent>
        <mc:AlternateContent xmlns:mc="http://schemas.openxmlformats.org/markup-compatibility/2006">
          <mc:Choice Requires="x14">
            <control shapeId="4126" r:id="rId30" name="Option Button 30">
              <controlPr defaultSize="0" autoFill="0" autoLine="0" autoPict="0">
                <anchor moveWithCells="1">
                  <from>
                    <xdr:col>3</xdr:col>
                    <xdr:colOff>0</xdr:colOff>
                    <xdr:row>51</xdr:row>
                    <xdr:rowOff>9525</xdr:rowOff>
                  </from>
                  <to>
                    <xdr:col>4</xdr:col>
                    <xdr:colOff>28575</xdr:colOff>
                    <xdr:row>52</xdr:row>
                    <xdr:rowOff>0</xdr:rowOff>
                  </to>
                </anchor>
              </controlPr>
            </control>
          </mc:Choice>
        </mc:AlternateContent>
        <mc:AlternateContent xmlns:mc="http://schemas.openxmlformats.org/markup-compatibility/2006">
          <mc:Choice Requires="x14">
            <control shapeId="4127" r:id="rId31" name="Group Box 31">
              <controlPr defaultSize="0" autoFill="0" autoPict="0">
                <anchor moveWithCells="1">
                  <from>
                    <xdr:col>3</xdr:col>
                    <xdr:colOff>0</xdr:colOff>
                    <xdr:row>48</xdr:row>
                    <xdr:rowOff>0</xdr:rowOff>
                  </from>
                  <to>
                    <xdr:col>42</xdr:col>
                    <xdr:colOff>0</xdr:colOff>
                    <xdr:row>52</xdr:row>
                    <xdr:rowOff>47625</xdr:rowOff>
                  </to>
                </anchor>
              </controlPr>
            </control>
          </mc:Choice>
        </mc:AlternateContent>
        <mc:AlternateContent xmlns:mc="http://schemas.openxmlformats.org/markup-compatibility/2006">
          <mc:Choice Requires="x14">
            <control shapeId="4128" r:id="rId32" name="Option Button 32">
              <controlPr defaultSize="0" autoFill="0" autoLine="0" autoPict="0">
                <anchor moveWithCells="1">
                  <from>
                    <xdr:col>3</xdr:col>
                    <xdr:colOff>0</xdr:colOff>
                    <xdr:row>85</xdr:row>
                    <xdr:rowOff>9525</xdr:rowOff>
                  </from>
                  <to>
                    <xdr:col>4</xdr:col>
                    <xdr:colOff>28575</xdr:colOff>
                    <xdr:row>86</xdr:row>
                    <xdr:rowOff>0</xdr:rowOff>
                  </to>
                </anchor>
              </controlPr>
            </control>
          </mc:Choice>
        </mc:AlternateContent>
        <mc:AlternateContent xmlns:mc="http://schemas.openxmlformats.org/markup-compatibility/2006">
          <mc:Choice Requires="x14">
            <control shapeId="4129" r:id="rId33" name="Option Button 33">
              <controlPr defaultSize="0" autoFill="0" autoLine="0" autoPict="0">
                <anchor moveWithCells="1">
                  <from>
                    <xdr:col>3</xdr:col>
                    <xdr:colOff>0</xdr:colOff>
                    <xdr:row>86</xdr:row>
                    <xdr:rowOff>9525</xdr:rowOff>
                  </from>
                  <to>
                    <xdr:col>4</xdr:col>
                    <xdr:colOff>28575</xdr:colOff>
                    <xdr:row>87</xdr:row>
                    <xdr:rowOff>0</xdr:rowOff>
                  </to>
                </anchor>
              </controlPr>
            </control>
          </mc:Choice>
        </mc:AlternateContent>
        <mc:AlternateContent xmlns:mc="http://schemas.openxmlformats.org/markup-compatibility/2006">
          <mc:Choice Requires="x14">
            <control shapeId="4130" r:id="rId34" name="Option Button 34">
              <controlPr defaultSize="0" autoFill="0" autoLine="0" autoPict="0">
                <anchor moveWithCells="1">
                  <from>
                    <xdr:col>3</xdr:col>
                    <xdr:colOff>0</xdr:colOff>
                    <xdr:row>88</xdr:row>
                    <xdr:rowOff>9525</xdr:rowOff>
                  </from>
                  <to>
                    <xdr:col>4</xdr:col>
                    <xdr:colOff>28575</xdr:colOff>
                    <xdr:row>89</xdr:row>
                    <xdr:rowOff>0</xdr:rowOff>
                  </to>
                </anchor>
              </controlPr>
            </control>
          </mc:Choice>
        </mc:AlternateContent>
        <mc:AlternateContent xmlns:mc="http://schemas.openxmlformats.org/markup-compatibility/2006">
          <mc:Choice Requires="x14">
            <control shapeId="4131" r:id="rId35" name="Option Button 35">
              <controlPr defaultSize="0" autoFill="0" autoLine="0" autoPict="0">
                <anchor moveWithCells="1">
                  <from>
                    <xdr:col>3</xdr:col>
                    <xdr:colOff>0</xdr:colOff>
                    <xdr:row>90</xdr:row>
                    <xdr:rowOff>9525</xdr:rowOff>
                  </from>
                  <to>
                    <xdr:col>4</xdr:col>
                    <xdr:colOff>28575</xdr:colOff>
                    <xdr:row>91</xdr:row>
                    <xdr:rowOff>0</xdr:rowOff>
                  </to>
                </anchor>
              </controlPr>
            </control>
          </mc:Choice>
        </mc:AlternateContent>
        <mc:AlternateContent xmlns:mc="http://schemas.openxmlformats.org/markup-compatibility/2006">
          <mc:Choice Requires="x14">
            <control shapeId="4132" r:id="rId36" name="Group Box 36">
              <controlPr defaultSize="0" autoFill="0" autoPict="0">
                <anchor moveWithCells="1">
                  <from>
                    <xdr:col>3</xdr:col>
                    <xdr:colOff>0</xdr:colOff>
                    <xdr:row>85</xdr:row>
                    <xdr:rowOff>0</xdr:rowOff>
                  </from>
                  <to>
                    <xdr:col>42</xdr:col>
                    <xdr:colOff>0</xdr:colOff>
                    <xdr:row>92</xdr:row>
                    <xdr:rowOff>38100</xdr:rowOff>
                  </to>
                </anchor>
              </controlPr>
            </control>
          </mc:Choice>
        </mc:AlternateContent>
        <mc:AlternateContent xmlns:mc="http://schemas.openxmlformats.org/markup-compatibility/2006">
          <mc:Choice Requires="x14">
            <control shapeId="4133" r:id="rId37" name="Option Button 37">
              <controlPr defaultSize="0" autoFill="0" autoLine="0" autoPict="0">
                <anchor moveWithCells="1">
                  <from>
                    <xdr:col>3</xdr:col>
                    <xdr:colOff>0</xdr:colOff>
                    <xdr:row>94</xdr:row>
                    <xdr:rowOff>9525</xdr:rowOff>
                  </from>
                  <to>
                    <xdr:col>4</xdr:col>
                    <xdr:colOff>28575</xdr:colOff>
                    <xdr:row>95</xdr:row>
                    <xdr:rowOff>0</xdr:rowOff>
                  </to>
                </anchor>
              </controlPr>
            </control>
          </mc:Choice>
        </mc:AlternateContent>
        <mc:AlternateContent xmlns:mc="http://schemas.openxmlformats.org/markup-compatibility/2006">
          <mc:Choice Requires="x14">
            <control shapeId="4134" r:id="rId38" name="Option Button 38">
              <controlPr defaultSize="0" autoFill="0" autoLine="0" autoPict="0">
                <anchor moveWithCells="1">
                  <from>
                    <xdr:col>3</xdr:col>
                    <xdr:colOff>0</xdr:colOff>
                    <xdr:row>96</xdr:row>
                    <xdr:rowOff>9525</xdr:rowOff>
                  </from>
                  <to>
                    <xdr:col>4</xdr:col>
                    <xdr:colOff>28575</xdr:colOff>
                    <xdr:row>97</xdr:row>
                    <xdr:rowOff>0</xdr:rowOff>
                  </to>
                </anchor>
              </controlPr>
            </control>
          </mc:Choice>
        </mc:AlternateContent>
        <mc:AlternateContent xmlns:mc="http://schemas.openxmlformats.org/markup-compatibility/2006">
          <mc:Choice Requires="x14">
            <control shapeId="4135" r:id="rId39" name="Option Button 39">
              <controlPr defaultSize="0" autoFill="0" autoLine="0" autoPict="0">
                <anchor moveWithCells="1">
                  <from>
                    <xdr:col>3</xdr:col>
                    <xdr:colOff>0</xdr:colOff>
                    <xdr:row>97</xdr:row>
                    <xdr:rowOff>9525</xdr:rowOff>
                  </from>
                  <to>
                    <xdr:col>4</xdr:col>
                    <xdr:colOff>28575</xdr:colOff>
                    <xdr:row>98</xdr:row>
                    <xdr:rowOff>0</xdr:rowOff>
                  </to>
                </anchor>
              </controlPr>
            </control>
          </mc:Choice>
        </mc:AlternateContent>
        <mc:AlternateContent xmlns:mc="http://schemas.openxmlformats.org/markup-compatibility/2006">
          <mc:Choice Requires="x14">
            <control shapeId="4136" r:id="rId40" name="Option Button 40">
              <controlPr defaultSize="0" autoFill="0" autoLine="0" autoPict="0">
                <anchor moveWithCells="1">
                  <from>
                    <xdr:col>3</xdr:col>
                    <xdr:colOff>0</xdr:colOff>
                    <xdr:row>98</xdr:row>
                    <xdr:rowOff>9525</xdr:rowOff>
                  </from>
                  <to>
                    <xdr:col>4</xdr:col>
                    <xdr:colOff>28575</xdr:colOff>
                    <xdr:row>99</xdr:row>
                    <xdr:rowOff>0</xdr:rowOff>
                  </to>
                </anchor>
              </controlPr>
            </control>
          </mc:Choice>
        </mc:AlternateContent>
        <mc:AlternateContent xmlns:mc="http://schemas.openxmlformats.org/markup-compatibility/2006">
          <mc:Choice Requires="x14">
            <control shapeId="4137" r:id="rId41" name="Group Box 41">
              <controlPr defaultSize="0" autoFill="0" autoPict="0">
                <anchor moveWithCells="1">
                  <from>
                    <xdr:col>3</xdr:col>
                    <xdr:colOff>0</xdr:colOff>
                    <xdr:row>94</xdr:row>
                    <xdr:rowOff>0</xdr:rowOff>
                  </from>
                  <to>
                    <xdr:col>42</xdr:col>
                    <xdr:colOff>0</xdr:colOff>
                    <xdr:row>99</xdr:row>
                    <xdr:rowOff>28575</xdr:rowOff>
                  </to>
                </anchor>
              </controlPr>
            </control>
          </mc:Choice>
        </mc:AlternateContent>
        <mc:AlternateContent xmlns:mc="http://schemas.openxmlformats.org/markup-compatibility/2006">
          <mc:Choice Requires="x14">
            <control shapeId="4142" r:id="rId42" name="Group Box 46">
              <controlPr defaultSize="0" autoFill="0" autoPict="0">
                <anchor moveWithCells="1">
                  <from>
                    <xdr:col>3</xdr:col>
                    <xdr:colOff>0</xdr:colOff>
                    <xdr:row>101</xdr:row>
                    <xdr:rowOff>0</xdr:rowOff>
                  </from>
                  <to>
                    <xdr:col>42</xdr:col>
                    <xdr:colOff>0</xdr:colOff>
                    <xdr:row>106</xdr:row>
                    <xdr:rowOff>47625</xdr:rowOff>
                  </to>
                </anchor>
              </controlPr>
            </control>
          </mc:Choice>
        </mc:AlternateContent>
        <mc:AlternateContent xmlns:mc="http://schemas.openxmlformats.org/markup-compatibility/2006">
          <mc:Choice Requires="x14">
            <control shapeId="4148" r:id="rId43" name="Group Box 52">
              <controlPr defaultSize="0" autoFill="0" autoPict="0">
                <anchor moveWithCells="1">
                  <from>
                    <xdr:col>3</xdr:col>
                    <xdr:colOff>0</xdr:colOff>
                    <xdr:row>108</xdr:row>
                    <xdr:rowOff>0</xdr:rowOff>
                  </from>
                  <to>
                    <xdr:col>42</xdr:col>
                    <xdr:colOff>0</xdr:colOff>
                    <xdr:row>113</xdr:row>
                    <xdr:rowOff>47625</xdr:rowOff>
                  </to>
                </anchor>
              </controlPr>
            </control>
          </mc:Choice>
        </mc:AlternateContent>
        <mc:AlternateContent xmlns:mc="http://schemas.openxmlformats.org/markup-compatibility/2006">
          <mc:Choice Requires="x14">
            <control shapeId="4154" r:id="rId44" name="Check Box 58">
              <controlPr defaultSize="0" autoFill="0" autoLine="0" autoPict="0">
                <anchor moveWithCells="1">
                  <from>
                    <xdr:col>3</xdr:col>
                    <xdr:colOff>0</xdr:colOff>
                    <xdr:row>102</xdr:row>
                    <xdr:rowOff>9525</xdr:rowOff>
                  </from>
                  <to>
                    <xdr:col>3</xdr:col>
                    <xdr:colOff>171450</xdr:colOff>
                    <xdr:row>103</xdr:row>
                    <xdr:rowOff>9525</xdr:rowOff>
                  </to>
                </anchor>
              </controlPr>
            </control>
          </mc:Choice>
        </mc:AlternateContent>
        <mc:AlternateContent xmlns:mc="http://schemas.openxmlformats.org/markup-compatibility/2006">
          <mc:Choice Requires="x14">
            <control shapeId="4155" r:id="rId45" name="Check Box 59">
              <controlPr defaultSize="0" autoFill="0" autoLine="0" autoPict="0">
                <anchor moveWithCells="1">
                  <from>
                    <xdr:col>3</xdr:col>
                    <xdr:colOff>0</xdr:colOff>
                    <xdr:row>103</xdr:row>
                    <xdr:rowOff>9525</xdr:rowOff>
                  </from>
                  <to>
                    <xdr:col>3</xdr:col>
                    <xdr:colOff>171450</xdr:colOff>
                    <xdr:row>104</xdr:row>
                    <xdr:rowOff>9525</xdr:rowOff>
                  </to>
                </anchor>
              </controlPr>
            </control>
          </mc:Choice>
        </mc:AlternateContent>
        <mc:AlternateContent xmlns:mc="http://schemas.openxmlformats.org/markup-compatibility/2006">
          <mc:Choice Requires="x14">
            <control shapeId="4156" r:id="rId46" name="Check Box 60">
              <controlPr defaultSize="0" autoFill="0" autoLine="0" autoPict="0">
                <anchor moveWithCells="1">
                  <from>
                    <xdr:col>3</xdr:col>
                    <xdr:colOff>0</xdr:colOff>
                    <xdr:row>104</xdr:row>
                    <xdr:rowOff>9525</xdr:rowOff>
                  </from>
                  <to>
                    <xdr:col>3</xdr:col>
                    <xdr:colOff>171450</xdr:colOff>
                    <xdr:row>105</xdr:row>
                    <xdr:rowOff>9525</xdr:rowOff>
                  </to>
                </anchor>
              </controlPr>
            </control>
          </mc:Choice>
        </mc:AlternateContent>
        <mc:AlternateContent xmlns:mc="http://schemas.openxmlformats.org/markup-compatibility/2006">
          <mc:Choice Requires="x14">
            <control shapeId="4157" r:id="rId47" name="Check Box 61">
              <controlPr defaultSize="0" autoFill="0" autoLine="0" autoPict="0">
                <anchor moveWithCells="1">
                  <from>
                    <xdr:col>3</xdr:col>
                    <xdr:colOff>0</xdr:colOff>
                    <xdr:row>105</xdr:row>
                    <xdr:rowOff>9525</xdr:rowOff>
                  </from>
                  <to>
                    <xdr:col>3</xdr:col>
                    <xdr:colOff>171450</xdr:colOff>
                    <xdr:row>106</xdr:row>
                    <xdr:rowOff>9525</xdr:rowOff>
                  </to>
                </anchor>
              </controlPr>
            </control>
          </mc:Choice>
        </mc:AlternateContent>
        <mc:AlternateContent xmlns:mc="http://schemas.openxmlformats.org/markup-compatibility/2006">
          <mc:Choice Requires="x14">
            <control shapeId="4158" r:id="rId48" name="Check Box 62">
              <controlPr defaultSize="0" autoFill="0" autoLine="0" autoPict="0">
                <anchor moveWithCells="1">
                  <from>
                    <xdr:col>3</xdr:col>
                    <xdr:colOff>0</xdr:colOff>
                    <xdr:row>101</xdr:row>
                    <xdr:rowOff>9525</xdr:rowOff>
                  </from>
                  <to>
                    <xdr:col>3</xdr:col>
                    <xdr:colOff>171450</xdr:colOff>
                    <xdr:row>102</xdr:row>
                    <xdr:rowOff>9525</xdr:rowOff>
                  </to>
                </anchor>
              </controlPr>
            </control>
          </mc:Choice>
        </mc:AlternateContent>
        <mc:AlternateContent xmlns:mc="http://schemas.openxmlformats.org/markup-compatibility/2006">
          <mc:Choice Requires="x14">
            <control shapeId="4159" r:id="rId49" name="Check Box 63">
              <controlPr defaultSize="0" autoFill="0" autoLine="0" autoPict="0">
                <anchor moveWithCells="1">
                  <from>
                    <xdr:col>3</xdr:col>
                    <xdr:colOff>0</xdr:colOff>
                    <xdr:row>108</xdr:row>
                    <xdr:rowOff>9525</xdr:rowOff>
                  </from>
                  <to>
                    <xdr:col>3</xdr:col>
                    <xdr:colOff>171450</xdr:colOff>
                    <xdr:row>109</xdr:row>
                    <xdr:rowOff>9525</xdr:rowOff>
                  </to>
                </anchor>
              </controlPr>
            </control>
          </mc:Choice>
        </mc:AlternateContent>
        <mc:AlternateContent xmlns:mc="http://schemas.openxmlformats.org/markup-compatibility/2006">
          <mc:Choice Requires="x14">
            <control shapeId="4160" r:id="rId50" name="Check Box 64">
              <controlPr defaultSize="0" autoFill="0" autoLine="0" autoPict="0">
                <anchor moveWithCells="1">
                  <from>
                    <xdr:col>3</xdr:col>
                    <xdr:colOff>0</xdr:colOff>
                    <xdr:row>109</xdr:row>
                    <xdr:rowOff>9525</xdr:rowOff>
                  </from>
                  <to>
                    <xdr:col>3</xdr:col>
                    <xdr:colOff>171450</xdr:colOff>
                    <xdr:row>110</xdr:row>
                    <xdr:rowOff>9525</xdr:rowOff>
                  </to>
                </anchor>
              </controlPr>
            </control>
          </mc:Choice>
        </mc:AlternateContent>
        <mc:AlternateContent xmlns:mc="http://schemas.openxmlformats.org/markup-compatibility/2006">
          <mc:Choice Requires="x14">
            <control shapeId="4161" r:id="rId51" name="Check Box 65">
              <controlPr defaultSize="0" autoFill="0" autoLine="0" autoPict="0">
                <anchor moveWithCells="1">
                  <from>
                    <xdr:col>3</xdr:col>
                    <xdr:colOff>0</xdr:colOff>
                    <xdr:row>110</xdr:row>
                    <xdr:rowOff>9525</xdr:rowOff>
                  </from>
                  <to>
                    <xdr:col>3</xdr:col>
                    <xdr:colOff>171450</xdr:colOff>
                    <xdr:row>111</xdr:row>
                    <xdr:rowOff>9525</xdr:rowOff>
                  </to>
                </anchor>
              </controlPr>
            </control>
          </mc:Choice>
        </mc:AlternateContent>
        <mc:AlternateContent xmlns:mc="http://schemas.openxmlformats.org/markup-compatibility/2006">
          <mc:Choice Requires="x14">
            <control shapeId="4162" r:id="rId52" name="Check Box 66">
              <controlPr defaultSize="0" autoFill="0" autoLine="0" autoPict="0">
                <anchor moveWithCells="1">
                  <from>
                    <xdr:col>3</xdr:col>
                    <xdr:colOff>0</xdr:colOff>
                    <xdr:row>111</xdr:row>
                    <xdr:rowOff>9525</xdr:rowOff>
                  </from>
                  <to>
                    <xdr:col>3</xdr:col>
                    <xdr:colOff>171450</xdr:colOff>
                    <xdr:row>112</xdr:row>
                    <xdr:rowOff>9525</xdr:rowOff>
                  </to>
                </anchor>
              </controlPr>
            </control>
          </mc:Choice>
        </mc:AlternateContent>
        <mc:AlternateContent xmlns:mc="http://schemas.openxmlformats.org/markup-compatibility/2006">
          <mc:Choice Requires="x14">
            <control shapeId="4163" r:id="rId53" name="Check Box 67">
              <controlPr defaultSize="0" autoFill="0" autoLine="0" autoPict="0">
                <anchor moveWithCells="1">
                  <from>
                    <xdr:col>3</xdr:col>
                    <xdr:colOff>0</xdr:colOff>
                    <xdr:row>112</xdr:row>
                    <xdr:rowOff>9525</xdr:rowOff>
                  </from>
                  <to>
                    <xdr:col>3</xdr:col>
                    <xdr:colOff>171450</xdr:colOff>
                    <xdr:row>113</xdr:row>
                    <xdr:rowOff>9525</xdr:rowOff>
                  </to>
                </anchor>
              </controlPr>
            </control>
          </mc:Choice>
        </mc:AlternateContent>
        <mc:AlternateContent xmlns:mc="http://schemas.openxmlformats.org/markup-compatibility/2006">
          <mc:Choice Requires="x14">
            <control shapeId="4165" r:id="rId54" name="Check Box 69">
              <controlPr defaultSize="0" autoFill="0" autoLine="0" autoPict="0">
                <anchor moveWithCells="1">
                  <from>
                    <xdr:col>5</xdr:col>
                    <xdr:colOff>0</xdr:colOff>
                    <xdr:row>55</xdr:row>
                    <xdr:rowOff>9525</xdr:rowOff>
                  </from>
                  <to>
                    <xdr:col>5</xdr:col>
                    <xdr:colOff>171450</xdr:colOff>
                    <xdr:row>56</xdr:row>
                    <xdr:rowOff>9525</xdr:rowOff>
                  </to>
                </anchor>
              </controlPr>
            </control>
          </mc:Choice>
        </mc:AlternateContent>
        <mc:AlternateContent xmlns:mc="http://schemas.openxmlformats.org/markup-compatibility/2006">
          <mc:Choice Requires="x14">
            <control shapeId="4166" r:id="rId55" name="Check Box 70">
              <controlPr defaultSize="0" autoFill="0" autoLine="0" autoPict="0">
                <anchor moveWithCells="1">
                  <from>
                    <xdr:col>5</xdr:col>
                    <xdr:colOff>0</xdr:colOff>
                    <xdr:row>56</xdr:row>
                    <xdr:rowOff>9525</xdr:rowOff>
                  </from>
                  <to>
                    <xdr:col>5</xdr:col>
                    <xdr:colOff>171450</xdr:colOff>
                    <xdr:row>57</xdr:row>
                    <xdr:rowOff>9525</xdr:rowOff>
                  </to>
                </anchor>
              </controlPr>
            </control>
          </mc:Choice>
        </mc:AlternateContent>
        <mc:AlternateContent xmlns:mc="http://schemas.openxmlformats.org/markup-compatibility/2006">
          <mc:Choice Requires="x14">
            <control shapeId="4167" r:id="rId56" name="Check Box 71">
              <controlPr defaultSize="0" autoFill="0" autoLine="0" autoPict="0">
                <anchor moveWithCells="1">
                  <from>
                    <xdr:col>5</xdr:col>
                    <xdr:colOff>0</xdr:colOff>
                    <xdr:row>57</xdr:row>
                    <xdr:rowOff>9525</xdr:rowOff>
                  </from>
                  <to>
                    <xdr:col>5</xdr:col>
                    <xdr:colOff>171450</xdr:colOff>
                    <xdr:row>58</xdr:row>
                    <xdr:rowOff>9525</xdr:rowOff>
                  </to>
                </anchor>
              </controlPr>
            </control>
          </mc:Choice>
        </mc:AlternateContent>
        <mc:AlternateContent xmlns:mc="http://schemas.openxmlformats.org/markup-compatibility/2006">
          <mc:Choice Requires="x14">
            <control shapeId="4168" r:id="rId57" name="Check Box 72">
              <controlPr defaultSize="0" autoFill="0" autoLine="0" autoPict="0">
                <anchor moveWithCells="1">
                  <from>
                    <xdr:col>14</xdr:col>
                    <xdr:colOff>0</xdr:colOff>
                    <xdr:row>55</xdr:row>
                    <xdr:rowOff>9525</xdr:rowOff>
                  </from>
                  <to>
                    <xdr:col>14</xdr:col>
                    <xdr:colOff>171450</xdr:colOff>
                    <xdr:row>56</xdr:row>
                    <xdr:rowOff>9525</xdr:rowOff>
                  </to>
                </anchor>
              </controlPr>
            </control>
          </mc:Choice>
        </mc:AlternateContent>
        <mc:AlternateContent xmlns:mc="http://schemas.openxmlformats.org/markup-compatibility/2006">
          <mc:Choice Requires="x14">
            <control shapeId="4169" r:id="rId58" name="Check Box 73">
              <controlPr defaultSize="0" autoFill="0" autoLine="0" autoPict="0">
                <anchor moveWithCells="1">
                  <from>
                    <xdr:col>14</xdr:col>
                    <xdr:colOff>0</xdr:colOff>
                    <xdr:row>56</xdr:row>
                    <xdr:rowOff>9525</xdr:rowOff>
                  </from>
                  <to>
                    <xdr:col>14</xdr:col>
                    <xdr:colOff>171450</xdr:colOff>
                    <xdr:row>57</xdr:row>
                    <xdr:rowOff>9525</xdr:rowOff>
                  </to>
                </anchor>
              </controlPr>
            </control>
          </mc:Choice>
        </mc:AlternateContent>
        <mc:AlternateContent xmlns:mc="http://schemas.openxmlformats.org/markup-compatibility/2006">
          <mc:Choice Requires="x14">
            <control shapeId="4170" r:id="rId59" name="Check Box 74">
              <controlPr defaultSize="0" autoFill="0" autoLine="0" autoPict="0">
                <anchor moveWithCells="1">
                  <from>
                    <xdr:col>14</xdr:col>
                    <xdr:colOff>0</xdr:colOff>
                    <xdr:row>57</xdr:row>
                    <xdr:rowOff>9525</xdr:rowOff>
                  </from>
                  <to>
                    <xdr:col>14</xdr:col>
                    <xdr:colOff>171450</xdr:colOff>
                    <xdr:row>58</xdr:row>
                    <xdr:rowOff>9525</xdr:rowOff>
                  </to>
                </anchor>
              </controlPr>
            </control>
          </mc:Choice>
        </mc:AlternateContent>
        <mc:AlternateContent xmlns:mc="http://schemas.openxmlformats.org/markup-compatibility/2006">
          <mc:Choice Requires="x14">
            <control shapeId="4171" r:id="rId60" name="Check Box 75">
              <controlPr defaultSize="0" autoFill="0" autoLine="0" autoPict="0">
                <anchor moveWithCells="1">
                  <from>
                    <xdr:col>23</xdr:col>
                    <xdr:colOff>0</xdr:colOff>
                    <xdr:row>55</xdr:row>
                    <xdr:rowOff>9525</xdr:rowOff>
                  </from>
                  <to>
                    <xdr:col>23</xdr:col>
                    <xdr:colOff>171450</xdr:colOff>
                    <xdr:row>56</xdr:row>
                    <xdr:rowOff>9525</xdr:rowOff>
                  </to>
                </anchor>
              </controlPr>
            </control>
          </mc:Choice>
        </mc:AlternateContent>
        <mc:AlternateContent xmlns:mc="http://schemas.openxmlformats.org/markup-compatibility/2006">
          <mc:Choice Requires="x14">
            <control shapeId="4172" r:id="rId61" name="Check Box 76">
              <controlPr defaultSize="0" autoFill="0" autoLine="0" autoPict="0">
                <anchor moveWithCells="1">
                  <from>
                    <xdr:col>23</xdr:col>
                    <xdr:colOff>0</xdr:colOff>
                    <xdr:row>56</xdr:row>
                    <xdr:rowOff>9525</xdr:rowOff>
                  </from>
                  <to>
                    <xdr:col>23</xdr:col>
                    <xdr:colOff>171450</xdr:colOff>
                    <xdr:row>57</xdr:row>
                    <xdr:rowOff>9525</xdr:rowOff>
                  </to>
                </anchor>
              </controlPr>
            </control>
          </mc:Choice>
        </mc:AlternateContent>
        <mc:AlternateContent xmlns:mc="http://schemas.openxmlformats.org/markup-compatibility/2006">
          <mc:Choice Requires="x14">
            <control shapeId="4181" r:id="rId62" name="Option Button 85">
              <controlPr defaultSize="0" autoFill="0" autoLine="0" autoPict="0">
                <anchor moveWithCells="1">
                  <from>
                    <xdr:col>5</xdr:col>
                    <xdr:colOff>0</xdr:colOff>
                    <xdr:row>59</xdr:row>
                    <xdr:rowOff>9525</xdr:rowOff>
                  </from>
                  <to>
                    <xdr:col>6</xdr:col>
                    <xdr:colOff>28575</xdr:colOff>
                    <xdr:row>60</xdr:row>
                    <xdr:rowOff>0</xdr:rowOff>
                  </to>
                </anchor>
              </controlPr>
            </control>
          </mc:Choice>
        </mc:AlternateContent>
        <mc:AlternateContent xmlns:mc="http://schemas.openxmlformats.org/markup-compatibility/2006">
          <mc:Choice Requires="x14">
            <control shapeId="4182" r:id="rId63" name="Option Button 86">
              <controlPr defaultSize="0" autoFill="0" autoLine="0" autoPict="0">
                <anchor moveWithCells="1">
                  <from>
                    <xdr:col>5</xdr:col>
                    <xdr:colOff>0</xdr:colOff>
                    <xdr:row>60</xdr:row>
                    <xdr:rowOff>9525</xdr:rowOff>
                  </from>
                  <to>
                    <xdr:col>6</xdr:col>
                    <xdr:colOff>28575</xdr:colOff>
                    <xdr:row>61</xdr:row>
                    <xdr:rowOff>0</xdr:rowOff>
                  </to>
                </anchor>
              </controlPr>
            </control>
          </mc:Choice>
        </mc:AlternateContent>
        <mc:AlternateContent xmlns:mc="http://schemas.openxmlformats.org/markup-compatibility/2006">
          <mc:Choice Requires="x14">
            <control shapeId="4183" r:id="rId64" name="Option Button 87">
              <controlPr defaultSize="0" autoFill="0" autoLine="0" autoPict="0">
                <anchor moveWithCells="1">
                  <from>
                    <xdr:col>5</xdr:col>
                    <xdr:colOff>0</xdr:colOff>
                    <xdr:row>61</xdr:row>
                    <xdr:rowOff>9525</xdr:rowOff>
                  </from>
                  <to>
                    <xdr:col>6</xdr:col>
                    <xdr:colOff>28575</xdr:colOff>
                    <xdr:row>62</xdr:row>
                    <xdr:rowOff>0</xdr:rowOff>
                  </to>
                </anchor>
              </controlPr>
            </control>
          </mc:Choice>
        </mc:AlternateContent>
        <mc:AlternateContent xmlns:mc="http://schemas.openxmlformats.org/markup-compatibility/2006">
          <mc:Choice Requires="x14">
            <control shapeId="4184" r:id="rId65" name="Option Button 88">
              <controlPr defaultSize="0" autoFill="0" autoLine="0" autoPict="0">
                <anchor moveWithCells="1">
                  <from>
                    <xdr:col>5</xdr:col>
                    <xdr:colOff>0</xdr:colOff>
                    <xdr:row>62</xdr:row>
                    <xdr:rowOff>9525</xdr:rowOff>
                  </from>
                  <to>
                    <xdr:col>6</xdr:col>
                    <xdr:colOff>28575</xdr:colOff>
                    <xdr:row>63</xdr:row>
                    <xdr:rowOff>0</xdr:rowOff>
                  </to>
                </anchor>
              </controlPr>
            </control>
          </mc:Choice>
        </mc:AlternateContent>
        <mc:AlternateContent xmlns:mc="http://schemas.openxmlformats.org/markup-compatibility/2006">
          <mc:Choice Requires="x14">
            <control shapeId="4185" r:id="rId66" name="Group Box 89">
              <controlPr defaultSize="0" autoFill="0" autoPict="0">
                <anchor moveWithCells="1">
                  <from>
                    <xdr:col>3</xdr:col>
                    <xdr:colOff>0</xdr:colOff>
                    <xdr:row>54</xdr:row>
                    <xdr:rowOff>0</xdr:rowOff>
                  </from>
                  <to>
                    <xdr:col>42</xdr:col>
                    <xdr:colOff>0</xdr:colOff>
                    <xdr:row>63</xdr:row>
                    <xdr:rowOff>28575</xdr:rowOff>
                  </to>
                </anchor>
              </controlPr>
            </control>
          </mc:Choice>
        </mc:AlternateContent>
        <mc:AlternateContent xmlns:mc="http://schemas.openxmlformats.org/markup-compatibility/2006">
          <mc:Choice Requires="x14">
            <control shapeId="4199" r:id="rId67" name="Check Box 103">
              <controlPr defaultSize="0" autoFill="0" autoLine="0" autoPict="0">
                <anchor moveWithCells="1">
                  <from>
                    <xdr:col>5</xdr:col>
                    <xdr:colOff>0</xdr:colOff>
                    <xdr:row>66</xdr:row>
                    <xdr:rowOff>9525</xdr:rowOff>
                  </from>
                  <to>
                    <xdr:col>5</xdr:col>
                    <xdr:colOff>171450</xdr:colOff>
                    <xdr:row>67</xdr:row>
                    <xdr:rowOff>9525</xdr:rowOff>
                  </to>
                </anchor>
              </controlPr>
            </control>
          </mc:Choice>
        </mc:AlternateContent>
        <mc:AlternateContent xmlns:mc="http://schemas.openxmlformats.org/markup-compatibility/2006">
          <mc:Choice Requires="x14">
            <control shapeId="4200" r:id="rId68" name="Check Box 104">
              <controlPr defaultSize="0" autoFill="0" autoLine="0" autoPict="0">
                <anchor moveWithCells="1">
                  <from>
                    <xdr:col>5</xdr:col>
                    <xdr:colOff>0</xdr:colOff>
                    <xdr:row>67</xdr:row>
                    <xdr:rowOff>9525</xdr:rowOff>
                  </from>
                  <to>
                    <xdr:col>5</xdr:col>
                    <xdr:colOff>171450</xdr:colOff>
                    <xdr:row>68</xdr:row>
                    <xdr:rowOff>9525</xdr:rowOff>
                  </to>
                </anchor>
              </controlPr>
            </control>
          </mc:Choice>
        </mc:AlternateContent>
        <mc:AlternateContent xmlns:mc="http://schemas.openxmlformats.org/markup-compatibility/2006">
          <mc:Choice Requires="x14">
            <control shapeId="4202" r:id="rId69" name="Check Box 106">
              <controlPr defaultSize="0" autoFill="0" autoLine="0" autoPict="0">
                <anchor moveWithCells="1">
                  <from>
                    <xdr:col>14</xdr:col>
                    <xdr:colOff>0</xdr:colOff>
                    <xdr:row>66</xdr:row>
                    <xdr:rowOff>9525</xdr:rowOff>
                  </from>
                  <to>
                    <xdr:col>14</xdr:col>
                    <xdr:colOff>171450</xdr:colOff>
                    <xdr:row>67</xdr:row>
                    <xdr:rowOff>9525</xdr:rowOff>
                  </to>
                </anchor>
              </controlPr>
            </control>
          </mc:Choice>
        </mc:AlternateContent>
        <mc:AlternateContent xmlns:mc="http://schemas.openxmlformats.org/markup-compatibility/2006">
          <mc:Choice Requires="x14">
            <control shapeId="4203" r:id="rId70" name="Check Box 107">
              <controlPr defaultSize="0" autoFill="0" autoLine="0" autoPict="0">
                <anchor moveWithCells="1">
                  <from>
                    <xdr:col>14</xdr:col>
                    <xdr:colOff>0</xdr:colOff>
                    <xdr:row>67</xdr:row>
                    <xdr:rowOff>9525</xdr:rowOff>
                  </from>
                  <to>
                    <xdr:col>14</xdr:col>
                    <xdr:colOff>171450</xdr:colOff>
                    <xdr:row>68</xdr:row>
                    <xdr:rowOff>9525</xdr:rowOff>
                  </to>
                </anchor>
              </controlPr>
            </control>
          </mc:Choice>
        </mc:AlternateContent>
        <mc:AlternateContent xmlns:mc="http://schemas.openxmlformats.org/markup-compatibility/2006">
          <mc:Choice Requires="x14">
            <control shapeId="4207" r:id="rId71" name="Option Button 111">
              <controlPr defaultSize="0" autoFill="0" autoLine="0" autoPict="0">
                <anchor moveWithCells="1">
                  <from>
                    <xdr:col>5</xdr:col>
                    <xdr:colOff>0</xdr:colOff>
                    <xdr:row>69</xdr:row>
                    <xdr:rowOff>9525</xdr:rowOff>
                  </from>
                  <to>
                    <xdr:col>6</xdr:col>
                    <xdr:colOff>28575</xdr:colOff>
                    <xdr:row>70</xdr:row>
                    <xdr:rowOff>0</xdr:rowOff>
                  </to>
                </anchor>
              </controlPr>
            </control>
          </mc:Choice>
        </mc:AlternateContent>
        <mc:AlternateContent xmlns:mc="http://schemas.openxmlformats.org/markup-compatibility/2006">
          <mc:Choice Requires="x14">
            <control shapeId="4208" r:id="rId72" name="Option Button 112">
              <controlPr defaultSize="0" autoFill="0" autoLine="0" autoPict="0">
                <anchor moveWithCells="1">
                  <from>
                    <xdr:col>5</xdr:col>
                    <xdr:colOff>0</xdr:colOff>
                    <xdr:row>70</xdr:row>
                    <xdr:rowOff>9525</xdr:rowOff>
                  </from>
                  <to>
                    <xdr:col>6</xdr:col>
                    <xdr:colOff>28575</xdr:colOff>
                    <xdr:row>71</xdr:row>
                    <xdr:rowOff>0</xdr:rowOff>
                  </to>
                </anchor>
              </controlPr>
            </control>
          </mc:Choice>
        </mc:AlternateContent>
        <mc:AlternateContent xmlns:mc="http://schemas.openxmlformats.org/markup-compatibility/2006">
          <mc:Choice Requires="x14">
            <control shapeId="4209" r:id="rId73" name="Option Button 113">
              <controlPr defaultSize="0" autoFill="0" autoLine="0" autoPict="0">
                <anchor moveWithCells="1">
                  <from>
                    <xdr:col>5</xdr:col>
                    <xdr:colOff>0</xdr:colOff>
                    <xdr:row>71</xdr:row>
                    <xdr:rowOff>9525</xdr:rowOff>
                  </from>
                  <to>
                    <xdr:col>6</xdr:col>
                    <xdr:colOff>28575</xdr:colOff>
                    <xdr:row>72</xdr:row>
                    <xdr:rowOff>0</xdr:rowOff>
                  </to>
                </anchor>
              </controlPr>
            </control>
          </mc:Choice>
        </mc:AlternateContent>
        <mc:AlternateContent xmlns:mc="http://schemas.openxmlformats.org/markup-compatibility/2006">
          <mc:Choice Requires="x14">
            <control shapeId="4210" r:id="rId74" name="Option Button 114">
              <controlPr defaultSize="0" autoFill="0" autoLine="0" autoPict="0">
                <anchor moveWithCells="1">
                  <from>
                    <xdr:col>5</xdr:col>
                    <xdr:colOff>0</xdr:colOff>
                    <xdr:row>72</xdr:row>
                    <xdr:rowOff>9525</xdr:rowOff>
                  </from>
                  <to>
                    <xdr:col>6</xdr:col>
                    <xdr:colOff>28575</xdr:colOff>
                    <xdr:row>73</xdr:row>
                    <xdr:rowOff>0</xdr:rowOff>
                  </to>
                </anchor>
              </controlPr>
            </control>
          </mc:Choice>
        </mc:AlternateContent>
        <mc:AlternateContent xmlns:mc="http://schemas.openxmlformats.org/markup-compatibility/2006">
          <mc:Choice Requires="x14">
            <control shapeId="4211" r:id="rId75" name="Group Box 115">
              <controlPr defaultSize="0" autoFill="0" autoPict="0">
                <anchor moveWithCells="1">
                  <from>
                    <xdr:col>3</xdr:col>
                    <xdr:colOff>0</xdr:colOff>
                    <xdr:row>65</xdr:row>
                    <xdr:rowOff>0</xdr:rowOff>
                  </from>
                  <to>
                    <xdr:col>42</xdr:col>
                    <xdr:colOff>0</xdr:colOff>
                    <xdr:row>73</xdr:row>
                    <xdr:rowOff>28575</xdr:rowOff>
                  </to>
                </anchor>
              </controlPr>
            </control>
          </mc:Choice>
        </mc:AlternateContent>
        <mc:AlternateContent xmlns:mc="http://schemas.openxmlformats.org/markup-compatibility/2006">
          <mc:Choice Requires="x14">
            <control shapeId="4212" r:id="rId76" name="Check Box 116">
              <controlPr defaultSize="0" autoFill="0" autoLine="0" autoPict="0">
                <anchor moveWithCells="1">
                  <from>
                    <xdr:col>5</xdr:col>
                    <xdr:colOff>0</xdr:colOff>
                    <xdr:row>76</xdr:row>
                    <xdr:rowOff>9525</xdr:rowOff>
                  </from>
                  <to>
                    <xdr:col>5</xdr:col>
                    <xdr:colOff>171450</xdr:colOff>
                    <xdr:row>77</xdr:row>
                    <xdr:rowOff>9525</xdr:rowOff>
                  </to>
                </anchor>
              </controlPr>
            </control>
          </mc:Choice>
        </mc:AlternateContent>
        <mc:AlternateContent xmlns:mc="http://schemas.openxmlformats.org/markup-compatibility/2006">
          <mc:Choice Requires="x14">
            <control shapeId="4213" r:id="rId77" name="Check Box 117">
              <controlPr defaultSize="0" autoFill="0" autoLine="0" autoPict="0">
                <anchor moveWithCells="1">
                  <from>
                    <xdr:col>5</xdr:col>
                    <xdr:colOff>0</xdr:colOff>
                    <xdr:row>77</xdr:row>
                    <xdr:rowOff>9525</xdr:rowOff>
                  </from>
                  <to>
                    <xdr:col>5</xdr:col>
                    <xdr:colOff>171450</xdr:colOff>
                    <xdr:row>78</xdr:row>
                    <xdr:rowOff>9525</xdr:rowOff>
                  </to>
                </anchor>
              </controlPr>
            </control>
          </mc:Choice>
        </mc:AlternateContent>
        <mc:AlternateContent xmlns:mc="http://schemas.openxmlformats.org/markup-compatibility/2006">
          <mc:Choice Requires="x14">
            <control shapeId="4214" r:id="rId78" name="Check Box 118">
              <controlPr defaultSize="0" autoFill="0" autoLine="0" autoPict="0">
                <anchor moveWithCells="1">
                  <from>
                    <xdr:col>14</xdr:col>
                    <xdr:colOff>0</xdr:colOff>
                    <xdr:row>76</xdr:row>
                    <xdr:rowOff>9525</xdr:rowOff>
                  </from>
                  <to>
                    <xdr:col>14</xdr:col>
                    <xdr:colOff>171450</xdr:colOff>
                    <xdr:row>77</xdr:row>
                    <xdr:rowOff>9525</xdr:rowOff>
                  </to>
                </anchor>
              </controlPr>
            </control>
          </mc:Choice>
        </mc:AlternateContent>
        <mc:AlternateContent xmlns:mc="http://schemas.openxmlformats.org/markup-compatibility/2006">
          <mc:Choice Requires="x14">
            <control shapeId="4215" r:id="rId79" name="Check Box 119">
              <controlPr defaultSize="0" autoFill="0" autoLine="0" autoPict="0">
                <anchor moveWithCells="1">
                  <from>
                    <xdr:col>14</xdr:col>
                    <xdr:colOff>0</xdr:colOff>
                    <xdr:row>77</xdr:row>
                    <xdr:rowOff>9525</xdr:rowOff>
                  </from>
                  <to>
                    <xdr:col>14</xdr:col>
                    <xdr:colOff>171450</xdr:colOff>
                    <xdr:row>78</xdr:row>
                    <xdr:rowOff>9525</xdr:rowOff>
                  </to>
                </anchor>
              </controlPr>
            </control>
          </mc:Choice>
        </mc:AlternateContent>
        <mc:AlternateContent xmlns:mc="http://schemas.openxmlformats.org/markup-compatibility/2006">
          <mc:Choice Requires="x14">
            <control shapeId="4216" r:id="rId80" name="Option Button 120">
              <controlPr defaultSize="0" autoFill="0" autoLine="0" autoPict="0">
                <anchor moveWithCells="1">
                  <from>
                    <xdr:col>5</xdr:col>
                    <xdr:colOff>0</xdr:colOff>
                    <xdr:row>79</xdr:row>
                    <xdr:rowOff>9525</xdr:rowOff>
                  </from>
                  <to>
                    <xdr:col>6</xdr:col>
                    <xdr:colOff>28575</xdr:colOff>
                    <xdr:row>80</xdr:row>
                    <xdr:rowOff>0</xdr:rowOff>
                  </to>
                </anchor>
              </controlPr>
            </control>
          </mc:Choice>
        </mc:AlternateContent>
        <mc:AlternateContent xmlns:mc="http://schemas.openxmlformats.org/markup-compatibility/2006">
          <mc:Choice Requires="x14">
            <control shapeId="4217" r:id="rId81" name="Option Button 121">
              <controlPr defaultSize="0" autoFill="0" autoLine="0" autoPict="0">
                <anchor moveWithCells="1">
                  <from>
                    <xdr:col>5</xdr:col>
                    <xdr:colOff>0</xdr:colOff>
                    <xdr:row>80</xdr:row>
                    <xdr:rowOff>9525</xdr:rowOff>
                  </from>
                  <to>
                    <xdr:col>6</xdr:col>
                    <xdr:colOff>28575</xdr:colOff>
                    <xdr:row>81</xdr:row>
                    <xdr:rowOff>0</xdr:rowOff>
                  </to>
                </anchor>
              </controlPr>
            </control>
          </mc:Choice>
        </mc:AlternateContent>
        <mc:AlternateContent xmlns:mc="http://schemas.openxmlformats.org/markup-compatibility/2006">
          <mc:Choice Requires="x14">
            <control shapeId="4218" r:id="rId82" name="Option Button 122">
              <controlPr defaultSize="0" autoFill="0" autoLine="0" autoPict="0">
                <anchor moveWithCells="1">
                  <from>
                    <xdr:col>5</xdr:col>
                    <xdr:colOff>0</xdr:colOff>
                    <xdr:row>81</xdr:row>
                    <xdr:rowOff>9525</xdr:rowOff>
                  </from>
                  <to>
                    <xdr:col>6</xdr:col>
                    <xdr:colOff>28575</xdr:colOff>
                    <xdr:row>82</xdr:row>
                    <xdr:rowOff>0</xdr:rowOff>
                  </to>
                </anchor>
              </controlPr>
            </control>
          </mc:Choice>
        </mc:AlternateContent>
        <mc:AlternateContent xmlns:mc="http://schemas.openxmlformats.org/markup-compatibility/2006">
          <mc:Choice Requires="x14">
            <control shapeId="4220" r:id="rId83" name="Group Box 124">
              <controlPr defaultSize="0" autoFill="0" autoPict="0">
                <anchor moveWithCells="1">
                  <from>
                    <xdr:col>3</xdr:col>
                    <xdr:colOff>0</xdr:colOff>
                    <xdr:row>75</xdr:row>
                    <xdr:rowOff>0</xdr:rowOff>
                  </from>
                  <to>
                    <xdr:col>42</xdr:col>
                    <xdr:colOff>0</xdr:colOff>
                    <xdr:row>82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AQ158"/>
  <sheetViews>
    <sheetView showGridLines="0" showRowColHeaders="0" zoomScaleNormal="100" zoomScaleSheetLayoutView="77" workbookViewId="0"/>
  </sheetViews>
  <sheetFormatPr defaultColWidth="0" defaultRowHeight="15" customHeight="1" zeroHeight="1" x14ac:dyDescent="0.25"/>
  <cols>
    <col min="1" max="1" width="2.85546875" style="169" customWidth="1"/>
    <col min="2" max="2" width="2.85546875" style="170" customWidth="1"/>
    <col min="3" max="43" width="2.85546875" style="169" customWidth="1"/>
    <col min="44" max="16384" width="9.140625" style="169" hidden="1"/>
  </cols>
  <sheetData>
    <row r="1" spans="2:42" ht="64.5" customHeight="1" x14ac:dyDescent="0.25">
      <c r="AB1" s="171"/>
      <c r="AC1" s="171"/>
      <c r="AD1" s="171"/>
      <c r="AE1" s="171"/>
      <c r="AF1" s="171"/>
      <c r="AG1" s="171"/>
      <c r="AH1" s="171"/>
      <c r="AI1" s="171"/>
      <c r="AJ1" s="171"/>
      <c r="AK1" s="171"/>
      <c r="AL1" s="171"/>
      <c r="AM1" s="171"/>
      <c r="AN1" s="171"/>
      <c r="AO1" s="171"/>
      <c r="AP1" s="172" t="s">
        <v>0</v>
      </c>
    </row>
    <row r="2" spans="2:42" ht="28.5" customHeight="1" x14ac:dyDescent="0.25">
      <c r="AB2" s="171"/>
      <c r="AC2" s="171"/>
      <c r="AD2" s="171"/>
      <c r="AE2" s="171"/>
      <c r="AF2" s="171"/>
      <c r="AG2" s="171"/>
      <c r="AH2" s="171"/>
      <c r="AI2" s="171"/>
      <c r="AJ2" s="171"/>
      <c r="AK2" s="171"/>
      <c r="AL2" s="171"/>
      <c r="AM2" s="171"/>
      <c r="AN2" s="171"/>
      <c r="AO2" s="171"/>
      <c r="AP2" s="172"/>
    </row>
    <row r="3" spans="2:42" ht="15" customHeight="1" x14ac:dyDescent="0.25">
      <c r="AA3" s="171"/>
      <c r="AB3" s="171"/>
      <c r="AC3" s="171"/>
      <c r="AD3" s="171"/>
      <c r="AE3" s="171"/>
      <c r="AF3" s="171"/>
      <c r="AG3" s="171"/>
      <c r="AH3" s="171"/>
      <c r="AI3" s="171"/>
      <c r="AJ3" s="171"/>
      <c r="AK3" s="171"/>
      <c r="AL3" s="171"/>
      <c r="AM3" s="171"/>
      <c r="AN3" s="171"/>
      <c r="AO3" s="171"/>
    </row>
    <row r="4" spans="2:42" s="174" customFormat="1" ht="15" customHeight="1" x14ac:dyDescent="0.2">
      <c r="B4" s="173" t="s">
        <v>66</v>
      </c>
      <c r="I4" s="444">
        <f>Kérdőív!K4</f>
        <v>0</v>
      </c>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row>
    <row r="5" spans="2:42" s="174" customFormat="1" ht="4.7" customHeight="1" x14ac:dyDescent="0.2">
      <c r="B5" s="173"/>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row>
    <row r="6" spans="2:42" s="174" customFormat="1" ht="15" customHeight="1" x14ac:dyDescent="0.2">
      <c r="B6" s="173" t="s">
        <v>216</v>
      </c>
      <c r="K6" s="176"/>
      <c r="L6" s="176"/>
      <c r="M6" s="176"/>
      <c r="N6" s="176"/>
      <c r="O6" s="176"/>
      <c r="P6" s="445" t="str">
        <f>IF(Kérdőív!AK5&lt;&gt;"",Kérdőív!AK5,Kérdőív!K5&amp;", "&amp;TEXT(Kérdőív!X5,"éééé.hh.nn."))</f>
        <v>, 1900.01.00.</v>
      </c>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row>
    <row r="7" spans="2:42" s="174" customFormat="1" ht="15" customHeight="1" x14ac:dyDescent="0.2">
      <c r="B7" s="173"/>
      <c r="K7" s="176"/>
      <c r="L7" s="176"/>
      <c r="M7" s="176"/>
      <c r="N7" s="176"/>
      <c r="O7" s="176"/>
      <c r="P7" s="176"/>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row>
    <row r="8" spans="2:42" s="174" customFormat="1" ht="15" customHeight="1" x14ac:dyDescent="0.2">
      <c r="B8" s="173"/>
      <c r="K8" s="176"/>
      <c r="L8" s="176"/>
      <c r="M8" s="176"/>
      <c r="N8" s="176"/>
      <c r="O8" s="176"/>
      <c r="P8" s="176"/>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row>
    <row r="9" spans="2:42" s="174" customFormat="1" ht="15" customHeight="1" x14ac:dyDescent="0.2">
      <c r="B9" s="173"/>
      <c r="K9" s="176"/>
      <c r="L9" s="176"/>
      <c r="M9" s="176"/>
      <c r="N9" s="176"/>
      <c r="O9" s="176"/>
      <c r="P9" s="176"/>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row>
    <row r="10" spans="2:42" s="174" customFormat="1" ht="15" customHeight="1" x14ac:dyDescent="0.2">
      <c r="B10" s="446" t="s">
        <v>67</v>
      </c>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row>
    <row r="11" spans="2:42" s="174" customFormat="1" ht="15" customHeight="1" x14ac:dyDescent="0.2">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row>
    <row r="12" spans="2:42" s="174" customFormat="1" ht="15" customHeight="1" x14ac:dyDescent="0.2">
      <c r="B12" s="447" t="s">
        <v>217</v>
      </c>
      <c r="C12" s="448"/>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8"/>
    </row>
    <row r="13" spans="2:42" s="174" customFormat="1" ht="15" customHeight="1" x14ac:dyDescent="0.2">
      <c r="B13" s="447"/>
      <c r="C13" s="448"/>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row>
    <row r="14" spans="2:42" s="174" customFormat="1" ht="15" customHeight="1" x14ac:dyDescent="0.2">
      <c r="B14" s="447"/>
      <c r="C14" s="448"/>
      <c r="D14" s="448"/>
      <c r="E14" s="448"/>
      <c r="F14" s="448"/>
      <c r="G14" s="448"/>
      <c r="H14" s="448"/>
      <c r="I14" s="448"/>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row>
    <row r="15" spans="2:42" s="174" customFormat="1" ht="15" customHeight="1" x14ac:dyDescent="0.2">
      <c r="B15" s="447"/>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row>
    <row r="16" spans="2:42" s="174" customFormat="1" ht="15" customHeight="1" x14ac:dyDescent="0.2">
      <c r="B16" s="448"/>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row>
    <row r="17" spans="1:42" s="174" customFormat="1" ht="15" customHeight="1" x14ac:dyDescent="0.2">
      <c r="B17" s="448"/>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row>
    <row r="18" spans="1:42" s="174" customFormat="1" ht="15" customHeight="1" x14ac:dyDescent="0.2">
      <c r="B18" s="448"/>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row>
    <row r="19" spans="1:42" s="174" customFormat="1" ht="15" customHeight="1" x14ac:dyDescent="0.2">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row>
    <row r="20" spans="1:42" s="174" customFormat="1" ht="15" customHeight="1" x14ac:dyDescent="0.2">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row>
    <row r="21" spans="1:42" s="174" customFormat="1" ht="15" customHeight="1" x14ac:dyDescent="0.2">
      <c r="B21" s="449" t="s">
        <v>3</v>
      </c>
      <c r="C21" s="449"/>
      <c r="D21" s="449"/>
      <c r="E21" s="449"/>
      <c r="F21" s="449"/>
      <c r="G21" s="449"/>
      <c r="H21" s="449"/>
    </row>
    <row r="22" spans="1:42" s="174" customFormat="1" ht="15" customHeight="1" x14ac:dyDescent="0.2">
      <c r="B22" s="449"/>
      <c r="C22" s="449"/>
      <c r="D22" s="449"/>
      <c r="E22" s="449"/>
      <c r="F22" s="449"/>
      <c r="G22" s="449"/>
      <c r="H22" s="449"/>
    </row>
    <row r="23" spans="1:42" s="174" customFormat="1" ht="15" customHeight="1" x14ac:dyDescent="0.2">
      <c r="A23" s="205"/>
      <c r="B23" s="189" t="s">
        <v>4</v>
      </c>
      <c r="C23" s="215"/>
      <c r="D23" s="439" t="s">
        <v>5</v>
      </c>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39"/>
      <c r="AO23" s="439"/>
      <c r="AP23" s="439"/>
    </row>
    <row r="24" spans="1:42" s="174" customFormat="1" ht="6" customHeight="1" x14ac:dyDescent="0.2">
      <c r="A24" s="205"/>
      <c r="B24" s="189"/>
      <c r="C24" s="215"/>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row>
    <row r="25" spans="1:42" s="174" customFormat="1" ht="15" customHeight="1" x14ac:dyDescent="0.2">
      <c r="A25" s="205"/>
      <c r="B25" s="217"/>
      <c r="C25" s="218"/>
      <c r="D25" s="187" t="str">
        <f>IF(Kérdőív!AW20=1,"X","")</f>
        <v/>
      </c>
      <c r="E25" s="184" t="s">
        <v>32</v>
      </c>
      <c r="F25" s="204"/>
      <c r="G25" s="204"/>
      <c r="H25" s="204"/>
      <c r="I25" s="204"/>
      <c r="J25" s="204"/>
      <c r="K25" s="204"/>
      <c r="L25" s="204"/>
      <c r="M25" s="204"/>
      <c r="N25" s="204"/>
      <c r="O25" s="204"/>
      <c r="P25" s="204"/>
      <c r="Q25" s="204"/>
      <c r="R25" s="204"/>
      <c r="S25" s="204"/>
      <c r="T25" s="204"/>
      <c r="U25" s="204"/>
      <c r="V25" s="204"/>
      <c r="W25" s="204"/>
      <c r="X25" s="204"/>
      <c r="Y25" s="204"/>
      <c r="Z25" s="204"/>
      <c r="AA25" s="204"/>
      <c r="AB25" s="219"/>
      <c r="AC25" s="219"/>
      <c r="AD25" s="219"/>
      <c r="AE25" s="219"/>
      <c r="AF25" s="219"/>
      <c r="AG25" s="219"/>
      <c r="AH25" s="219"/>
      <c r="AI25" s="219"/>
      <c r="AJ25" s="219"/>
      <c r="AK25" s="219"/>
      <c r="AL25" s="219"/>
      <c r="AM25" s="219"/>
      <c r="AN25" s="219"/>
      <c r="AO25" s="219"/>
      <c r="AP25" s="219"/>
    </row>
    <row r="26" spans="1:42" s="174" customFormat="1" ht="15" customHeight="1" x14ac:dyDescent="0.2">
      <c r="A26" s="205"/>
      <c r="B26" s="217"/>
      <c r="C26" s="218"/>
      <c r="D26" s="187" t="str">
        <f>IF(Kérdőív!AW21=1,"X","")</f>
        <v/>
      </c>
      <c r="E26" s="184" t="s">
        <v>33</v>
      </c>
      <c r="F26" s="204"/>
      <c r="G26" s="204"/>
      <c r="H26" s="204"/>
      <c r="I26" s="204"/>
      <c r="J26" s="204"/>
      <c r="K26" s="204"/>
      <c r="L26" s="204"/>
      <c r="M26" s="204"/>
      <c r="N26" s="204"/>
      <c r="O26" s="204"/>
      <c r="P26" s="204"/>
      <c r="Q26" s="204"/>
      <c r="R26" s="204"/>
      <c r="S26" s="204"/>
      <c r="T26" s="204"/>
      <c r="U26" s="204"/>
      <c r="V26" s="204"/>
      <c r="W26" s="204"/>
      <c r="X26" s="204"/>
      <c r="Y26" s="204"/>
      <c r="Z26" s="204"/>
      <c r="AA26" s="204"/>
      <c r="AB26" s="219"/>
      <c r="AC26" s="219"/>
      <c r="AD26" s="219"/>
      <c r="AE26" s="219"/>
      <c r="AF26" s="219"/>
      <c r="AG26" s="219"/>
      <c r="AH26" s="219"/>
      <c r="AI26" s="219"/>
      <c r="AJ26" s="219"/>
      <c r="AK26" s="219"/>
      <c r="AL26" s="219"/>
      <c r="AM26" s="219"/>
      <c r="AN26" s="219"/>
      <c r="AO26" s="219"/>
      <c r="AP26" s="219"/>
    </row>
    <row r="27" spans="1:42" s="174" customFormat="1" ht="15" customHeight="1" x14ac:dyDescent="0.2">
      <c r="A27" s="205"/>
      <c r="B27" s="217"/>
      <c r="C27" s="218"/>
      <c r="D27" s="187" t="str">
        <f>IF(Kérdőív!AW22=1,"X","")</f>
        <v/>
      </c>
      <c r="E27" s="184" t="s">
        <v>34</v>
      </c>
      <c r="F27" s="204"/>
      <c r="G27" s="204"/>
      <c r="H27" s="204"/>
      <c r="I27" s="204"/>
      <c r="J27" s="204"/>
      <c r="K27" s="204"/>
      <c r="L27" s="204"/>
      <c r="M27" s="204"/>
      <c r="N27" s="204"/>
      <c r="O27" s="204"/>
      <c r="P27" s="204"/>
      <c r="Q27" s="204"/>
      <c r="R27" s="204"/>
      <c r="S27" s="204"/>
      <c r="T27" s="204"/>
      <c r="U27" s="204"/>
      <c r="V27" s="204"/>
      <c r="W27" s="204"/>
      <c r="X27" s="204"/>
      <c r="Y27" s="204"/>
      <c r="Z27" s="204"/>
      <c r="AA27" s="204"/>
      <c r="AB27" s="219"/>
      <c r="AC27" s="219"/>
      <c r="AD27" s="219"/>
      <c r="AE27" s="219"/>
      <c r="AF27" s="219"/>
      <c r="AG27" s="219"/>
      <c r="AH27" s="219"/>
      <c r="AI27" s="219"/>
      <c r="AJ27" s="219"/>
      <c r="AK27" s="219"/>
      <c r="AL27" s="219"/>
      <c r="AM27" s="219"/>
      <c r="AN27" s="219"/>
      <c r="AO27" s="219"/>
      <c r="AP27" s="219"/>
    </row>
    <row r="28" spans="1:42" s="174" customFormat="1" ht="15" customHeight="1" x14ac:dyDescent="0.2">
      <c r="A28" s="205"/>
      <c r="B28" s="18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row>
    <row r="29" spans="1:42" s="174" customFormat="1" ht="15" customHeight="1" x14ac:dyDescent="0.2">
      <c r="A29" s="205"/>
      <c r="B29" s="189" t="s">
        <v>7</v>
      </c>
      <c r="C29" s="205"/>
      <c r="D29" s="439" t="s">
        <v>6</v>
      </c>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row>
    <row r="30" spans="1:42" s="174" customFormat="1" ht="6" customHeight="1" x14ac:dyDescent="0.2">
      <c r="A30" s="205"/>
      <c r="B30" s="189"/>
      <c r="C30" s="205"/>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row>
    <row r="31" spans="1:42" s="174" customFormat="1" ht="15" customHeight="1" x14ac:dyDescent="0.2">
      <c r="A31" s="205"/>
      <c r="B31" s="185"/>
      <c r="C31" s="205"/>
      <c r="D31" s="187" t="str">
        <f>IF(Kérdőív!AW25=1,"X","")</f>
        <v/>
      </c>
      <c r="E31" s="204" t="s">
        <v>47</v>
      </c>
      <c r="F31" s="204"/>
      <c r="G31" s="204"/>
      <c r="H31" s="204"/>
      <c r="I31" s="204"/>
      <c r="J31" s="204"/>
      <c r="K31" s="204"/>
      <c r="L31" s="204"/>
      <c r="M31" s="450" t="str">
        <f>IF(D31="X",Kérdőív!N25,"")</f>
        <v/>
      </c>
      <c r="N31" s="450"/>
      <c r="O31" s="205" t="s">
        <v>15</v>
      </c>
      <c r="Q31" s="205"/>
      <c r="R31" s="205"/>
      <c r="V31" s="205"/>
      <c r="W31" s="205"/>
      <c r="X31" s="205"/>
      <c r="Y31" s="205"/>
      <c r="Z31" s="205"/>
      <c r="AA31" s="205"/>
      <c r="AB31" s="205"/>
      <c r="AC31" s="205"/>
      <c r="AD31" s="205"/>
      <c r="AE31" s="205"/>
      <c r="AF31" s="205"/>
      <c r="AG31" s="205"/>
      <c r="AH31" s="205"/>
      <c r="AI31" s="205"/>
      <c r="AJ31" s="205"/>
      <c r="AK31" s="205"/>
      <c r="AL31" s="205"/>
      <c r="AM31" s="205"/>
      <c r="AN31" s="205"/>
      <c r="AO31" s="205"/>
      <c r="AP31" s="205"/>
    </row>
    <row r="32" spans="1:42" s="174" customFormat="1" ht="15" customHeight="1" x14ac:dyDescent="0.2">
      <c r="A32" s="205"/>
      <c r="B32" s="185"/>
      <c r="C32" s="205"/>
      <c r="D32" s="187" t="str">
        <f>IF(Kérdőív!AW26=1,"X","")</f>
        <v/>
      </c>
      <c r="E32" s="204" t="s">
        <v>35</v>
      </c>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5"/>
    </row>
    <row r="33" spans="1:42" s="174" customFormat="1" ht="15" customHeight="1" x14ac:dyDescent="0.2">
      <c r="A33" s="184"/>
      <c r="B33" s="185"/>
      <c r="C33" s="205"/>
      <c r="D33" s="187" t="str">
        <f>IF(Kérdőív!AW27=1,"X","")</f>
        <v/>
      </c>
      <c r="E33" s="204" t="s">
        <v>36</v>
      </c>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5"/>
    </row>
    <row r="34" spans="1:42" s="174" customFormat="1" ht="15" customHeight="1" x14ac:dyDescent="0.2">
      <c r="A34" s="184"/>
      <c r="B34" s="185"/>
      <c r="C34" s="205"/>
      <c r="D34" s="187" t="str">
        <f>IF(Kérdőív!AW28=1,"X","")</f>
        <v/>
      </c>
      <c r="E34" s="204" t="s">
        <v>37</v>
      </c>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5"/>
    </row>
    <row r="35" spans="1:42" s="174" customFormat="1" ht="15" customHeight="1" x14ac:dyDescent="0.2">
      <c r="A35" s="205"/>
      <c r="B35" s="18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row>
    <row r="36" spans="1:42" s="174" customFormat="1" ht="15" customHeight="1" x14ac:dyDescent="0.2">
      <c r="A36" s="205"/>
      <c r="B36" s="220" t="s">
        <v>8</v>
      </c>
      <c r="C36" s="221"/>
      <c r="D36" s="441" t="s">
        <v>9</v>
      </c>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1"/>
      <c r="AO36" s="441"/>
      <c r="AP36" s="441"/>
    </row>
    <row r="37" spans="1:42" s="174" customFormat="1" ht="15" customHeight="1" x14ac:dyDescent="0.2">
      <c r="A37" s="205"/>
      <c r="B37" s="189"/>
      <c r="C37" s="22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1"/>
      <c r="AM37" s="441"/>
      <c r="AN37" s="441"/>
      <c r="AO37" s="441"/>
      <c r="AP37" s="441"/>
    </row>
    <row r="38" spans="1:42" s="174" customFormat="1" ht="6" customHeight="1" x14ac:dyDescent="0.2">
      <c r="A38" s="205"/>
      <c r="B38" s="189"/>
      <c r="C38" s="221"/>
      <c r="D38" s="222"/>
      <c r="E38" s="222"/>
      <c r="F38" s="222"/>
      <c r="G38" s="222"/>
      <c r="H38" s="222"/>
      <c r="I38" s="222"/>
      <c r="J38" s="222"/>
      <c r="K38" s="222"/>
      <c r="L38" s="222"/>
      <c r="M38" s="222"/>
      <c r="N38" s="222"/>
      <c r="Q38" s="222"/>
      <c r="R38" s="222"/>
      <c r="S38" s="222"/>
      <c r="T38" s="222"/>
      <c r="U38" s="222"/>
      <c r="V38" s="222"/>
      <c r="W38" s="222"/>
      <c r="X38" s="223"/>
      <c r="Y38" s="223"/>
      <c r="Z38" s="222"/>
      <c r="AA38" s="222"/>
      <c r="AB38" s="222"/>
      <c r="AC38" s="222"/>
      <c r="AD38" s="222"/>
      <c r="AE38" s="222"/>
      <c r="AF38" s="222"/>
      <c r="AG38" s="222"/>
      <c r="AH38" s="222"/>
      <c r="AI38" s="222"/>
      <c r="AJ38" s="222"/>
      <c r="AK38" s="222"/>
      <c r="AL38" s="222"/>
      <c r="AM38" s="222"/>
      <c r="AN38" s="222"/>
      <c r="AO38" s="222"/>
      <c r="AP38" s="222"/>
    </row>
    <row r="39" spans="1:42" s="174" customFormat="1" ht="15" customHeight="1" x14ac:dyDescent="0.2">
      <c r="A39" s="205"/>
      <c r="B39" s="185"/>
      <c r="C39" s="205"/>
      <c r="D39" s="184" t="s">
        <v>10</v>
      </c>
      <c r="E39" s="205"/>
      <c r="F39" s="205"/>
      <c r="G39" s="205"/>
      <c r="H39" s="451">
        <f>Kérdőív!I33</f>
        <v>0</v>
      </c>
      <c r="I39" s="451"/>
      <c r="J39" s="451"/>
      <c r="K39" s="451"/>
      <c r="L39" s="185" t="s">
        <v>11</v>
      </c>
      <c r="X39" s="191"/>
      <c r="Y39" s="191"/>
      <c r="Z39" s="205"/>
      <c r="AA39" s="205"/>
      <c r="AB39" s="205"/>
      <c r="AC39" s="205"/>
      <c r="AD39" s="205"/>
      <c r="AE39" s="205"/>
      <c r="AF39" s="205"/>
      <c r="AG39" s="205"/>
      <c r="AH39" s="205"/>
      <c r="AI39" s="205"/>
      <c r="AJ39" s="205"/>
      <c r="AK39" s="205"/>
      <c r="AL39" s="205"/>
      <c r="AM39" s="205"/>
      <c r="AN39" s="205"/>
      <c r="AO39" s="205"/>
      <c r="AP39" s="205"/>
    </row>
    <row r="40" spans="1:42" s="174" customFormat="1" ht="6" customHeight="1" x14ac:dyDescent="0.2">
      <c r="A40" s="205"/>
      <c r="B40" s="189"/>
      <c r="C40" s="221"/>
      <c r="D40" s="222"/>
      <c r="E40" s="222"/>
      <c r="F40" s="222"/>
      <c r="G40" s="222"/>
      <c r="H40" s="222"/>
      <c r="I40" s="222"/>
      <c r="J40" s="222"/>
      <c r="K40" s="222"/>
      <c r="L40" s="222"/>
      <c r="M40" s="222"/>
      <c r="N40" s="222"/>
      <c r="Q40" s="222"/>
      <c r="R40" s="222"/>
      <c r="S40" s="222"/>
      <c r="T40" s="222"/>
      <c r="U40" s="222"/>
      <c r="V40" s="222"/>
      <c r="W40" s="222"/>
      <c r="X40" s="223"/>
      <c r="Y40" s="223"/>
      <c r="Z40" s="222"/>
      <c r="AA40" s="222"/>
      <c r="AB40" s="222"/>
      <c r="AC40" s="222"/>
      <c r="AD40" s="222"/>
      <c r="AE40" s="222"/>
      <c r="AF40" s="222"/>
      <c r="AG40" s="222"/>
      <c r="AH40" s="222"/>
      <c r="AI40" s="222"/>
      <c r="AJ40" s="222"/>
      <c r="AK40" s="222"/>
      <c r="AL40" s="222"/>
      <c r="AM40" s="222"/>
      <c r="AN40" s="222"/>
      <c r="AO40" s="222"/>
      <c r="AP40" s="222"/>
    </row>
    <row r="41" spans="1:42" s="174" customFormat="1" ht="15" customHeight="1" x14ac:dyDescent="0.2">
      <c r="A41" s="205"/>
      <c r="B41" s="189"/>
      <c r="C41" s="221"/>
      <c r="D41" s="187" t="str">
        <f>IF(Kérdőív!AW32=1,"X","")</f>
        <v/>
      </c>
      <c r="E41" s="205" t="s">
        <v>103</v>
      </c>
      <c r="F41" s="223"/>
      <c r="G41" s="205"/>
      <c r="H41" s="187" t="str">
        <f>IF(Kérdőív!AW33=1,"X","")</f>
        <v/>
      </c>
      <c r="I41" s="205" t="s">
        <v>104</v>
      </c>
      <c r="J41" s="205"/>
      <c r="K41" s="205"/>
      <c r="L41" s="205"/>
      <c r="M41" s="205"/>
      <c r="N41" s="187" t="str">
        <f>IF(Kérdőív!AW34=1,"X","")</f>
        <v/>
      </c>
      <c r="O41" s="205" t="s">
        <v>105</v>
      </c>
      <c r="P41" s="205"/>
      <c r="Q41" s="223"/>
      <c r="R41" s="187" t="str">
        <f>IF(Kérdőív!AW35=1,"X","")</f>
        <v/>
      </c>
      <c r="S41" s="205" t="s">
        <v>106</v>
      </c>
      <c r="T41" s="205"/>
      <c r="U41" s="191"/>
      <c r="V41" s="187" t="str">
        <f>IF(Kérdőív!AW36=1,"X","")</f>
        <v/>
      </c>
      <c r="W41" s="191" t="s">
        <v>107</v>
      </c>
      <c r="Z41" s="191"/>
      <c r="AA41" s="205"/>
      <c r="AB41" s="205"/>
      <c r="AC41" s="205"/>
      <c r="AD41" s="205"/>
      <c r="AE41" s="205"/>
      <c r="AF41" s="205"/>
      <c r="AG41" s="205"/>
      <c r="AH41" s="205"/>
      <c r="AI41" s="205"/>
      <c r="AJ41" s="205"/>
      <c r="AK41" s="205"/>
      <c r="AL41" s="205"/>
      <c r="AM41" s="205"/>
      <c r="AN41" s="205"/>
      <c r="AO41" s="223"/>
      <c r="AP41" s="223"/>
    </row>
    <row r="42" spans="1:42" s="174" customFormat="1" ht="15" customHeight="1" x14ac:dyDescent="0.2">
      <c r="A42" s="184"/>
      <c r="B42" s="185"/>
      <c r="C42" s="205"/>
      <c r="D42" s="205"/>
      <c r="E42" s="205"/>
      <c r="F42" s="205"/>
      <c r="G42" s="205"/>
      <c r="H42" s="205"/>
      <c r="I42" s="205"/>
      <c r="J42" s="205"/>
      <c r="K42" s="205"/>
      <c r="L42" s="205"/>
      <c r="M42" s="205"/>
      <c r="N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row>
    <row r="43" spans="1:42" s="174" customFormat="1" ht="15" customHeight="1" x14ac:dyDescent="0.2">
      <c r="A43" s="184"/>
      <c r="B43" s="185"/>
      <c r="C43" s="205"/>
      <c r="D43" s="205"/>
      <c r="E43" s="205"/>
      <c r="F43" s="205"/>
      <c r="G43" s="205"/>
      <c r="H43" s="205"/>
      <c r="I43" s="205"/>
      <c r="J43" s="205"/>
      <c r="K43" s="205"/>
      <c r="L43" s="205"/>
      <c r="M43" s="205"/>
      <c r="N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row>
    <row r="44" spans="1:42" s="174" customFormat="1" ht="15" customHeight="1" x14ac:dyDescent="0.2">
      <c r="A44" s="184"/>
      <c r="B44" s="452" t="s">
        <v>19</v>
      </c>
      <c r="C44" s="452"/>
      <c r="D44" s="452"/>
      <c r="E44" s="452"/>
      <c r="F44" s="452"/>
      <c r="G44" s="452"/>
      <c r="H44" s="452"/>
      <c r="I44" s="452"/>
      <c r="J44" s="452"/>
      <c r="K44" s="452"/>
      <c r="L44" s="452"/>
      <c r="M44" s="452"/>
      <c r="N44" s="452"/>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row>
    <row r="45" spans="1:42" s="174" customFormat="1" ht="15" customHeight="1" x14ac:dyDescent="0.2">
      <c r="A45" s="184"/>
      <c r="B45" s="452"/>
      <c r="C45" s="452"/>
      <c r="D45" s="452"/>
      <c r="E45" s="452"/>
      <c r="F45" s="452"/>
      <c r="G45" s="452"/>
      <c r="H45" s="452"/>
      <c r="I45" s="452"/>
      <c r="J45" s="452"/>
      <c r="K45" s="452"/>
      <c r="L45" s="452"/>
      <c r="M45" s="452"/>
      <c r="N45" s="452"/>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row>
    <row r="46" spans="1:42" s="174" customFormat="1" ht="15" customHeight="1" x14ac:dyDescent="0.2">
      <c r="A46" s="184"/>
      <c r="B46" s="189" t="s">
        <v>20</v>
      </c>
      <c r="C46" s="205"/>
      <c r="D46" s="439" t="s">
        <v>102</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c r="AM46" s="439"/>
      <c r="AN46" s="439"/>
      <c r="AO46" s="439"/>
      <c r="AP46" s="439"/>
    </row>
    <row r="47" spans="1:42" s="174" customFormat="1" ht="6" customHeight="1" x14ac:dyDescent="0.2">
      <c r="A47" s="184"/>
      <c r="B47" s="189"/>
      <c r="C47" s="205"/>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row>
    <row r="48" spans="1:42" s="174" customFormat="1" ht="15" customHeight="1" x14ac:dyDescent="0.2">
      <c r="A48" s="205"/>
      <c r="B48" s="185"/>
      <c r="C48" s="205"/>
      <c r="D48" s="187" t="str">
        <f>IF(Kérdőív!AW39=1,"X","")</f>
        <v/>
      </c>
      <c r="E48" s="204" t="s">
        <v>101</v>
      </c>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5"/>
    </row>
    <row r="49" spans="1:42" s="174" customFormat="1" ht="15" customHeight="1" x14ac:dyDescent="0.2">
      <c r="A49" s="205"/>
      <c r="B49" s="185"/>
      <c r="C49" s="205"/>
      <c r="D49" s="187" t="str">
        <f>IF(Kérdőív!AW40=1,"X","")</f>
        <v/>
      </c>
      <c r="E49" s="204" t="s">
        <v>100</v>
      </c>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5"/>
    </row>
    <row r="50" spans="1:42" s="174" customFormat="1" ht="15" customHeight="1" x14ac:dyDescent="0.2">
      <c r="A50" s="184"/>
      <c r="B50" s="18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row>
    <row r="51" spans="1:42" s="174" customFormat="1" ht="15" customHeight="1" x14ac:dyDescent="0.2">
      <c r="A51" s="205"/>
      <c r="B51" s="189" t="s">
        <v>21</v>
      </c>
      <c r="C51" s="205"/>
      <c r="D51" s="439" t="s">
        <v>38</v>
      </c>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39"/>
      <c r="AJ51" s="439"/>
      <c r="AK51" s="439"/>
      <c r="AL51" s="439"/>
      <c r="AM51" s="439"/>
      <c r="AN51" s="439"/>
      <c r="AO51" s="439"/>
      <c r="AP51" s="439"/>
    </row>
    <row r="52" spans="1:42" s="174" customFormat="1" ht="6" customHeight="1" x14ac:dyDescent="0.2">
      <c r="A52" s="205"/>
      <c r="B52" s="189"/>
      <c r="C52" s="205"/>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row>
    <row r="53" spans="1:42" s="174" customFormat="1" ht="15" customHeight="1" x14ac:dyDescent="0.2">
      <c r="A53" s="205"/>
      <c r="B53" s="185"/>
      <c r="C53" s="205"/>
      <c r="D53" s="187" t="str">
        <f>IF(Kérdőív!AW43=1,"X","")</f>
        <v/>
      </c>
      <c r="E53" s="204" t="s">
        <v>22</v>
      </c>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5"/>
    </row>
    <row r="54" spans="1:42" s="174" customFormat="1" ht="15" customHeight="1" x14ac:dyDescent="0.2">
      <c r="A54" s="205"/>
      <c r="B54" s="185"/>
      <c r="C54" s="205"/>
      <c r="D54" s="187" t="str">
        <f>IF(Kérdőív!AW44=1,"X","")</f>
        <v/>
      </c>
      <c r="E54" s="204" t="s">
        <v>23</v>
      </c>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5"/>
    </row>
    <row r="55" spans="1:42" s="174" customFormat="1" ht="15" customHeight="1" x14ac:dyDescent="0.2">
      <c r="A55" s="205"/>
      <c r="B55" s="185"/>
      <c r="C55" s="205"/>
      <c r="D55" s="187" t="str">
        <f>IF(Kérdőív!AW45=1,"X","")</f>
        <v/>
      </c>
      <c r="E55" s="204" t="s">
        <v>24</v>
      </c>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5"/>
    </row>
    <row r="56" spans="1:42" s="174" customFormat="1" ht="15" customHeight="1" x14ac:dyDescent="0.2">
      <c r="A56" s="205"/>
      <c r="B56" s="185"/>
      <c r="C56" s="205"/>
      <c r="D56" s="187" t="str">
        <f>IF(Kérdőív!AW46=1,"X","")</f>
        <v/>
      </c>
      <c r="E56" s="205" t="s">
        <v>25</v>
      </c>
      <c r="F56" s="205"/>
      <c r="G56" s="205"/>
      <c r="H56" s="205"/>
      <c r="I56" s="205"/>
      <c r="J56" s="440" t="str">
        <f>IF(D56="X",Kérdőív!J46,"")</f>
        <v/>
      </c>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row>
    <row r="57" spans="1:42" s="174" customFormat="1" ht="15" customHeight="1" x14ac:dyDescent="0.2">
      <c r="A57" s="205"/>
      <c r="B57" s="185"/>
      <c r="C57" s="205"/>
      <c r="D57" s="205"/>
      <c r="E57" s="205"/>
      <c r="F57" s="205"/>
      <c r="G57" s="205"/>
      <c r="H57" s="205"/>
      <c r="I57" s="205"/>
      <c r="J57" s="224"/>
      <c r="K57" s="224"/>
      <c r="L57" s="224"/>
      <c r="M57" s="224"/>
      <c r="N57" s="224"/>
      <c r="O57" s="224"/>
      <c r="P57" s="224"/>
      <c r="Q57" s="224"/>
      <c r="R57" s="224"/>
      <c r="S57" s="224"/>
      <c r="T57" s="224"/>
      <c r="U57" s="224"/>
      <c r="V57" s="205"/>
      <c r="W57" s="205"/>
      <c r="X57" s="205"/>
      <c r="Y57" s="205"/>
      <c r="Z57" s="205"/>
      <c r="AA57" s="205"/>
      <c r="AB57" s="205"/>
      <c r="AC57" s="205"/>
      <c r="AD57" s="205"/>
      <c r="AE57" s="205"/>
      <c r="AF57" s="205"/>
      <c r="AG57" s="205"/>
      <c r="AH57" s="205"/>
      <c r="AI57" s="205"/>
      <c r="AJ57" s="205"/>
      <c r="AK57" s="205"/>
      <c r="AL57" s="205"/>
      <c r="AM57" s="205"/>
      <c r="AN57" s="205"/>
      <c r="AO57" s="205"/>
      <c r="AP57" s="205"/>
    </row>
    <row r="58" spans="1:42" s="174" customFormat="1" ht="15" customHeight="1" x14ac:dyDescent="0.2">
      <c r="A58" s="205"/>
      <c r="B58" s="189" t="s">
        <v>26</v>
      </c>
      <c r="C58" s="205"/>
      <c r="D58" s="439" t="s">
        <v>27</v>
      </c>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row>
    <row r="59" spans="1:42" s="174" customFormat="1" ht="6" customHeight="1" x14ac:dyDescent="0.2">
      <c r="A59" s="205"/>
      <c r="B59" s="189"/>
      <c r="C59" s="205"/>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row>
    <row r="60" spans="1:42" s="174" customFormat="1" ht="15" customHeight="1" x14ac:dyDescent="0.2">
      <c r="A60" s="205"/>
      <c r="B60" s="185"/>
      <c r="C60" s="205"/>
      <c r="D60" s="187" t="str">
        <f>IF(Kérdőív!AW49=1,"X","")</f>
        <v/>
      </c>
      <c r="E60" s="204" t="s">
        <v>28</v>
      </c>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5"/>
    </row>
    <row r="61" spans="1:42" s="174" customFormat="1" ht="15" customHeight="1" x14ac:dyDescent="0.2">
      <c r="A61" s="205"/>
      <c r="B61" s="185"/>
      <c r="C61" s="205"/>
      <c r="D61" s="187" t="str">
        <f>IF(Kérdőív!AW50=1,"X","")</f>
        <v/>
      </c>
      <c r="E61" s="204" t="s">
        <v>29</v>
      </c>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5"/>
    </row>
    <row r="62" spans="1:42" s="174" customFormat="1" ht="15" customHeight="1" x14ac:dyDescent="0.2">
      <c r="A62" s="205"/>
      <c r="B62" s="185"/>
      <c r="C62" s="205"/>
      <c r="D62" s="187" t="str">
        <f>IF(Kérdőív!AW51=1,"X","")</f>
        <v/>
      </c>
      <c r="E62" s="204" t="s">
        <v>30</v>
      </c>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5"/>
    </row>
    <row r="63" spans="1:42" s="174" customFormat="1" ht="15" customHeight="1" x14ac:dyDescent="0.2">
      <c r="A63" s="205"/>
      <c r="B63" s="185"/>
      <c r="C63" s="205"/>
      <c r="D63" s="187" t="str">
        <f>IF(Kérdőív!AW52=1,"X","")</f>
        <v/>
      </c>
      <c r="E63" s="204" t="s">
        <v>31</v>
      </c>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5"/>
    </row>
    <row r="64" spans="1:42" s="174" customFormat="1" ht="15" customHeight="1" x14ac:dyDescent="0.2">
      <c r="A64" s="205"/>
      <c r="B64" s="18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row>
    <row r="65" spans="1:42" s="174" customFormat="1" ht="15" customHeight="1" x14ac:dyDescent="0.2">
      <c r="A65" s="205"/>
      <c r="B65" s="189" t="s">
        <v>39</v>
      </c>
      <c r="C65" s="205"/>
      <c r="D65" s="439" t="s">
        <v>108</v>
      </c>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row>
    <row r="66" spans="1:42" s="174" customFormat="1" ht="15" customHeight="1" x14ac:dyDescent="0.2">
      <c r="A66" s="205"/>
      <c r="B66" s="185"/>
      <c r="C66" s="205"/>
      <c r="D66" s="225" t="s">
        <v>109</v>
      </c>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row>
    <row r="67" spans="1:42" s="174" customFormat="1" ht="6" customHeight="1" x14ac:dyDescent="0.2">
      <c r="A67" s="205"/>
      <c r="B67" s="185"/>
      <c r="C67" s="205"/>
      <c r="D67" s="22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row>
    <row r="68" spans="1:42" s="174" customFormat="1" ht="15" customHeight="1" x14ac:dyDescent="0.2">
      <c r="A68" s="205"/>
      <c r="B68" s="185"/>
      <c r="C68" s="205"/>
      <c r="D68" s="205"/>
      <c r="E68" s="187" t="str">
        <f>IF(Kérdőív!AW56=TRUE,"X","")</f>
        <v/>
      </c>
      <c r="F68" s="204" t="s">
        <v>111</v>
      </c>
      <c r="G68" s="205"/>
      <c r="H68" s="205"/>
      <c r="I68" s="205"/>
      <c r="J68" s="205"/>
      <c r="K68" s="205"/>
      <c r="L68" s="205"/>
      <c r="M68" s="205"/>
      <c r="O68" s="187" t="str">
        <f>IF(Kérdőív!AX56=TRUE,"X","")</f>
        <v/>
      </c>
      <c r="P68" s="204" t="s">
        <v>113</v>
      </c>
      <c r="Q68" s="205"/>
      <c r="R68" s="205"/>
      <c r="S68" s="205"/>
      <c r="T68" s="205"/>
      <c r="U68" s="205"/>
      <c r="V68" s="205"/>
      <c r="Y68" s="187" t="str">
        <f>IF(Kérdőív!AY56=TRUE,"X","")</f>
        <v/>
      </c>
      <c r="Z68" s="204" t="s">
        <v>116</v>
      </c>
      <c r="AA68" s="205"/>
      <c r="AB68" s="205"/>
      <c r="AC68" s="205"/>
      <c r="AE68" s="205"/>
      <c r="AF68" s="205"/>
      <c r="AG68" s="205"/>
      <c r="AH68" s="205"/>
      <c r="AI68" s="205"/>
      <c r="AJ68" s="205"/>
      <c r="AK68" s="205"/>
      <c r="AL68" s="205"/>
      <c r="AM68" s="205"/>
      <c r="AN68" s="205"/>
      <c r="AO68" s="205"/>
      <c r="AP68" s="205"/>
    </row>
    <row r="69" spans="1:42" s="174" customFormat="1" ht="15" customHeight="1" x14ac:dyDescent="0.2">
      <c r="A69" s="205"/>
      <c r="B69" s="185"/>
      <c r="C69" s="205"/>
      <c r="D69" s="205"/>
      <c r="E69" s="187" t="str">
        <f>IF(Kérdőív!AW57=TRUE,"X","")</f>
        <v/>
      </c>
      <c r="F69" s="204" t="s">
        <v>93</v>
      </c>
      <c r="G69" s="205"/>
      <c r="H69" s="205"/>
      <c r="I69" s="205"/>
      <c r="J69" s="205"/>
      <c r="K69" s="205"/>
      <c r="L69" s="205"/>
      <c r="M69" s="205"/>
      <c r="O69" s="187" t="str">
        <f>IF(Kérdőív!AX57=TRUE,"X","")</f>
        <v/>
      </c>
      <c r="P69" s="204" t="s">
        <v>114</v>
      </c>
      <c r="Q69" s="205"/>
      <c r="R69" s="205"/>
      <c r="S69" s="205"/>
      <c r="T69" s="205"/>
      <c r="U69" s="205"/>
      <c r="V69" s="205"/>
      <c r="Y69" s="187" t="str">
        <f>IF(Kérdőív!AY57=TRUE,"X","")</f>
        <v/>
      </c>
      <c r="Z69" s="204" t="s">
        <v>117</v>
      </c>
      <c r="AA69" s="205"/>
      <c r="AB69" s="205"/>
      <c r="AC69" s="205"/>
      <c r="AE69" s="205"/>
      <c r="AF69" s="205"/>
      <c r="AG69" s="205"/>
      <c r="AH69" s="205"/>
      <c r="AI69" s="205"/>
      <c r="AJ69" s="205"/>
      <c r="AK69" s="205"/>
      <c r="AL69" s="205"/>
      <c r="AM69" s="205"/>
      <c r="AN69" s="205"/>
      <c r="AO69" s="205"/>
      <c r="AP69" s="205"/>
    </row>
    <row r="70" spans="1:42" s="174" customFormat="1" ht="15" customHeight="1" x14ac:dyDescent="0.2">
      <c r="A70" s="205"/>
      <c r="B70" s="185"/>
      <c r="C70" s="205"/>
      <c r="D70" s="205"/>
      <c r="E70" s="187" t="str">
        <f>IF(Kérdőív!AW58=TRUE,"X","")</f>
        <v/>
      </c>
      <c r="F70" s="204" t="s">
        <v>112</v>
      </c>
      <c r="G70" s="205"/>
      <c r="H70" s="205"/>
      <c r="I70" s="205"/>
      <c r="J70" s="205"/>
      <c r="K70" s="205"/>
      <c r="L70" s="205"/>
      <c r="M70" s="205"/>
      <c r="O70" s="187" t="str">
        <f>IF(Kérdőív!AX58=TRUE,"X","")</f>
        <v/>
      </c>
      <c r="P70" s="204" t="s">
        <v>115</v>
      </c>
      <c r="Q70" s="205"/>
      <c r="R70" s="205"/>
      <c r="S70" s="205"/>
      <c r="T70" s="205"/>
      <c r="U70" s="205"/>
      <c r="V70" s="205"/>
      <c r="W70" s="205"/>
      <c r="X70" s="205"/>
      <c r="Y70" s="205"/>
      <c r="Z70" s="205"/>
      <c r="AA70" s="205"/>
      <c r="AB70" s="205"/>
      <c r="AC70" s="205"/>
      <c r="AE70" s="205"/>
      <c r="AF70" s="205"/>
      <c r="AG70" s="205"/>
      <c r="AH70" s="205"/>
      <c r="AI70" s="205"/>
      <c r="AJ70" s="205"/>
      <c r="AK70" s="205"/>
      <c r="AL70" s="205"/>
      <c r="AM70" s="205"/>
      <c r="AN70" s="205"/>
      <c r="AO70" s="205"/>
      <c r="AP70" s="205"/>
    </row>
    <row r="71" spans="1:42" s="174" customFormat="1" ht="15" customHeight="1" x14ac:dyDescent="0.2">
      <c r="A71" s="205"/>
      <c r="B71" s="185"/>
      <c r="C71" s="205"/>
      <c r="D71" s="205"/>
      <c r="E71" s="194"/>
      <c r="F71" s="204"/>
      <c r="G71" s="205"/>
      <c r="H71" s="205"/>
      <c r="I71" s="205"/>
      <c r="J71" s="205"/>
      <c r="K71" s="205"/>
      <c r="L71" s="205"/>
      <c r="M71" s="205"/>
      <c r="O71" s="194"/>
      <c r="P71" s="204"/>
      <c r="Q71" s="205"/>
      <c r="R71" s="205"/>
      <c r="S71" s="205"/>
      <c r="T71" s="205"/>
      <c r="U71" s="205"/>
      <c r="V71" s="205"/>
      <c r="W71" s="205"/>
      <c r="X71" s="205"/>
      <c r="Y71" s="205"/>
      <c r="Z71" s="205"/>
      <c r="AA71" s="205"/>
      <c r="AB71" s="205"/>
      <c r="AC71" s="205"/>
      <c r="AE71" s="205"/>
      <c r="AF71" s="205"/>
      <c r="AG71" s="205"/>
      <c r="AH71" s="205"/>
      <c r="AI71" s="205"/>
      <c r="AJ71" s="205"/>
      <c r="AK71" s="205"/>
      <c r="AL71" s="205"/>
      <c r="AM71" s="205"/>
      <c r="AN71" s="205"/>
      <c r="AO71" s="205"/>
      <c r="AP71" s="205"/>
    </row>
    <row r="72" spans="1:42" s="174" customFormat="1" ht="15" customHeight="1" x14ac:dyDescent="0.2">
      <c r="A72" s="205"/>
      <c r="B72" s="185"/>
      <c r="C72" s="205"/>
      <c r="D72" s="225" t="s">
        <v>110</v>
      </c>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row>
    <row r="73" spans="1:42" s="174" customFormat="1" ht="6" customHeight="1" x14ac:dyDescent="0.2">
      <c r="A73" s="205"/>
      <c r="B73" s="185"/>
      <c r="C73" s="205"/>
      <c r="D73" s="22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row>
    <row r="74" spans="1:42" s="174" customFormat="1" ht="15" customHeight="1" x14ac:dyDescent="0.2">
      <c r="A74" s="205"/>
      <c r="B74" s="185"/>
      <c r="C74" s="205"/>
      <c r="D74" s="205"/>
      <c r="E74" s="187" t="str">
        <f>IF(Kérdőív!AW60=1,"X","")</f>
        <v/>
      </c>
      <c r="F74" s="204" t="s">
        <v>118</v>
      </c>
      <c r="G74" s="205"/>
      <c r="H74" s="205"/>
      <c r="I74" s="205"/>
      <c r="J74" s="205"/>
      <c r="K74" s="205"/>
      <c r="L74" s="205"/>
      <c r="M74" s="205"/>
      <c r="N74" s="205"/>
      <c r="O74" s="187" t="str">
        <f>IF(Kérdőív!AW62=1,"X","")</f>
        <v/>
      </c>
      <c r="P74" s="204" t="s">
        <v>120</v>
      </c>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row>
    <row r="75" spans="1:42" s="174" customFormat="1" ht="15" customHeight="1" x14ac:dyDescent="0.2">
      <c r="A75" s="205"/>
      <c r="B75" s="185"/>
      <c r="C75" s="205"/>
      <c r="D75" s="205"/>
      <c r="E75" s="187" t="str">
        <f>IF(Kérdőív!AW61=1,"X","")</f>
        <v/>
      </c>
      <c r="F75" s="204" t="s">
        <v>119</v>
      </c>
      <c r="G75" s="205"/>
      <c r="H75" s="205"/>
      <c r="I75" s="205"/>
      <c r="J75" s="205"/>
      <c r="K75" s="205"/>
      <c r="L75" s="205"/>
      <c r="M75" s="205"/>
      <c r="N75" s="205"/>
      <c r="O75" s="187" t="str">
        <f>IF(Kérdőív!AW63=1,"X","")</f>
        <v/>
      </c>
      <c r="P75" s="204" t="s">
        <v>121</v>
      </c>
      <c r="R75" s="205"/>
      <c r="S75" s="205"/>
      <c r="T75" s="205"/>
      <c r="U75" s="205"/>
      <c r="V75" s="205"/>
      <c r="W75" s="205"/>
      <c r="X75" s="205"/>
      <c r="Y75" s="205"/>
      <c r="Z75" s="205"/>
      <c r="AA75" s="205"/>
      <c r="AB75" s="205"/>
      <c r="AC75" s="205"/>
      <c r="AD75" s="205"/>
      <c r="AE75" s="205"/>
      <c r="AF75" s="205"/>
      <c r="AG75" s="205"/>
      <c r="AH75" s="205"/>
      <c r="AI75" s="184"/>
      <c r="AJ75" s="184"/>
      <c r="AK75" s="184"/>
      <c r="AL75" s="184"/>
      <c r="AM75" s="184"/>
      <c r="AN75" s="184"/>
      <c r="AO75" s="205"/>
      <c r="AP75" s="205"/>
    </row>
    <row r="76" spans="1:42" s="174" customFormat="1" ht="15" customHeight="1" x14ac:dyDescent="0.2">
      <c r="A76" s="205"/>
      <c r="B76" s="185"/>
      <c r="C76" s="205"/>
      <c r="D76" s="205"/>
      <c r="E76" s="205"/>
      <c r="F76" s="205"/>
      <c r="G76" s="205"/>
      <c r="H76" s="205"/>
      <c r="I76" s="205"/>
      <c r="J76" s="205"/>
      <c r="K76" s="205"/>
      <c r="L76" s="205"/>
      <c r="M76" s="205"/>
      <c r="N76" s="205"/>
      <c r="O76" s="205"/>
      <c r="P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row>
    <row r="77" spans="1:42" s="174" customFormat="1" ht="15" customHeight="1" x14ac:dyDescent="0.2">
      <c r="A77" s="205"/>
      <c r="B77" s="189" t="s">
        <v>48</v>
      </c>
      <c r="C77" s="205"/>
      <c r="D77" s="439" t="s">
        <v>122</v>
      </c>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39"/>
      <c r="AP77" s="439"/>
    </row>
    <row r="78" spans="1:42" s="174" customFormat="1" ht="15" customHeight="1" x14ac:dyDescent="0.2">
      <c r="A78" s="205"/>
      <c r="B78" s="185"/>
      <c r="C78" s="205"/>
      <c r="D78" s="225" t="s">
        <v>123</v>
      </c>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row>
    <row r="79" spans="1:42" s="174" customFormat="1" ht="6" customHeight="1" x14ac:dyDescent="0.2">
      <c r="A79" s="205"/>
      <c r="B79" s="185"/>
      <c r="C79" s="205"/>
      <c r="D79" s="22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row>
    <row r="80" spans="1:42" s="174" customFormat="1" ht="15" customHeight="1" x14ac:dyDescent="0.2">
      <c r="A80" s="205"/>
      <c r="B80" s="185"/>
      <c r="C80" s="205"/>
      <c r="D80" s="205"/>
      <c r="E80" s="187" t="str">
        <f>IF(Kérdőív!AW67=TRUE,"X","")</f>
        <v/>
      </c>
      <c r="F80" s="204" t="s">
        <v>125</v>
      </c>
      <c r="G80" s="205"/>
      <c r="H80" s="205"/>
      <c r="I80" s="205"/>
      <c r="J80" s="205"/>
      <c r="K80" s="205"/>
      <c r="L80" s="205"/>
      <c r="M80" s="205"/>
      <c r="O80" s="187" t="str">
        <f>IF(Kérdőív!AX67=TRUE,"X","")</f>
        <v/>
      </c>
      <c r="P80" s="204" t="s">
        <v>127</v>
      </c>
      <c r="Q80" s="205"/>
      <c r="R80" s="205"/>
      <c r="S80" s="205"/>
      <c r="T80" s="205"/>
      <c r="V80" s="205"/>
      <c r="W80" s="205"/>
      <c r="X80" s="205"/>
      <c r="Y80" s="204"/>
      <c r="Z80" s="205"/>
      <c r="AA80" s="205"/>
      <c r="AB80" s="205"/>
      <c r="AC80" s="205"/>
      <c r="AD80" s="205"/>
      <c r="AE80" s="205"/>
      <c r="AF80" s="205"/>
      <c r="AG80" s="205"/>
      <c r="AH80" s="205"/>
      <c r="AI80" s="205"/>
      <c r="AJ80" s="205"/>
      <c r="AK80" s="205"/>
      <c r="AL80" s="205"/>
      <c r="AM80" s="205"/>
      <c r="AN80" s="205"/>
      <c r="AO80" s="205"/>
      <c r="AP80" s="205"/>
    </row>
    <row r="81" spans="1:42" s="174" customFormat="1" ht="15" customHeight="1" x14ac:dyDescent="0.2">
      <c r="A81" s="205"/>
      <c r="B81" s="185"/>
      <c r="C81" s="205"/>
      <c r="D81" s="205"/>
      <c r="E81" s="187" t="str">
        <f>IF(Kérdőív!AW68=TRUE,"X","")</f>
        <v/>
      </c>
      <c r="F81" s="204" t="s">
        <v>126</v>
      </c>
      <c r="G81" s="205"/>
      <c r="H81" s="205"/>
      <c r="I81" s="205"/>
      <c r="J81" s="205"/>
      <c r="K81" s="205"/>
      <c r="L81" s="205"/>
      <c r="M81" s="205"/>
      <c r="O81" s="187" t="str">
        <f>IF(Kérdőív!AX68=TRUE,"X","")</f>
        <v/>
      </c>
      <c r="P81" s="204" t="s">
        <v>117</v>
      </c>
      <c r="Q81" s="205"/>
      <c r="R81" s="205"/>
      <c r="S81" s="205"/>
      <c r="T81" s="205"/>
      <c r="V81" s="205"/>
      <c r="W81" s="205"/>
      <c r="X81" s="205"/>
      <c r="Y81" s="204"/>
      <c r="Z81" s="205"/>
      <c r="AA81" s="205"/>
      <c r="AB81" s="205"/>
      <c r="AC81" s="205"/>
      <c r="AD81" s="205"/>
      <c r="AE81" s="205"/>
      <c r="AF81" s="205"/>
      <c r="AG81" s="205"/>
      <c r="AH81" s="205"/>
      <c r="AI81" s="205"/>
      <c r="AJ81" s="205"/>
      <c r="AK81" s="205"/>
      <c r="AL81" s="205"/>
      <c r="AM81" s="205"/>
      <c r="AN81" s="205"/>
      <c r="AO81" s="205"/>
      <c r="AP81" s="205"/>
    </row>
    <row r="82" spans="1:42" s="174" customFormat="1" ht="15" customHeight="1" x14ac:dyDescent="0.2">
      <c r="A82" s="205"/>
      <c r="B82" s="185"/>
      <c r="C82" s="205"/>
      <c r="D82" s="205"/>
      <c r="E82" s="194"/>
      <c r="F82" s="204"/>
      <c r="G82" s="205"/>
      <c r="H82" s="205"/>
      <c r="I82" s="205"/>
      <c r="J82" s="205"/>
      <c r="K82" s="205"/>
      <c r="L82" s="205"/>
      <c r="M82" s="205"/>
      <c r="O82" s="194"/>
      <c r="P82" s="204"/>
      <c r="Q82" s="205"/>
      <c r="R82" s="205"/>
      <c r="S82" s="205"/>
      <c r="T82" s="205"/>
      <c r="V82" s="205"/>
      <c r="W82" s="205"/>
      <c r="X82" s="205"/>
      <c r="Y82" s="204"/>
      <c r="Z82" s="205"/>
      <c r="AA82" s="205"/>
      <c r="AB82" s="205"/>
      <c r="AC82" s="205"/>
      <c r="AD82" s="205"/>
      <c r="AE82" s="205"/>
      <c r="AF82" s="205"/>
      <c r="AG82" s="205"/>
      <c r="AH82" s="205"/>
      <c r="AI82" s="205"/>
      <c r="AJ82" s="205"/>
      <c r="AK82" s="205"/>
      <c r="AL82" s="205"/>
      <c r="AM82" s="205"/>
      <c r="AN82" s="205"/>
      <c r="AO82" s="205"/>
      <c r="AP82" s="205"/>
    </row>
    <row r="83" spans="1:42" s="174" customFormat="1" ht="15" customHeight="1" x14ac:dyDescent="0.2">
      <c r="A83" s="205"/>
      <c r="B83" s="185"/>
      <c r="C83" s="205"/>
      <c r="D83" s="225" t="s">
        <v>124</v>
      </c>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row>
    <row r="84" spans="1:42" s="174" customFormat="1" ht="6" customHeight="1" x14ac:dyDescent="0.2">
      <c r="A84" s="205"/>
      <c r="B84" s="185"/>
      <c r="C84" s="205"/>
      <c r="D84" s="22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row>
    <row r="85" spans="1:42" s="174" customFormat="1" ht="15" customHeight="1" x14ac:dyDescent="0.2">
      <c r="A85" s="205"/>
      <c r="B85" s="185"/>
      <c r="C85" s="205"/>
      <c r="D85" s="205"/>
      <c r="E85" s="187" t="str">
        <f>IF(Kérdőív!AW70=1,"X","")</f>
        <v/>
      </c>
      <c r="F85" s="204" t="s">
        <v>118</v>
      </c>
      <c r="G85" s="205"/>
      <c r="H85" s="205"/>
      <c r="I85" s="205"/>
      <c r="J85" s="205"/>
      <c r="K85" s="205"/>
      <c r="L85" s="205"/>
      <c r="M85" s="205"/>
      <c r="N85" s="205"/>
      <c r="O85" s="187" t="str">
        <f>IF(Kérdőív!AW72=1,"X","")</f>
        <v/>
      </c>
      <c r="P85" s="204" t="s">
        <v>120</v>
      </c>
      <c r="Q85" s="205"/>
      <c r="R85" s="205"/>
      <c r="S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row>
    <row r="86" spans="1:42" s="174" customFormat="1" ht="15" customHeight="1" x14ac:dyDescent="0.2">
      <c r="A86" s="205"/>
      <c r="B86" s="185"/>
      <c r="C86" s="205"/>
      <c r="D86" s="205"/>
      <c r="E86" s="187" t="str">
        <f>IF(Kérdőív!AW71=1,"X","")</f>
        <v/>
      </c>
      <c r="F86" s="204" t="s">
        <v>119</v>
      </c>
      <c r="G86" s="205"/>
      <c r="H86" s="205"/>
      <c r="I86" s="205"/>
      <c r="J86" s="205"/>
      <c r="K86" s="205"/>
      <c r="L86" s="205"/>
      <c r="M86" s="205"/>
      <c r="N86" s="205"/>
      <c r="O86" s="187" t="str">
        <f>IF(Kérdőív!AW73=1,"X","")</f>
        <v/>
      </c>
      <c r="P86" s="204" t="s">
        <v>121</v>
      </c>
      <c r="Q86" s="205"/>
      <c r="R86" s="205"/>
      <c r="S86" s="205"/>
      <c r="U86" s="205"/>
      <c r="V86" s="205"/>
      <c r="W86" s="205"/>
      <c r="X86" s="205"/>
      <c r="Y86" s="205"/>
      <c r="Z86" s="205"/>
      <c r="AA86" s="205"/>
      <c r="AB86" s="205"/>
      <c r="AC86" s="205"/>
      <c r="AD86" s="205"/>
      <c r="AE86" s="205"/>
      <c r="AF86" s="205"/>
      <c r="AG86" s="205"/>
      <c r="AH86" s="205"/>
      <c r="AI86" s="184"/>
      <c r="AJ86" s="184"/>
      <c r="AK86" s="184"/>
      <c r="AL86" s="184"/>
      <c r="AM86" s="184"/>
      <c r="AN86" s="184"/>
      <c r="AO86" s="205"/>
      <c r="AP86" s="205"/>
    </row>
    <row r="87" spans="1:42" s="174" customFormat="1" ht="15" customHeight="1" x14ac:dyDescent="0.2">
      <c r="A87" s="205"/>
      <c r="B87" s="18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row>
    <row r="88" spans="1:42" s="174" customFormat="1" ht="15" customHeight="1" x14ac:dyDescent="0.2">
      <c r="A88" s="205"/>
      <c r="B88" s="189" t="s">
        <v>49</v>
      </c>
      <c r="C88" s="205"/>
      <c r="D88" s="439" t="s">
        <v>128</v>
      </c>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row>
    <row r="89" spans="1:42" s="174" customFormat="1" ht="15" customHeight="1" x14ac:dyDescent="0.2">
      <c r="A89" s="205"/>
      <c r="B89" s="185"/>
      <c r="C89" s="205"/>
      <c r="D89" s="225" t="s">
        <v>129</v>
      </c>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row>
    <row r="90" spans="1:42" s="174" customFormat="1" ht="6" customHeight="1" x14ac:dyDescent="0.2">
      <c r="A90" s="205"/>
      <c r="B90" s="185"/>
      <c r="C90" s="205"/>
      <c r="D90" s="22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row>
    <row r="91" spans="1:42" s="174" customFormat="1" ht="15" customHeight="1" x14ac:dyDescent="0.2">
      <c r="A91" s="205"/>
      <c r="B91" s="185"/>
      <c r="C91" s="205"/>
      <c r="D91" s="205"/>
      <c r="E91" s="187" t="str">
        <f>IF(Kérdőív!AW77=TRUE,"X","")</f>
        <v/>
      </c>
      <c r="F91" s="204" t="s">
        <v>131</v>
      </c>
      <c r="G91" s="205"/>
      <c r="H91" s="205"/>
      <c r="I91" s="205"/>
      <c r="J91" s="205"/>
      <c r="K91" s="205"/>
      <c r="L91" s="205"/>
      <c r="M91" s="205"/>
      <c r="O91" s="187" t="str">
        <f>IF(Kérdőív!AX77=TRUE,"X","")</f>
        <v/>
      </c>
      <c r="P91" s="204" t="s">
        <v>133</v>
      </c>
      <c r="Q91" s="205"/>
      <c r="R91" s="205"/>
      <c r="T91" s="205"/>
      <c r="U91" s="205"/>
      <c r="V91" s="205"/>
      <c r="W91" s="205"/>
      <c r="X91" s="205"/>
      <c r="Y91" s="204"/>
      <c r="Z91" s="205"/>
      <c r="AA91" s="205"/>
      <c r="AB91" s="205"/>
      <c r="AC91" s="205"/>
      <c r="AD91" s="205"/>
      <c r="AE91" s="205"/>
      <c r="AF91" s="205"/>
      <c r="AG91" s="205"/>
      <c r="AH91" s="205"/>
      <c r="AI91" s="205"/>
      <c r="AJ91" s="205"/>
      <c r="AK91" s="205"/>
      <c r="AL91" s="205"/>
      <c r="AM91" s="205"/>
      <c r="AN91" s="205"/>
      <c r="AO91" s="205"/>
      <c r="AP91" s="205"/>
    </row>
    <row r="92" spans="1:42" s="174" customFormat="1" ht="15" customHeight="1" x14ac:dyDescent="0.2">
      <c r="A92" s="205"/>
      <c r="B92" s="185"/>
      <c r="C92" s="205"/>
      <c r="D92" s="205"/>
      <c r="E92" s="187" t="str">
        <f>IF(Kérdőív!AW78=TRUE,"X","")</f>
        <v/>
      </c>
      <c r="F92" s="204" t="s">
        <v>132</v>
      </c>
      <c r="G92" s="205"/>
      <c r="H92" s="205"/>
      <c r="I92" s="205"/>
      <c r="J92" s="205"/>
      <c r="K92" s="205"/>
      <c r="L92" s="205"/>
      <c r="M92" s="205"/>
      <c r="O92" s="187" t="str">
        <f>IF(Kérdőív!AX78=TRUE,"X","")</f>
        <v/>
      </c>
      <c r="P92" s="204" t="s">
        <v>117</v>
      </c>
      <c r="Q92" s="205"/>
      <c r="R92" s="205"/>
      <c r="T92" s="205"/>
      <c r="U92" s="205"/>
      <c r="V92" s="205"/>
      <c r="W92" s="205"/>
      <c r="X92" s="205"/>
      <c r="Y92" s="204"/>
      <c r="Z92" s="205"/>
      <c r="AA92" s="205"/>
      <c r="AB92" s="205"/>
      <c r="AC92" s="205"/>
      <c r="AD92" s="205"/>
      <c r="AE92" s="205"/>
      <c r="AF92" s="205"/>
      <c r="AG92" s="205"/>
      <c r="AH92" s="205"/>
      <c r="AI92" s="205"/>
      <c r="AJ92" s="205"/>
      <c r="AK92" s="205"/>
      <c r="AL92" s="205"/>
      <c r="AM92" s="205"/>
      <c r="AN92" s="205"/>
      <c r="AO92" s="205"/>
      <c r="AP92" s="205"/>
    </row>
    <row r="93" spans="1:42" s="174" customFormat="1" ht="15" customHeight="1" x14ac:dyDescent="0.2">
      <c r="A93" s="205"/>
      <c r="B93" s="185"/>
      <c r="C93" s="205"/>
      <c r="D93" s="205"/>
      <c r="E93" s="194"/>
      <c r="F93" s="204"/>
      <c r="G93" s="205"/>
      <c r="H93" s="205"/>
      <c r="I93" s="205"/>
      <c r="J93" s="205"/>
      <c r="K93" s="205"/>
      <c r="L93" s="205"/>
      <c r="M93" s="205"/>
      <c r="O93" s="194"/>
      <c r="P93" s="204"/>
      <c r="Q93" s="205"/>
      <c r="R93" s="205"/>
      <c r="T93" s="205"/>
      <c r="U93" s="205"/>
      <c r="V93" s="205"/>
      <c r="W93" s="205"/>
      <c r="X93" s="205"/>
      <c r="Y93" s="204"/>
      <c r="Z93" s="205"/>
      <c r="AA93" s="205"/>
      <c r="AB93" s="205"/>
      <c r="AC93" s="205"/>
      <c r="AD93" s="205"/>
      <c r="AE93" s="205"/>
      <c r="AF93" s="205"/>
      <c r="AG93" s="205"/>
      <c r="AH93" s="205"/>
      <c r="AI93" s="205"/>
      <c r="AJ93" s="205"/>
      <c r="AK93" s="205"/>
      <c r="AL93" s="205"/>
      <c r="AM93" s="205"/>
      <c r="AN93" s="205"/>
      <c r="AO93" s="205"/>
      <c r="AP93" s="205"/>
    </row>
    <row r="94" spans="1:42" s="174" customFormat="1" ht="15" customHeight="1" x14ac:dyDescent="0.2">
      <c r="A94" s="205"/>
      <c r="B94" s="185"/>
      <c r="C94" s="205"/>
      <c r="D94" s="225" t="s">
        <v>130</v>
      </c>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row>
    <row r="95" spans="1:42" s="174" customFormat="1" ht="6" customHeight="1" x14ac:dyDescent="0.2">
      <c r="A95" s="205"/>
      <c r="B95" s="185"/>
      <c r="C95" s="205"/>
      <c r="D95" s="22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row>
    <row r="96" spans="1:42" s="174" customFormat="1" ht="15" customHeight="1" x14ac:dyDescent="0.2">
      <c r="A96" s="205"/>
      <c r="B96" s="185"/>
      <c r="C96" s="205"/>
      <c r="D96" s="205"/>
      <c r="E96" s="187" t="str">
        <f>IF(Kérdőív!AW80=1,"X","")</f>
        <v/>
      </c>
      <c r="F96" s="204" t="s">
        <v>134</v>
      </c>
      <c r="G96" s="205"/>
      <c r="H96" s="205"/>
      <c r="I96" s="205"/>
      <c r="J96" s="205"/>
      <c r="K96" s="205"/>
      <c r="L96" s="205"/>
      <c r="M96" s="205"/>
      <c r="N96" s="205"/>
      <c r="O96" s="187" t="str">
        <f>IF(Kérdőív!AW81=1,"X","")</f>
        <v/>
      </c>
      <c r="P96" s="204" t="s">
        <v>135</v>
      </c>
      <c r="Q96" s="205"/>
      <c r="R96" s="205"/>
      <c r="S96" s="205"/>
      <c r="T96" s="205"/>
      <c r="U96" s="205"/>
      <c r="V96" s="205"/>
      <c r="W96" s="205"/>
      <c r="Y96" s="187" t="str">
        <f>IF(Kérdőív!AW82=1,"X","")</f>
        <v/>
      </c>
      <c r="Z96" s="204" t="s">
        <v>136</v>
      </c>
      <c r="AB96" s="205"/>
      <c r="AD96" s="205"/>
      <c r="AE96" s="205"/>
      <c r="AF96" s="205"/>
      <c r="AG96" s="205"/>
      <c r="AH96" s="205"/>
      <c r="AI96" s="205"/>
      <c r="AJ96" s="205"/>
      <c r="AK96" s="205"/>
      <c r="AL96" s="205"/>
      <c r="AM96" s="205"/>
      <c r="AN96" s="205"/>
      <c r="AO96" s="205"/>
      <c r="AP96" s="205"/>
    </row>
    <row r="97" spans="1:42" s="174" customFormat="1" ht="15" customHeight="1" x14ac:dyDescent="0.2">
      <c r="A97" s="205"/>
      <c r="B97" s="185"/>
      <c r="C97" s="205"/>
      <c r="D97" s="205"/>
      <c r="E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184"/>
      <c r="AJ97" s="184"/>
      <c r="AK97" s="184"/>
      <c r="AL97" s="184"/>
      <c r="AM97" s="184"/>
      <c r="AN97" s="184"/>
      <c r="AO97" s="205"/>
      <c r="AP97" s="205"/>
    </row>
    <row r="98" spans="1:42" s="174" customFormat="1" ht="15" customHeight="1" x14ac:dyDescent="0.2">
      <c r="A98" s="205"/>
      <c r="B98" s="189" t="s">
        <v>56</v>
      </c>
      <c r="C98" s="205"/>
      <c r="D98" s="441" t="s">
        <v>51</v>
      </c>
      <c r="E98" s="441"/>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c r="AP98" s="441"/>
    </row>
    <row r="99" spans="1:42" s="174" customFormat="1" ht="15" customHeight="1" x14ac:dyDescent="0.2">
      <c r="A99" s="205"/>
      <c r="B99" s="189"/>
      <c r="C99" s="205"/>
      <c r="D99" s="441"/>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c r="AP99" s="441"/>
    </row>
    <row r="100" spans="1:42" s="174" customFormat="1" ht="6" customHeight="1" x14ac:dyDescent="0.2">
      <c r="A100" s="205"/>
      <c r="B100" s="189"/>
      <c r="C100" s="205"/>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row>
    <row r="101" spans="1:42" s="174" customFormat="1" ht="15" customHeight="1" x14ac:dyDescent="0.2">
      <c r="A101" s="205"/>
      <c r="B101" s="185"/>
      <c r="C101" s="205"/>
      <c r="D101" s="187" t="str">
        <f>IF(Kérdőív!AW86=1,"X","")</f>
        <v/>
      </c>
      <c r="E101" s="442" t="s">
        <v>52</v>
      </c>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c r="AG101" s="442"/>
      <c r="AH101" s="442"/>
      <c r="AI101" s="442"/>
      <c r="AJ101" s="442"/>
      <c r="AK101" s="442"/>
      <c r="AL101" s="442"/>
      <c r="AM101" s="442"/>
      <c r="AN101" s="442"/>
      <c r="AO101" s="442"/>
      <c r="AP101" s="191"/>
    </row>
    <row r="102" spans="1:42" s="174" customFormat="1" ht="15" customHeight="1" x14ac:dyDescent="0.2">
      <c r="A102" s="205"/>
      <c r="B102" s="185"/>
      <c r="C102" s="205"/>
      <c r="D102" s="187" t="str">
        <f>IF(Kérdőív!AW87=1,"X","")</f>
        <v/>
      </c>
      <c r="E102" s="438" t="s">
        <v>53</v>
      </c>
      <c r="F102" s="438"/>
      <c r="G102" s="438"/>
      <c r="H102" s="438"/>
      <c r="I102" s="438"/>
      <c r="J102" s="438"/>
      <c r="K102" s="438"/>
      <c r="L102" s="438"/>
      <c r="M102" s="438"/>
      <c r="N102" s="438"/>
      <c r="O102" s="438"/>
      <c r="P102" s="438"/>
      <c r="Q102" s="438"/>
      <c r="R102" s="438"/>
      <c r="S102" s="438"/>
      <c r="T102" s="438"/>
      <c r="U102" s="438"/>
      <c r="V102" s="438"/>
      <c r="W102" s="438"/>
      <c r="X102" s="438"/>
      <c r="Y102" s="438"/>
      <c r="Z102" s="438"/>
      <c r="AA102" s="438"/>
      <c r="AB102" s="438"/>
      <c r="AC102" s="438"/>
      <c r="AD102" s="438"/>
      <c r="AE102" s="438"/>
      <c r="AF102" s="438"/>
      <c r="AG102" s="438"/>
      <c r="AH102" s="438"/>
      <c r="AI102" s="438"/>
      <c r="AJ102" s="438"/>
      <c r="AK102" s="438"/>
      <c r="AL102" s="438"/>
      <c r="AM102" s="438"/>
      <c r="AN102" s="438"/>
      <c r="AO102" s="438"/>
      <c r="AP102" s="438"/>
    </row>
    <row r="103" spans="1:42" s="174" customFormat="1" ht="15" customHeight="1" x14ac:dyDescent="0.2">
      <c r="A103" s="205"/>
      <c r="B103" s="185"/>
      <c r="C103" s="205"/>
      <c r="D103" s="205"/>
      <c r="E103" s="438"/>
      <c r="F103" s="438"/>
      <c r="G103" s="438"/>
      <c r="H103" s="438"/>
      <c r="I103" s="438"/>
      <c r="J103" s="438"/>
      <c r="K103" s="438"/>
      <c r="L103" s="438"/>
      <c r="M103" s="438"/>
      <c r="N103" s="438"/>
      <c r="O103" s="438"/>
      <c r="P103" s="438"/>
      <c r="Q103" s="438"/>
      <c r="R103" s="438"/>
      <c r="S103" s="438"/>
      <c r="T103" s="438"/>
      <c r="U103" s="438"/>
      <c r="V103" s="438"/>
      <c r="W103" s="438"/>
      <c r="X103" s="438"/>
      <c r="Y103" s="438"/>
      <c r="Z103" s="438"/>
      <c r="AA103" s="438"/>
      <c r="AB103" s="438"/>
      <c r="AC103" s="438"/>
      <c r="AD103" s="438"/>
      <c r="AE103" s="438"/>
      <c r="AF103" s="438"/>
      <c r="AG103" s="438"/>
      <c r="AH103" s="438"/>
      <c r="AI103" s="438"/>
      <c r="AJ103" s="438"/>
      <c r="AK103" s="438"/>
      <c r="AL103" s="438"/>
      <c r="AM103" s="438"/>
      <c r="AN103" s="438"/>
      <c r="AO103" s="438"/>
      <c r="AP103" s="438"/>
    </row>
    <row r="104" spans="1:42" s="174" customFormat="1" ht="15" customHeight="1" x14ac:dyDescent="0.2">
      <c r="A104" s="205"/>
      <c r="B104" s="185"/>
      <c r="C104" s="205"/>
      <c r="D104" s="187" t="str">
        <f>IF(Kérdőív!AW89=1,"X","")</f>
        <v/>
      </c>
      <c r="E104" s="443" t="s">
        <v>54</v>
      </c>
      <c r="F104" s="438"/>
      <c r="G104" s="438"/>
      <c r="H104" s="438"/>
      <c r="I104" s="438"/>
      <c r="J104" s="438"/>
      <c r="K104" s="438"/>
      <c r="L104" s="438"/>
      <c r="M104" s="438"/>
      <c r="N104" s="438"/>
      <c r="O104" s="438"/>
      <c r="P104" s="438"/>
      <c r="Q104" s="438"/>
      <c r="R104" s="438"/>
      <c r="S104" s="438"/>
      <c r="T104" s="438"/>
      <c r="U104" s="438"/>
      <c r="V104" s="438"/>
      <c r="W104" s="438"/>
      <c r="X104" s="438"/>
      <c r="Y104" s="438"/>
      <c r="Z104" s="438"/>
      <c r="AA104" s="438"/>
      <c r="AB104" s="438"/>
      <c r="AC104" s="438"/>
      <c r="AD104" s="438"/>
      <c r="AE104" s="438"/>
      <c r="AF104" s="438"/>
      <c r="AG104" s="438"/>
      <c r="AH104" s="438"/>
      <c r="AI104" s="438"/>
      <c r="AJ104" s="438"/>
      <c r="AK104" s="438"/>
      <c r="AL104" s="438"/>
      <c r="AM104" s="438"/>
      <c r="AN104" s="438"/>
      <c r="AO104" s="438"/>
      <c r="AP104" s="191"/>
    </row>
    <row r="105" spans="1:42" s="174" customFormat="1" ht="15" customHeight="1" x14ac:dyDescent="0.2">
      <c r="A105" s="205"/>
      <c r="B105" s="185"/>
      <c r="C105" s="205"/>
      <c r="D105" s="187" t="str">
        <f>IF(Kérdőív!AW91=1,"X","")</f>
        <v/>
      </c>
      <c r="E105" s="438" t="s">
        <v>63</v>
      </c>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438"/>
      <c r="AK105" s="438"/>
      <c r="AL105" s="438"/>
      <c r="AM105" s="438"/>
      <c r="AN105" s="438"/>
      <c r="AO105" s="438"/>
      <c r="AP105" s="226"/>
    </row>
    <row r="106" spans="1:42" s="174" customFormat="1" ht="15" customHeight="1" x14ac:dyDescent="0.3">
      <c r="A106" s="205"/>
      <c r="B106" s="185"/>
      <c r="C106" s="205"/>
      <c r="D106" s="227"/>
      <c r="E106" s="438"/>
      <c r="F106" s="438"/>
      <c r="G106" s="438"/>
      <c r="H106" s="438"/>
      <c r="I106" s="438"/>
      <c r="J106" s="438"/>
      <c r="K106" s="438"/>
      <c r="L106" s="438"/>
      <c r="M106" s="438"/>
      <c r="N106" s="438"/>
      <c r="O106" s="438"/>
      <c r="P106" s="438"/>
      <c r="Q106" s="438"/>
      <c r="R106" s="438"/>
      <c r="S106" s="438"/>
      <c r="T106" s="438"/>
      <c r="U106" s="438"/>
      <c r="V106" s="438"/>
      <c r="W106" s="438"/>
      <c r="X106" s="438"/>
      <c r="Y106" s="438"/>
      <c r="Z106" s="438"/>
      <c r="AA106" s="438"/>
      <c r="AB106" s="438"/>
      <c r="AC106" s="438"/>
      <c r="AD106" s="438"/>
      <c r="AE106" s="438"/>
      <c r="AF106" s="438"/>
      <c r="AG106" s="438"/>
      <c r="AH106" s="438"/>
      <c r="AI106" s="438"/>
      <c r="AJ106" s="438"/>
      <c r="AK106" s="438"/>
      <c r="AL106" s="438"/>
      <c r="AM106" s="438"/>
      <c r="AN106" s="438"/>
      <c r="AO106" s="438"/>
      <c r="AP106" s="226"/>
    </row>
    <row r="107" spans="1:42" s="174" customFormat="1" ht="15" customHeight="1" x14ac:dyDescent="0.2">
      <c r="A107" s="205"/>
      <c r="B107" s="18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row>
    <row r="108" spans="1:42" s="174" customFormat="1" ht="15" customHeight="1" x14ac:dyDescent="0.2">
      <c r="A108" s="205"/>
      <c r="B108" s="189" t="s">
        <v>50</v>
      </c>
      <c r="C108" s="205"/>
      <c r="D108" s="439" t="s">
        <v>57</v>
      </c>
      <c r="E108" s="439"/>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39"/>
      <c r="AD108" s="439"/>
      <c r="AE108" s="439"/>
      <c r="AF108" s="439"/>
      <c r="AG108" s="439"/>
      <c r="AH108" s="439"/>
      <c r="AI108" s="439"/>
      <c r="AJ108" s="439"/>
      <c r="AK108" s="439"/>
      <c r="AL108" s="439"/>
      <c r="AM108" s="439"/>
      <c r="AN108" s="439"/>
      <c r="AO108" s="439"/>
      <c r="AP108" s="439"/>
    </row>
    <row r="109" spans="1:42" s="174" customFormat="1" ht="6" customHeight="1" x14ac:dyDescent="0.2">
      <c r="A109" s="205"/>
      <c r="B109" s="189"/>
      <c r="C109" s="205"/>
      <c r="D109" s="216"/>
      <c r="E109" s="216"/>
      <c r="F109" s="216"/>
      <c r="G109" s="216"/>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6"/>
      <c r="AM109" s="216"/>
      <c r="AN109" s="216"/>
      <c r="AO109" s="216"/>
      <c r="AP109" s="216"/>
    </row>
    <row r="110" spans="1:42" s="174" customFormat="1" ht="15" customHeight="1" x14ac:dyDescent="0.2">
      <c r="A110" s="205"/>
      <c r="B110" s="185"/>
      <c r="C110" s="205"/>
      <c r="D110" s="187" t="str">
        <f>IF(Kérdőív!AW95=1,"X","")</f>
        <v/>
      </c>
      <c r="E110" s="438" t="s">
        <v>58</v>
      </c>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8"/>
      <c r="AI110" s="438"/>
      <c r="AJ110" s="438"/>
      <c r="AK110" s="438"/>
      <c r="AL110" s="438"/>
      <c r="AM110" s="438"/>
      <c r="AN110" s="438"/>
      <c r="AO110" s="438"/>
      <c r="AP110" s="205"/>
    </row>
    <row r="111" spans="1:42" s="174" customFormat="1" ht="15" customHeight="1" x14ac:dyDescent="0.2">
      <c r="A111" s="205"/>
      <c r="B111" s="185"/>
      <c r="C111" s="205"/>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38"/>
      <c r="AE111" s="438"/>
      <c r="AF111" s="438"/>
      <c r="AG111" s="438"/>
      <c r="AH111" s="438"/>
      <c r="AI111" s="438"/>
      <c r="AJ111" s="438"/>
      <c r="AK111" s="438"/>
      <c r="AL111" s="438"/>
      <c r="AM111" s="438"/>
      <c r="AN111" s="438"/>
      <c r="AO111" s="438"/>
      <c r="AP111" s="205"/>
    </row>
    <row r="112" spans="1:42" s="174" customFormat="1" ht="15" customHeight="1" x14ac:dyDescent="0.2">
      <c r="A112" s="205"/>
      <c r="B112" s="185"/>
      <c r="C112" s="205"/>
      <c r="D112" s="187" t="str">
        <f>IF(Kérdőív!AW97=1,"X","")</f>
        <v/>
      </c>
      <c r="E112" s="191" t="s">
        <v>59</v>
      </c>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row>
    <row r="113" spans="1:42" s="174" customFormat="1" ht="15" customHeight="1" x14ac:dyDescent="0.2">
      <c r="A113" s="205"/>
      <c r="B113" s="185"/>
      <c r="C113" s="205"/>
      <c r="D113" s="187" t="str">
        <f>IF(Kérdőív!AW98=1,"X","")</f>
        <v/>
      </c>
      <c r="E113" s="191" t="s">
        <v>60</v>
      </c>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205"/>
    </row>
    <row r="114" spans="1:42" s="174" customFormat="1" ht="15" customHeight="1" x14ac:dyDescent="0.2">
      <c r="A114" s="205"/>
      <c r="B114" s="185"/>
      <c r="C114" s="205"/>
      <c r="D114" s="187" t="str">
        <f>IF(Kérdőív!AW99=1,"X","")</f>
        <v/>
      </c>
      <c r="E114" s="191" t="s">
        <v>61</v>
      </c>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226"/>
    </row>
    <row r="115" spans="1:42" s="174" customFormat="1" ht="15" customHeight="1" x14ac:dyDescent="0.2">
      <c r="A115" s="205"/>
      <c r="B115" s="18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row>
    <row r="116" spans="1:42" s="174" customFormat="1" ht="15" customHeight="1" x14ac:dyDescent="0.2">
      <c r="A116" s="205"/>
      <c r="B116" s="189" t="s">
        <v>55</v>
      </c>
      <c r="C116" s="205"/>
      <c r="D116" s="439" t="s">
        <v>137</v>
      </c>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439"/>
      <c r="AD116" s="439"/>
      <c r="AE116" s="439"/>
      <c r="AF116" s="439"/>
      <c r="AG116" s="439"/>
      <c r="AH116" s="439"/>
      <c r="AI116" s="439"/>
      <c r="AJ116" s="439"/>
      <c r="AK116" s="439"/>
      <c r="AL116" s="439"/>
      <c r="AM116" s="439"/>
      <c r="AN116" s="439"/>
      <c r="AO116" s="439"/>
      <c r="AP116" s="439"/>
    </row>
    <row r="117" spans="1:42" s="174" customFormat="1" ht="6" customHeight="1" x14ac:dyDescent="0.2">
      <c r="A117" s="205"/>
      <c r="B117" s="189"/>
      <c r="C117" s="205"/>
      <c r="D117" s="216"/>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row>
    <row r="118" spans="1:42" s="174" customFormat="1" ht="15" customHeight="1" x14ac:dyDescent="0.2">
      <c r="A118" s="205"/>
      <c r="B118" s="185"/>
      <c r="C118" s="205"/>
      <c r="D118" s="187" t="str">
        <f>IF(Kérdőív!AW102=TRUE,"X","")</f>
        <v/>
      </c>
      <c r="E118" s="184" t="s">
        <v>139</v>
      </c>
      <c r="F118" s="184"/>
      <c r="G118" s="184"/>
      <c r="H118" s="184"/>
      <c r="I118" s="184"/>
      <c r="J118" s="184"/>
      <c r="K118" s="187" t="str">
        <f>IF(Kérdőív!AW105=TRUE,"X","")</f>
        <v/>
      </c>
      <c r="L118" s="228" t="s">
        <v>142</v>
      </c>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205"/>
    </row>
    <row r="119" spans="1:42" s="174" customFormat="1" ht="15" customHeight="1" x14ac:dyDescent="0.2">
      <c r="A119" s="205"/>
      <c r="B119" s="185"/>
      <c r="C119" s="205"/>
      <c r="D119" s="187" t="str">
        <f>IF(Kérdőív!AW103=TRUE,"X","")</f>
        <v/>
      </c>
      <c r="E119" s="228" t="s">
        <v>140</v>
      </c>
      <c r="F119" s="228"/>
      <c r="G119" s="228"/>
      <c r="H119" s="228"/>
      <c r="I119" s="228"/>
      <c r="J119" s="228"/>
      <c r="K119" s="187" t="str">
        <f>IF(Kérdőív!AW106=TRUE,"X","")</f>
        <v/>
      </c>
      <c r="L119" s="228" t="s">
        <v>143</v>
      </c>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191"/>
    </row>
    <row r="120" spans="1:42" s="174" customFormat="1" ht="15" customHeight="1" x14ac:dyDescent="0.2">
      <c r="A120" s="205"/>
      <c r="B120" s="185"/>
      <c r="C120" s="205"/>
      <c r="D120" s="187" t="str">
        <f>IF(Kérdőív!AW104=TRUE,"X","")</f>
        <v/>
      </c>
      <c r="E120" s="228" t="s">
        <v>141</v>
      </c>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05"/>
    </row>
    <row r="121" spans="1:42" s="174" customFormat="1" ht="15" customHeight="1" x14ac:dyDescent="0.2">
      <c r="A121" s="205"/>
      <c r="B121" s="185"/>
      <c r="C121" s="205"/>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c r="AJ121" s="228"/>
      <c r="AK121" s="228"/>
      <c r="AL121" s="228"/>
      <c r="AM121" s="228"/>
      <c r="AN121" s="228"/>
      <c r="AO121" s="228"/>
      <c r="AP121" s="226"/>
    </row>
    <row r="122" spans="1:42" s="174" customFormat="1" ht="15" customHeight="1" x14ac:dyDescent="0.2">
      <c r="A122" s="205"/>
      <c r="B122" s="189" t="s">
        <v>62</v>
      </c>
      <c r="C122" s="205"/>
      <c r="D122" s="439" t="s">
        <v>138</v>
      </c>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39"/>
      <c r="AD122" s="439"/>
      <c r="AE122" s="439"/>
      <c r="AF122" s="439"/>
      <c r="AG122" s="439"/>
      <c r="AH122" s="439"/>
      <c r="AI122" s="439"/>
      <c r="AJ122" s="439"/>
      <c r="AK122" s="439"/>
      <c r="AL122" s="439"/>
      <c r="AM122" s="439"/>
      <c r="AN122" s="439"/>
      <c r="AO122" s="439"/>
      <c r="AP122" s="439"/>
    </row>
    <row r="123" spans="1:42" s="174" customFormat="1" ht="6" customHeight="1" x14ac:dyDescent="0.2">
      <c r="A123" s="205"/>
      <c r="B123" s="189"/>
      <c r="C123" s="205"/>
      <c r="D123" s="216"/>
      <c r="E123" s="216"/>
      <c r="F123" s="216"/>
      <c r="G123" s="216"/>
      <c r="H123" s="216"/>
      <c r="I123" s="216"/>
      <c r="J123" s="216"/>
      <c r="K123" s="216"/>
      <c r="L123" s="216"/>
      <c r="M123" s="216"/>
      <c r="N123" s="216"/>
      <c r="O123" s="216"/>
      <c r="P123" s="216"/>
      <c r="Q123" s="216"/>
      <c r="R123" s="216"/>
      <c r="S123" s="216"/>
      <c r="T123" s="216"/>
      <c r="U123" s="216"/>
      <c r="V123" s="216"/>
      <c r="W123" s="216"/>
      <c r="X123" s="216"/>
      <c r="Y123" s="216"/>
      <c r="Z123" s="216"/>
      <c r="AA123" s="216"/>
      <c r="AB123" s="216"/>
      <c r="AC123" s="216"/>
      <c r="AD123" s="216"/>
      <c r="AE123" s="216"/>
      <c r="AF123" s="216"/>
      <c r="AG123" s="216"/>
      <c r="AH123" s="216"/>
      <c r="AI123" s="216"/>
      <c r="AJ123" s="216"/>
      <c r="AK123" s="216"/>
      <c r="AL123" s="216"/>
      <c r="AM123" s="216"/>
      <c r="AN123" s="216"/>
      <c r="AO123" s="216"/>
      <c r="AP123" s="216"/>
    </row>
    <row r="124" spans="1:42" s="174" customFormat="1" ht="15" customHeight="1" x14ac:dyDescent="0.2">
      <c r="A124" s="205"/>
      <c r="B124" s="185"/>
      <c r="C124" s="205"/>
      <c r="D124" s="187" t="str">
        <f>IF(Kérdőív!AW109=TRUE,"X","")</f>
        <v/>
      </c>
      <c r="E124" s="184" t="s">
        <v>139</v>
      </c>
      <c r="F124" s="184"/>
      <c r="G124" s="184"/>
      <c r="H124" s="184"/>
      <c r="I124" s="184"/>
      <c r="J124" s="184"/>
      <c r="K124" s="187" t="str">
        <f>IF(Kérdőív!AW112=TRUE,"X","")</f>
        <v/>
      </c>
      <c r="L124" s="228" t="s">
        <v>142</v>
      </c>
      <c r="O124" s="184"/>
      <c r="P124" s="18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5"/>
    </row>
    <row r="125" spans="1:42" s="174" customFormat="1" ht="15" customHeight="1" x14ac:dyDescent="0.2">
      <c r="A125" s="205"/>
      <c r="B125" s="185"/>
      <c r="C125" s="205"/>
      <c r="D125" s="187" t="str">
        <f>IF(Kérdőív!AW110=TRUE,"X","")</f>
        <v/>
      </c>
      <c r="E125" s="228" t="s">
        <v>140</v>
      </c>
      <c r="F125" s="228"/>
      <c r="G125" s="228"/>
      <c r="H125" s="228"/>
      <c r="I125" s="228"/>
      <c r="J125" s="228"/>
      <c r="K125" s="187" t="str">
        <f>IF(Kérdőív!AW113=TRUE,"X","")</f>
        <v/>
      </c>
      <c r="L125" s="228" t="s">
        <v>143</v>
      </c>
      <c r="O125" s="228"/>
      <c r="P125" s="228"/>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row>
    <row r="126" spans="1:42" s="174" customFormat="1" ht="15" customHeight="1" x14ac:dyDescent="0.2">
      <c r="A126" s="205"/>
      <c r="B126" s="185"/>
      <c r="C126" s="205"/>
      <c r="D126" s="187" t="str">
        <f>IF(Kérdőív!AW111=TRUE,"X","")</f>
        <v/>
      </c>
      <c r="E126" s="228" t="s">
        <v>141</v>
      </c>
      <c r="F126" s="228"/>
      <c r="G126" s="228"/>
      <c r="H126" s="228"/>
      <c r="I126" s="228"/>
      <c r="J126" s="228"/>
      <c r="K126" s="228"/>
      <c r="L126" s="228"/>
      <c r="M126" s="228"/>
      <c r="N126" s="228"/>
      <c r="O126" s="228"/>
      <c r="P126" s="228"/>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205"/>
    </row>
    <row r="127" spans="1:42" s="174" customFormat="1" ht="15" customHeight="1" x14ac:dyDescent="0.2">
      <c r="A127" s="205"/>
      <c r="B127" s="185"/>
      <c r="C127" s="205"/>
      <c r="D127" s="194"/>
      <c r="E127" s="228"/>
      <c r="F127" s="228"/>
      <c r="G127" s="228"/>
      <c r="H127" s="228"/>
      <c r="I127" s="228"/>
      <c r="J127" s="228"/>
      <c r="K127" s="228"/>
      <c r="L127" s="228"/>
      <c r="M127" s="228"/>
      <c r="N127" s="228"/>
      <c r="O127" s="228"/>
      <c r="P127" s="228"/>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205"/>
    </row>
    <row r="128" spans="1:42" s="174" customFormat="1" ht="15" customHeight="1" x14ac:dyDescent="0.2">
      <c r="A128" s="205"/>
      <c r="B128" s="185"/>
      <c r="C128" s="205"/>
      <c r="D128" s="194"/>
      <c r="E128" s="228"/>
      <c r="F128" s="228"/>
      <c r="G128" s="228"/>
      <c r="H128" s="228"/>
      <c r="I128" s="228"/>
      <c r="J128" s="228"/>
      <c r="K128" s="228"/>
      <c r="L128" s="228"/>
      <c r="M128" s="228"/>
      <c r="N128" s="228"/>
      <c r="O128" s="228"/>
      <c r="P128" s="228"/>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205"/>
    </row>
    <row r="129" spans="1:42" s="174" customFormat="1" ht="15" customHeight="1" x14ac:dyDescent="0.2">
      <c r="A129" s="205"/>
      <c r="B129" s="440" t="s">
        <v>218</v>
      </c>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0"/>
      <c r="AM129" s="440"/>
      <c r="AN129" s="440"/>
      <c r="AO129" s="440"/>
      <c r="AP129" s="440"/>
    </row>
    <row r="130" spans="1:42" s="174" customFormat="1" ht="15" customHeight="1" x14ac:dyDescent="0.2">
      <c r="A130" s="205"/>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row>
    <row r="131" spans="1:42" s="174" customFormat="1" ht="15" customHeight="1" x14ac:dyDescent="0.2">
      <c r="A131" s="205"/>
      <c r="B131" s="18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row>
    <row r="132" spans="1:42" s="174" customFormat="1" ht="15" customHeight="1" x14ac:dyDescent="0.2">
      <c r="A132" s="205"/>
      <c r="B132" s="185"/>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row>
    <row r="133" spans="1:42" s="174" customFormat="1" ht="15" customHeight="1" x14ac:dyDescent="0.2">
      <c r="A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I133" s="205"/>
      <c r="AJ133" s="205"/>
      <c r="AK133" s="205"/>
      <c r="AL133" s="205"/>
      <c r="AM133" s="205"/>
      <c r="AN133" s="205"/>
      <c r="AO133" s="205"/>
      <c r="AP133" s="205"/>
    </row>
    <row r="134" spans="1:42" s="174" customFormat="1" ht="15" customHeight="1" x14ac:dyDescent="0.2">
      <c r="A134" s="205"/>
      <c r="B134" s="184" t="s">
        <v>219</v>
      </c>
      <c r="C134" s="205"/>
      <c r="D134" s="205"/>
      <c r="E134" s="209"/>
      <c r="F134" s="209"/>
      <c r="G134" s="209"/>
      <c r="H134" s="209"/>
      <c r="I134" s="209"/>
      <c r="J134" s="209"/>
      <c r="K134" s="209"/>
      <c r="L134" s="209"/>
      <c r="M134" s="209"/>
      <c r="N134" s="209"/>
      <c r="O134" s="209"/>
      <c r="P134" s="209"/>
      <c r="Q134" s="205"/>
      <c r="R134" s="205"/>
      <c r="S134" s="205"/>
      <c r="T134" s="205"/>
      <c r="U134" s="205"/>
      <c r="V134" s="205"/>
      <c r="W134" s="205" t="s">
        <v>220</v>
      </c>
      <c r="Y134" s="205"/>
      <c r="Z134" s="205"/>
      <c r="AA134" s="205"/>
      <c r="AC134" s="209"/>
      <c r="AD134" s="209"/>
      <c r="AE134" s="209"/>
      <c r="AF134" s="209"/>
      <c r="AG134" s="209"/>
      <c r="AH134" s="209"/>
      <c r="AI134" s="209"/>
      <c r="AJ134" s="209"/>
      <c r="AK134" s="209"/>
      <c r="AL134" s="209"/>
      <c r="AM134" s="209"/>
      <c r="AN134" s="209"/>
      <c r="AO134" s="209"/>
      <c r="AP134" s="209"/>
    </row>
    <row r="135" spans="1:42" s="174" customFormat="1" ht="15" customHeight="1" x14ac:dyDescent="0.2">
      <c r="A135" s="205"/>
      <c r="B135" s="185"/>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row>
    <row r="136" spans="1:42" s="174" customFormat="1" ht="15" hidden="1" customHeight="1" x14ac:dyDescent="0.2">
      <c r="A136" s="205"/>
      <c r="B136" s="185"/>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row>
    <row r="137" spans="1:42" s="174" customFormat="1" ht="15" hidden="1" customHeight="1" x14ac:dyDescent="0.2">
      <c r="A137" s="205"/>
      <c r="B137" s="185"/>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row>
    <row r="138" spans="1:42" ht="15" hidden="1" customHeight="1" x14ac:dyDescent="0.25">
      <c r="A138" s="179"/>
      <c r="B138" s="211"/>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row>
    <row r="139" spans="1:42" ht="15" hidden="1" customHeight="1" x14ac:dyDescent="0.25">
      <c r="A139" s="179"/>
      <c r="B139" s="211"/>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row>
    <row r="140" spans="1:42" ht="15" hidden="1" customHeight="1" x14ac:dyDescent="0.25">
      <c r="A140" s="179"/>
      <c r="B140" s="211"/>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row>
    <row r="141" spans="1:42" ht="15" hidden="1" customHeight="1" x14ac:dyDescent="0.25">
      <c r="A141" s="179"/>
      <c r="B141" s="211"/>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row>
    <row r="142" spans="1:42" ht="15" hidden="1" customHeight="1" x14ac:dyDescent="0.25">
      <c r="A142" s="179"/>
      <c r="B142" s="211"/>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row>
    <row r="143" spans="1:42" ht="15" hidden="1" customHeight="1" x14ac:dyDescent="0.25">
      <c r="A143" s="179"/>
      <c r="B143" s="211"/>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row>
    <row r="144" spans="1:42" ht="15" hidden="1" customHeight="1" x14ac:dyDescent="0.25">
      <c r="A144" s="179"/>
      <c r="B144" s="211"/>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row>
    <row r="145" spans="1:42" ht="15" hidden="1" customHeight="1" x14ac:dyDescent="0.25">
      <c r="A145" s="179"/>
      <c r="B145" s="211"/>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row>
    <row r="146" spans="1:42" ht="15" hidden="1" customHeight="1" x14ac:dyDescent="0.25">
      <c r="A146" s="179"/>
      <c r="B146" s="211"/>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row>
    <row r="147" spans="1:42" ht="15" hidden="1" customHeight="1" x14ac:dyDescent="0.25">
      <c r="A147" s="179"/>
      <c r="B147" s="211"/>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row>
    <row r="148" spans="1:42" ht="15" hidden="1" customHeight="1" x14ac:dyDescent="0.25">
      <c r="A148" s="179"/>
      <c r="B148" s="211"/>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row>
    <row r="149" spans="1:42" ht="15" hidden="1" customHeight="1" x14ac:dyDescent="0.25">
      <c r="A149" s="179"/>
      <c r="B149" s="211"/>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row>
    <row r="150" spans="1:42" ht="15" hidden="1" customHeight="1" x14ac:dyDescent="0.25">
      <c r="A150" s="179"/>
      <c r="B150" s="211"/>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row>
    <row r="151" spans="1:42" ht="15" hidden="1" customHeight="1" x14ac:dyDescent="0.25">
      <c r="A151" s="179"/>
      <c r="B151" s="211"/>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row>
    <row r="152" spans="1:42" ht="15" hidden="1" customHeight="1" x14ac:dyDescent="0.25">
      <c r="A152" s="179"/>
      <c r="B152" s="211"/>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row>
    <row r="153" spans="1:42" ht="15" hidden="1" customHeight="1" x14ac:dyDescent="0.25">
      <c r="A153" s="179"/>
      <c r="B153" s="211"/>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row>
    <row r="154" spans="1:42" ht="15" hidden="1" customHeight="1" x14ac:dyDescent="0.25">
      <c r="A154" s="179"/>
      <c r="B154" s="211"/>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row>
    <row r="155" spans="1:42" ht="15" hidden="1" customHeight="1" x14ac:dyDescent="0.25">
      <c r="A155" s="179"/>
      <c r="B155" s="211"/>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row>
    <row r="156" spans="1:42" ht="15" hidden="1" customHeight="1" x14ac:dyDescent="0.25">
      <c r="A156" s="179"/>
      <c r="B156" s="211"/>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row>
    <row r="157" spans="1:42" ht="15" hidden="1" customHeight="1" x14ac:dyDescent="0.25">
      <c r="A157" s="179"/>
      <c r="B157" s="211"/>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row>
    <row r="158" spans="1:42" ht="15" hidden="1" customHeight="1" x14ac:dyDescent="0.25">
      <c r="A158" s="179"/>
      <c r="B158" s="211"/>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row>
  </sheetData>
  <sheetProtection algorithmName="SHA-512" hashValue="M5wUzUkybUsFjR/DuiqGu44lCQmKWRcBlF3qV0f310lQ/X45ishLtYKxmlJf0MJmWr9bFNhZFmXZdTcVR72pig==" saltValue="linJ2bEAR0WzqSJbYKKv+A==" spinCount="100000" sheet="1" objects="1" scenarios="1"/>
  <mergeCells count="28">
    <mergeCell ref="D46:AP46"/>
    <mergeCell ref="I4:AP4"/>
    <mergeCell ref="P6:AP6"/>
    <mergeCell ref="B10:AP10"/>
    <mergeCell ref="B12:AP18"/>
    <mergeCell ref="B21:H22"/>
    <mergeCell ref="D23:AP23"/>
    <mergeCell ref="D29:AP29"/>
    <mergeCell ref="M31:N31"/>
    <mergeCell ref="D36:AP37"/>
    <mergeCell ref="H39:K39"/>
    <mergeCell ref="B44:N45"/>
    <mergeCell ref="D51:AP51"/>
    <mergeCell ref="D58:AP58"/>
    <mergeCell ref="D65:AP65"/>
    <mergeCell ref="D77:AP77"/>
    <mergeCell ref="D88:AP88"/>
    <mergeCell ref="E110:AO111"/>
    <mergeCell ref="D116:AP116"/>
    <mergeCell ref="D122:AP122"/>
    <mergeCell ref="B129:AP129"/>
    <mergeCell ref="J56:AP56"/>
    <mergeCell ref="D98:AP99"/>
    <mergeCell ref="E101:AO101"/>
    <mergeCell ref="E102:AP103"/>
    <mergeCell ref="E104:AO104"/>
    <mergeCell ref="E105:AO106"/>
    <mergeCell ref="D108:AP108"/>
  </mergeCells>
  <pageMargins left="0.25" right="0.25" top="0.4" bottom="0.35" header="0.3" footer="0.3"/>
  <pageSetup paperSize="9" scale="80" orientation="portrait" r:id="rId1"/>
  <rowBreaks count="1" manualBreakCount="1">
    <brk id="6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AQ91"/>
  <sheetViews>
    <sheetView showGridLines="0" showRowColHeaders="0" zoomScaleNormal="100" zoomScaleSheetLayoutView="77" workbookViewId="0"/>
  </sheetViews>
  <sheetFormatPr defaultColWidth="0" defaultRowHeight="15" customHeight="1" zeroHeight="1" x14ac:dyDescent="0.25"/>
  <cols>
    <col min="1" max="1" width="2.85546875" style="169" customWidth="1"/>
    <col min="2" max="2" width="2.85546875" style="170" customWidth="1"/>
    <col min="3" max="43" width="2.85546875" style="169" customWidth="1"/>
    <col min="44" max="16384" width="9.140625" style="169" hidden="1"/>
  </cols>
  <sheetData>
    <row r="1" spans="1:42" ht="64.5" customHeight="1" x14ac:dyDescent="0.25">
      <c r="AB1" s="171"/>
      <c r="AC1" s="171"/>
      <c r="AD1" s="171"/>
      <c r="AE1" s="171"/>
      <c r="AF1" s="171"/>
      <c r="AG1" s="171"/>
      <c r="AH1" s="171"/>
      <c r="AI1" s="171"/>
      <c r="AJ1" s="171"/>
      <c r="AK1" s="171"/>
      <c r="AL1" s="171"/>
      <c r="AM1" s="171"/>
      <c r="AN1" s="171"/>
      <c r="AO1" s="171"/>
      <c r="AP1" s="172" t="s">
        <v>221</v>
      </c>
    </row>
    <row r="2" spans="1:42" ht="28.5" customHeight="1" x14ac:dyDescent="0.25">
      <c r="AB2" s="171"/>
      <c r="AC2" s="171"/>
      <c r="AD2" s="171"/>
      <c r="AE2" s="171"/>
      <c r="AF2" s="171"/>
      <c r="AG2" s="171"/>
      <c r="AH2" s="171"/>
      <c r="AI2" s="171"/>
      <c r="AJ2" s="171"/>
      <c r="AK2" s="171"/>
      <c r="AL2" s="171"/>
      <c r="AM2" s="171"/>
      <c r="AN2" s="171"/>
      <c r="AO2" s="171"/>
      <c r="AP2" s="172"/>
    </row>
    <row r="3" spans="1:42" ht="15" customHeight="1" x14ac:dyDescent="0.25">
      <c r="AA3" s="171"/>
      <c r="AB3" s="171"/>
      <c r="AC3" s="171"/>
      <c r="AD3" s="171"/>
      <c r="AE3" s="171"/>
      <c r="AF3" s="171"/>
      <c r="AG3" s="171"/>
      <c r="AH3" s="171"/>
      <c r="AI3" s="171"/>
      <c r="AJ3" s="171"/>
      <c r="AK3" s="171"/>
      <c r="AL3" s="171"/>
      <c r="AM3" s="171"/>
      <c r="AN3" s="171"/>
      <c r="AO3" s="171"/>
    </row>
    <row r="4" spans="1:42" ht="15" customHeight="1" x14ac:dyDescent="0.25">
      <c r="B4" s="173" t="s">
        <v>66</v>
      </c>
      <c r="C4" s="174"/>
      <c r="D4" s="174"/>
      <c r="E4" s="174"/>
      <c r="F4" s="174"/>
      <c r="G4" s="174"/>
      <c r="H4" s="174"/>
      <c r="I4" s="444">
        <f>+'Alkalmassági teszt'!I4:AP4</f>
        <v>0</v>
      </c>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row>
    <row r="5" spans="1:42" ht="4.7" customHeight="1" x14ac:dyDescent="0.25">
      <c r="B5" s="173"/>
      <c r="C5" s="174"/>
      <c r="D5" s="174"/>
      <c r="E5" s="174"/>
      <c r="F5" s="174"/>
      <c r="G5" s="174"/>
      <c r="H5" s="174"/>
      <c r="I5" s="174"/>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row>
    <row r="6" spans="1:42" ht="15" customHeight="1" x14ac:dyDescent="0.25">
      <c r="B6" s="173" t="s">
        <v>216</v>
      </c>
      <c r="C6" s="174"/>
      <c r="D6" s="174"/>
      <c r="E6" s="174"/>
      <c r="F6" s="174"/>
      <c r="G6" s="174"/>
      <c r="H6" s="174"/>
      <c r="I6" s="174"/>
      <c r="J6" s="174"/>
      <c r="K6" s="176"/>
      <c r="L6" s="176"/>
      <c r="M6" s="176"/>
      <c r="N6" s="176"/>
      <c r="O6" s="176"/>
      <c r="P6" s="445" t="str">
        <f>+'Alkalmassági teszt'!P6:AP6</f>
        <v>, 1900.01.00.</v>
      </c>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row>
    <row r="7" spans="1:42" ht="15" customHeight="1" x14ac:dyDescent="0.25">
      <c r="AA7" s="171"/>
      <c r="AB7" s="171"/>
      <c r="AC7" s="171"/>
      <c r="AD7" s="171"/>
      <c r="AE7" s="171"/>
      <c r="AF7" s="171"/>
      <c r="AG7" s="171"/>
      <c r="AH7" s="171"/>
      <c r="AI7" s="171"/>
      <c r="AJ7" s="171"/>
      <c r="AK7" s="171"/>
      <c r="AL7" s="171"/>
      <c r="AM7" s="171"/>
      <c r="AN7" s="171"/>
      <c r="AO7" s="171"/>
    </row>
    <row r="8" spans="1:42" ht="15" customHeight="1" x14ac:dyDescent="0.25">
      <c r="B8" s="177" t="s">
        <v>222</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row>
    <row r="9" spans="1:42" ht="15" customHeight="1" x14ac:dyDescent="0.25">
      <c r="B9" s="174"/>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row>
    <row r="10" spans="1:42" ht="6" customHeight="1" x14ac:dyDescent="0.25">
      <c r="A10" s="179"/>
      <c r="B10" s="180"/>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2"/>
    </row>
    <row r="11" spans="1:42" ht="15" customHeight="1" x14ac:dyDescent="0.25">
      <c r="A11" s="179"/>
      <c r="B11" s="183"/>
      <c r="C11" s="184" t="s">
        <v>223</v>
      </c>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6"/>
    </row>
    <row r="12" spans="1:42" ht="15" customHeight="1" x14ac:dyDescent="0.25">
      <c r="A12" s="179"/>
      <c r="B12" s="183"/>
      <c r="C12" s="187" t="str">
        <f>IF(AND(Kérdőív!AU144=0,Kérdőív!AU114=0,Kérdőív!BQ32="UL"),"X","")</f>
        <v/>
      </c>
      <c r="D12" s="184" t="s">
        <v>224</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6"/>
    </row>
    <row r="13" spans="1:42" ht="6" customHeight="1" x14ac:dyDescent="0.25">
      <c r="A13" s="179"/>
      <c r="B13" s="183"/>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6"/>
    </row>
    <row r="14" spans="1:42" ht="15" customHeight="1" x14ac:dyDescent="0.25">
      <c r="A14" s="179"/>
      <c r="B14" s="183"/>
      <c r="C14" s="185"/>
      <c r="D14" s="187" t="str">
        <f>IF(AND(C12="X",Kérdőív!BQ34="NY"),"X","")</f>
        <v/>
      </c>
      <c r="E14" s="185"/>
      <c r="F14" s="453" t="str">
        <f>IF(D14="X",Kérdőív!K133,"")</f>
        <v/>
      </c>
      <c r="G14" s="453"/>
      <c r="H14" s="453"/>
      <c r="I14" s="453"/>
      <c r="J14" s="453"/>
      <c r="K14" s="453"/>
      <c r="L14" s="453"/>
      <c r="M14" s="453"/>
      <c r="N14" s="453"/>
      <c r="O14" s="184" t="s">
        <v>225</v>
      </c>
      <c r="P14" s="185"/>
      <c r="Q14" s="185"/>
      <c r="R14" s="174"/>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6"/>
    </row>
    <row r="15" spans="1:42" ht="15" customHeight="1" x14ac:dyDescent="0.25">
      <c r="A15" s="179"/>
      <c r="B15" s="183"/>
      <c r="C15" s="185"/>
      <c r="D15" s="187" t="str">
        <f>IF(AND(C12="X",OR(Kérdőív!BQ34="H",Kérdőív!BQ34="WL")),"X","")</f>
        <v/>
      </c>
      <c r="E15" s="185"/>
      <c r="F15" s="453" t="str">
        <f>IF(D15="X",Kérdőív!K133,"")</f>
        <v/>
      </c>
      <c r="G15" s="453"/>
      <c r="H15" s="453"/>
      <c r="I15" s="453"/>
      <c r="J15" s="453"/>
      <c r="K15" s="453"/>
      <c r="L15" s="453"/>
      <c r="M15" s="453"/>
      <c r="N15" s="453"/>
      <c r="O15" s="184" t="s">
        <v>226</v>
      </c>
      <c r="P15" s="185"/>
      <c r="Q15" s="185"/>
      <c r="R15" s="174"/>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6"/>
    </row>
    <row r="16" spans="1:42" ht="6" customHeight="1" x14ac:dyDescent="0.25">
      <c r="A16" s="179"/>
      <c r="B16" s="183"/>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6"/>
    </row>
    <row r="17" spans="1:42" ht="15" customHeight="1" x14ac:dyDescent="0.25">
      <c r="A17" s="179"/>
      <c r="B17" s="183"/>
      <c r="C17" s="185"/>
      <c r="D17" s="185"/>
      <c r="E17" s="185"/>
      <c r="F17" s="187" t="str">
        <f>IF(AND(C12="X",Kérdőív!BQ34="H"),"X","")</f>
        <v/>
      </c>
      <c r="G17" s="185"/>
      <c r="H17" s="453" t="str">
        <f>+IF(F17="X",Kérdőív!N25,"")</f>
        <v/>
      </c>
      <c r="I17" s="453"/>
      <c r="J17" s="185"/>
      <c r="K17" s="184" t="s">
        <v>227</v>
      </c>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6"/>
    </row>
    <row r="18" spans="1:42" ht="15" customHeight="1" x14ac:dyDescent="0.25">
      <c r="A18" s="179"/>
      <c r="B18" s="183"/>
      <c r="C18" s="185"/>
      <c r="D18" s="185"/>
      <c r="E18" s="185"/>
      <c r="F18" s="187" t="str">
        <f>IF(AND(C12="X",Kérdőív!BQ34="WL"),"X","")</f>
        <v/>
      </c>
      <c r="G18" s="185"/>
      <c r="H18" s="188" t="s">
        <v>228</v>
      </c>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6"/>
    </row>
    <row r="19" spans="1:42" ht="15" customHeight="1" x14ac:dyDescent="0.25">
      <c r="A19" s="179"/>
      <c r="B19" s="183"/>
      <c r="C19" s="185"/>
      <c r="D19" s="184" t="s">
        <v>229</v>
      </c>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6"/>
    </row>
    <row r="20" spans="1:42" ht="15" customHeight="1" x14ac:dyDescent="0.25">
      <c r="A20" s="179"/>
      <c r="B20" s="183"/>
      <c r="C20" s="185"/>
      <c r="D20" s="184" t="s">
        <v>230</v>
      </c>
      <c r="E20" s="185"/>
      <c r="F20" s="185"/>
      <c r="G20" s="185"/>
      <c r="H20" s="185"/>
      <c r="I20" s="185"/>
      <c r="J20" s="185"/>
      <c r="K20" s="185"/>
      <c r="L20" s="185"/>
      <c r="M20" s="185"/>
      <c r="N20" s="185"/>
      <c r="O20" s="185"/>
      <c r="P20" s="185"/>
      <c r="Q20" s="185"/>
      <c r="R20" s="185"/>
      <c r="S20" s="185"/>
      <c r="T20" s="185"/>
      <c r="U20" s="185"/>
      <c r="V20" s="453" t="str">
        <f>IF(AND(C12="X",Kérdőív!K139&lt;&gt;""),Kérdőív!K139,"")</f>
        <v/>
      </c>
      <c r="W20" s="453"/>
      <c r="X20" s="453"/>
      <c r="Y20" s="453"/>
      <c r="Z20" s="453"/>
      <c r="AA20" s="453"/>
      <c r="AB20" s="453"/>
      <c r="AC20" s="453"/>
      <c r="AD20" s="453"/>
      <c r="AE20" s="453"/>
      <c r="AF20" s="453"/>
      <c r="AG20" s="453"/>
      <c r="AH20" s="453"/>
      <c r="AI20" s="453"/>
      <c r="AJ20" s="453"/>
      <c r="AK20" s="453"/>
      <c r="AL20" s="453"/>
      <c r="AM20" s="453"/>
      <c r="AN20" s="453"/>
      <c r="AO20" s="453"/>
      <c r="AP20" s="186"/>
    </row>
    <row r="21" spans="1:42" ht="15" customHeight="1" x14ac:dyDescent="0.25">
      <c r="A21" s="179"/>
      <c r="B21" s="183"/>
      <c r="C21" s="185"/>
      <c r="D21" s="184" t="s">
        <v>231</v>
      </c>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6"/>
    </row>
    <row r="22" spans="1:42" ht="15" customHeight="1" x14ac:dyDescent="0.25">
      <c r="B22" s="183"/>
      <c r="C22" s="185"/>
      <c r="D22" s="184" t="s">
        <v>232</v>
      </c>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6"/>
    </row>
    <row r="23" spans="1:42" ht="15" customHeight="1" x14ac:dyDescent="0.25">
      <c r="B23" s="183"/>
      <c r="C23" s="185"/>
      <c r="D23" s="454" t="str">
        <f>IF(C12="X",Kérdőív!K137,"")</f>
        <v/>
      </c>
      <c r="E23" s="453"/>
      <c r="F23" s="453"/>
      <c r="G23" s="453"/>
      <c r="H23" s="453"/>
      <c r="I23" s="453"/>
      <c r="J23" s="453"/>
      <c r="K23" s="189" t="str">
        <f>Kérdőív!Q137&amp;","</f>
        <v>Ft,</v>
      </c>
      <c r="L23" s="185"/>
      <c r="M23" s="453" t="str">
        <f>IF(C12="X",Kérdőív!H125,"")</f>
        <v/>
      </c>
      <c r="N23" s="453"/>
      <c r="O23" s="453"/>
      <c r="P23" s="453"/>
      <c r="Q23" s="453"/>
      <c r="R23" s="453"/>
      <c r="S23" s="453"/>
      <c r="T23" s="188" t="s">
        <v>234</v>
      </c>
      <c r="U23" s="185"/>
      <c r="V23" s="185"/>
      <c r="W23" s="185"/>
      <c r="X23" s="185"/>
      <c r="Y23" s="185"/>
      <c r="Z23" s="185"/>
      <c r="AA23" s="185"/>
      <c r="AB23" s="185"/>
      <c r="AC23" s="185"/>
      <c r="AD23" s="185"/>
      <c r="AE23" s="185"/>
      <c r="AF23" s="185"/>
      <c r="AG23" s="185"/>
      <c r="AH23" s="185"/>
      <c r="AI23" s="185"/>
      <c r="AJ23" s="185"/>
      <c r="AK23" s="185"/>
      <c r="AL23" s="185"/>
      <c r="AM23" s="185"/>
      <c r="AN23" s="185"/>
      <c r="AO23" s="185"/>
      <c r="AP23" s="186"/>
    </row>
    <row r="24" spans="1:42" ht="6" customHeight="1" x14ac:dyDescent="0.25">
      <c r="B24" s="183"/>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6"/>
    </row>
    <row r="25" spans="1:42" ht="15" customHeight="1" x14ac:dyDescent="0.25">
      <c r="B25" s="183"/>
      <c r="C25" s="185"/>
      <c r="D25" s="184" t="s">
        <v>235</v>
      </c>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6"/>
    </row>
    <row r="26" spans="1:42" ht="15" customHeight="1" x14ac:dyDescent="0.25">
      <c r="B26" s="190"/>
      <c r="C26" s="191"/>
      <c r="D26" s="187" t="str">
        <f>IF(AND($C$12="X",Kérdőív!CP5=1),"X","")</f>
        <v/>
      </c>
      <c r="E26" s="191" t="s">
        <v>236</v>
      </c>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2"/>
    </row>
    <row r="27" spans="1:42" ht="15" customHeight="1" x14ac:dyDescent="0.25">
      <c r="B27" s="190"/>
      <c r="C27" s="191"/>
      <c r="D27" s="187" t="str">
        <f>IF(AND($C$12="X",Kérdőív!CP6=1),"X","")</f>
        <v/>
      </c>
      <c r="E27" s="191" t="s">
        <v>237</v>
      </c>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2"/>
    </row>
    <row r="28" spans="1:42" ht="15" customHeight="1" x14ac:dyDescent="0.25">
      <c r="B28" s="190"/>
      <c r="C28" s="191"/>
      <c r="D28" s="187" t="str">
        <f>IF(AND($C$12="X",Kérdőív!CP7=1),"X","")</f>
        <v/>
      </c>
      <c r="E28" s="191" t="s">
        <v>238</v>
      </c>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2"/>
    </row>
    <row r="29" spans="1:42" ht="15" customHeight="1" x14ac:dyDescent="0.25">
      <c r="B29" s="190"/>
      <c r="C29" s="191"/>
      <c r="D29" s="187" t="str">
        <f>IF(AND($C$12="X",Kérdőív!CP8=1),"X","")</f>
        <v/>
      </c>
      <c r="E29" s="191" t="s">
        <v>239</v>
      </c>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2"/>
    </row>
    <row r="30" spans="1:42" ht="15" customHeight="1" x14ac:dyDescent="0.25">
      <c r="A30" s="193"/>
      <c r="B30" s="191"/>
      <c r="C30" s="191"/>
      <c r="D30" s="187" t="str">
        <f>IF(AND($C$12="X",Kérdőív!CP9=1),"X","")</f>
        <v/>
      </c>
      <c r="E30" s="191" t="s">
        <v>240</v>
      </c>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2"/>
    </row>
    <row r="31" spans="1:42" ht="6" customHeight="1" x14ac:dyDescent="0.25">
      <c r="A31" s="193"/>
      <c r="B31" s="191"/>
      <c r="C31" s="191"/>
      <c r="D31" s="194"/>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2"/>
    </row>
    <row r="32" spans="1:42" ht="15" customHeight="1" x14ac:dyDescent="0.25">
      <c r="A32" s="193"/>
      <c r="B32" s="174"/>
      <c r="C32" s="455" t="s">
        <v>241</v>
      </c>
      <c r="D32" s="455"/>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195"/>
    </row>
    <row r="33" spans="2:42" ht="15" customHeight="1" x14ac:dyDescent="0.25">
      <c r="B33" s="196"/>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195"/>
    </row>
    <row r="34" spans="2:42" ht="15" customHeight="1" x14ac:dyDescent="0.25">
      <c r="B34" s="196"/>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195"/>
    </row>
    <row r="35" spans="2:42" ht="15" customHeight="1" x14ac:dyDescent="0.25">
      <c r="B35" s="196"/>
      <c r="C35" s="455"/>
      <c r="D35" s="455"/>
      <c r="E35" s="455"/>
      <c r="F35" s="455"/>
      <c r="G35" s="455"/>
      <c r="H35" s="455"/>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5"/>
      <c r="AO35" s="455"/>
      <c r="AP35" s="195"/>
    </row>
    <row r="36" spans="2:42" ht="15" customHeight="1" x14ac:dyDescent="0.25">
      <c r="B36" s="196"/>
      <c r="C36" s="455"/>
      <c r="D36" s="455"/>
      <c r="E36" s="455"/>
      <c r="F36" s="455"/>
      <c r="G36" s="455"/>
      <c r="H36" s="455"/>
      <c r="I36" s="455"/>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195"/>
    </row>
    <row r="37" spans="2:42" ht="15" customHeight="1" x14ac:dyDescent="0.25">
      <c r="B37" s="196"/>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195"/>
    </row>
    <row r="38" spans="2:42" ht="15" customHeight="1" x14ac:dyDescent="0.25">
      <c r="B38" s="196"/>
      <c r="C38" s="455"/>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195"/>
    </row>
    <row r="39" spans="2:42" ht="15" customHeight="1" x14ac:dyDescent="0.25">
      <c r="B39" s="196"/>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195"/>
    </row>
    <row r="40" spans="2:42" ht="15" customHeight="1" x14ac:dyDescent="0.25">
      <c r="B40" s="197"/>
      <c r="C40" s="456"/>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198"/>
    </row>
    <row r="41" spans="2:42" ht="6" customHeight="1" x14ac:dyDescent="0.25">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row>
    <row r="42" spans="2:42" ht="6" customHeight="1" x14ac:dyDescent="0.25">
      <c r="B42" s="200"/>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2"/>
    </row>
    <row r="43" spans="2:42" ht="15" customHeight="1" x14ac:dyDescent="0.25">
      <c r="B43" s="203"/>
      <c r="C43" s="187" t="str">
        <f>IF(AND(Kérdőív!AU144=0,Kérdőív!AU114=0,Kérdőív!BQ32="KL"),"X","")</f>
        <v/>
      </c>
      <c r="D43" s="184" t="s">
        <v>224</v>
      </c>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2"/>
    </row>
    <row r="44" spans="2:42" ht="6" customHeight="1" x14ac:dyDescent="0.25">
      <c r="B44" s="203"/>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2"/>
    </row>
    <row r="45" spans="2:42" ht="15" customHeight="1" x14ac:dyDescent="0.25">
      <c r="B45" s="203"/>
      <c r="C45" s="191"/>
      <c r="D45" s="453" t="str">
        <f>IF(C43="X",Kérdőív!K133,"")</f>
        <v/>
      </c>
      <c r="E45" s="453"/>
      <c r="F45" s="453"/>
      <c r="G45" s="453"/>
      <c r="H45" s="453"/>
      <c r="I45" s="453"/>
      <c r="J45" s="453"/>
      <c r="K45" s="191" t="s">
        <v>242</v>
      </c>
      <c r="L45" s="204"/>
      <c r="M45" s="205"/>
      <c r="N45" s="191"/>
      <c r="O45" s="205"/>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2"/>
    </row>
    <row r="46" spans="2:42" ht="15" customHeight="1" x14ac:dyDescent="0.25">
      <c r="B46" s="203"/>
      <c r="C46" s="191"/>
      <c r="D46" s="184" t="s">
        <v>230</v>
      </c>
      <c r="E46" s="185"/>
      <c r="F46" s="185"/>
      <c r="G46" s="185"/>
      <c r="H46" s="185"/>
      <c r="I46" s="185"/>
      <c r="J46" s="185"/>
      <c r="K46" s="185"/>
      <c r="L46" s="185"/>
      <c r="M46" s="185"/>
      <c r="N46" s="185"/>
      <c r="O46" s="185"/>
      <c r="P46" s="185"/>
      <c r="Q46" s="185"/>
      <c r="R46" s="185"/>
      <c r="S46" s="185"/>
      <c r="T46" s="185"/>
      <c r="U46" s="185"/>
      <c r="V46" s="453" t="str">
        <f>IF(AND(C43="X",Kérdőív!K139&lt;&gt;""),Kérdőív!K139,"")</f>
        <v/>
      </c>
      <c r="W46" s="453"/>
      <c r="X46" s="453"/>
      <c r="Y46" s="453"/>
      <c r="Z46" s="453"/>
      <c r="AA46" s="453"/>
      <c r="AB46" s="453"/>
      <c r="AC46" s="453"/>
      <c r="AD46" s="453"/>
      <c r="AE46" s="453"/>
      <c r="AF46" s="453"/>
      <c r="AG46" s="453"/>
      <c r="AH46" s="453"/>
      <c r="AI46" s="453"/>
      <c r="AJ46" s="453"/>
      <c r="AK46" s="453"/>
      <c r="AL46" s="453"/>
      <c r="AM46" s="453"/>
      <c r="AN46" s="453"/>
      <c r="AO46" s="453"/>
      <c r="AP46" s="192"/>
    </row>
    <row r="47" spans="2:42" ht="15" customHeight="1" x14ac:dyDescent="0.25">
      <c r="B47" s="203"/>
      <c r="C47" s="191"/>
      <c r="D47" s="184" t="s">
        <v>231</v>
      </c>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92"/>
    </row>
    <row r="48" spans="2:42" ht="15" customHeight="1" x14ac:dyDescent="0.25">
      <c r="B48" s="203"/>
      <c r="C48" s="191"/>
      <c r="D48" s="184" t="s">
        <v>232</v>
      </c>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91"/>
      <c r="AJ48" s="191"/>
      <c r="AK48" s="191"/>
      <c r="AL48" s="191"/>
      <c r="AM48" s="191"/>
      <c r="AN48" s="191"/>
      <c r="AO48" s="191"/>
      <c r="AP48" s="192"/>
    </row>
    <row r="49" spans="2:42" ht="15" customHeight="1" x14ac:dyDescent="0.25">
      <c r="B49" s="203"/>
      <c r="C49" s="191"/>
      <c r="D49" s="453" t="str">
        <f>IF(C43="X",Kérdőív!K137,"")</f>
        <v/>
      </c>
      <c r="E49" s="453"/>
      <c r="F49" s="453"/>
      <c r="G49" s="453"/>
      <c r="H49" s="453"/>
      <c r="I49" s="453"/>
      <c r="J49" s="453"/>
      <c r="K49" s="189" t="s">
        <v>233</v>
      </c>
      <c r="L49" s="185"/>
      <c r="M49" s="453" t="str">
        <f>IF(C43="X",Kérdőív!H125,"")</f>
        <v/>
      </c>
      <c r="N49" s="453"/>
      <c r="O49" s="453"/>
      <c r="P49" s="453"/>
      <c r="Q49" s="453"/>
      <c r="R49" s="453"/>
      <c r="S49" s="453"/>
      <c r="T49" s="188" t="s">
        <v>234</v>
      </c>
      <c r="U49" s="185"/>
      <c r="V49" s="185"/>
      <c r="W49" s="185"/>
      <c r="X49" s="185"/>
      <c r="Y49" s="185"/>
      <c r="Z49" s="185"/>
      <c r="AA49" s="185"/>
      <c r="AB49" s="185"/>
      <c r="AC49" s="185"/>
      <c r="AD49" s="185"/>
      <c r="AE49" s="185"/>
      <c r="AF49" s="185"/>
      <c r="AG49" s="185"/>
      <c r="AH49" s="185"/>
      <c r="AI49" s="191"/>
      <c r="AJ49" s="191"/>
      <c r="AK49" s="191"/>
      <c r="AL49" s="191"/>
      <c r="AM49" s="191"/>
      <c r="AN49" s="191"/>
      <c r="AO49" s="191"/>
      <c r="AP49" s="192"/>
    </row>
    <row r="50" spans="2:42" ht="6" customHeight="1" x14ac:dyDescent="0.25">
      <c r="B50" s="203"/>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2"/>
    </row>
    <row r="51" spans="2:42" ht="15" customHeight="1" x14ac:dyDescent="0.25">
      <c r="B51" s="203"/>
      <c r="C51" s="457" t="s">
        <v>243</v>
      </c>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K51" s="457"/>
      <c r="AL51" s="457"/>
      <c r="AM51" s="457"/>
      <c r="AN51" s="457"/>
      <c r="AO51" s="457"/>
      <c r="AP51" s="192"/>
    </row>
    <row r="52" spans="2:42" ht="6" customHeight="1" x14ac:dyDescent="0.25">
      <c r="B52" s="206"/>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8"/>
    </row>
    <row r="53" spans="2:42" ht="6" customHeight="1" x14ac:dyDescent="0.25">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row>
    <row r="54" spans="2:42" ht="15" customHeight="1" x14ac:dyDescent="0.25">
      <c r="B54" s="177" t="s">
        <v>244</v>
      </c>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row>
    <row r="55" spans="2:42" ht="15" customHeight="1" x14ac:dyDescent="0.25">
      <c r="B55" s="458" t="str">
        <f>IF(Kérdőív!K141&lt;&gt;"",Kérdőív!K141,"")</f>
        <v/>
      </c>
      <c r="C55" s="459"/>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59"/>
      <c r="AO55" s="459"/>
      <c r="AP55" s="460"/>
    </row>
    <row r="56" spans="2:42" ht="15" customHeight="1" x14ac:dyDescent="0.25">
      <c r="B56" s="461"/>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2"/>
      <c r="AH56" s="462"/>
      <c r="AI56" s="462"/>
      <c r="AJ56" s="462"/>
      <c r="AK56" s="462"/>
      <c r="AL56" s="462"/>
      <c r="AM56" s="462"/>
      <c r="AN56" s="462"/>
      <c r="AO56" s="462"/>
      <c r="AP56" s="463"/>
    </row>
    <row r="57" spans="2:42" ht="15" customHeight="1" x14ac:dyDescent="0.25">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row>
    <row r="58" spans="2:42" ht="15" customHeight="1" x14ac:dyDescent="0.25">
      <c r="B58" s="464" t="s">
        <v>245</v>
      </c>
      <c r="C58" s="464"/>
      <c r="D58" s="464"/>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M58" s="464"/>
      <c r="AN58" s="464"/>
      <c r="AO58" s="464"/>
      <c r="AP58" s="464"/>
    </row>
    <row r="59" spans="2:42" ht="15" customHeight="1" x14ac:dyDescent="0.25">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row>
    <row r="60" spans="2:42" ht="15" customHeight="1" x14ac:dyDescent="0.25">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c r="AE60" s="464"/>
      <c r="AF60" s="464"/>
      <c r="AG60" s="464"/>
      <c r="AH60" s="464"/>
      <c r="AI60" s="464"/>
      <c r="AJ60" s="464"/>
      <c r="AK60" s="464"/>
      <c r="AL60" s="464"/>
      <c r="AM60" s="464"/>
      <c r="AN60" s="464"/>
      <c r="AO60" s="464"/>
      <c r="AP60" s="464"/>
    </row>
    <row r="61" spans="2:42" ht="15" customHeight="1" x14ac:dyDescent="0.25">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row>
    <row r="62" spans="2:42" ht="15" customHeight="1" x14ac:dyDescent="0.25">
      <c r="B62" s="464"/>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row>
    <row r="63" spans="2:42" ht="15" customHeight="1" x14ac:dyDescent="0.25">
      <c r="B63" s="464"/>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4"/>
      <c r="AO63" s="464"/>
      <c r="AP63" s="464"/>
    </row>
    <row r="64" spans="2:42" ht="15" customHeight="1" x14ac:dyDescent="0.25">
      <c r="B64" s="464"/>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c r="AK64" s="464"/>
      <c r="AL64" s="464"/>
      <c r="AM64" s="464"/>
      <c r="AN64" s="464"/>
      <c r="AO64" s="464"/>
      <c r="AP64" s="464"/>
    </row>
    <row r="65" spans="1:42" ht="15" customHeight="1" x14ac:dyDescent="0.25">
      <c r="B65" s="464"/>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4"/>
      <c r="AM65" s="464"/>
      <c r="AN65" s="464"/>
      <c r="AO65" s="464"/>
      <c r="AP65" s="464"/>
    </row>
    <row r="66" spans="1:42" ht="15" customHeight="1" x14ac:dyDescent="0.25">
      <c r="B66" s="464"/>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c r="AK66" s="464"/>
      <c r="AL66" s="464"/>
      <c r="AM66" s="464"/>
      <c r="AN66" s="464"/>
      <c r="AO66" s="464"/>
      <c r="AP66" s="464"/>
    </row>
    <row r="67" spans="1:42" ht="15" customHeight="1" x14ac:dyDescent="0.25">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O67" s="464"/>
      <c r="AP67" s="464"/>
    </row>
    <row r="68" spans="1:42" ht="15" customHeight="1" x14ac:dyDescent="0.25">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row>
    <row r="69" spans="1:42" ht="15" customHeight="1" x14ac:dyDescent="0.25">
      <c r="A69" s="179"/>
      <c r="B69" s="184" t="s">
        <v>246</v>
      </c>
      <c r="C69" s="205"/>
      <c r="D69" s="205"/>
      <c r="E69" s="209"/>
      <c r="F69" s="209"/>
      <c r="G69" s="209"/>
      <c r="H69" s="209"/>
      <c r="I69" s="209"/>
      <c r="J69" s="209"/>
      <c r="K69" s="209"/>
      <c r="L69" s="209"/>
      <c r="M69" s="209"/>
      <c r="N69" s="209"/>
      <c r="O69" s="209"/>
      <c r="P69" s="209"/>
      <c r="Q69" s="205"/>
      <c r="R69" s="205"/>
      <c r="S69" s="205"/>
      <c r="T69" s="205"/>
      <c r="U69" s="205"/>
      <c r="V69" s="205"/>
      <c r="W69" s="205" t="s">
        <v>220</v>
      </c>
      <c r="X69" s="174"/>
      <c r="Y69" s="205"/>
      <c r="Z69" s="205"/>
      <c r="AA69" s="205"/>
      <c r="AB69" s="174"/>
      <c r="AC69" s="205"/>
      <c r="AD69" s="205"/>
      <c r="AE69" s="209"/>
      <c r="AF69" s="209"/>
      <c r="AG69" s="209"/>
      <c r="AH69" s="209"/>
      <c r="AI69" s="209"/>
      <c r="AJ69" s="209"/>
      <c r="AK69" s="209"/>
      <c r="AL69" s="209"/>
      <c r="AM69" s="209"/>
      <c r="AN69" s="209"/>
      <c r="AO69" s="209"/>
      <c r="AP69" s="209"/>
    </row>
    <row r="70" spans="1:42" ht="15" customHeight="1" x14ac:dyDescent="0.25">
      <c r="A70" s="179"/>
      <c r="B70" s="184"/>
      <c r="C70" s="205"/>
      <c r="D70" s="205"/>
      <c r="E70" s="205"/>
      <c r="F70" s="205"/>
      <c r="G70" s="205"/>
      <c r="H70" s="205"/>
      <c r="I70" s="205"/>
      <c r="J70" s="205"/>
      <c r="K70" s="205"/>
      <c r="L70" s="205"/>
      <c r="M70" s="205"/>
      <c r="N70" s="205"/>
      <c r="O70" s="205"/>
      <c r="P70" s="205"/>
      <c r="Q70" s="205"/>
      <c r="R70" s="205"/>
      <c r="S70" s="205"/>
      <c r="T70" s="205"/>
      <c r="U70" s="205"/>
      <c r="V70" s="205"/>
      <c r="W70" s="205"/>
      <c r="X70" s="174"/>
      <c r="Y70" s="205"/>
      <c r="Z70" s="205"/>
      <c r="AA70" s="205"/>
      <c r="AB70" s="174"/>
      <c r="AC70" s="205"/>
      <c r="AD70" s="205"/>
      <c r="AE70" s="205"/>
      <c r="AF70" s="205"/>
      <c r="AG70" s="205"/>
      <c r="AH70" s="205"/>
      <c r="AI70" s="205"/>
      <c r="AJ70" s="205"/>
      <c r="AK70" s="205"/>
      <c r="AL70" s="205"/>
      <c r="AM70" s="205"/>
      <c r="AN70" s="205"/>
      <c r="AO70" s="205"/>
      <c r="AP70" s="205"/>
    </row>
    <row r="71" spans="1:42" ht="15" customHeight="1" x14ac:dyDescent="0.25">
      <c r="A71" s="179"/>
      <c r="B71" s="465" t="s">
        <v>247</v>
      </c>
      <c r="C71" s="465"/>
      <c r="D71" s="465"/>
      <c r="E71" s="465"/>
      <c r="F71" s="465"/>
      <c r="G71" s="465"/>
      <c r="H71" s="465"/>
      <c r="I71" s="465"/>
      <c r="J71" s="465"/>
      <c r="K71" s="465"/>
      <c r="L71" s="465"/>
      <c r="M71" s="465"/>
      <c r="N71" s="465"/>
      <c r="O71" s="465"/>
      <c r="P71" s="465"/>
      <c r="Q71" s="205"/>
      <c r="R71" s="205"/>
      <c r="S71" s="205"/>
      <c r="T71" s="205"/>
      <c r="U71" s="205"/>
      <c r="V71" s="205"/>
      <c r="W71" s="205"/>
      <c r="X71" s="205"/>
      <c r="Y71" s="205"/>
      <c r="Z71" s="205"/>
      <c r="AA71" s="205"/>
      <c r="AB71" s="205"/>
      <c r="AC71" s="205"/>
      <c r="AD71" s="205"/>
      <c r="AE71" s="205"/>
      <c r="AF71" s="205"/>
      <c r="AG71" s="205"/>
      <c r="AH71" s="174"/>
      <c r="AI71" s="205"/>
      <c r="AJ71" s="205"/>
      <c r="AK71" s="205"/>
      <c r="AL71" s="205"/>
      <c r="AM71" s="205"/>
      <c r="AN71" s="205"/>
      <c r="AO71" s="205"/>
      <c r="AP71" s="205"/>
    </row>
    <row r="72" spans="1:42" ht="15" customHeight="1" x14ac:dyDescent="0.25">
      <c r="A72" s="179"/>
      <c r="B72" s="465"/>
      <c r="C72" s="465"/>
      <c r="D72" s="465"/>
      <c r="E72" s="465"/>
      <c r="F72" s="465"/>
      <c r="G72" s="465"/>
      <c r="H72" s="465"/>
      <c r="I72" s="465"/>
      <c r="J72" s="465"/>
      <c r="K72" s="465"/>
      <c r="L72" s="465"/>
      <c r="M72" s="465"/>
      <c r="N72" s="465"/>
      <c r="O72" s="465"/>
      <c r="P72" s="465"/>
      <c r="W72" s="174" t="s">
        <v>248</v>
      </c>
      <c r="AE72" s="210"/>
      <c r="AF72" s="209"/>
      <c r="AG72" s="209"/>
      <c r="AH72" s="209"/>
      <c r="AI72" s="209"/>
      <c r="AJ72" s="209"/>
      <c r="AK72" s="209"/>
      <c r="AL72" s="209"/>
      <c r="AM72" s="209"/>
      <c r="AN72" s="209"/>
      <c r="AO72" s="209"/>
      <c r="AP72" s="209"/>
    </row>
    <row r="73" spans="1:42" ht="15" hidden="1" customHeight="1" x14ac:dyDescent="0.25">
      <c r="A73" s="179"/>
      <c r="B73" s="18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row>
    <row r="74" spans="1:42" ht="15" hidden="1" customHeight="1" x14ac:dyDescent="0.25">
      <c r="A74" s="179"/>
      <c r="B74" s="211"/>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row>
    <row r="75" spans="1:42" ht="15" hidden="1" customHeight="1" x14ac:dyDescent="0.25">
      <c r="A75" s="179"/>
      <c r="B75" s="211"/>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row>
    <row r="76" spans="1:42" ht="15" hidden="1" customHeight="1" x14ac:dyDescent="0.25">
      <c r="A76" s="179"/>
      <c r="B76" s="211"/>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row>
    <row r="77" spans="1:42" ht="15" hidden="1" customHeight="1" x14ac:dyDescent="0.25">
      <c r="A77" s="179"/>
      <c r="B77" s="211"/>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row>
    <row r="78" spans="1:42" ht="15" hidden="1" customHeight="1" x14ac:dyDescent="0.25">
      <c r="A78" s="179"/>
      <c r="B78" s="211"/>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row>
    <row r="79" spans="1:42" ht="15" hidden="1" customHeight="1" x14ac:dyDescent="0.25">
      <c r="A79" s="179"/>
      <c r="B79" s="211"/>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row>
    <row r="80" spans="1:42" ht="15" hidden="1" customHeight="1" x14ac:dyDescent="0.25">
      <c r="A80" s="179"/>
      <c r="B80" s="211"/>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row>
    <row r="81" spans="1:42" ht="15" hidden="1" customHeight="1" x14ac:dyDescent="0.25">
      <c r="A81" s="179"/>
      <c r="B81" s="211"/>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row>
    <row r="82" spans="1:42" ht="15" hidden="1" customHeight="1" x14ac:dyDescent="0.25">
      <c r="A82" s="179"/>
      <c r="B82" s="211"/>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row>
    <row r="83" spans="1:42" ht="15" hidden="1" customHeight="1" x14ac:dyDescent="0.25">
      <c r="A83" s="179"/>
      <c r="B83" s="211"/>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row>
    <row r="84" spans="1:42" ht="15" hidden="1" customHeight="1" x14ac:dyDescent="0.25">
      <c r="A84" s="179"/>
      <c r="B84" s="211"/>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row>
    <row r="85" spans="1:42" ht="15" hidden="1" customHeight="1" x14ac:dyDescent="0.25">
      <c r="A85" s="179"/>
      <c r="B85" s="211"/>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row>
    <row r="86" spans="1:42" ht="15" hidden="1" customHeight="1" x14ac:dyDescent="0.25">
      <c r="A86" s="179"/>
      <c r="B86" s="211"/>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row>
    <row r="87" spans="1:42" ht="15" hidden="1" customHeight="1" x14ac:dyDescent="0.25">
      <c r="A87" s="179"/>
      <c r="B87" s="211"/>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row>
    <row r="88" spans="1:42" ht="15" hidden="1" customHeight="1" x14ac:dyDescent="0.25">
      <c r="A88" s="179"/>
      <c r="B88" s="211"/>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row>
    <row r="89" spans="1:42" ht="15" hidden="1" customHeight="1" x14ac:dyDescent="0.25">
      <c r="A89" s="179"/>
      <c r="B89" s="211"/>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row>
    <row r="90" spans="1:42" ht="15" hidden="1" customHeight="1" x14ac:dyDescent="0.25">
      <c r="A90" s="179"/>
      <c r="B90" s="211"/>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row>
    <row r="91" spans="1:42" ht="15" hidden="1" customHeight="1" x14ac:dyDescent="0.25">
      <c r="A91" s="179"/>
      <c r="B91" s="211"/>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row>
  </sheetData>
  <sheetProtection algorithmName="SHA-512" hashValue="dvh2BdEpTZwJwRenadFrE5+1TwcCFz4AWspgoidPgEpjNNxpl+PNlp6MEaEuSyA7NFOnQZd7c472BdSwm59BhA==" saltValue="mjCd66xi4em+W+ZufQlS/Q==" spinCount="100000" sheet="1" objects="1" scenarios="1"/>
  <mergeCells count="17">
    <mergeCell ref="C51:AO51"/>
    <mergeCell ref="B55:AP56"/>
    <mergeCell ref="B58:AP67"/>
    <mergeCell ref="B71:P72"/>
    <mergeCell ref="D49:J49"/>
    <mergeCell ref="M49:S49"/>
    <mergeCell ref="I4:AP4"/>
    <mergeCell ref="P6:AP6"/>
    <mergeCell ref="V46:AO46"/>
    <mergeCell ref="D23:J23"/>
    <mergeCell ref="M23:S23"/>
    <mergeCell ref="C32:AO40"/>
    <mergeCell ref="D45:J45"/>
    <mergeCell ref="F14:N14"/>
    <mergeCell ref="F15:N15"/>
    <mergeCell ref="H17:I17"/>
    <mergeCell ref="V20:AO20"/>
  </mergeCells>
  <pageMargins left="0.38187500000000002" right="0.25" top="0.40625" bottom="0.27625" header="0.3" footer="0.3"/>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Kérdőív</vt:lpstr>
      <vt:lpstr>Alkalmassági teszt</vt:lpstr>
      <vt:lpstr>Alkalmassági nyilatkozat</vt:lpstr>
      <vt:lpstr>'Alkalmassági nyilatkozat'!Nyomtatási_terület</vt:lpstr>
      <vt:lpstr>'Alkalmassági teszt'!Nyomtatási_terület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Jedliczki Roland</dc:creator>
  <cp:lastModifiedBy>Jedliczki Roland</cp:lastModifiedBy>
  <cp:lastPrinted>2019-12-30T10:10:29Z</cp:lastPrinted>
  <dcterms:created xsi:type="dcterms:W3CDTF">2019-11-18T15:10:01Z</dcterms:created>
  <dcterms:modified xsi:type="dcterms:W3CDTF">2020-01-23T10:04:07Z</dcterms:modified>
</cp:coreProperties>
</file>