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238" activeTab="0"/>
  </bookViews>
  <sheets>
    <sheet name="K&amp;H társasház kalkulátor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</sheets>
  <definedNames/>
  <calcPr fullCalcOnLoad="1"/>
</workbook>
</file>

<file path=xl/sharedStrings.xml><?xml version="1.0" encoding="utf-8"?>
<sst xmlns="http://schemas.openxmlformats.org/spreadsheetml/2006/main" count="324" uniqueCount="231">
  <si>
    <t>Szerkezethibás</t>
  </si>
  <si>
    <t>Bontásra kijelölt</t>
  </si>
  <si>
    <t>Életveszélyesnek minősített</t>
  </si>
  <si>
    <t>Az épületen beázási nyomok láthatók</t>
  </si>
  <si>
    <t>A tetőszerkezet súlyosan elhanyagolt</t>
  </si>
  <si>
    <t>A külső vakolat hullik vagy táskásodik</t>
  </si>
  <si>
    <t>Aládúcolt vagy ideiglenesen kitmasztott</t>
  </si>
  <si>
    <t>A tűzfal felső sora repedezett, töredezett</t>
  </si>
  <si>
    <t>Vízvezeték</t>
  </si>
  <si>
    <t>A kiépített erősítő , kábelrendszerek, elektromos szerkezetek állapota nem megfelelő</t>
  </si>
  <si>
    <t>A kaputelefonokon sérülés látható</t>
  </si>
  <si>
    <t>A felvonókon sérölés látható</t>
  </si>
  <si>
    <t>A bejárati kapun, lépcsőházi ajtón sérüléslátható</t>
  </si>
  <si>
    <t>A lakások bejárati ajtaján sérülés látható</t>
  </si>
  <si>
    <t>Szemetes kukákon sérülés látható</t>
  </si>
  <si>
    <t>Falfirkák, graffitik vannak a külső falon</t>
  </si>
  <si>
    <t>Falfirkák, graffitik vannak a belső falakon</t>
  </si>
  <si>
    <t>Rongálási nyomok vannak a közös helyiségek belső falazatán</t>
  </si>
  <si>
    <t>Rongálási nyomok vannak az épületen</t>
  </si>
  <si>
    <t>Törött üvegezés van</t>
  </si>
  <si>
    <t>Kockázatelbírálási információk</t>
  </si>
  <si>
    <t>A kockázatelbírálás eredménye</t>
  </si>
  <si>
    <t>Az épület:</t>
  </si>
  <si>
    <t>Területi besorolás</t>
  </si>
  <si>
    <t>Budapest</t>
  </si>
  <si>
    <t>Megyeszékhely</t>
  </si>
  <si>
    <t>Megyei jogú város</t>
  </si>
  <si>
    <t>Egyéb település</t>
  </si>
  <si>
    <t>Használat jellege</t>
  </si>
  <si>
    <t>Lakáscélú</t>
  </si>
  <si>
    <t>Nyaraló, üdülő</t>
  </si>
  <si>
    <t xml:space="preserve">Üzletház </t>
  </si>
  <si>
    <t>Lakatlan</t>
  </si>
  <si>
    <t>Egyéb</t>
  </si>
  <si>
    <t>Épület kora</t>
  </si>
  <si>
    <t>50 év feletti</t>
  </si>
  <si>
    <t>Épületszerkezet</t>
  </si>
  <si>
    <t>Tégla, beton, falazóelem, Vasbeton és kő, gázbeton</t>
  </si>
  <si>
    <t>Vasbeton vázas</t>
  </si>
  <si>
    <t>Vasbetonvázas szerkezet éghető építőanyagokkal kiegészítve</t>
  </si>
  <si>
    <t>Acélvázas szerkezet tűzbiztos burkolat nélkül</t>
  </si>
  <si>
    <t>Favázas vagy ragasztott faszerkezetek egyéb építőanyaggal</t>
  </si>
  <si>
    <t>Vályog</t>
  </si>
  <si>
    <t>Fából, műanyagból vagy ezekkel egyenértékű építőanyagból készült épületek</t>
  </si>
  <si>
    <t>Acélvázas szerkezet tégla, beton, vagy kő falazattal</t>
  </si>
  <si>
    <t>Falazat</t>
  </si>
  <si>
    <t>Kemény</t>
  </si>
  <si>
    <t>Puha</t>
  </si>
  <si>
    <t>Vegyes</t>
  </si>
  <si>
    <t>Tégla</t>
  </si>
  <si>
    <t>Panel</t>
  </si>
  <si>
    <t>Bauxitbeton</t>
  </si>
  <si>
    <t>Tetőszerkezet</t>
  </si>
  <si>
    <t>Ellenálló</t>
  </si>
  <si>
    <t>Nem ellenálló</t>
  </si>
  <si>
    <t>Pala</t>
  </si>
  <si>
    <t>Cserép</t>
  </si>
  <si>
    <t>Lapostető bitumenborítással</t>
  </si>
  <si>
    <t>Fűtés</t>
  </si>
  <si>
    <t>Távfűtés</t>
  </si>
  <si>
    <t>Épületenként egyedi</t>
  </si>
  <si>
    <t>Lakásonként egyedi</t>
  </si>
  <si>
    <t>Szintek száma</t>
  </si>
  <si>
    <t>Lakások száma</t>
  </si>
  <si>
    <t xml:space="preserve">Vízvezeték </t>
  </si>
  <si>
    <t>Szervízcsatornában</t>
  </si>
  <si>
    <t>Falban</t>
  </si>
  <si>
    <t>Falon kívül</t>
  </si>
  <si>
    <t xml:space="preserve">Központi elzárócsapok száma </t>
  </si>
  <si>
    <t>Tűzszakaszok</t>
  </si>
  <si>
    <t>Kialakítva</t>
  </si>
  <si>
    <t>Nincsenek tűzszakaszok</t>
  </si>
  <si>
    <t>Kiépített tűzcsapok száma</t>
  </si>
  <si>
    <t>Választott fedezet</t>
  </si>
  <si>
    <t>Fedezet</t>
  </si>
  <si>
    <t>Alap</t>
  </si>
  <si>
    <t>Bővített</t>
  </si>
  <si>
    <t>A közös és egyéni tulajdonban lévő vagyonrészekre is kiterjedő vagyonbiztosítás</t>
  </si>
  <si>
    <t>( kivéve az egyéni tulajdonban lévő ingóságok )</t>
  </si>
  <si>
    <t>Csak a közös tulajdonban lévő vagyonrészekre kiterjedő vagyonbiztosítás</t>
  </si>
  <si>
    <t>Épülettípus</t>
  </si>
  <si>
    <t>0-2 év</t>
  </si>
  <si>
    <t>3-30 év</t>
  </si>
  <si>
    <t>31-50 év</t>
  </si>
  <si>
    <t>Korszorzó</t>
  </si>
  <si>
    <t>Területi szorzó</t>
  </si>
  <si>
    <t>Ajánlott értékek</t>
  </si>
  <si>
    <t>Alap fedezet</t>
  </si>
  <si>
    <t>Bővített fedezet</t>
  </si>
  <si>
    <t>Ajánlott</t>
  </si>
  <si>
    <t>Veszélyességi osztály</t>
  </si>
  <si>
    <t>Lapostető bitumen nélkül</t>
  </si>
  <si>
    <t>Tetőhéjazat</t>
  </si>
  <si>
    <t>1+1</t>
  </si>
  <si>
    <t>1+2</t>
  </si>
  <si>
    <t>2+1</t>
  </si>
  <si>
    <t>2+2</t>
  </si>
  <si>
    <t>3+1</t>
  </si>
  <si>
    <t>3+2</t>
  </si>
  <si>
    <t>Összevont díjtételek</t>
  </si>
  <si>
    <t>A</t>
  </si>
  <si>
    <t>B</t>
  </si>
  <si>
    <t>C</t>
  </si>
  <si>
    <t>D</t>
  </si>
  <si>
    <t>E</t>
  </si>
  <si>
    <t>F</t>
  </si>
  <si>
    <t>Főépület</t>
  </si>
  <si>
    <t>Melléképület</t>
  </si>
  <si>
    <t>Nincs</t>
  </si>
  <si>
    <t>I.</t>
  </si>
  <si>
    <t>II</t>
  </si>
  <si>
    <t>III.</t>
  </si>
  <si>
    <t>IV.</t>
  </si>
  <si>
    <t>Külön tulajdonú épületrészek ( lakások)</t>
  </si>
  <si>
    <t>Külün tulajdonú épületrészek ( nem lakáscélú magánterület )</t>
  </si>
  <si>
    <t>Közös tulajdonú épületrész</t>
  </si>
  <si>
    <t>Rendkívüli használati célú közös helyiségek</t>
  </si>
  <si>
    <t>Épület, melléképület összesen</t>
  </si>
  <si>
    <t>típus</t>
  </si>
  <si>
    <t xml:space="preserve">Épület </t>
  </si>
  <si>
    <t>terület</t>
  </si>
  <si>
    <t>Választott</t>
  </si>
  <si>
    <t>Újraépítési érték</t>
  </si>
  <si>
    <t>Bizt.összeg</t>
  </si>
  <si>
    <t>ségi osztály</t>
  </si>
  <si>
    <t>Veszélyes-</t>
  </si>
  <si>
    <t>Összevont</t>
  </si>
  <si>
    <t>díjszorzó</t>
  </si>
  <si>
    <t>Éves alapdíj</t>
  </si>
  <si>
    <t>Alap felelősségbiztosítás</t>
  </si>
  <si>
    <t>(m2)</t>
  </si>
  <si>
    <t xml:space="preserve"> (eft /m2 )</t>
  </si>
  <si>
    <t>( eft /m2 )</t>
  </si>
  <si>
    <t xml:space="preserve"> ( eft. )</t>
  </si>
  <si>
    <t>( ezrelék )</t>
  </si>
  <si>
    <t>ft.</t>
  </si>
  <si>
    <t>Teremgarázs</t>
  </si>
  <si>
    <t xml:space="preserve"> </t>
  </si>
  <si>
    <t>Kiegészítő biztosítások</t>
  </si>
  <si>
    <t>Betöréses lopás és rablás biztosítás</t>
  </si>
  <si>
    <t>Betöréses lopás és rablás</t>
  </si>
  <si>
    <t>Kérem</t>
  </si>
  <si>
    <t>Nem kérem</t>
  </si>
  <si>
    <t xml:space="preserve">Biztosítás díja </t>
  </si>
  <si>
    <t xml:space="preserve">Megyeszékhely </t>
  </si>
  <si>
    <t>Díjtétel</t>
  </si>
  <si>
    <t>Rongálási károk</t>
  </si>
  <si>
    <t>Biztosítás díja</t>
  </si>
  <si>
    <t>Tetőbeázási károk</t>
  </si>
  <si>
    <t>Felvonó(k) kiegészítő biztosítása</t>
  </si>
  <si>
    <t>Biztosított felvonók száma</t>
  </si>
  <si>
    <t>Bővített felelősségbiztosítás</t>
  </si>
  <si>
    <t>Közös képviselők, társasházkezelők</t>
  </si>
  <si>
    <t>lakásszövetkezeti tisztségviselők</t>
  </si>
  <si>
    <t>felelősség biztosítása</t>
  </si>
  <si>
    <t>Közös képviselők felelősségbiztosítása</t>
  </si>
  <si>
    <t>Kérem lakásszövetkezetre 1.000.000 Ft. limittel</t>
  </si>
  <si>
    <t xml:space="preserve">Kérem társasházra 1.000.000 Ft. limittel </t>
  </si>
  <si>
    <t>Kérem lakásszövetkezetre 5.000.000 Ft. limittel</t>
  </si>
  <si>
    <t xml:space="preserve">Kérem társasházra 5.000.000 Ft. limittel </t>
  </si>
  <si>
    <t>Balesetbiztosítás</t>
  </si>
  <si>
    <t>Különleges üveg</t>
  </si>
  <si>
    <t>Ajánlott egységárak</t>
  </si>
  <si>
    <t>Normál üvegezés</t>
  </si>
  <si>
    <t>Minőségi üvegezés ( thermopan, katedrál és egyéb díszüvegezések )</t>
  </si>
  <si>
    <t>Vegyes üvegezés ( Síküveggel kombinált egyéb üvegezés jajták )</t>
  </si>
  <si>
    <t>ft./m2</t>
  </si>
  <si>
    <t>Biztosítható különleges üvegezések</t>
  </si>
  <si>
    <t>Bútorüvegezés</t>
  </si>
  <si>
    <t>Üvegtető, előtető, télikert</t>
  </si>
  <si>
    <t>Üvegtégla, üvegcserép</t>
  </si>
  <si>
    <t>Tükörcsempék</t>
  </si>
  <si>
    <t>Normál tükör</t>
  </si>
  <si>
    <t>Akvárium, terrárium</t>
  </si>
  <si>
    <t>Medence üvegezés</t>
  </si>
  <si>
    <t>Összesen</t>
  </si>
  <si>
    <t>Üveg</t>
  </si>
  <si>
    <t>felület</t>
  </si>
  <si>
    <t>Egységár</t>
  </si>
  <si>
    <t>Biztosított</t>
  </si>
  <si>
    <t>üvegérték</t>
  </si>
  <si>
    <t>(ft./m2)</t>
  </si>
  <si>
    <t>(ezer ft.)</t>
  </si>
  <si>
    <t>Csomag szorzó</t>
  </si>
  <si>
    <t>Kiegészítők száma</t>
  </si>
  <si>
    <t>5-6</t>
  </si>
  <si>
    <t>7-8</t>
  </si>
  <si>
    <t>Díjfizetés ütemezése</t>
  </si>
  <si>
    <t>Díjfizetés módja</t>
  </si>
  <si>
    <t>Éves</t>
  </si>
  <si>
    <t>Féléves</t>
  </si>
  <si>
    <t>Negyedéves</t>
  </si>
  <si>
    <t>Havi</t>
  </si>
  <si>
    <t>Postai átutalás</t>
  </si>
  <si>
    <t>Banki átutalás</t>
  </si>
  <si>
    <t>Csoportos beszedés</t>
  </si>
  <si>
    <t>K&amp;H beszedés</t>
  </si>
  <si>
    <t>K&amp;H csoportos beszedés</t>
  </si>
  <si>
    <t>Szorzó</t>
  </si>
  <si>
    <t>Bérház</t>
  </si>
  <si>
    <t>Pótdíj</t>
  </si>
  <si>
    <t>Díjösszesítő</t>
  </si>
  <si>
    <t>Engedmény, pótdíj szorzók</t>
  </si>
  <si>
    <t>Területi engedmény szorzó</t>
  </si>
  <si>
    <t>Csomag engedmény szorzó</t>
  </si>
  <si>
    <t>Díjfizetés módja és gyakorisága szerinti engedményszorzó</t>
  </si>
  <si>
    <t>Használat jellege szerinti pótdíj szorzó</t>
  </si>
  <si>
    <t>A kockázatviselési hely engedményekkel csökkentett éves díja</t>
  </si>
  <si>
    <t>Bővített felelősségbiztosítás éves díja</t>
  </si>
  <si>
    <t>Társasházi közös képviselők, lakásszövetkezeti tisztségviselők felelősség biztosítás díja</t>
  </si>
  <si>
    <t>Kiegészítő balesetbiztosítás díja</t>
  </si>
  <si>
    <t>Alap és kiegészítő biztosítások díja összesen</t>
  </si>
  <si>
    <t>Egyedi kockázati engedmény</t>
  </si>
  <si>
    <t>Biztosításközvetítői hatáskörben adható 10 %</t>
  </si>
  <si>
    <t>Értékesítési vezetői hatáskörben adható 10 %</t>
  </si>
  <si>
    <t>Kockázati engedmény</t>
  </si>
  <si>
    <t>Biztosításközvetítői</t>
  </si>
  <si>
    <t>Értékesítési vezetői</t>
  </si>
  <si>
    <t>Kötvény engedményszorzója</t>
  </si>
  <si>
    <t>Használat jellege miatti pótdíj szorzó, és a pótdíjjal növelt éves díj</t>
  </si>
  <si>
    <t>Kötvény engedményszorzója, és a fizetendő éves biztosítási díj</t>
  </si>
  <si>
    <t>Fizetendő éves biztosítási díj</t>
  </si>
  <si>
    <t>K&amp;H fészek társasház biztosítás ajánlatkészítő ( FTB06)</t>
  </si>
  <si>
    <t>Alap vagyonbiztosítás díjkalkulációs adatok bekérése</t>
  </si>
  <si>
    <t>Különleges üvegek biztosítása</t>
  </si>
  <si>
    <t xml:space="preserve">Engedmények </t>
  </si>
  <si>
    <t>Díjfizetés módja és ütemezése miatti engedmény</t>
  </si>
  <si>
    <t>,- Ft.</t>
  </si>
  <si>
    <t>Lépcsőházak száma</t>
  </si>
  <si>
    <t>Vállalkozásnak bérbeadott épületrész lakóépületben</t>
  </si>
  <si>
    <t>Vállalkozásnak bérbeadott épületrész melléképületben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</si>
</sst>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00%"/>
    <numFmt numFmtId="175" formatCode="#,##0.0"/>
  </numFmts>
  <fonts count="7">
    <font>
      <sz val="10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 horizontal="center"/>
    </xf>
    <xf numFmtId="172" fontId="0" fillId="2" borderId="1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3" fontId="0" fillId="3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3" borderId="0" xfId="0" applyFont="1" applyFill="1" applyBorder="1" applyAlignment="1">
      <alignment/>
    </xf>
    <xf numFmtId="3" fontId="0" fillId="3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3" borderId="0" xfId="0" applyFill="1" applyAlignment="1">
      <alignment horizontal="right"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3" borderId="0" xfId="0" applyFont="1" applyFill="1" applyAlignment="1">
      <alignment/>
    </xf>
    <xf numFmtId="3" fontId="0" fillId="4" borderId="3" xfId="0" applyNumberFormat="1" applyFill="1" applyBorder="1" applyAlignment="1" applyProtection="1">
      <alignment horizontal="right"/>
      <protection locked="0"/>
    </xf>
    <xf numFmtId="3" fontId="0" fillId="4" borderId="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72" fontId="0" fillId="3" borderId="2" xfId="0" applyNumberFormat="1" applyFill="1" applyBorder="1" applyAlignment="1">
      <alignment horizontal="center"/>
    </xf>
    <xf numFmtId="172" fontId="0" fillId="3" borderId="3" xfId="0" applyNumberFormat="1" applyFill="1" applyBorder="1" applyAlignment="1">
      <alignment horizontal="center"/>
    </xf>
    <xf numFmtId="172" fontId="0" fillId="3" borderId="4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0" borderId="2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175" fontId="0" fillId="3" borderId="2" xfId="0" applyNumberFormat="1" applyFill="1" applyBorder="1" applyAlignment="1">
      <alignment horizontal="center"/>
    </xf>
    <xf numFmtId="175" fontId="0" fillId="3" borderId="3" xfId="0" applyNumberFormat="1" applyFill="1" applyBorder="1" applyAlignment="1">
      <alignment horizontal="center"/>
    </xf>
    <xf numFmtId="175" fontId="0" fillId="3" borderId="4" xfId="0" applyNumberFormat="1" applyFill="1" applyBorder="1" applyAlignment="1">
      <alignment horizontal="center"/>
    </xf>
    <xf numFmtId="175" fontId="0" fillId="0" borderId="2" xfId="0" applyNumberFormat="1" applyBorder="1" applyAlignment="1" applyProtection="1">
      <alignment horizontal="center"/>
      <protection locked="0"/>
    </xf>
    <xf numFmtId="175" fontId="0" fillId="0" borderId="3" xfId="0" applyNumberFormat="1" applyBorder="1" applyAlignment="1" applyProtection="1">
      <alignment horizontal="center"/>
      <protection locked="0"/>
    </xf>
    <xf numFmtId="175" fontId="0" fillId="0" borderId="4" xfId="0" applyNumberFormat="1" applyBorder="1" applyAlignment="1" applyProtection="1">
      <alignment horizontal="center"/>
      <protection locked="0"/>
    </xf>
    <xf numFmtId="3" fontId="0" fillId="3" borderId="2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173" fontId="0" fillId="3" borderId="0" xfId="0" applyNumberFormat="1" applyFill="1" applyAlignment="1">
      <alignment horizontal="right"/>
    </xf>
    <xf numFmtId="173" fontId="3" fillId="3" borderId="12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4" borderId="2" xfId="0" applyNumberFormat="1" applyFill="1" applyBorder="1" applyAlignment="1" applyProtection="1">
      <alignment horizontal="right"/>
      <protection locked="0"/>
    </xf>
    <xf numFmtId="3" fontId="0" fillId="3" borderId="2" xfId="0" applyNumberFormat="1" applyFill="1" applyBorder="1" applyAlignment="1" applyProtection="1">
      <alignment horizontal="right"/>
      <protection/>
    </xf>
    <xf numFmtId="3" fontId="0" fillId="3" borderId="3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 applyProtection="1">
      <alignment horizontal="right"/>
      <protection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0" fillId="4" borderId="3" xfId="0" applyFill="1" applyBorder="1" applyAlignment="1" applyProtection="1">
      <alignment horizontal="right"/>
      <protection locked="0"/>
    </xf>
    <xf numFmtId="3" fontId="4" fillId="2" borderId="0" xfId="0" applyNumberFormat="1" applyFont="1" applyFill="1" applyAlignment="1">
      <alignment horizontal="right"/>
    </xf>
    <xf numFmtId="10" fontId="0" fillId="3" borderId="2" xfId="0" applyNumberFormat="1" applyFill="1" applyBorder="1" applyAlignment="1">
      <alignment horizontal="left"/>
    </xf>
    <xf numFmtId="10" fontId="0" fillId="3" borderId="3" xfId="0" applyNumberFormat="1" applyFill="1" applyBorder="1" applyAlignment="1">
      <alignment horizontal="left"/>
    </xf>
    <xf numFmtId="10" fontId="0" fillId="3" borderId="4" xfId="0" applyNumberFormat="1" applyFill="1" applyBorder="1" applyAlignment="1">
      <alignment horizontal="left"/>
    </xf>
    <xf numFmtId="173" fontId="0" fillId="3" borderId="12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19050</xdr:rowOff>
    </xdr:from>
    <xdr:to>
      <xdr:col>9</xdr:col>
      <xdr:colOff>0</xdr:colOff>
      <xdr:row>33</xdr:row>
      <xdr:rowOff>152400</xdr:rowOff>
    </xdr:to>
    <xdr:sp>
      <xdr:nvSpPr>
        <xdr:cNvPr id="1" name="AutoShape 54"/>
        <xdr:cNvSpPr>
          <a:spLocks/>
        </xdr:cNvSpPr>
      </xdr:nvSpPr>
      <xdr:spPr>
        <a:xfrm>
          <a:off x="857250" y="4514850"/>
          <a:ext cx="4857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49</xdr:row>
      <xdr:rowOff>9525</xdr:rowOff>
    </xdr:from>
    <xdr:to>
      <xdr:col>9</xdr:col>
      <xdr:colOff>95250</xdr:colOff>
      <xdr:row>49</xdr:row>
      <xdr:rowOff>142875</xdr:rowOff>
    </xdr:to>
    <xdr:sp>
      <xdr:nvSpPr>
        <xdr:cNvPr id="2" name="AutoShape 57"/>
        <xdr:cNvSpPr>
          <a:spLocks/>
        </xdr:cNvSpPr>
      </xdr:nvSpPr>
      <xdr:spPr>
        <a:xfrm>
          <a:off x="1009650" y="6467475"/>
          <a:ext cx="4286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4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71875" style="0" customWidth="1"/>
    <col min="2" max="57" width="2.421875" style="0" customWidth="1"/>
    <col min="58" max="58" width="0.71875" style="0" customWidth="1"/>
    <col min="59" max="185" width="2.421875" style="52" customWidth="1"/>
    <col min="186" max="16384" width="2.421875" style="0" customWidth="1"/>
  </cols>
  <sheetData>
    <row r="1" spans="1:58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58" ht="15.75">
      <c r="A2" s="14"/>
      <c r="B2" s="14"/>
      <c r="C2" s="14"/>
      <c r="D2" s="14"/>
      <c r="E2" s="14"/>
      <c r="F2" s="14"/>
      <c r="G2" s="14"/>
      <c r="H2" s="38" t="s">
        <v>222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</row>
    <row r="3" spans="1:58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1:5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58" ht="3.75" customHeight="1">
      <c r="A5" s="1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14"/>
    </row>
    <row r="6" spans="1:58" ht="12.75">
      <c r="A6" s="14"/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14"/>
    </row>
    <row r="7" spans="1:58" ht="12.75">
      <c r="A7" s="14"/>
      <c r="B7" s="39" t="s">
        <v>22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14"/>
    </row>
    <row r="8" spans="1:5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14"/>
    </row>
    <row r="9" spans="1:58" ht="12.75">
      <c r="A9" s="1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14"/>
    </row>
    <row r="10" spans="1:58" ht="12.75">
      <c r="A10" s="1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14"/>
    </row>
    <row r="11" spans="1:58" ht="12.7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14"/>
    </row>
    <row r="12" spans="1:58" ht="12.75">
      <c r="A12" s="1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14"/>
    </row>
    <row r="13" spans="1:58" ht="12.75">
      <c r="A13" s="1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14"/>
    </row>
    <row r="14" spans="1:58" ht="12.75">
      <c r="A14" s="14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14"/>
    </row>
    <row r="15" spans="1:58" ht="12.75">
      <c r="A15" s="14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14"/>
    </row>
    <row r="16" spans="1:58" ht="12.75">
      <c r="A16" s="14"/>
      <c r="B16" s="39" t="s">
        <v>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4"/>
    </row>
    <row r="17" spans="1:58" ht="3.75" customHeight="1">
      <c r="A17" s="14"/>
      <c r="B17" s="3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39"/>
      <c r="BF17" s="14"/>
    </row>
    <row r="18" spans="1:58" ht="12.75">
      <c r="A18" s="14"/>
      <c r="B18" s="39"/>
      <c r="C18" s="30">
        <f>Munka6!J1</f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2"/>
      <c r="BE18" s="39"/>
      <c r="BF18" s="14"/>
    </row>
    <row r="19" spans="1:58" ht="12.75">
      <c r="A19" s="14"/>
      <c r="B19" s="39"/>
      <c r="C19" s="18">
        <f>IF(C18&lt;&gt;"","",Munka6!J2)</f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0"/>
      <c r="BE19" s="39"/>
      <c r="BF19" s="14"/>
    </row>
    <row r="20" spans="1:58" ht="12.75">
      <c r="A20" s="14"/>
      <c r="B20" s="39"/>
      <c r="C20" s="18">
        <f>IF(C18&lt;&gt;"","",Munka6!J3)</f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0"/>
      <c r="BE20" s="39"/>
      <c r="BF20" s="14"/>
    </row>
    <row r="21" spans="1:58" ht="12.75">
      <c r="A21" s="14"/>
      <c r="B21" s="39"/>
      <c r="C21" s="18">
        <f>IF(C18&lt;&gt;"","",Munka6!J4)</f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/>
      <c r="BE21" s="39"/>
      <c r="BF21" s="14"/>
    </row>
    <row r="22" spans="1:58" ht="12.75">
      <c r="A22" s="14"/>
      <c r="B22" s="39"/>
      <c r="C22" s="21">
        <f>IF(C18&lt;&gt;"","",Munka6!J5)</f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39"/>
      <c r="BF22" s="14"/>
    </row>
    <row r="23" spans="1:58" ht="3.75" customHeight="1">
      <c r="A23" s="14"/>
      <c r="B23" s="3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39"/>
      <c r="BF23" s="14"/>
    </row>
    <row r="24" spans="1:58" ht="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58" ht="3.75" customHeight="1">
      <c r="A25" s="1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14"/>
    </row>
    <row r="26" spans="1:58" ht="12.75" customHeight="1">
      <c r="A26" s="14"/>
      <c r="B26" s="40" t="s">
        <v>223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14"/>
    </row>
    <row r="27" spans="1:58" ht="3.75" customHeight="1">
      <c r="A27" s="1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14"/>
    </row>
    <row r="28" spans="1:58" ht="12.75">
      <c r="A28" s="14"/>
      <c r="B28" s="39"/>
      <c r="C28" s="39" t="s">
        <v>23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14"/>
    </row>
    <row r="29" spans="1:58" ht="7.5" customHeight="1">
      <c r="A29" s="14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14"/>
    </row>
    <row r="30" spans="1:58" ht="12.75">
      <c r="A30" s="14"/>
      <c r="B30" s="39"/>
      <c r="C30" s="39" t="s">
        <v>28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14"/>
    </row>
    <row r="31" spans="1:58" ht="7.5" customHeight="1">
      <c r="A31" s="1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14"/>
    </row>
    <row r="32" spans="1:58" ht="12.75">
      <c r="A32" s="14"/>
      <c r="B32" s="39"/>
      <c r="C32" s="39" t="s">
        <v>34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14"/>
    </row>
    <row r="33" spans="1:58" ht="7.5" customHeight="1">
      <c r="A33" s="1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14"/>
    </row>
    <row r="34" spans="1:58" ht="12.75">
      <c r="A34" s="14"/>
      <c r="B34" s="39"/>
      <c r="C34" s="39" t="s">
        <v>106</v>
      </c>
      <c r="D34" s="39"/>
      <c r="E34" s="39"/>
      <c r="F34" s="39"/>
      <c r="G34" s="39"/>
      <c r="H34" s="39"/>
      <c r="I34" s="39"/>
      <c r="J34" s="39"/>
      <c r="K34" s="39" t="s">
        <v>36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14"/>
    </row>
    <row r="35" spans="1:58" ht="7.5" customHeight="1">
      <c r="A35" s="14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14"/>
    </row>
    <row r="36" spans="1:58" ht="12.75">
      <c r="A36" s="14"/>
      <c r="B36" s="39"/>
      <c r="C36" s="39"/>
      <c r="D36" s="39"/>
      <c r="E36" s="39"/>
      <c r="F36" s="39"/>
      <c r="G36" s="39"/>
      <c r="H36" s="39"/>
      <c r="I36" s="39"/>
      <c r="J36" s="39"/>
      <c r="K36" s="39" t="s">
        <v>92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14"/>
    </row>
    <row r="37" spans="1:58" ht="7.5" customHeight="1">
      <c r="A37" s="1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14"/>
    </row>
    <row r="38" spans="1:58" ht="12.75">
      <c r="A38" s="14"/>
      <c r="B38" s="39"/>
      <c r="C38" s="39"/>
      <c r="D38" s="39"/>
      <c r="E38" s="39"/>
      <c r="F38" s="39"/>
      <c r="G38" s="39"/>
      <c r="H38" s="39"/>
      <c r="I38" s="39"/>
      <c r="J38" s="39"/>
      <c r="K38" s="39" t="s">
        <v>45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14"/>
    </row>
    <row r="39" spans="1:58" ht="7.5" customHeight="1">
      <c r="A39" s="1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14"/>
    </row>
    <row r="40" spans="1:58" ht="12.75">
      <c r="A40" s="14"/>
      <c r="B40" s="39"/>
      <c r="C40" s="39"/>
      <c r="D40" s="39"/>
      <c r="E40" s="39"/>
      <c r="F40" s="39"/>
      <c r="G40" s="39"/>
      <c r="H40" s="39"/>
      <c r="I40" s="39"/>
      <c r="J40" s="39"/>
      <c r="K40" s="39" t="s">
        <v>58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14"/>
    </row>
    <row r="41" spans="1:58" ht="7.5" customHeight="1">
      <c r="A41" s="1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14"/>
    </row>
    <row r="42" spans="1:58" ht="12.75">
      <c r="A42" s="14"/>
      <c r="B42" s="39"/>
      <c r="C42" s="39"/>
      <c r="D42" s="39"/>
      <c r="E42" s="39"/>
      <c r="F42" s="39"/>
      <c r="G42" s="39"/>
      <c r="H42" s="39"/>
      <c r="I42" s="39"/>
      <c r="J42" s="39"/>
      <c r="K42" s="39" t="s">
        <v>64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14"/>
    </row>
    <row r="43" spans="1:58" ht="7.5" customHeight="1">
      <c r="A43" s="1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14"/>
    </row>
    <row r="44" spans="1:58" ht="12.75">
      <c r="A44" s="1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 t="s">
        <v>68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05"/>
      <c r="Y44" s="109"/>
      <c r="Z44" s="106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14"/>
    </row>
    <row r="45" spans="1:58" ht="3.75" customHeight="1">
      <c r="A45" s="14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14"/>
    </row>
    <row r="46" spans="1:58" ht="12.75">
      <c r="A46" s="14"/>
      <c r="B46" s="39"/>
      <c r="C46" s="39"/>
      <c r="D46" s="39"/>
      <c r="E46" s="39"/>
      <c r="F46" s="39"/>
      <c r="G46" s="39"/>
      <c r="H46" s="39"/>
      <c r="I46" s="39"/>
      <c r="J46" s="39"/>
      <c r="K46" s="39" t="s">
        <v>69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14"/>
    </row>
    <row r="47" spans="1:58" ht="7.5" customHeight="1">
      <c r="A47" s="14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4"/>
    </row>
    <row r="48" spans="1:58" ht="12.75">
      <c r="A48" s="1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 t="s">
        <v>72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05"/>
      <c r="Y48" s="109"/>
      <c r="Z48" s="106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14"/>
    </row>
    <row r="49" spans="1:58" ht="3.75" customHeight="1">
      <c r="A49" s="14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14"/>
    </row>
    <row r="50" spans="1:58" ht="12.75">
      <c r="A50" s="14"/>
      <c r="B50" s="39"/>
      <c r="C50" s="39" t="s">
        <v>107</v>
      </c>
      <c r="D50" s="39"/>
      <c r="E50" s="39"/>
      <c r="F50" s="39"/>
      <c r="G50" s="39"/>
      <c r="H50" s="39"/>
      <c r="I50" s="39"/>
      <c r="J50" s="39"/>
      <c r="K50" s="39" t="s">
        <v>36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14"/>
    </row>
    <row r="51" spans="1:58" ht="7.5" customHeight="1">
      <c r="A51" s="14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14"/>
    </row>
    <row r="52" spans="1:58" ht="12.75">
      <c r="A52" s="14"/>
      <c r="B52" s="39"/>
      <c r="C52" s="39"/>
      <c r="D52" s="39"/>
      <c r="E52" s="39"/>
      <c r="F52" s="39"/>
      <c r="G52" s="39"/>
      <c r="H52" s="39"/>
      <c r="I52" s="39"/>
      <c r="J52" s="39"/>
      <c r="K52" s="39" t="s">
        <v>92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14"/>
    </row>
    <row r="53" spans="1:58" ht="6.75" customHeight="1">
      <c r="A53" s="14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14"/>
    </row>
    <row r="54" spans="1:58" ht="12.75">
      <c r="A54" s="14"/>
      <c r="B54" s="39"/>
      <c r="C54" s="39" t="s">
        <v>228</v>
      </c>
      <c r="D54" s="39"/>
      <c r="E54" s="39"/>
      <c r="F54" s="39"/>
      <c r="G54" s="39"/>
      <c r="H54" s="39"/>
      <c r="I54" s="39"/>
      <c r="J54" s="39"/>
      <c r="K54" s="105"/>
      <c r="L54" s="109"/>
      <c r="M54" s="106"/>
      <c r="N54" s="39"/>
      <c r="O54" s="39"/>
      <c r="P54" s="39"/>
      <c r="Q54" s="39" t="s">
        <v>62</v>
      </c>
      <c r="R54" s="39"/>
      <c r="S54" s="39"/>
      <c r="T54" s="39"/>
      <c r="U54" s="39"/>
      <c r="V54" s="39"/>
      <c r="W54" s="39"/>
      <c r="X54" s="105"/>
      <c r="Y54" s="109"/>
      <c r="Z54" s="106"/>
      <c r="AA54" s="39"/>
      <c r="AB54" s="39"/>
      <c r="AC54" s="39"/>
      <c r="AD54" s="39" t="s">
        <v>63</v>
      </c>
      <c r="AE54" s="39"/>
      <c r="AF54" s="39"/>
      <c r="AG54" s="39"/>
      <c r="AH54" s="39"/>
      <c r="AI54" s="39"/>
      <c r="AJ54" s="39"/>
      <c r="AK54" s="105"/>
      <c r="AL54" s="109"/>
      <c r="AM54" s="106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14"/>
    </row>
    <row r="55" spans="1:58" ht="3.75" customHeight="1">
      <c r="A55" s="1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14"/>
    </row>
    <row r="56" spans="1:58" ht="12.75">
      <c r="A56" s="14"/>
      <c r="B56" s="39"/>
      <c r="C56" s="39" t="s">
        <v>73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14"/>
    </row>
    <row r="57" spans="1:58" ht="12.75">
      <c r="A57" s="14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1" t="s">
        <v>79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14"/>
    </row>
    <row r="58" spans="1:58" ht="12.75">
      <c r="A58" s="14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14"/>
    </row>
    <row r="59" spans="1:58" ht="12.75">
      <c r="A59" s="14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1" t="s">
        <v>77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14"/>
    </row>
    <row r="60" spans="1:58" ht="12.75">
      <c r="A60" s="1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1" t="s">
        <v>78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14"/>
    </row>
    <row r="61" spans="1:58" ht="3.75" customHeight="1">
      <c r="A61" s="14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14"/>
    </row>
    <row r="62" spans="1:58" ht="12.75">
      <c r="A62" s="14"/>
      <c r="B62" s="3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"/>
      <c r="Y62" s="3"/>
      <c r="Z62" s="3"/>
      <c r="AA62" s="5"/>
      <c r="AB62" s="5"/>
      <c r="AC62" s="5"/>
      <c r="AD62" s="61" t="s">
        <v>122</v>
      </c>
      <c r="AE62" s="62"/>
      <c r="AF62" s="62"/>
      <c r="AG62" s="62"/>
      <c r="AH62" s="62"/>
      <c r="AI62" s="62"/>
      <c r="AJ62" s="62"/>
      <c r="AK62" s="24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/>
      <c r="AW62" s="3"/>
      <c r="AX62" s="3"/>
      <c r="AY62" s="4"/>
      <c r="AZ62" s="3"/>
      <c r="BA62" s="3"/>
      <c r="BB62" s="3"/>
      <c r="BC62" s="3"/>
      <c r="BD62" s="4"/>
      <c r="BE62" s="39"/>
      <c r="BF62" s="14"/>
    </row>
    <row r="63" spans="1:58" ht="12.75">
      <c r="A63" s="14"/>
      <c r="B63" s="3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99" t="s">
        <v>75</v>
      </c>
      <c r="Y63" s="100"/>
      <c r="Z63" s="101"/>
      <c r="AA63" s="99" t="s">
        <v>119</v>
      </c>
      <c r="AB63" s="100"/>
      <c r="AC63" s="101"/>
      <c r="AD63" s="99" t="s">
        <v>89</v>
      </c>
      <c r="AE63" s="100"/>
      <c r="AF63" s="100"/>
      <c r="AG63" s="101"/>
      <c r="AH63" s="99" t="s">
        <v>121</v>
      </c>
      <c r="AI63" s="100"/>
      <c r="AJ63" s="100"/>
      <c r="AK63" s="101"/>
      <c r="AL63" s="99" t="s">
        <v>123</v>
      </c>
      <c r="AM63" s="100"/>
      <c r="AN63" s="100"/>
      <c r="AO63" s="100"/>
      <c r="AP63" s="101"/>
      <c r="AQ63" s="99" t="s">
        <v>125</v>
      </c>
      <c r="AR63" s="100"/>
      <c r="AS63" s="100"/>
      <c r="AT63" s="100"/>
      <c r="AU63" s="100"/>
      <c r="AV63" s="99" t="s">
        <v>126</v>
      </c>
      <c r="AW63" s="100"/>
      <c r="AX63" s="100"/>
      <c r="AY63" s="101"/>
      <c r="AZ63" s="100" t="s">
        <v>128</v>
      </c>
      <c r="BA63" s="100"/>
      <c r="BB63" s="100"/>
      <c r="BC63" s="100"/>
      <c r="BD63" s="101"/>
      <c r="BE63" s="39"/>
      <c r="BF63" s="14"/>
    </row>
    <row r="64" spans="1:58" ht="12.75">
      <c r="A64" s="14"/>
      <c r="B64" s="3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93" t="s">
        <v>120</v>
      </c>
      <c r="Y64" s="94"/>
      <c r="Z64" s="95"/>
      <c r="AA64" s="93" t="s">
        <v>118</v>
      </c>
      <c r="AB64" s="94"/>
      <c r="AC64" s="95"/>
      <c r="AD64" s="18"/>
      <c r="AE64" s="19"/>
      <c r="AF64" s="19"/>
      <c r="AG64" s="20"/>
      <c r="AH64" s="19"/>
      <c r="AI64" s="19"/>
      <c r="AJ64" s="19"/>
      <c r="AK64" s="20"/>
      <c r="AL64" s="18"/>
      <c r="AM64" s="19"/>
      <c r="AN64" s="19"/>
      <c r="AO64" s="19"/>
      <c r="AP64" s="20"/>
      <c r="AQ64" s="93" t="s">
        <v>124</v>
      </c>
      <c r="AR64" s="94"/>
      <c r="AS64" s="94"/>
      <c r="AT64" s="94"/>
      <c r="AU64" s="94"/>
      <c r="AV64" s="93" t="s">
        <v>127</v>
      </c>
      <c r="AW64" s="94"/>
      <c r="AX64" s="94"/>
      <c r="AY64" s="95"/>
      <c r="AZ64" s="19"/>
      <c r="BA64" s="19"/>
      <c r="BB64" s="19"/>
      <c r="BC64" s="19"/>
      <c r="BD64" s="20"/>
      <c r="BE64" s="39"/>
      <c r="BF64" s="14"/>
    </row>
    <row r="65" spans="1:58" ht="12.75">
      <c r="A65" s="14"/>
      <c r="B65" s="3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96" t="s">
        <v>130</v>
      </c>
      <c r="Y65" s="97"/>
      <c r="Z65" s="98"/>
      <c r="AA65" s="21"/>
      <c r="AB65" s="22"/>
      <c r="AC65" s="23"/>
      <c r="AD65" s="96" t="s">
        <v>131</v>
      </c>
      <c r="AE65" s="97"/>
      <c r="AF65" s="97"/>
      <c r="AG65" s="98"/>
      <c r="AH65" s="96" t="s">
        <v>132</v>
      </c>
      <c r="AI65" s="97"/>
      <c r="AJ65" s="97"/>
      <c r="AK65" s="98"/>
      <c r="AL65" s="96" t="s">
        <v>133</v>
      </c>
      <c r="AM65" s="97"/>
      <c r="AN65" s="97"/>
      <c r="AO65" s="97"/>
      <c r="AP65" s="98"/>
      <c r="AQ65" s="21"/>
      <c r="AR65" s="22"/>
      <c r="AS65" s="22"/>
      <c r="AT65" s="22"/>
      <c r="AU65" s="22"/>
      <c r="AV65" s="21" t="s">
        <v>134</v>
      </c>
      <c r="AW65" s="22"/>
      <c r="AX65" s="22"/>
      <c r="AY65" s="23"/>
      <c r="AZ65" s="97" t="s">
        <v>135</v>
      </c>
      <c r="BA65" s="97"/>
      <c r="BB65" s="97"/>
      <c r="BC65" s="97"/>
      <c r="BD65" s="98"/>
      <c r="BE65" s="39"/>
      <c r="BF65" s="14"/>
    </row>
    <row r="66" spans="1:58" ht="12.75">
      <c r="A66" s="14"/>
      <c r="B66" s="39"/>
      <c r="C66" s="15" t="s">
        <v>113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69"/>
      <c r="Y66" s="70"/>
      <c r="Z66" s="71"/>
      <c r="AA66" s="61" t="str">
        <f>Munka6!F68</f>
        <v>I.</v>
      </c>
      <c r="AB66" s="62"/>
      <c r="AC66" s="63"/>
      <c r="AD66" s="72">
        <f>Munka6!J70</f>
        <v>199</v>
      </c>
      <c r="AE66" s="73"/>
      <c r="AF66" s="73"/>
      <c r="AG66" s="74"/>
      <c r="AH66" s="75"/>
      <c r="AI66" s="76"/>
      <c r="AJ66" s="76"/>
      <c r="AK66" s="77"/>
      <c r="AL66" s="78">
        <f>AH66*X66</f>
        <v>0</v>
      </c>
      <c r="AM66" s="67"/>
      <c r="AN66" s="67"/>
      <c r="AO66" s="67"/>
      <c r="AP66" s="68"/>
      <c r="AQ66" s="61" t="str">
        <f>Munka6!D73</f>
        <v>B</v>
      </c>
      <c r="AR66" s="62"/>
      <c r="AS66" s="62"/>
      <c r="AT66" s="62"/>
      <c r="AU66" s="62"/>
      <c r="AV66" s="64">
        <f>Munka6!I83</f>
        <v>1.2879</v>
      </c>
      <c r="AW66" s="65"/>
      <c r="AX66" s="65"/>
      <c r="AY66" s="66"/>
      <c r="AZ66" s="67">
        <f>AV66*AL66</f>
        <v>0</v>
      </c>
      <c r="BA66" s="67"/>
      <c r="BB66" s="67"/>
      <c r="BC66" s="67"/>
      <c r="BD66" s="68"/>
      <c r="BE66" s="39"/>
      <c r="BF66" s="14"/>
    </row>
    <row r="67" spans="1:58" ht="12.75">
      <c r="A67" s="14"/>
      <c r="B67" s="39"/>
      <c r="C67" s="18" t="s">
        <v>114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0"/>
      <c r="X67" s="69"/>
      <c r="Y67" s="70"/>
      <c r="Z67" s="71"/>
      <c r="AA67" s="61" t="str">
        <f>Munka6!F68</f>
        <v>I.</v>
      </c>
      <c r="AB67" s="62"/>
      <c r="AC67" s="63"/>
      <c r="AD67" s="72">
        <f>Munka6!J70</f>
        <v>199</v>
      </c>
      <c r="AE67" s="73"/>
      <c r="AF67" s="73"/>
      <c r="AG67" s="74"/>
      <c r="AH67" s="75"/>
      <c r="AI67" s="76"/>
      <c r="AJ67" s="76"/>
      <c r="AK67" s="77"/>
      <c r="AL67" s="78">
        <f>AH67*X67</f>
        <v>0</v>
      </c>
      <c r="AM67" s="67"/>
      <c r="AN67" s="67"/>
      <c r="AO67" s="67"/>
      <c r="AP67" s="68"/>
      <c r="AQ67" s="61" t="str">
        <f>Munka6!D73</f>
        <v>B</v>
      </c>
      <c r="AR67" s="62"/>
      <c r="AS67" s="62"/>
      <c r="AT67" s="62"/>
      <c r="AU67" s="62"/>
      <c r="AV67" s="64">
        <f>Munka6!I83</f>
        <v>1.2879</v>
      </c>
      <c r="AW67" s="65"/>
      <c r="AX67" s="65"/>
      <c r="AY67" s="66"/>
      <c r="AZ67" s="67">
        <f>AV67*AL67</f>
        <v>0</v>
      </c>
      <c r="BA67" s="67"/>
      <c r="BB67" s="67"/>
      <c r="BC67" s="67"/>
      <c r="BD67" s="68"/>
      <c r="BE67" s="39"/>
      <c r="BF67" s="14"/>
    </row>
    <row r="68" spans="1:58" ht="12.75">
      <c r="A68" s="14"/>
      <c r="B68" s="39"/>
      <c r="C68" s="15" t="s">
        <v>115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69"/>
      <c r="Y68" s="70"/>
      <c r="Z68" s="71"/>
      <c r="AA68" s="1"/>
      <c r="AB68" s="9"/>
      <c r="AC68" s="10"/>
      <c r="AD68" s="11"/>
      <c r="AE68" s="12"/>
      <c r="AF68" s="12"/>
      <c r="AG68" s="13"/>
      <c r="AH68" s="12"/>
      <c r="AI68" s="12"/>
      <c r="AJ68" s="12"/>
      <c r="AK68" s="13"/>
      <c r="AL68" s="11"/>
      <c r="AM68" s="12"/>
      <c r="AN68" s="12"/>
      <c r="AO68" s="12"/>
      <c r="AP68" s="13"/>
      <c r="AQ68" s="1"/>
      <c r="AR68" s="9"/>
      <c r="AS68" s="9"/>
      <c r="AT68" s="9"/>
      <c r="AU68" s="9"/>
      <c r="AV68" s="25"/>
      <c r="AW68" s="26"/>
      <c r="AX68" s="26"/>
      <c r="AY68" s="27"/>
      <c r="AZ68" s="12"/>
      <c r="BA68" s="12"/>
      <c r="BB68" s="12"/>
      <c r="BC68" s="12"/>
      <c r="BD68" s="13"/>
      <c r="BE68" s="39"/>
      <c r="BF68" s="14"/>
    </row>
    <row r="69" spans="1:58" ht="12.75">
      <c r="A69" s="14"/>
      <c r="B69" s="39"/>
      <c r="C69" s="18" t="s">
        <v>107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0"/>
      <c r="X69" s="69"/>
      <c r="Y69" s="70"/>
      <c r="Z69" s="71"/>
      <c r="AA69" s="61" t="s">
        <v>111</v>
      </c>
      <c r="AB69" s="62"/>
      <c r="AC69" s="63"/>
      <c r="AD69" s="72">
        <v>76</v>
      </c>
      <c r="AE69" s="73"/>
      <c r="AF69" s="73"/>
      <c r="AG69" s="74"/>
      <c r="AH69" s="75"/>
      <c r="AI69" s="76"/>
      <c r="AJ69" s="76"/>
      <c r="AK69" s="77"/>
      <c r="AL69" s="78">
        <f>AH69*X69</f>
        <v>0</v>
      </c>
      <c r="AM69" s="67"/>
      <c r="AN69" s="67"/>
      <c r="AO69" s="67"/>
      <c r="AP69" s="68"/>
      <c r="AQ69" s="61" t="str">
        <f>Munka6!J73</f>
        <v>E</v>
      </c>
      <c r="AR69" s="62"/>
      <c r="AS69" s="62"/>
      <c r="AT69" s="62"/>
      <c r="AU69" s="62"/>
      <c r="AV69" s="64">
        <f>Munka6!K85</f>
        <v>1.1324</v>
      </c>
      <c r="AW69" s="65"/>
      <c r="AX69" s="65"/>
      <c r="AY69" s="66"/>
      <c r="AZ69" s="67">
        <f>AV69*AL69</f>
        <v>0</v>
      </c>
      <c r="BA69" s="67"/>
      <c r="BB69" s="67"/>
      <c r="BC69" s="67"/>
      <c r="BD69" s="68"/>
      <c r="BE69" s="39"/>
      <c r="BF69" s="14"/>
    </row>
    <row r="70" spans="1:58" ht="12.75">
      <c r="A70" s="14"/>
      <c r="B70" s="39"/>
      <c r="C70" s="15" t="s">
        <v>136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69"/>
      <c r="Y70" s="70"/>
      <c r="Z70" s="71"/>
      <c r="AA70" s="61" t="s">
        <v>111</v>
      </c>
      <c r="AB70" s="62"/>
      <c r="AC70" s="63"/>
      <c r="AD70" s="72">
        <v>76</v>
      </c>
      <c r="AE70" s="73"/>
      <c r="AF70" s="73"/>
      <c r="AG70" s="74"/>
      <c r="AH70" s="75"/>
      <c r="AI70" s="76"/>
      <c r="AJ70" s="76"/>
      <c r="AK70" s="77"/>
      <c r="AL70" s="78">
        <f>AH70*X70</f>
        <v>0</v>
      </c>
      <c r="AM70" s="67"/>
      <c r="AN70" s="67"/>
      <c r="AO70" s="67"/>
      <c r="AP70" s="68"/>
      <c r="AQ70" s="61" t="str">
        <f>Munka6!D73</f>
        <v>B</v>
      </c>
      <c r="AR70" s="62"/>
      <c r="AS70" s="62"/>
      <c r="AT70" s="62"/>
      <c r="AU70" s="62"/>
      <c r="AV70" s="64">
        <f>Munka6!N85</f>
        <v>1.337</v>
      </c>
      <c r="AW70" s="65"/>
      <c r="AX70" s="65"/>
      <c r="AY70" s="66"/>
      <c r="AZ70" s="67">
        <f>AV70*AL70</f>
        <v>0</v>
      </c>
      <c r="BA70" s="67"/>
      <c r="BB70" s="67"/>
      <c r="BC70" s="67"/>
      <c r="BD70" s="68"/>
      <c r="BE70" s="39"/>
      <c r="BF70" s="14"/>
    </row>
    <row r="71" spans="1:58" ht="12.75">
      <c r="A71" s="14"/>
      <c r="B71" s="39"/>
      <c r="C71" s="18" t="s">
        <v>116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0"/>
      <c r="X71" s="69"/>
      <c r="Y71" s="70"/>
      <c r="Z71" s="71"/>
      <c r="AA71" s="61" t="s">
        <v>112</v>
      </c>
      <c r="AB71" s="62"/>
      <c r="AC71" s="63"/>
      <c r="AD71" s="72">
        <v>152</v>
      </c>
      <c r="AE71" s="73"/>
      <c r="AF71" s="73"/>
      <c r="AG71" s="74"/>
      <c r="AH71" s="75"/>
      <c r="AI71" s="76"/>
      <c r="AJ71" s="76"/>
      <c r="AK71" s="77"/>
      <c r="AL71" s="78">
        <f>AH71*X71</f>
        <v>0</v>
      </c>
      <c r="AM71" s="67"/>
      <c r="AN71" s="67"/>
      <c r="AO71" s="67"/>
      <c r="AP71" s="68"/>
      <c r="AQ71" s="61" t="str">
        <f>Munka6!D73</f>
        <v>B</v>
      </c>
      <c r="AR71" s="62"/>
      <c r="AS71" s="62"/>
      <c r="AT71" s="62"/>
      <c r="AU71" s="62"/>
      <c r="AV71" s="64">
        <f>Munka6!I86</f>
        <v>1.3569</v>
      </c>
      <c r="AW71" s="65"/>
      <c r="AX71" s="65"/>
      <c r="AY71" s="66"/>
      <c r="AZ71" s="67">
        <f>AV71*AL71</f>
        <v>0</v>
      </c>
      <c r="BA71" s="67"/>
      <c r="BB71" s="67"/>
      <c r="BC71" s="67"/>
      <c r="BD71" s="68"/>
      <c r="BE71" s="39"/>
      <c r="BF71" s="14"/>
    </row>
    <row r="72" spans="1:58" ht="12.75">
      <c r="A72" s="14"/>
      <c r="B72" s="39"/>
      <c r="C72" s="18" t="s">
        <v>230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0"/>
      <c r="X72" s="69"/>
      <c r="Y72" s="70"/>
      <c r="Z72" s="71"/>
      <c r="AA72" s="56"/>
      <c r="AB72" s="57" t="s">
        <v>111</v>
      </c>
      <c r="AC72" s="24"/>
      <c r="AD72" s="72">
        <v>76</v>
      </c>
      <c r="AE72" s="73"/>
      <c r="AF72" s="73"/>
      <c r="AG72" s="74"/>
      <c r="AH72" s="75"/>
      <c r="AI72" s="76"/>
      <c r="AJ72" s="76"/>
      <c r="AK72" s="77"/>
      <c r="AL72" s="78">
        <f>AH72*X72</f>
        <v>0</v>
      </c>
      <c r="AM72" s="67"/>
      <c r="AN72" s="67"/>
      <c r="AO72" s="67"/>
      <c r="AP72" s="68"/>
      <c r="AQ72" s="61" t="str">
        <f>AQ69</f>
        <v>E</v>
      </c>
      <c r="AR72" s="62"/>
      <c r="AS72" s="62"/>
      <c r="AT72" s="62"/>
      <c r="AU72" s="63"/>
      <c r="AV72" s="64">
        <f>AV69</f>
        <v>1.1324</v>
      </c>
      <c r="AW72" s="65"/>
      <c r="AX72" s="65"/>
      <c r="AY72" s="66"/>
      <c r="AZ72" s="67">
        <f>AV72*AL72</f>
        <v>0</v>
      </c>
      <c r="BA72" s="67"/>
      <c r="BB72" s="67"/>
      <c r="BC72" s="67"/>
      <c r="BD72" s="68"/>
      <c r="BE72" s="39"/>
      <c r="BF72" s="14"/>
    </row>
    <row r="73" spans="1:58" ht="12.75">
      <c r="A73" s="14"/>
      <c r="B73" s="39"/>
      <c r="C73" s="15" t="s">
        <v>229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69"/>
      <c r="Y73" s="70"/>
      <c r="Z73" s="71"/>
      <c r="AA73" s="61" t="str">
        <f>Munka6!F68</f>
        <v>I.</v>
      </c>
      <c r="AB73" s="62"/>
      <c r="AC73" s="63"/>
      <c r="AD73" s="72">
        <f>Munka6!J70</f>
        <v>199</v>
      </c>
      <c r="AE73" s="73"/>
      <c r="AF73" s="73"/>
      <c r="AG73" s="74"/>
      <c r="AH73" s="75"/>
      <c r="AI73" s="76"/>
      <c r="AJ73" s="76"/>
      <c r="AK73" s="77"/>
      <c r="AL73" s="78">
        <f>AH73*X73</f>
        <v>0</v>
      </c>
      <c r="AM73" s="67"/>
      <c r="AN73" s="67"/>
      <c r="AO73" s="67"/>
      <c r="AP73" s="68"/>
      <c r="AQ73" s="61" t="str">
        <f>Munka6!D73</f>
        <v>B</v>
      </c>
      <c r="AR73" s="62"/>
      <c r="AS73" s="62"/>
      <c r="AT73" s="62"/>
      <c r="AU73" s="62"/>
      <c r="AV73" s="64">
        <f>Munka6!I83</f>
        <v>1.2879</v>
      </c>
      <c r="AW73" s="65"/>
      <c r="AX73" s="65"/>
      <c r="AY73" s="66"/>
      <c r="AZ73" s="67">
        <f>AV73*AL73</f>
        <v>0</v>
      </c>
      <c r="BA73" s="67"/>
      <c r="BB73" s="67"/>
      <c r="BC73" s="67"/>
      <c r="BD73" s="68"/>
      <c r="BE73" s="39"/>
      <c r="BF73" s="14"/>
    </row>
    <row r="74" spans="1:58" ht="12.75">
      <c r="A74" s="14"/>
      <c r="B74" s="39"/>
      <c r="C74" s="21" t="s">
        <v>117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3"/>
      <c r="X74" s="78">
        <f>SUM(X66:Z73)</f>
        <v>0</v>
      </c>
      <c r="Y74" s="67"/>
      <c r="Z74" s="68"/>
      <c r="AA74" s="6"/>
      <c r="AB74" s="7"/>
      <c r="AC74" s="8"/>
      <c r="AD74" s="6"/>
      <c r="AE74" s="7"/>
      <c r="AF74" s="7"/>
      <c r="AG74" s="8"/>
      <c r="AH74" s="7"/>
      <c r="AI74" s="7"/>
      <c r="AJ74" s="7"/>
      <c r="AK74" s="8"/>
      <c r="AL74" s="78">
        <f>SUM(AL66:AP73)</f>
        <v>0</v>
      </c>
      <c r="AM74" s="67"/>
      <c r="AN74" s="67"/>
      <c r="AO74" s="67"/>
      <c r="AP74" s="68"/>
      <c r="AQ74" s="6"/>
      <c r="AR74" s="7"/>
      <c r="AS74" s="7"/>
      <c r="AT74" s="7"/>
      <c r="AU74" s="7"/>
      <c r="AV74" s="6"/>
      <c r="AW74" s="7"/>
      <c r="AX74" s="7"/>
      <c r="AY74" s="8"/>
      <c r="AZ74" s="107">
        <f>SUM(AZ66:BD73)</f>
        <v>0</v>
      </c>
      <c r="BA74" s="107"/>
      <c r="BB74" s="107"/>
      <c r="BC74" s="107"/>
      <c r="BD74" s="108"/>
      <c r="BE74" s="39"/>
      <c r="BF74" s="14"/>
    </row>
    <row r="75" spans="1:58" ht="12.75">
      <c r="A75" s="14"/>
      <c r="B75" s="39"/>
      <c r="C75" s="15" t="s">
        <v>129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/>
      <c r="AW75" s="3"/>
      <c r="AX75" s="3"/>
      <c r="AY75" s="4"/>
      <c r="AZ75" s="107">
        <f>580*AK54</f>
        <v>0</v>
      </c>
      <c r="BA75" s="107"/>
      <c r="BB75" s="107"/>
      <c r="BC75" s="107"/>
      <c r="BD75" s="108"/>
      <c r="BE75" s="39"/>
      <c r="BF75" s="14"/>
    </row>
    <row r="76" spans="1:58" ht="3.75" customHeight="1">
      <c r="A76" s="14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14"/>
    </row>
    <row r="77" spans="1:58" ht="3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</row>
    <row r="78" spans="1:58" ht="3.75" customHeight="1">
      <c r="A78" s="14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14"/>
    </row>
    <row r="79" spans="1:58" ht="12.75">
      <c r="A79" s="14"/>
      <c r="B79" s="44" t="s">
        <v>138</v>
      </c>
      <c r="C79" s="40"/>
      <c r="D79" s="40"/>
      <c r="E79" s="40"/>
      <c r="F79" s="40"/>
      <c r="G79" s="40"/>
      <c r="H79" s="40"/>
      <c r="I79" s="40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 t="s">
        <v>137</v>
      </c>
      <c r="AX79" s="39"/>
      <c r="AY79" s="39"/>
      <c r="AZ79" s="39"/>
      <c r="BA79" s="39"/>
      <c r="BB79" s="39"/>
      <c r="BC79" s="39"/>
      <c r="BD79" s="39"/>
      <c r="BE79" s="39"/>
      <c r="BF79" s="14"/>
    </row>
    <row r="80" spans="1:58" ht="3.75" customHeight="1">
      <c r="A80" s="14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14"/>
    </row>
    <row r="81" spans="1:58" ht="12.75">
      <c r="A81" s="14"/>
      <c r="B81" s="39"/>
      <c r="C81" s="39"/>
      <c r="D81" s="39" t="s">
        <v>139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 t="s">
        <v>143</v>
      </c>
      <c r="AR81" s="39"/>
      <c r="AS81" s="39"/>
      <c r="AT81" s="39"/>
      <c r="AU81" s="39"/>
      <c r="AV81" s="39"/>
      <c r="AW81" s="39"/>
      <c r="AX81" s="39"/>
      <c r="AY81" s="39"/>
      <c r="AZ81" s="102">
        <f>IF(Munka6!C92=1,AL74*Munka6!F98,0)</f>
        <v>0</v>
      </c>
      <c r="BA81" s="103"/>
      <c r="BB81" s="103"/>
      <c r="BC81" s="103"/>
      <c r="BD81" s="104"/>
      <c r="BE81" s="39"/>
      <c r="BF81" s="14"/>
    </row>
    <row r="82" spans="1:58" ht="6.75" customHeight="1">
      <c r="A82" s="1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14"/>
    </row>
    <row r="83" spans="1:58" ht="12.75">
      <c r="A83" s="14"/>
      <c r="B83" s="39"/>
      <c r="C83" s="39"/>
      <c r="D83" s="39" t="s">
        <v>146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 t="s">
        <v>147</v>
      </c>
      <c r="AR83" s="39"/>
      <c r="AS83" s="39"/>
      <c r="AT83" s="39"/>
      <c r="AU83" s="39"/>
      <c r="AV83" s="39"/>
      <c r="AW83" s="39"/>
      <c r="AX83" s="39"/>
      <c r="AY83" s="39"/>
      <c r="AZ83" s="102">
        <f>IF(Munka6!C99=1,AL74*0.024,0)</f>
        <v>0</v>
      </c>
      <c r="BA83" s="103"/>
      <c r="BB83" s="103"/>
      <c r="BC83" s="103"/>
      <c r="BD83" s="104"/>
      <c r="BE83" s="39"/>
      <c r="BF83" s="14"/>
    </row>
    <row r="84" spans="1:58" ht="7.5" customHeight="1">
      <c r="A84" s="1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14"/>
    </row>
    <row r="85" spans="1:58" ht="12.75">
      <c r="A85" s="14"/>
      <c r="B85" s="39"/>
      <c r="C85" s="39"/>
      <c r="D85" s="39" t="s">
        <v>148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 t="s">
        <v>147</v>
      </c>
      <c r="AR85" s="39"/>
      <c r="AS85" s="39"/>
      <c r="AT85" s="39"/>
      <c r="AU85" s="39"/>
      <c r="AV85" s="39"/>
      <c r="AW85" s="39"/>
      <c r="AX85" s="39"/>
      <c r="AY85" s="39"/>
      <c r="AZ85" s="102">
        <f>IF(Munka6!C101=1,AL74*0.1,0)</f>
        <v>0</v>
      </c>
      <c r="BA85" s="103"/>
      <c r="BB85" s="103"/>
      <c r="BC85" s="103"/>
      <c r="BD85" s="104"/>
      <c r="BE85" s="39"/>
      <c r="BF85" s="14"/>
    </row>
    <row r="86" spans="1:58" ht="7.5" customHeight="1">
      <c r="A86" s="14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14"/>
    </row>
    <row r="87" spans="1:58" ht="12.75">
      <c r="A87" s="14"/>
      <c r="B87" s="39"/>
      <c r="C87" s="39"/>
      <c r="D87" s="39" t="s">
        <v>149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 t="s">
        <v>150</v>
      </c>
      <c r="T87" s="39"/>
      <c r="U87" s="39"/>
      <c r="V87" s="39"/>
      <c r="W87" s="39"/>
      <c r="X87" s="39"/>
      <c r="Y87" s="39"/>
      <c r="Z87" s="39"/>
      <c r="AA87" s="39"/>
      <c r="AB87" s="39"/>
      <c r="AC87" s="105"/>
      <c r="AD87" s="106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 t="s">
        <v>147</v>
      </c>
      <c r="AR87" s="39"/>
      <c r="AS87" s="39"/>
      <c r="AT87" s="39"/>
      <c r="AU87" s="39"/>
      <c r="AV87" s="39"/>
      <c r="AW87" s="39"/>
      <c r="AX87" s="39"/>
      <c r="AY87" s="39"/>
      <c r="AZ87" s="102">
        <f>AC87*15000</f>
        <v>0</v>
      </c>
      <c r="BA87" s="103"/>
      <c r="BB87" s="103"/>
      <c r="BC87" s="103"/>
      <c r="BD87" s="104"/>
      <c r="BE87" s="39"/>
      <c r="BF87" s="14"/>
    </row>
    <row r="88" spans="1:58" ht="7.5" customHeight="1">
      <c r="A88" s="14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14"/>
    </row>
    <row r="89" spans="1:58" ht="12.75">
      <c r="A89" s="14"/>
      <c r="B89" s="39"/>
      <c r="C89" s="39"/>
      <c r="D89" s="39" t="s">
        <v>151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58">
        <f>IF(Munka6!F105=TRUE,"!!! Alap vagyon fedezet mellé nem köthető!!!","")</f>
      </c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39" t="s">
        <v>147</v>
      </c>
      <c r="AR89" s="39"/>
      <c r="AS89" s="39"/>
      <c r="AT89" s="39"/>
      <c r="AU89" s="39"/>
      <c r="AV89" s="39"/>
      <c r="AW89" s="39"/>
      <c r="AX89" s="39"/>
      <c r="AY89" s="39"/>
      <c r="AZ89" s="102">
        <f>IF(Munka6!F106=TRUE,AK54*580,0)</f>
        <v>0</v>
      </c>
      <c r="BA89" s="103"/>
      <c r="BB89" s="103"/>
      <c r="BC89" s="103"/>
      <c r="BD89" s="104"/>
      <c r="BE89" s="39"/>
      <c r="BF89" s="14"/>
    </row>
    <row r="90" spans="1:58" ht="7.5" customHeight="1">
      <c r="A90" s="14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14"/>
    </row>
    <row r="91" spans="1:58" ht="12.75">
      <c r="A91" s="14"/>
      <c r="B91" s="39"/>
      <c r="C91" s="39"/>
      <c r="D91" s="39" t="s">
        <v>152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 t="s">
        <v>147</v>
      </c>
      <c r="AR91" s="39"/>
      <c r="AS91" s="39"/>
      <c r="AT91" s="39"/>
      <c r="AU91" s="39"/>
      <c r="AV91" s="39"/>
      <c r="AW91" s="39"/>
      <c r="AX91" s="39"/>
      <c r="AY91" s="39"/>
      <c r="AZ91" s="102">
        <f>IF(Munka6!C108=1,0,IF(Munka6!C108=2,30000,IF(Munka6!C108=3,15000,IF(Munka6!C108=4,50000,IF(Munka6!C108=5,25000,0)))))</f>
        <v>0</v>
      </c>
      <c r="BA91" s="103"/>
      <c r="BB91" s="103"/>
      <c r="BC91" s="103"/>
      <c r="BD91" s="104"/>
      <c r="BE91" s="39"/>
      <c r="BF91" s="14"/>
    </row>
    <row r="92" spans="1:58" ht="12.75">
      <c r="A92" s="14"/>
      <c r="B92" s="39"/>
      <c r="C92" s="39"/>
      <c r="D92" s="39" t="s">
        <v>153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14"/>
    </row>
    <row r="93" spans="1:58" ht="12.75">
      <c r="A93" s="14"/>
      <c r="B93" s="39"/>
      <c r="C93" s="39"/>
      <c r="D93" s="39" t="s">
        <v>154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14"/>
    </row>
    <row r="94" spans="1:58" ht="3.75" customHeight="1">
      <c r="A94" s="1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14"/>
    </row>
    <row r="95" spans="1:58" ht="12.75">
      <c r="A95" s="14"/>
      <c r="B95" s="39"/>
      <c r="C95" s="39"/>
      <c r="D95" s="39" t="s">
        <v>160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 t="s">
        <v>147</v>
      </c>
      <c r="AR95" s="39"/>
      <c r="AS95" s="39"/>
      <c r="AT95" s="39"/>
      <c r="AU95" s="39"/>
      <c r="AV95" s="39"/>
      <c r="AW95" s="39"/>
      <c r="AX95" s="39"/>
      <c r="AY95" s="39"/>
      <c r="AZ95" s="102">
        <f>IF(Munka6!C113=1,AK54*1140,0)</f>
        <v>0</v>
      </c>
      <c r="BA95" s="103"/>
      <c r="BB95" s="103"/>
      <c r="BC95" s="103"/>
      <c r="BD95" s="104"/>
      <c r="BE95" s="39"/>
      <c r="BF95" s="14"/>
    </row>
    <row r="96" spans="1:58" ht="7.5" customHeight="1">
      <c r="A96" s="14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14"/>
    </row>
    <row r="97" spans="1:58" ht="12.75">
      <c r="A97" s="14"/>
      <c r="B97" s="39"/>
      <c r="C97" s="39"/>
      <c r="D97" s="39" t="s">
        <v>224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 t="s">
        <v>147</v>
      </c>
      <c r="AR97" s="39"/>
      <c r="AS97" s="39"/>
      <c r="AT97" s="39"/>
      <c r="AU97" s="39"/>
      <c r="AV97" s="39"/>
      <c r="AW97" s="39"/>
      <c r="AX97" s="39"/>
      <c r="AY97" s="39"/>
      <c r="AZ97" s="102">
        <f>IF(Munka6!C115=1,X115*100,0)</f>
        <v>0</v>
      </c>
      <c r="BA97" s="103"/>
      <c r="BB97" s="103"/>
      <c r="BC97" s="103"/>
      <c r="BD97" s="104"/>
      <c r="BE97" s="39"/>
      <c r="BF97" s="14"/>
    </row>
    <row r="98" spans="1:58" ht="7.5" customHeight="1">
      <c r="A98" s="14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14"/>
    </row>
    <row r="99" spans="1:58" ht="12.75">
      <c r="A99" s="14"/>
      <c r="B99" s="39"/>
      <c r="C99" s="39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0" t="s">
        <v>162</v>
      </c>
      <c r="AC99" s="31"/>
      <c r="AD99" s="31"/>
      <c r="AE99" s="31"/>
      <c r="AF99" s="31"/>
      <c r="AG99" s="31"/>
      <c r="AH99" s="32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14"/>
    </row>
    <row r="100" spans="1:58" ht="12.75">
      <c r="A100" s="14"/>
      <c r="B100" s="39"/>
      <c r="C100" s="39"/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96" t="s">
        <v>166</v>
      </c>
      <c r="AC100" s="97"/>
      <c r="AD100" s="97"/>
      <c r="AE100" s="97"/>
      <c r="AF100" s="97"/>
      <c r="AG100" s="97"/>
      <c r="AH100" s="98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14"/>
    </row>
    <row r="101" spans="1:58" ht="12.75">
      <c r="A101" s="14"/>
      <c r="B101" s="39"/>
      <c r="C101" s="39"/>
      <c r="D101" s="18" t="s">
        <v>163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78">
        <v>7000</v>
      </c>
      <c r="AC101" s="67"/>
      <c r="AD101" s="67"/>
      <c r="AE101" s="67"/>
      <c r="AF101" s="67"/>
      <c r="AG101" s="67"/>
      <c r="AH101" s="68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14"/>
    </row>
    <row r="102" spans="1:58" ht="12.75">
      <c r="A102" s="14"/>
      <c r="B102" s="39"/>
      <c r="C102" s="39"/>
      <c r="D102" s="15" t="s">
        <v>165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78">
        <v>9400</v>
      </c>
      <c r="AC102" s="67"/>
      <c r="AD102" s="67"/>
      <c r="AE102" s="67"/>
      <c r="AF102" s="67"/>
      <c r="AG102" s="67"/>
      <c r="AH102" s="68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14"/>
    </row>
    <row r="103" spans="1:58" ht="12.75">
      <c r="A103" s="14"/>
      <c r="B103" s="39"/>
      <c r="C103" s="39"/>
      <c r="D103" s="21" t="s">
        <v>164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78">
        <v>13300</v>
      </c>
      <c r="AC103" s="67"/>
      <c r="AD103" s="67"/>
      <c r="AE103" s="67"/>
      <c r="AF103" s="67"/>
      <c r="AG103" s="67"/>
      <c r="AH103" s="68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14"/>
    </row>
    <row r="104" spans="1:58" ht="3.75" customHeight="1">
      <c r="A104" s="14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14"/>
    </row>
    <row r="105" spans="1:58" ht="12.75">
      <c r="A105" s="14"/>
      <c r="B105" s="39"/>
      <c r="C105" s="39"/>
      <c r="D105" s="30" t="s">
        <v>167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99" t="s">
        <v>176</v>
      </c>
      <c r="R105" s="100"/>
      <c r="S105" s="101"/>
      <c r="T105" s="99" t="s">
        <v>178</v>
      </c>
      <c r="U105" s="100"/>
      <c r="V105" s="100"/>
      <c r="W105" s="101"/>
      <c r="X105" s="99" t="s">
        <v>179</v>
      </c>
      <c r="Y105" s="100"/>
      <c r="Z105" s="100"/>
      <c r="AA105" s="101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14"/>
    </row>
    <row r="106" spans="1:58" ht="12.75">
      <c r="A106" s="14"/>
      <c r="B106" s="39"/>
      <c r="C106" s="39"/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/>
      <c r="Q106" s="93" t="s">
        <v>177</v>
      </c>
      <c r="R106" s="94"/>
      <c r="S106" s="95"/>
      <c r="T106" s="18"/>
      <c r="U106" s="19"/>
      <c r="V106" s="19"/>
      <c r="W106" s="20"/>
      <c r="X106" s="93" t="s">
        <v>180</v>
      </c>
      <c r="Y106" s="94"/>
      <c r="Z106" s="94"/>
      <c r="AA106" s="95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14"/>
    </row>
    <row r="107" spans="1:58" ht="12.75">
      <c r="A107" s="14"/>
      <c r="B107" s="39"/>
      <c r="C107" s="39"/>
      <c r="D107" s="2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Q107" s="96" t="s">
        <v>130</v>
      </c>
      <c r="R107" s="97"/>
      <c r="S107" s="98"/>
      <c r="T107" s="96" t="s">
        <v>181</v>
      </c>
      <c r="U107" s="97"/>
      <c r="V107" s="97"/>
      <c r="W107" s="98"/>
      <c r="X107" s="96" t="s">
        <v>182</v>
      </c>
      <c r="Y107" s="97"/>
      <c r="Z107" s="97"/>
      <c r="AA107" s="98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14"/>
    </row>
    <row r="108" spans="1:58" ht="12.75">
      <c r="A108" s="14"/>
      <c r="B108" s="39"/>
      <c r="C108" s="39"/>
      <c r="D108" s="15" t="s">
        <v>168</v>
      </c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7"/>
      <c r="Q108" s="69"/>
      <c r="R108" s="70"/>
      <c r="S108" s="71"/>
      <c r="T108" s="69"/>
      <c r="U108" s="70"/>
      <c r="V108" s="70"/>
      <c r="W108" s="71"/>
      <c r="X108" s="83">
        <f>T108*Q108/1000</f>
        <v>0</v>
      </c>
      <c r="Y108" s="84"/>
      <c r="Z108" s="84"/>
      <c r="AA108" s="85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14"/>
    </row>
    <row r="109" spans="1:58" ht="12.75">
      <c r="A109" s="14"/>
      <c r="B109" s="39"/>
      <c r="C109" s="39"/>
      <c r="D109" s="18" t="s">
        <v>169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0"/>
      <c r="Q109" s="90"/>
      <c r="R109" s="91"/>
      <c r="S109" s="92"/>
      <c r="T109" s="69"/>
      <c r="U109" s="70"/>
      <c r="V109" s="70"/>
      <c r="W109" s="71"/>
      <c r="X109" s="83">
        <f aca="true" t="shared" si="0" ref="X109:X114">T109*Q109/1000</f>
        <v>0</v>
      </c>
      <c r="Y109" s="84"/>
      <c r="Z109" s="84"/>
      <c r="AA109" s="85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14"/>
    </row>
    <row r="110" spans="1:58" ht="12.75">
      <c r="A110" s="14"/>
      <c r="B110" s="39"/>
      <c r="C110" s="39"/>
      <c r="D110" s="15" t="s">
        <v>170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7"/>
      <c r="Q110" s="69"/>
      <c r="R110" s="70"/>
      <c r="S110" s="71"/>
      <c r="T110" s="69"/>
      <c r="U110" s="70"/>
      <c r="V110" s="70"/>
      <c r="W110" s="71"/>
      <c r="X110" s="83">
        <f t="shared" si="0"/>
        <v>0</v>
      </c>
      <c r="Y110" s="84"/>
      <c r="Z110" s="84"/>
      <c r="AA110" s="85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14"/>
    </row>
    <row r="111" spans="1:58" ht="12.75">
      <c r="A111" s="14"/>
      <c r="B111" s="39"/>
      <c r="C111" s="39"/>
      <c r="D111" s="18" t="s">
        <v>171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0"/>
      <c r="Q111" s="69"/>
      <c r="R111" s="70"/>
      <c r="S111" s="71"/>
      <c r="T111" s="69"/>
      <c r="U111" s="70"/>
      <c r="V111" s="70"/>
      <c r="W111" s="71"/>
      <c r="X111" s="83">
        <f t="shared" si="0"/>
        <v>0</v>
      </c>
      <c r="Y111" s="84"/>
      <c r="Z111" s="84"/>
      <c r="AA111" s="85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14"/>
    </row>
    <row r="112" spans="1:58" ht="12.75">
      <c r="A112" s="14"/>
      <c r="B112" s="39"/>
      <c r="C112" s="39"/>
      <c r="D112" s="15" t="s">
        <v>172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7"/>
      <c r="Q112" s="69"/>
      <c r="R112" s="70"/>
      <c r="S112" s="71"/>
      <c r="T112" s="69"/>
      <c r="U112" s="70"/>
      <c r="V112" s="70"/>
      <c r="W112" s="71"/>
      <c r="X112" s="83">
        <f t="shared" si="0"/>
        <v>0</v>
      </c>
      <c r="Y112" s="84"/>
      <c r="Z112" s="84"/>
      <c r="AA112" s="85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14"/>
    </row>
    <row r="113" spans="1:58" ht="12.75">
      <c r="A113" s="14"/>
      <c r="B113" s="39"/>
      <c r="C113" s="39"/>
      <c r="D113" s="18" t="s">
        <v>173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20"/>
      <c r="Q113" s="87"/>
      <c r="R113" s="88"/>
      <c r="S113" s="89"/>
      <c r="T113" s="87"/>
      <c r="U113" s="88"/>
      <c r="V113" s="88"/>
      <c r="W113" s="89"/>
      <c r="X113" s="86"/>
      <c r="Y113" s="59"/>
      <c r="Z113" s="59"/>
      <c r="AA113" s="60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14"/>
    </row>
    <row r="114" spans="1:58" ht="12.75">
      <c r="A114" s="14"/>
      <c r="B114" s="39"/>
      <c r="C114" s="39"/>
      <c r="D114" s="15" t="s">
        <v>174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7"/>
      <c r="Q114" s="87"/>
      <c r="R114" s="88"/>
      <c r="S114" s="89"/>
      <c r="T114" s="87"/>
      <c r="U114" s="88"/>
      <c r="V114" s="88"/>
      <c r="W114" s="89"/>
      <c r="X114" s="86">
        <f t="shared" si="0"/>
        <v>0</v>
      </c>
      <c r="Y114" s="59"/>
      <c r="Z114" s="59"/>
      <c r="AA114" s="60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14"/>
    </row>
    <row r="115" spans="1:58" ht="12.75">
      <c r="A115" s="14"/>
      <c r="B115" s="39"/>
      <c r="C115" s="39"/>
      <c r="D115" s="21" t="s">
        <v>175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  <c r="Q115" s="33"/>
      <c r="R115" s="34"/>
      <c r="S115" s="35"/>
      <c r="T115" s="33"/>
      <c r="U115" s="34"/>
      <c r="V115" s="34"/>
      <c r="W115" s="35"/>
      <c r="X115" s="83">
        <f>SUM(X108:AA114)</f>
        <v>0</v>
      </c>
      <c r="Y115" s="84"/>
      <c r="Z115" s="84"/>
      <c r="AA115" s="85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14"/>
    </row>
    <row r="116" spans="1:58" ht="3.75" customHeight="1">
      <c r="A116" s="14"/>
      <c r="B116" s="39"/>
      <c r="C116" s="3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45"/>
      <c r="R116" s="45"/>
      <c r="S116" s="45"/>
      <c r="T116" s="45"/>
      <c r="U116" s="45"/>
      <c r="V116" s="45"/>
      <c r="W116" s="45"/>
      <c r="X116" s="42"/>
      <c r="Y116" s="42"/>
      <c r="Z116" s="42"/>
      <c r="AA116" s="42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14"/>
    </row>
    <row r="117" spans="1:58" ht="3.75" customHeight="1">
      <c r="A117" s="14"/>
      <c r="B117" s="14"/>
      <c r="C117" s="1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2"/>
      <c r="R117" s="12"/>
      <c r="S117" s="12"/>
      <c r="T117" s="12"/>
      <c r="U117" s="12"/>
      <c r="V117" s="12"/>
      <c r="W117" s="12"/>
      <c r="X117" s="43"/>
      <c r="Y117" s="43"/>
      <c r="Z117" s="43"/>
      <c r="AA117" s="43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</row>
    <row r="118" spans="1:58" ht="3.75" customHeight="1">
      <c r="A118" s="14"/>
      <c r="B118" s="39"/>
      <c r="C118" s="3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45"/>
      <c r="R118" s="45"/>
      <c r="S118" s="45"/>
      <c r="T118" s="45"/>
      <c r="U118" s="45"/>
      <c r="V118" s="45"/>
      <c r="W118" s="45"/>
      <c r="X118" s="42"/>
      <c r="Y118" s="42"/>
      <c r="Z118" s="42"/>
      <c r="AA118" s="42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14"/>
    </row>
    <row r="119" spans="1:58" ht="12.75" customHeight="1">
      <c r="A119" s="14"/>
      <c r="B119" s="40" t="s">
        <v>225</v>
      </c>
      <c r="C119" s="40"/>
      <c r="D119" s="44"/>
      <c r="E119" s="44"/>
      <c r="F119" s="44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45"/>
      <c r="R119" s="45"/>
      <c r="S119" s="45"/>
      <c r="T119" s="45"/>
      <c r="U119" s="45"/>
      <c r="V119" s="45"/>
      <c r="W119" s="45"/>
      <c r="X119" s="42"/>
      <c r="Y119" s="42"/>
      <c r="Z119" s="42"/>
      <c r="AA119" s="42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14"/>
    </row>
    <row r="120" spans="1:58" ht="3" customHeight="1">
      <c r="A120" s="14"/>
      <c r="B120" s="39"/>
      <c r="C120" s="39"/>
      <c r="D120" s="3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14"/>
    </row>
    <row r="121" spans="1:58" ht="12.75">
      <c r="A121" s="14"/>
      <c r="B121" s="39"/>
      <c r="C121" s="39"/>
      <c r="D121" s="19" t="s">
        <v>187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 t="s">
        <v>226</v>
      </c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14"/>
    </row>
    <row r="122" spans="1:58" ht="7.5" customHeight="1">
      <c r="A122" s="14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14"/>
    </row>
    <row r="123" spans="1:58" ht="12.75">
      <c r="A123" s="14"/>
      <c r="B123" s="39"/>
      <c r="C123" s="39"/>
      <c r="D123" s="39" t="s">
        <v>188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111">
        <f>Munka6!D149</f>
        <v>0.14500000000000002</v>
      </c>
      <c r="AF123" s="112"/>
      <c r="AG123" s="113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14"/>
    </row>
    <row r="124" spans="1:58" ht="7.5" customHeight="1">
      <c r="A124" s="14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47"/>
      <c r="AE124" s="47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14"/>
    </row>
    <row r="125" spans="1:58" ht="12.75">
      <c r="A125" s="14"/>
      <c r="B125" s="39"/>
      <c r="C125" s="39"/>
      <c r="D125" s="39" t="s">
        <v>212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 t="s">
        <v>213</v>
      </c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47"/>
      <c r="AE125" s="47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14"/>
    </row>
    <row r="126" spans="1:58" ht="12.75">
      <c r="A126" s="14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 t="s">
        <v>214</v>
      </c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47"/>
      <c r="AE126" s="47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14"/>
    </row>
    <row r="127" spans="1:58" ht="3.75" customHeight="1">
      <c r="A127" s="1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14"/>
    </row>
    <row r="128" spans="1:58" ht="3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</row>
    <row r="129" spans="1:58" ht="3.75" customHeight="1">
      <c r="A129" s="14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14"/>
    </row>
    <row r="130" spans="1:58" ht="12.75">
      <c r="A130" s="14"/>
      <c r="B130" s="40" t="s">
        <v>201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14"/>
    </row>
    <row r="131" spans="1:58" ht="3.75" customHeight="1">
      <c r="A131" s="14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14"/>
    </row>
    <row r="132" spans="1:58" ht="12.75">
      <c r="A132" s="14"/>
      <c r="B132" s="39"/>
      <c r="C132" s="39"/>
      <c r="D132" s="39"/>
      <c r="E132" s="39" t="s">
        <v>202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14"/>
    </row>
    <row r="133" spans="1:58" ht="12.75">
      <c r="A133" s="14"/>
      <c r="B133" s="39"/>
      <c r="C133" s="39"/>
      <c r="D133" s="39"/>
      <c r="E133" s="39"/>
      <c r="F133" s="39" t="s">
        <v>84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47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80">
        <f>Munka6!B120</f>
        <v>0.7</v>
      </c>
      <c r="AC133" s="80"/>
      <c r="AD133" s="80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14"/>
    </row>
    <row r="134" spans="1:58" ht="12.75">
      <c r="A134" s="14"/>
      <c r="B134" s="39"/>
      <c r="C134" s="39"/>
      <c r="D134" s="39"/>
      <c r="E134" s="39"/>
      <c r="F134" s="39" t="s">
        <v>203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80">
        <f>Munka6!B121</f>
        <v>1</v>
      </c>
      <c r="AC134" s="80"/>
      <c r="AD134" s="80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14"/>
    </row>
    <row r="135" spans="1:58" ht="12.75">
      <c r="A135" s="14"/>
      <c r="B135" s="39"/>
      <c r="C135" s="39"/>
      <c r="D135" s="39"/>
      <c r="E135" s="39"/>
      <c r="F135" s="39" t="s">
        <v>204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80">
        <f>Munka6!B123</f>
        <v>1</v>
      </c>
      <c r="AC135" s="80"/>
      <c r="AD135" s="80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14"/>
    </row>
    <row r="136" spans="1:58" ht="12.75">
      <c r="A136" s="14"/>
      <c r="B136" s="39"/>
      <c r="C136" s="39"/>
      <c r="D136" s="39"/>
      <c r="E136" s="39"/>
      <c r="F136" s="39" t="s">
        <v>205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80">
        <f>Munka6!C149</f>
        <v>0.855</v>
      </c>
      <c r="AC136" s="80"/>
      <c r="AD136" s="80"/>
      <c r="AE136" s="47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14"/>
    </row>
    <row r="137" spans="1:58" ht="12.75">
      <c r="A137" s="14"/>
      <c r="B137" s="39"/>
      <c r="C137" s="39"/>
      <c r="D137" s="39"/>
      <c r="E137" s="39"/>
      <c r="F137" s="39" t="s">
        <v>206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80">
        <f>Munka6!C150</f>
        <v>1</v>
      </c>
      <c r="AC137" s="80"/>
      <c r="AD137" s="80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14"/>
    </row>
    <row r="138" spans="1:58" ht="12.75">
      <c r="A138" s="14"/>
      <c r="B138" s="39"/>
      <c r="C138" s="39"/>
      <c r="D138" s="39"/>
      <c r="E138" s="39"/>
      <c r="F138" s="39" t="s">
        <v>215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80">
        <f>Munka6!H151</f>
        <v>1</v>
      </c>
      <c r="AC138" s="80"/>
      <c r="AD138" s="80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14"/>
    </row>
    <row r="139" spans="1:58" ht="12.75">
      <c r="A139" s="14"/>
      <c r="B139" s="39"/>
      <c r="C139" s="39"/>
      <c r="D139" s="39"/>
      <c r="E139" s="39"/>
      <c r="F139" s="39" t="s">
        <v>218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80">
        <f>AB135*AB138*AB136</f>
        <v>0.855</v>
      </c>
      <c r="AC139" s="80"/>
      <c r="AD139" s="80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14"/>
    </row>
    <row r="140" spans="1:58" ht="3.75" customHeight="1">
      <c r="A140" s="14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14"/>
    </row>
    <row r="141" spans="1:58" ht="12.75">
      <c r="A141" s="14"/>
      <c r="B141" s="39"/>
      <c r="C141" s="39"/>
      <c r="D141" s="30" t="s">
        <v>207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79">
        <f>(AZ74+AZ75+AZ81+AZ83+AZ85+AZ87+AZ97)*AB133*AB134</f>
        <v>0</v>
      </c>
      <c r="AK141" s="79"/>
      <c r="AL141" s="79"/>
      <c r="AM141" s="79"/>
      <c r="AN141" s="7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14"/>
    </row>
    <row r="142" spans="1:58" ht="12.75">
      <c r="A142" s="14"/>
      <c r="B142" s="39"/>
      <c r="C142" s="39"/>
      <c r="D142" s="15" t="s">
        <v>208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79">
        <f>AZ89</f>
        <v>0</v>
      </c>
      <c r="AK142" s="79"/>
      <c r="AL142" s="79"/>
      <c r="AM142" s="79"/>
      <c r="AN142" s="7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14"/>
    </row>
    <row r="143" spans="1:58" ht="12.75">
      <c r="A143" s="14"/>
      <c r="B143" s="39"/>
      <c r="C143" s="39"/>
      <c r="D143" s="18" t="s">
        <v>209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79">
        <f>AZ91</f>
        <v>0</v>
      </c>
      <c r="AK143" s="79"/>
      <c r="AL143" s="79"/>
      <c r="AM143" s="79"/>
      <c r="AN143" s="7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14"/>
    </row>
    <row r="144" spans="1:58" ht="12.75">
      <c r="A144" s="14"/>
      <c r="B144" s="39"/>
      <c r="C144" s="39"/>
      <c r="D144" s="15" t="s">
        <v>210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79">
        <f>AZ95</f>
        <v>0</v>
      </c>
      <c r="AK144" s="79"/>
      <c r="AL144" s="79"/>
      <c r="AM144" s="79"/>
      <c r="AN144" s="7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14"/>
    </row>
    <row r="145" spans="1:58" ht="12.75">
      <c r="A145" s="14"/>
      <c r="B145" s="39"/>
      <c r="C145" s="39"/>
      <c r="D145" s="18" t="s">
        <v>211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79">
        <f>SUM(AJ141:AN144)</f>
        <v>0</v>
      </c>
      <c r="AK145" s="79"/>
      <c r="AL145" s="79"/>
      <c r="AM145" s="79"/>
      <c r="AN145" s="7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14"/>
    </row>
    <row r="146" spans="1:58" ht="12.75">
      <c r="A146" s="14"/>
      <c r="B146" s="39"/>
      <c r="C146" s="39"/>
      <c r="D146" s="15" t="s">
        <v>219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14">
        <f>AB137</f>
        <v>1</v>
      </c>
      <c r="AH146" s="114"/>
      <c r="AI146" s="114"/>
      <c r="AJ146" s="79">
        <f>AJ145*AG146</f>
        <v>0</v>
      </c>
      <c r="AK146" s="79"/>
      <c r="AL146" s="79"/>
      <c r="AM146" s="79"/>
      <c r="AN146" s="7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14"/>
    </row>
    <row r="147" spans="1:58" ht="12.75">
      <c r="A147" s="14"/>
      <c r="B147" s="39"/>
      <c r="C147" s="39"/>
      <c r="D147" s="50" t="s">
        <v>220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81">
        <f>AB139</f>
        <v>0.855</v>
      </c>
      <c r="AH147" s="81"/>
      <c r="AI147" s="81"/>
      <c r="AJ147" s="82">
        <f>AJ146*AG147</f>
        <v>0</v>
      </c>
      <c r="AK147" s="82"/>
      <c r="AL147" s="82"/>
      <c r="AM147" s="82"/>
      <c r="AN147" s="82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14"/>
    </row>
    <row r="148" spans="1:58" ht="3.75" customHeight="1">
      <c r="A148" s="14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14"/>
    </row>
    <row r="149" spans="1:185" s="49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48"/>
      <c r="M149" s="38"/>
      <c r="N149" s="38" t="s">
        <v>221</v>
      </c>
      <c r="O149" s="48"/>
      <c r="P149" s="38"/>
      <c r="Q149" s="48"/>
      <c r="R149" s="38"/>
      <c r="S149" s="38"/>
      <c r="T149" s="38"/>
      <c r="U149" s="38"/>
      <c r="V149" s="38"/>
      <c r="W149" s="38"/>
      <c r="X149" s="38"/>
      <c r="Y149" s="38"/>
      <c r="Z149" s="38"/>
      <c r="AA149" s="48"/>
      <c r="AB149" s="110">
        <f>AJ147</f>
        <v>0</v>
      </c>
      <c r="AC149" s="110"/>
      <c r="AD149" s="110"/>
      <c r="AE149" s="110"/>
      <c r="AF149" s="38" t="s">
        <v>227</v>
      </c>
      <c r="AG149" s="38"/>
      <c r="AH149" s="38"/>
      <c r="AI149" s="48"/>
      <c r="AJ149" s="48"/>
      <c r="AK149" s="48"/>
      <c r="AL149" s="48"/>
      <c r="AM149" s="38"/>
      <c r="AN149" s="38"/>
      <c r="AO149" s="4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</row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  <row r="309" s="52" customFormat="1" ht="12.75"/>
    <row r="310" s="52" customFormat="1" ht="12.75"/>
    <row r="311" s="52" customFormat="1" ht="12.75"/>
    <row r="312" s="52" customFormat="1" ht="12.75"/>
    <row r="313" s="52" customFormat="1" ht="12.75"/>
    <row r="314" s="52" customFormat="1" ht="12.75"/>
    <row r="315" s="52" customFormat="1" ht="12.75"/>
    <row r="316" s="52" customFormat="1" ht="12.75"/>
    <row r="317" s="52" customFormat="1" ht="12.75"/>
    <row r="318" s="52" customFormat="1" ht="12.75"/>
    <row r="319" s="52" customFormat="1" ht="12.75"/>
    <row r="320" s="52" customFormat="1" ht="12.75"/>
    <row r="321" s="52" customFormat="1" ht="12.75"/>
    <row r="322" s="52" customFormat="1" ht="12.75"/>
    <row r="323" s="52" customFormat="1" ht="12.75"/>
    <row r="324" s="52" customFormat="1" ht="12.75"/>
    <row r="325" s="52" customFormat="1" ht="12.75"/>
    <row r="326" s="52" customFormat="1" ht="12.75"/>
    <row r="327" s="52" customFormat="1" ht="12.75"/>
    <row r="328" s="52" customFormat="1" ht="12.75"/>
    <row r="329" s="52" customFormat="1" ht="12.75"/>
    <row r="330" s="52" customFormat="1" ht="12.75"/>
    <row r="331" s="52" customFormat="1" ht="12.75"/>
    <row r="332" s="52" customFormat="1" ht="12.75"/>
    <row r="333" s="52" customFormat="1" ht="12.75"/>
    <row r="334" s="52" customFormat="1" ht="12.75"/>
    <row r="335" s="52" customFormat="1" ht="12.75"/>
    <row r="336" s="52" customFormat="1" ht="12.75"/>
    <row r="337" s="52" customFormat="1" ht="12.75"/>
    <row r="338" s="52" customFormat="1" ht="12.75"/>
    <row r="339" s="52" customFormat="1" ht="12.75"/>
    <row r="340" s="52" customFormat="1" ht="12.75"/>
    <row r="341" s="52" customFormat="1" ht="12.75"/>
    <row r="342" s="52" customFormat="1" ht="12.75"/>
    <row r="343" s="52" customFormat="1" ht="12.75"/>
    <row r="344" s="52" customFormat="1" ht="12.75"/>
    <row r="345" s="52" customFormat="1" ht="12.75"/>
    <row r="346" s="52" customFormat="1" ht="12.75"/>
    <row r="347" s="52" customFormat="1" ht="12.75"/>
    <row r="348" s="52" customFormat="1" ht="12.75"/>
    <row r="349" s="52" customFormat="1" ht="12.75"/>
    <row r="350" s="52" customFormat="1" ht="12.75"/>
    <row r="351" s="52" customFormat="1" ht="12.75"/>
    <row r="352" s="52" customFormat="1" ht="12.75"/>
    <row r="353" s="52" customFormat="1" ht="12.75"/>
    <row r="354" s="52" customFormat="1" ht="12.75"/>
    <row r="355" s="52" customFormat="1" ht="12.75"/>
    <row r="356" s="52" customFormat="1" ht="12.75"/>
    <row r="357" s="52" customFormat="1" ht="12.75"/>
    <row r="358" s="52" customFormat="1" ht="12.75"/>
    <row r="359" s="52" customFormat="1" ht="12.75"/>
    <row r="360" s="52" customFormat="1" ht="12.75"/>
    <row r="361" s="52" customFormat="1" ht="12.75"/>
    <row r="362" s="52" customFormat="1" ht="12.75"/>
    <row r="363" s="52" customFormat="1" ht="12.75"/>
    <row r="364" s="52" customFormat="1" ht="12.75"/>
    <row r="365" s="52" customFormat="1" ht="12.75"/>
    <row r="366" s="52" customFormat="1" ht="12.75"/>
    <row r="367" s="52" customFormat="1" ht="12.75"/>
    <row r="368" s="52" customFormat="1" ht="12.75"/>
    <row r="369" s="52" customFormat="1" ht="12.75"/>
    <row r="370" s="52" customFormat="1" ht="12.75"/>
    <row r="371" s="52" customFormat="1" ht="12.75"/>
    <row r="372" s="52" customFormat="1" ht="12.75"/>
    <row r="373" s="52" customFormat="1" ht="12.75"/>
    <row r="374" s="52" customFormat="1" ht="12.75"/>
    <row r="375" s="52" customFormat="1" ht="12.75"/>
    <row r="376" s="52" customFormat="1" ht="12.75"/>
    <row r="377" s="52" customFormat="1" ht="12.75"/>
    <row r="378" s="52" customFormat="1" ht="12.75"/>
    <row r="379" s="52" customFormat="1" ht="12.75"/>
    <row r="380" s="52" customFormat="1" ht="12.75"/>
    <row r="381" s="52" customFormat="1" ht="12.75"/>
    <row r="382" s="52" customFormat="1" ht="12.75"/>
    <row r="383" s="52" customFormat="1" ht="12.75"/>
    <row r="384" s="52" customFormat="1" ht="12.75"/>
    <row r="385" s="52" customFormat="1" ht="12.75"/>
    <row r="386" s="52" customFormat="1" ht="12.75"/>
    <row r="387" s="52" customFormat="1" ht="12.75"/>
    <row r="388" s="52" customFormat="1" ht="12.75"/>
    <row r="389" s="52" customFormat="1" ht="12.75"/>
    <row r="390" s="52" customFormat="1" ht="12.75"/>
    <row r="391" s="52" customFormat="1" ht="12.75"/>
    <row r="392" s="52" customFormat="1" ht="12.75"/>
    <row r="393" s="52" customFormat="1" ht="12.75"/>
    <row r="394" s="52" customFormat="1" ht="12.75"/>
    <row r="395" s="52" customFormat="1" ht="12.75"/>
    <row r="396" s="52" customFormat="1" ht="12.75"/>
    <row r="397" s="52" customFormat="1" ht="12.75"/>
    <row r="398" s="52" customFormat="1" ht="12.75"/>
    <row r="399" s="52" customFormat="1" ht="12.75"/>
    <row r="400" s="52" customFormat="1" ht="12.75"/>
    <row r="401" s="52" customFormat="1" ht="12.75"/>
    <row r="402" s="52" customFormat="1" ht="12.75"/>
    <row r="403" s="52" customFormat="1" ht="12.75"/>
    <row r="404" s="52" customFormat="1" ht="12.75"/>
    <row r="405" s="52" customFormat="1" ht="12.75"/>
    <row r="406" s="52" customFormat="1" ht="12.75"/>
    <row r="407" s="52" customFormat="1" ht="12.75"/>
    <row r="408" s="52" customFormat="1" ht="12.75"/>
    <row r="409" s="52" customFormat="1" ht="12.75"/>
    <row r="410" s="52" customFormat="1" ht="12.75"/>
    <row r="411" s="52" customFormat="1" ht="12.75"/>
    <row r="412" s="52" customFormat="1" ht="12.75"/>
    <row r="413" s="52" customFormat="1" ht="12.75"/>
    <row r="414" s="52" customFormat="1" ht="12.75"/>
    <row r="415" s="52" customFormat="1" ht="12.75"/>
    <row r="416" s="52" customFormat="1" ht="12.75"/>
    <row r="417" s="52" customFormat="1" ht="12.75"/>
    <row r="418" s="52" customFormat="1" ht="12.75"/>
    <row r="419" s="52" customFormat="1" ht="12.75"/>
    <row r="420" s="52" customFormat="1" ht="12.75"/>
    <row r="421" s="52" customFormat="1" ht="12.75"/>
    <row r="422" s="52" customFormat="1" ht="12.75"/>
    <row r="423" s="52" customFormat="1" ht="12.75"/>
    <row r="424" s="52" customFormat="1" ht="12.75"/>
    <row r="425" s="52" customFormat="1" ht="12.75"/>
    <row r="426" s="52" customFormat="1" ht="12.75"/>
    <row r="427" s="52" customFormat="1" ht="12.75"/>
    <row r="428" s="52" customFormat="1" ht="12.75"/>
    <row r="429" s="52" customFormat="1" ht="12.75"/>
    <row r="430" s="52" customFormat="1" ht="12.75"/>
    <row r="431" s="52" customFormat="1" ht="12.75"/>
    <row r="432" s="52" customFormat="1" ht="12.75"/>
    <row r="433" s="52" customFormat="1" ht="12.75"/>
    <row r="434" s="52" customFormat="1" ht="12.75"/>
    <row r="435" s="52" customFormat="1" ht="12.75"/>
    <row r="436" s="52" customFormat="1" ht="12.75"/>
    <row r="437" s="52" customFormat="1" ht="12.75"/>
    <row r="438" s="52" customFormat="1" ht="12.75"/>
    <row r="439" s="52" customFormat="1" ht="12.75"/>
    <row r="440" s="52" customFormat="1" ht="12.75"/>
    <row r="441" s="52" customFormat="1" ht="12.75"/>
    <row r="442" s="52" customFormat="1" ht="12.75"/>
    <row r="443" s="52" customFormat="1" ht="12.75"/>
    <row r="444" s="52" customFormat="1" ht="12.75"/>
    <row r="445" s="52" customFormat="1" ht="12.75"/>
    <row r="446" s="52" customFormat="1" ht="12.75"/>
    <row r="447" s="52" customFormat="1" ht="12.75"/>
    <row r="448" s="52" customFormat="1" ht="12.75"/>
    <row r="449" s="52" customFormat="1" ht="12.75"/>
    <row r="450" s="52" customFormat="1" ht="12.75"/>
    <row r="451" s="52" customFormat="1" ht="12.75"/>
    <row r="452" s="52" customFormat="1" ht="12.75"/>
    <row r="453" s="52" customFormat="1" ht="12.75"/>
    <row r="454" s="52" customFormat="1" ht="12.75"/>
    <row r="455" s="52" customFormat="1" ht="12.75"/>
    <row r="456" s="52" customFormat="1" ht="12.75"/>
    <row r="457" s="52" customFormat="1" ht="12.75"/>
    <row r="458" s="52" customFormat="1" ht="12.75"/>
    <row r="459" s="52" customFormat="1" ht="12.75"/>
    <row r="460" s="52" customFormat="1" ht="12.75"/>
    <row r="461" s="52" customFormat="1" ht="12.75"/>
    <row r="462" s="52" customFormat="1" ht="12.75"/>
    <row r="463" s="52" customFormat="1" ht="12.75"/>
    <row r="464" s="52" customFormat="1" ht="12.75"/>
    <row r="465" s="52" customFormat="1" ht="12.75"/>
    <row r="466" s="52" customFormat="1" ht="12.75"/>
    <row r="467" s="52" customFormat="1" ht="12.75"/>
    <row r="468" s="52" customFormat="1" ht="12.75"/>
    <row r="469" s="52" customFormat="1" ht="12.75"/>
    <row r="470" s="52" customFormat="1" ht="12.75"/>
    <row r="471" s="52" customFormat="1" ht="12.75"/>
    <row r="472" s="52" customFormat="1" ht="12.75"/>
    <row r="473" s="52" customFormat="1" ht="12.75"/>
    <row r="474" s="52" customFormat="1" ht="12.75"/>
    <row r="475" s="52" customFormat="1" ht="12.75"/>
    <row r="476" s="52" customFormat="1" ht="12.75"/>
    <row r="477" s="52" customFormat="1" ht="12.75"/>
    <row r="478" s="52" customFormat="1" ht="12.75"/>
    <row r="479" s="52" customFormat="1" ht="12.75"/>
    <row r="480" s="52" customFormat="1" ht="12.75"/>
    <row r="481" s="52" customFormat="1" ht="12.75"/>
    <row r="482" s="52" customFormat="1" ht="12.75"/>
    <row r="483" s="52" customFormat="1" ht="12.75"/>
    <row r="484" s="52" customFormat="1" ht="12.75"/>
    <row r="485" s="52" customFormat="1" ht="12.75"/>
    <row r="486" s="52" customFormat="1" ht="12.75"/>
    <row r="487" s="52" customFormat="1" ht="12.75"/>
    <row r="488" s="52" customFormat="1" ht="12.75"/>
    <row r="489" s="52" customFormat="1" ht="12.75"/>
    <row r="490" s="52" customFormat="1" ht="12.75"/>
    <row r="491" s="52" customFormat="1" ht="12.75"/>
    <row r="492" s="52" customFormat="1" ht="12.75"/>
    <row r="493" s="52" customFormat="1" ht="12.75"/>
    <row r="494" s="52" customFormat="1" ht="12.75"/>
    <row r="495" s="52" customFormat="1" ht="12.75"/>
    <row r="496" s="52" customFormat="1" ht="12.75"/>
    <row r="497" s="52" customFormat="1" ht="12.75"/>
    <row r="498" s="52" customFormat="1" ht="12.75"/>
    <row r="499" s="52" customFormat="1" ht="12.75"/>
    <row r="500" s="52" customFormat="1" ht="12.75"/>
    <row r="501" s="52" customFormat="1" ht="12.75"/>
    <row r="502" s="52" customFormat="1" ht="12.75"/>
    <row r="503" s="52" customFormat="1" ht="12.75"/>
    <row r="504" s="52" customFormat="1" ht="12.75"/>
    <row r="505" s="52" customFormat="1" ht="12.75"/>
    <row r="506" s="52" customFormat="1" ht="12.75"/>
    <row r="507" s="52" customFormat="1" ht="12.75"/>
    <row r="508" s="52" customFormat="1" ht="12.75"/>
    <row r="509" s="52" customFormat="1" ht="12.75"/>
    <row r="510" s="52" customFormat="1" ht="12.75"/>
    <row r="511" s="52" customFormat="1" ht="12.75"/>
    <row r="512" s="52" customFormat="1" ht="12.75"/>
    <row r="513" s="52" customFormat="1" ht="12.75"/>
    <row r="514" s="52" customFormat="1" ht="12.75"/>
    <row r="515" s="52" customFormat="1" ht="12.75"/>
    <row r="516" s="52" customFormat="1" ht="12.75"/>
    <row r="517" s="52" customFormat="1" ht="12.75"/>
    <row r="518" s="52" customFormat="1" ht="12.75"/>
    <row r="519" s="52" customFormat="1" ht="12.75"/>
    <row r="520" s="52" customFormat="1" ht="12.75"/>
    <row r="521" s="52" customFormat="1" ht="12.75"/>
    <row r="522" s="52" customFormat="1" ht="12.75"/>
    <row r="523" s="52" customFormat="1" ht="12.75"/>
    <row r="524" s="52" customFormat="1" ht="12.75"/>
    <row r="525" s="52" customFormat="1" ht="12.75"/>
    <row r="526" s="52" customFormat="1" ht="12.75"/>
    <row r="527" s="52" customFormat="1" ht="12.75"/>
    <row r="528" s="52" customFormat="1" ht="12.75"/>
    <row r="529" s="52" customFormat="1" ht="12.75"/>
    <row r="530" s="52" customFormat="1" ht="12.75"/>
    <row r="531" s="52" customFormat="1" ht="12.75"/>
    <row r="532" s="52" customFormat="1" ht="12.75"/>
    <row r="533" s="52" customFormat="1" ht="12.75"/>
    <row r="534" s="52" customFormat="1" ht="12.75"/>
    <row r="535" s="52" customFormat="1" ht="12.75"/>
    <row r="536" s="52" customFormat="1" ht="12.75"/>
    <row r="537" s="52" customFormat="1" ht="12.75"/>
    <row r="538" s="52" customFormat="1" ht="12.75"/>
    <row r="539" s="52" customFormat="1" ht="12.75"/>
    <row r="540" s="52" customFormat="1" ht="12.75"/>
    <row r="541" s="52" customFormat="1" ht="12.75"/>
    <row r="542" s="52" customFormat="1" ht="12.75"/>
    <row r="543" s="52" customFormat="1" ht="12.75"/>
    <row r="544" s="52" customFormat="1" ht="12.75"/>
    <row r="545" s="52" customFormat="1" ht="12.75"/>
    <row r="546" s="52" customFormat="1" ht="12.75"/>
    <row r="547" s="52" customFormat="1" ht="12.75"/>
    <row r="548" s="52" customFormat="1" ht="12.75"/>
    <row r="549" s="52" customFormat="1" ht="12.75"/>
    <row r="550" s="52" customFormat="1" ht="12.75"/>
    <row r="551" s="52" customFormat="1" ht="12.75"/>
    <row r="552" s="52" customFormat="1" ht="12.75"/>
    <row r="553" s="52" customFormat="1" ht="12.75"/>
    <row r="554" s="52" customFormat="1" ht="12.75"/>
    <row r="555" s="52" customFormat="1" ht="12.75"/>
    <row r="556" s="52" customFormat="1" ht="12.75"/>
    <row r="557" s="52" customFormat="1" ht="12.75"/>
    <row r="558" s="52" customFormat="1" ht="12.75"/>
    <row r="559" s="52" customFormat="1" ht="12.75"/>
    <row r="560" s="52" customFormat="1" ht="12.75"/>
    <row r="561" s="52" customFormat="1" ht="12.75"/>
    <row r="562" s="52" customFormat="1" ht="12.75"/>
    <row r="563" s="52" customFormat="1" ht="12.75"/>
    <row r="564" s="52" customFormat="1" ht="12.75"/>
    <row r="565" s="52" customFormat="1" ht="12.75"/>
    <row r="566" s="52" customFormat="1" ht="12.75"/>
    <row r="567" s="52" customFormat="1" ht="12.75"/>
    <row r="568" s="52" customFormat="1" ht="12.75"/>
    <row r="569" s="52" customFormat="1" ht="12.75"/>
    <row r="570" s="52" customFormat="1" ht="12.75"/>
    <row r="571" s="52" customFormat="1" ht="12.75"/>
    <row r="572" s="52" customFormat="1" ht="12.75"/>
    <row r="573" s="52" customFormat="1" ht="12.75"/>
    <row r="574" s="52" customFormat="1" ht="12.75"/>
    <row r="575" s="52" customFormat="1" ht="12.75"/>
    <row r="576" s="52" customFormat="1" ht="12.75"/>
    <row r="577" s="52" customFormat="1" ht="12.75"/>
    <row r="578" s="52" customFormat="1" ht="12.75"/>
    <row r="579" s="52" customFormat="1" ht="12.75"/>
    <row r="580" s="52" customFormat="1" ht="12.75"/>
    <row r="581" s="52" customFormat="1" ht="12.75"/>
    <row r="582" s="52" customFormat="1" ht="12.75"/>
    <row r="583" s="52" customFormat="1" ht="12.75"/>
    <row r="584" s="52" customFormat="1" ht="12.75"/>
    <row r="585" s="52" customFormat="1" ht="12.75"/>
    <row r="586" s="52" customFormat="1" ht="12.75"/>
    <row r="587" s="52" customFormat="1" ht="12.75"/>
    <row r="588" s="52" customFormat="1" ht="12.75"/>
    <row r="589" s="52" customFormat="1" ht="12.75"/>
    <row r="590" s="52" customFormat="1" ht="12.75"/>
    <row r="591" s="52" customFormat="1" ht="12.75"/>
    <row r="592" s="52" customFormat="1" ht="12.75"/>
    <row r="593" s="52" customFormat="1" ht="12.75"/>
    <row r="594" s="52" customFormat="1" ht="12.75"/>
    <row r="595" s="52" customFormat="1" ht="12.75"/>
    <row r="596" s="52" customFormat="1" ht="12.75"/>
    <row r="597" s="52" customFormat="1" ht="12.75"/>
    <row r="598" s="52" customFormat="1" ht="12.75"/>
    <row r="599" s="52" customFormat="1" ht="12.75"/>
    <row r="600" s="52" customFormat="1" ht="12.75"/>
    <row r="601" s="52" customFormat="1" ht="12.75"/>
    <row r="602" s="52" customFormat="1" ht="12.75"/>
    <row r="603" s="52" customFormat="1" ht="12.75"/>
    <row r="604" s="52" customFormat="1" ht="12.75"/>
    <row r="605" s="52" customFormat="1" ht="12.75"/>
    <row r="606" s="52" customFormat="1" ht="12.75"/>
    <row r="607" s="52" customFormat="1" ht="12.75"/>
    <row r="608" s="52" customFormat="1" ht="12.75"/>
    <row r="609" s="52" customFormat="1" ht="12.75"/>
    <row r="610" s="52" customFormat="1" ht="12.75"/>
    <row r="611" s="52" customFormat="1" ht="12.75"/>
    <row r="612" s="52" customFormat="1" ht="12.75"/>
    <row r="613" s="52" customFormat="1" ht="12.75"/>
    <row r="614" s="52" customFormat="1" ht="12.75"/>
    <row r="615" s="52" customFormat="1" ht="12.75"/>
    <row r="616" s="52" customFormat="1" ht="12.75"/>
    <row r="617" s="52" customFormat="1" ht="12.75"/>
    <row r="618" s="52" customFormat="1" ht="12.75"/>
    <row r="619" s="52" customFormat="1" ht="12.75"/>
    <row r="620" s="52" customFormat="1" ht="12.75"/>
    <row r="621" s="52" customFormat="1" ht="12.75"/>
    <row r="622" s="52" customFormat="1" ht="12.75"/>
    <row r="623" s="52" customFormat="1" ht="12.75"/>
    <row r="624" s="52" customFormat="1" ht="12.75"/>
    <row r="625" s="52" customFormat="1" ht="12.75"/>
    <row r="626" s="52" customFormat="1" ht="12.75"/>
    <row r="627" s="52" customFormat="1" ht="12.75"/>
    <row r="628" s="52" customFormat="1" ht="12.75"/>
    <row r="629" s="52" customFormat="1" ht="12.75"/>
    <row r="630" s="52" customFormat="1" ht="12.75"/>
    <row r="631" s="52" customFormat="1" ht="12.75"/>
    <row r="632" s="52" customFormat="1" ht="12.75"/>
    <row r="633" s="52" customFormat="1" ht="12.75"/>
    <row r="634" s="52" customFormat="1" ht="12.75"/>
    <row r="635" s="52" customFormat="1" ht="12.75"/>
    <row r="636" s="52" customFormat="1" ht="12.75"/>
    <row r="637" s="52" customFormat="1" ht="12.75"/>
    <row r="638" s="52" customFormat="1" ht="12.75"/>
    <row r="639" s="52" customFormat="1" ht="12.75"/>
    <row r="640" s="52" customFormat="1" ht="12.75"/>
    <row r="641" s="52" customFormat="1" ht="12.75"/>
    <row r="642" s="52" customFormat="1" ht="12.75"/>
    <row r="643" s="52" customFormat="1" ht="12.75"/>
    <row r="644" s="52" customFormat="1" ht="12.75"/>
    <row r="645" s="52" customFormat="1" ht="12.75"/>
    <row r="646" s="52" customFormat="1" ht="12.75"/>
    <row r="647" s="52" customFormat="1" ht="12.75"/>
    <row r="648" s="52" customFormat="1" ht="12.75"/>
    <row r="649" s="52" customFormat="1" ht="12.75"/>
    <row r="650" s="52" customFormat="1" ht="12.75"/>
    <row r="651" s="52" customFormat="1" ht="12.75"/>
    <row r="652" s="52" customFormat="1" ht="12.75"/>
    <row r="653" s="52" customFormat="1" ht="12.75"/>
    <row r="654" s="52" customFormat="1" ht="12.75"/>
    <row r="655" s="52" customFormat="1" ht="12.75"/>
    <row r="656" s="52" customFormat="1" ht="12.75"/>
    <row r="657" s="52" customFormat="1" ht="12.75"/>
    <row r="658" s="52" customFormat="1" ht="12.75"/>
    <row r="659" s="52" customFormat="1" ht="12.75"/>
    <row r="660" s="52" customFormat="1" ht="12.75"/>
    <row r="661" s="52" customFormat="1" ht="12.75"/>
    <row r="662" s="52" customFormat="1" ht="12.75"/>
    <row r="663" s="52" customFormat="1" ht="12.75"/>
    <row r="664" s="52" customFormat="1" ht="12.75"/>
    <row r="665" s="52" customFormat="1" ht="12.75"/>
    <row r="666" s="52" customFormat="1" ht="12.75"/>
    <row r="667" s="52" customFormat="1" ht="12.75"/>
    <row r="668" s="52" customFormat="1" ht="12.75"/>
    <row r="669" s="52" customFormat="1" ht="12.75"/>
    <row r="670" s="52" customFormat="1" ht="12.75"/>
    <row r="671" s="52" customFormat="1" ht="12.75"/>
    <row r="672" s="52" customFormat="1" ht="12.75"/>
    <row r="673" s="52" customFormat="1" ht="12.75"/>
    <row r="674" s="52" customFormat="1" ht="12.75"/>
    <row r="675" s="52" customFormat="1" ht="12.75"/>
    <row r="676" s="52" customFormat="1" ht="12.75"/>
    <row r="677" s="52" customFormat="1" ht="12.75"/>
    <row r="678" s="52" customFormat="1" ht="12.75"/>
    <row r="679" s="52" customFormat="1" ht="12.75"/>
    <row r="680" s="52" customFormat="1" ht="12.75"/>
    <row r="681" s="52" customFormat="1" ht="12.75"/>
    <row r="682" s="52" customFormat="1" ht="12.75"/>
    <row r="683" s="52" customFormat="1" ht="12.75"/>
    <row r="684" s="52" customFormat="1" ht="12.75"/>
    <row r="685" s="52" customFormat="1" ht="12.75"/>
    <row r="686" s="52" customFormat="1" ht="12.75"/>
    <row r="687" s="52" customFormat="1" ht="12.75"/>
    <row r="688" s="52" customFormat="1" ht="12.75"/>
    <row r="689" s="52" customFormat="1" ht="12.75"/>
    <row r="690" s="52" customFormat="1" ht="12.75"/>
    <row r="691" s="52" customFormat="1" ht="12.75"/>
    <row r="692" s="52" customFormat="1" ht="12.75"/>
    <row r="693" s="52" customFormat="1" ht="12.75"/>
    <row r="694" s="52" customFormat="1" ht="12.75"/>
    <row r="695" s="52" customFormat="1" ht="12.75"/>
    <row r="696" s="52" customFormat="1" ht="12.75"/>
    <row r="697" s="52" customFormat="1" ht="12.75"/>
    <row r="698" s="52" customFormat="1" ht="12.75"/>
    <row r="699" s="52" customFormat="1" ht="12.75"/>
    <row r="700" s="52" customFormat="1" ht="12.75"/>
    <row r="701" s="52" customFormat="1" ht="12.75"/>
    <row r="702" s="52" customFormat="1" ht="12.75"/>
    <row r="703" s="52" customFormat="1" ht="12.75"/>
    <row r="704" s="52" customFormat="1" ht="12.75"/>
    <row r="705" s="52" customFormat="1" ht="12.75"/>
    <row r="706" s="52" customFormat="1" ht="12.75"/>
    <row r="707" s="52" customFormat="1" ht="12.75"/>
    <row r="708" s="52" customFormat="1" ht="12.75"/>
    <row r="709" s="52" customFormat="1" ht="12.75"/>
    <row r="710" s="52" customFormat="1" ht="12.75"/>
    <row r="711" s="52" customFormat="1" ht="12.75"/>
    <row r="712" s="52" customFormat="1" ht="12.75"/>
    <row r="713" s="52" customFormat="1" ht="12.75"/>
    <row r="714" s="52" customFormat="1" ht="12.75"/>
    <row r="715" s="52" customFormat="1" ht="12.75"/>
    <row r="716" s="52" customFormat="1" ht="12.75"/>
    <row r="717" s="52" customFormat="1" ht="12.75"/>
    <row r="718" s="52" customFormat="1" ht="12.75"/>
    <row r="719" s="52" customFormat="1" ht="12.75"/>
    <row r="720" s="52" customFormat="1" ht="12.75"/>
    <row r="721" s="52" customFormat="1" ht="12.75"/>
    <row r="722" s="52" customFormat="1" ht="12.75"/>
    <row r="723" s="52" customFormat="1" ht="12.75"/>
    <row r="724" s="52" customFormat="1" ht="12.75"/>
    <row r="725" s="52" customFormat="1" ht="12.75"/>
    <row r="726" s="52" customFormat="1" ht="12.75"/>
    <row r="727" s="52" customFormat="1" ht="12.75"/>
    <row r="728" s="52" customFormat="1" ht="12.75"/>
    <row r="729" s="52" customFormat="1" ht="12.75"/>
    <row r="730" s="52" customFormat="1" ht="12.75"/>
    <row r="731" s="52" customFormat="1" ht="12.75"/>
    <row r="732" s="52" customFormat="1" ht="12.75"/>
    <row r="733" s="52" customFormat="1" ht="12.75"/>
    <row r="734" s="52" customFormat="1" ht="12.75"/>
    <row r="735" s="52" customFormat="1" ht="12.75"/>
    <row r="736" s="52" customFormat="1" ht="12.75"/>
    <row r="737" s="52" customFormat="1" ht="12.75"/>
    <row r="738" s="52" customFormat="1" ht="12.75"/>
    <row r="739" s="52" customFormat="1" ht="12.75"/>
    <row r="740" s="52" customFormat="1" ht="12.75"/>
    <row r="741" s="52" customFormat="1" ht="12.75"/>
    <row r="742" s="52" customFormat="1" ht="12.75"/>
    <row r="743" s="52" customFormat="1" ht="12.75"/>
    <row r="744" s="52" customFormat="1" ht="12.75"/>
    <row r="745" s="52" customFormat="1" ht="12.75"/>
    <row r="746" s="52" customFormat="1" ht="12.75"/>
    <row r="747" s="52" customFormat="1" ht="12.75"/>
    <row r="748" s="52" customFormat="1" ht="12.75"/>
    <row r="749" s="52" customFormat="1" ht="12.75"/>
    <row r="750" s="52" customFormat="1" ht="12.75"/>
    <row r="751" s="52" customFormat="1" ht="12.75"/>
    <row r="752" s="52" customFormat="1" ht="12.75"/>
    <row r="753" s="52" customFormat="1" ht="12.75"/>
    <row r="754" s="52" customFormat="1" ht="12.75"/>
    <row r="755" s="52" customFormat="1" ht="12.75"/>
    <row r="756" s="52" customFormat="1" ht="12.75"/>
    <row r="757" s="52" customFormat="1" ht="12.75"/>
    <row r="758" s="52" customFormat="1" ht="12.75"/>
    <row r="759" s="52" customFormat="1" ht="12.75"/>
    <row r="760" s="52" customFormat="1" ht="12.75"/>
    <row r="761" s="52" customFormat="1" ht="12.75"/>
    <row r="762" s="52" customFormat="1" ht="12.75"/>
    <row r="763" s="52" customFormat="1" ht="12.75"/>
    <row r="764" s="52" customFormat="1" ht="12.75"/>
    <row r="765" s="52" customFormat="1" ht="12.75"/>
    <row r="766" s="52" customFormat="1" ht="12.75"/>
    <row r="767" s="52" customFormat="1" ht="12.75"/>
    <row r="768" s="52" customFormat="1" ht="12.75"/>
    <row r="769" s="52" customFormat="1" ht="12.75"/>
    <row r="770" s="52" customFormat="1" ht="12.75"/>
    <row r="771" s="52" customFormat="1" ht="12.75"/>
    <row r="772" s="52" customFormat="1" ht="12.75"/>
    <row r="773" s="52" customFormat="1" ht="12.75"/>
    <row r="774" s="52" customFormat="1" ht="12.75"/>
    <row r="775" s="52" customFormat="1" ht="12.75"/>
    <row r="776" s="52" customFormat="1" ht="12.75"/>
    <row r="777" s="52" customFormat="1" ht="12.75"/>
    <row r="778" s="52" customFormat="1" ht="12.75"/>
    <row r="779" s="52" customFormat="1" ht="12.75"/>
    <row r="780" s="52" customFormat="1" ht="12.75"/>
    <row r="781" s="52" customFormat="1" ht="12.75"/>
    <row r="782" s="52" customFormat="1" ht="12.75"/>
    <row r="783" s="52" customFormat="1" ht="12.75"/>
    <row r="784" s="52" customFormat="1" ht="12.75"/>
    <row r="785" s="52" customFormat="1" ht="12.75"/>
    <row r="786" s="52" customFormat="1" ht="12.75"/>
    <row r="787" s="52" customFormat="1" ht="12.75"/>
    <row r="788" s="52" customFormat="1" ht="12.75"/>
    <row r="789" s="52" customFormat="1" ht="12.75"/>
    <row r="790" s="52" customFormat="1" ht="12.75"/>
    <row r="791" s="52" customFormat="1" ht="12.75"/>
    <row r="792" s="52" customFormat="1" ht="12.75"/>
    <row r="793" s="52" customFormat="1" ht="12.75"/>
    <row r="794" s="52" customFormat="1" ht="12.75"/>
    <row r="795" s="52" customFormat="1" ht="12.75"/>
    <row r="796" s="52" customFormat="1" ht="12.75"/>
    <row r="797" s="52" customFormat="1" ht="12.75"/>
    <row r="798" s="52" customFormat="1" ht="12.75"/>
    <row r="799" s="52" customFormat="1" ht="12.75"/>
    <row r="800" s="52" customFormat="1" ht="12.75"/>
    <row r="801" s="52" customFormat="1" ht="12.75"/>
    <row r="802" s="52" customFormat="1" ht="12.75"/>
    <row r="803" s="52" customFormat="1" ht="12.75"/>
    <row r="804" s="52" customFormat="1" ht="12.75"/>
    <row r="805" s="52" customFormat="1" ht="12.75"/>
    <row r="806" s="52" customFormat="1" ht="12.75"/>
    <row r="807" s="52" customFormat="1" ht="12.75"/>
    <row r="808" s="52" customFormat="1" ht="12.75"/>
    <row r="809" s="52" customFormat="1" ht="12.75"/>
    <row r="810" s="52" customFormat="1" ht="12.75"/>
    <row r="811" s="52" customFormat="1" ht="12.75"/>
    <row r="812" s="52" customFormat="1" ht="12.75"/>
    <row r="813" s="52" customFormat="1" ht="12.75"/>
    <row r="814" s="52" customFormat="1" ht="12.75"/>
    <row r="815" s="52" customFormat="1" ht="12.75"/>
    <row r="816" s="52" customFormat="1" ht="12.75"/>
    <row r="817" s="52" customFormat="1" ht="12.75"/>
    <row r="818" s="52" customFormat="1" ht="12.75"/>
    <row r="819" s="52" customFormat="1" ht="12.75"/>
    <row r="820" s="52" customFormat="1" ht="12.75"/>
    <row r="821" s="52" customFormat="1" ht="12.75"/>
    <row r="822" s="52" customFormat="1" ht="12.75"/>
    <row r="823" s="52" customFormat="1" ht="12.75"/>
    <row r="824" s="52" customFormat="1" ht="12.75"/>
    <row r="825" s="52" customFormat="1" ht="12.75"/>
    <row r="826" s="52" customFormat="1" ht="12.75"/>
    <row r="827" s="52" customFormat="1" ht="12.75"/>
    <row r="828" s="52" customFormat="1" ht="12.75"/>
    <row r="829" s="52" customFormat="1" ht="12.75"/>
    <row r="830" s="52" customFormat="1" ht="12.75"/>
    <row r="831" s="52" customFormat="1" ht="12.75"/>
    <row r="832" s="52" customFormat="1" ht="12.75"/>
    <row r="833" s="52" customFormat="1" ht="12.75"/>
    <row r="834" s="52" customFormat="1" ht="12.75"/>
    <row r="835" s="52" customFormat="1" ht="12.75"/>
    <row r="836" s="52" customFormat="1" ht="12.75"/>
    <row r="837" s="52" customFormat="1" ht="12.75"/>
    <row r="838" s="52" customFormat="1" ht="12.75"/>
    <row r="839" s="52" customFormat="1" ht="12.75"/>
    <row r="840" s="52" customFormat="1" ht="12.75"/>
    <row r="841" s="52" customFormat="1" ht="12.75"/>
    <row r="842" s="52" customFormat="1" ht="12.75"/>
    <row r="843" s="52" customFormat="1" ht="12.75"/>
    <row r="844" s="52" customFormat="1" ht="12.75"/>
    <row r="845" s="52" customFormat="1" ht="12.75"/>
    <row r="846" s="52" customFormat="1" ht="12.75"/>
    <row r="847" s="52" customFormat="1" ht="12.75"/>
    <row r="848" s="52" customFormat="1" ht="12.75"/>
    <row r="849" s="52" customFormat="1" ht="12.75"/>
    <row r="850" s="52" customFormat="1" ht="12.75"/>
    <row r="851" s="52" customFormat="1" ht="12.75"/>
    <row r="852" s="52" customFormat="1" ht="12.75"/>
    <row r="853" s="52" customFormat="1" ht="12.75"/>
    <row r="854" s="52" customFormat="1" ht="12.75"/>
    <row r="855" s="52" customFormat="1" ht="12.75"/>
    <row r="856" s="52" customFormat="1" ht="12.75"/>
    <row r="857" s="52" customFormat="1" ht="12.75"/>
    <row r="858" s="52" customFormat="1" ht="12.75"/>
    <row r="859" s="52" customFormat="1" ht="12.75"/>
    <row r="860" s="52" customFormat="1" ht="12.75"/>
    <row r="861" s="52" customFormat="1" ht="12.75"/>
    <row r="862" s="52" customFormat="1" ht="12.75"/>
    <row r="863" s="52" customFormat="1" ht="12.75"/>
    <row r="864" s="52" customFormat="1" ht="12.75"/>
    <row r="865" s="52" customFormat="1" ht="12.75"/>
    <row r="866" s="52" customFormat="1" ht="12.75"/>
    <row r="867" s="52" customFormat="1" ht="12.75"/>
    <row r="868" s="52" customFormat="1" ht="12.75"/>
    <row r="869" s="52" customFormat="1" ht="12.75"/>
    <row r="870" s="52" customFormat="1" ht="12.75"/>
    <row r="871" s="52" customFormat="1" ht="12.75"/>
    <row r="872" s="52" customFormat="1" ht="12.75"/>
    <row r="873" s="52" customFormat="1" ht="12.75"/>
    <row r="874" s="52" customFormat="1" ht="12.75"/>
    <row r="875" s="52" customFormat="1" ht="12.75"/>
    <row r="876" s="52" customFormat="1" ht="12.75"/>
    <row r="877" s="52" customFormat="1" ht="12.75"/>
    <row r="878" s="52" customFormat="1" ht="12.75"/>
    <row r="879" s="52" customFormat="1" ht="12.75"/>
    <row r="880" s="52" customFormat="1" ht="12.75"/>
    <row r="881" s="52" customFormat="1" ht="12.75"/>
    <row r="882" s="52" customFormat="1" ht="12.75"/>
    <row r="883" s="52" customFormat="1" ht="12.75"/>
    <row r="884" s="52" customFormat="1" ht="12.75"/>
    <row r="885" s="52" customFormat="1" ht="12.75"/>
    <row r="886" s="52" customFormat="1" ht="12.75"/>
    <row r="887" s="52" customFormat="1" ht="12.75"/>
    <row r="888" s="52" customFormat="1" ht="12.75"/>
    <row r="889" s="52" customFormat="1" ht="12.75"/>
    <row r="890" s="52" customFormat="1" ht="12.75"/>
    <row r="891" s="52" customFormat="1" ht="12.75"/>
    <row r="892" s="52" customFormat="1" ht="12.75"/>
    <row r="893" s="52" customFormat="1" ht="12.75"/>
    <row r="894" s="52" customFormat="1" ht="12.75"/>
    <row r="895" s="52" customFormat="1" ht="12.75"/>
    <row r="896" s="52" customFormat="1" ht="12.75"/>
    <row r="897" s="52" customFormat="1" ht="12.75"/>
    <row r="898" s="52" customFormat="1" ht="12.75"/>
    <row r="899" s="52" customFormat="1" ht="12.75"/>
    <row r="900" s="52" customFormat="1" ht="12.75"/>
    <row r="901" s="52" customFormat="1" ht="12.75"/>
    <row r="902" s="52" customFormat="1" ht="12.75"/>
    <row r="903" s="52" customFormat="1" ht="12.75"/>
    <row r="904" s="52" customFormat="1" ht="12.75"/>
    <row r="905" s="52" customFormat="1" ht="12.75"/>
    <row r="906" s="52" customFormat="1" ht="12.75"/>
    <row r="907" s="52" customFormat="1" ht="12.75"/>
    <row r="908" s="52" customFormat="1" ht="12.75"/>
    <row r="909" s="52" customFormat="1" ht="12.75"/>
    <row r="910" s="52" customFormat="1" ht="12.75"/>
    <row r="911" s="52" customFormat="1" ht="12.75"/>
    <row r="912" s="52" customFormat="1" ht="12.75"/>
    <row r="913" s="52" customFormat="1" ht="12.75"/>
    <row r="914" s="52" customFormat="1" ht="12.75"/>
    <row r="915" s="52" customFormat="1" ht="12.75"/>
    <row r="916" s="52" customFormat="1" ht="12.75"/>
    <row r="917" s="52" customFormat="1" ht="12.75"/>
    <row r="918" s="52" customFormat="1" ht="12.75"/>
    <row r="919" s="52" customFormat="1" ht="12.75"/>
    <row r="920" s="52" customFormat="1" ht="12.75"/>
    <row r="921" s="52" customFormat="1" ht="12.75"/>
    <row r="922" s="52" customFormat="1" ht="12.75"/>
    <row r="923" s="52" customFormat="1" ht="12.75"/>
    <row r="924" s="52" customFormat="1" ht="12.75"/>
    <row r="925" s="52" customFormat="1" ht="12.75"/>
    <row r="926" s="52" customFormat="1" ht="12.75"/>
    <row r="927" s="52" customFormat="1" ht="12.75"/>
    <row r="928" s="52" customFormat="1" ht="12.75"/>
    <row r="929" s="52" customFormat="1" ht="12.75"/>
    <row r="930" s="52" customFormat="1" ht="12.75"/>
    <row r="931" s="52" customFormat="1" ht="12.75"/>
    <row r="932" s="52" customFormat="1" ht="12.75"/>
    <row r="933" s="52" customFormat="1" ht="12.75"/>
    <row r="934" s="52" customFormat="1" ht="12.75"/>
    <row r="935" s="52" customFormat="1" ht="12.75"/>
    <row r="936" s="52" customFormat="1" ht="12.75"/>
    <row r="937" s="52" customFormat="1" ht="12.75"/>
    <row r="938" s="52" customFormat="1" ht="12.75"/>
    <row r="939" s="52" customFormat="1" ht="12.75"/>
    <row r="940" s="52" customFormat="1" ht="12.75"/>
    <row r="941" s="52" customFormat="1" ht="12.75"/>
    <row r="942" s="52" customFormat="1" ht="12.75"/>
    <row r="943" s="52" customFormat="1" ht="12.75"/>
    <row r="944" s="52" customFormat="1" ht="12.75"/>
    <row r="945" s="52" customFormat="1" ht="12.75"/>
    <row r="946" s="52" customFormat="1" ht="12.75"/>
    <row r="947" s="52" customFormat="1" ht="12.75"/>
    <row r="948" s="52" customFormat="1" ht="12.75"/>
    <row r="949" s="52" customFormat="1" ht="12.75"/>
    <row r="950" s="52" customFormat="1" ht="12.75"/>
    <row r="951" s="52" customFormat="1" ht="12.75"/>
    <row r="952" s="52" customFormat="1" ht="12.75"/>
    <row r="953" s="52" customFormat="1" ht="12.75"/>
    <row r="954" s="52" customFormat="1" ht="12.75"/>
    <row r="955" s="52" customFormat="1" ht="12.75"/>
    <row r="956" s="52" customFormat="1" ht="12.75"/>
    <row r="957" s="52" customFormat="1" ht="12.75"/>
    <row r="958" s="52" customFormat="1" ht="12.75"/>
    <row r="959" s="52" customFormat="1" ht="12.75"/>
    <row r="960" s="52" customFormat="1" ht="12.75"/>
    <row r="961" s="52" customFormat="1" ht="12.75"/>
    <row r="962" s="52" customFormat="1" ht="12.75"/>
    <row r="963" s="52" customFormat="1" ht="12.75"/>
    <row r="964" s="52" customFormat="1" ht="12.75"/>
    <row r="965" s="52" customFormat="1" ht="12.75"/>
    <row r="966" s="52" customFormat="1" ht="12.75"/>
    <row r="967" s="52" customFormat="1" ht="12.75"/>
    <row r="968" s="52" customFormat="1" ht="12.75"/>
    <row r="969" s="52" customFormat="1" ht="12.75"/>
    <row r="970" s="52" customFormat="1" ht="12.75"/>
    <row r="971" s="52" customFormat="1" ht="12.75"/>
    <row r="972" s="52" customFormat="1" ht="12.75"/>
    <row r="973" s="52" customFormat="1" ht="12.75"/>
    <row r="974" s="52" customFormat="1" ht="12.75"/>
    <row r="975" s="52" customFormat="1" ht="12.75"/>
    <row r="976" s="52" customFormat="1" ht="12.75"/>
    <row r="977" s="52" customFormat="1" ht="12.75"/>
    <row r="978" s="52" customFormat="1" ht="12.75"/>
    <row r="979" s="52" customFormat="1" ht="12.75"/>
    <row r="980" s="52" customFormat="1" ht="12.75"/>
    <row r="981" s="52" customFormat="1" ht="12.75"/>
    <row r="982" s="52" customFormat="1" ht="12.75"/>
    <row r="983" s="52" customFormat="1" ht="12.75"/>
    <row r="984" s="52" customFormat="1" ht="12.75"/>
    <row r="985" s="52" customFormat="1" ht="12.75"/>
    <row r="986" s="52" customFormat="1" ht="12.75"/>
    <row r="987" s="52" customFormat="1" ht="12.75"/>
    <row r="988" s="52" customFormat="1" ht="12.75"/>
    <row r="989" s="52" customFormat="1" ht="12.75"/>
    <row r="990" s="52" customFormat="1" ht="12.75"/>
    <row r="991" s="52" customFormat="1" ht="12.75"/>
    <row r="992" s="52" customFormat="1" ht="12.75"/>
    <row r="993" s="52" customFormat="1" ht="12.75"/>
    <row r="994" s="52" customFormat="1" ht="12.75"/>
    <row r="995" s="52" customFormat="1" ht="12.75"/>
    <row r="996" s="52" customFormat="1" ht="12.75"/>
    <row r="997" s="52" customFormat="1" ht="12.75"/>
    <row r="998" s="52" customFormat="1" ht="12.75"/>
    <row r="999" s="52" customFormat="1" ht="12.75"/>
    <row r="1000" s="52" customFormat="1" ht="12.75"/>
    <row r="1001" s="52" customFormat="1" ht="12.75"/>
    <row r="1002" s="52" customFormat="1" ht="12.75"/>
    <row r="1003" s="52" customFormat="1" ht="12.75"/>
    <row r="1004" s="52" customFormat="1" ht="12.75"/>
    <row r="1005" s="52" customFormat="1" ht="12.75"/>
    <row r="1006" s="52" customFormat="1" ht="12.75"/>
    <row r="1007" s="52" customFormat="1" ht="12.75"/>
    <row r="1008" s="52" customFormat="1" ht="12.75"/>
    <row r="1009" s="52" customFormat="1" ht="12.75"/>
    <row r="1010" s="52" customFormat="1" ht="12.75"/>
    <row r="1011" s="52" customFormat="1" ht="12.75"/>
    <row r="1012" s="52" customFormat="1" ht="12.75"/>
    <row r="1013" s="52" customFormat="1" ht="12.75"/>
    <row r="1014" s="52" customFormat="1" ht="12.75"/>
    <row r="1015" s="52" customFormat="1" ht="12.75"/>
    <row r="1016" s="52" customFormat="1" ht="12.75"/>
  </sheetData>
  <sheetProtection password="ECC9" sheet="1" objects="1" scenarios="1"/>
  <mergeCells count="144">
    <mergeCell ref="AB149:AE149"/>
    <mergeCell ref="AE123:AG123"/>
    <mergeCell ref="AB133:AD133"/>
    <mergeCell ref="AB137:AD137"/>
    <mergeCell ref="AB138:AD138"/>
    <mergeCell ref="AB134:AD134"/>
    <mergeCell ref="AB135:AD135"/>
    <mergeCell ref="AB136:AD136"/>
    <mergeCell ref="AG146:AI146"/>
    <mergeCell ref="AH69:AK69"/>
    <mergeCell ref="AH70:AK70"/>
    <mergeCell ref="AH71:AK71"/>
    <mergeCell ref="AH73:AK73"/>
    <mergeCell ref="AD69:AG69"/>
    <mergeCell ref="AD70:AG70"/>
    <mergeCell ref="AD71:AG71"/>
    <mergeCell ref="AD73:AG73"/>
    <mergeCell ref="AL69:AP69"/>
    <mergeCell ref="AL70:AP70"/>
    <mergeCell ref="AL71:AP71"/>
    <mergeCell ref="AZ74:BD74"/>
    <mergeCell ref="AL73:AP73"/>
    <mergeCell ref="AZ70:BD70"/>
    <mergeCell ref="AL74:AP74"/>
    <mergeCell ref="AQ70:AU70"/>
    <mergeCell ref="AQ73:AU73"/>
    <mergeCell ref="AZ71:BD71"/>
    <mergeCell ref="AQ71:AU71"/>
    <mergeCell ref="AV66:AY66"/>
    <mergeCell ref="AV67:AY67"/>
    <mergeCell ref="AV69:AY69"/>
    <mergeCell ref="AV70:AY70"/>
    <mergeCell ref="AV71:AY71"/>
    <mergeCell ref="AQ66:AU66"/>
    <mergeCell ref="AQ67:AU67"/>
    <mergeCell ref="AQ69:AU69"/>
    <mergeCell ref="AZ66:BD66"/>
    <mergeCell ref="AZ67:BD67"/>
    <mergeCell ref="AZ69:BD69"/>
    <mergeCell ref="AV73:AY73"/>
    <mergeCell ref="AZ73:BD73"/>
    <mergeCell ref="X74:Z74"/>
    <mergeCell ref="AA66:AC66"/>
    <mergeCell ref="AA67:AC67"/>
    <mergeCell ref="AA69:AC69"/>
    <mergeCell ref="AA70:AC70"/>
    <mergeCell ref="AA71:AC71"/>
    <mergeCell ref="AA73:AC73"/>
    <mergeCell ref="X69:Z69"/>
    <mergeCell ref="X70:Z70"/>
    <mergeCell ref="X71:Z71"/>
    <mergeCell ref="X73:Z73"/>
    <mergeCell ref="AZ65:BD65"/>
    <mergeCell ref="X66:Z66"/>
    <mergeCell ref="X67:Z67"/>
    <mergeCell ref="X68:Z68"/>
    <mergeCell ref="AD66:AG66"/>
    <mergeCell ref="AD67:AG67"/>
    <mergeCell ref="AH66:AK66"/>
    <mergeCell ref="AH67:AK67"/>
    <mergeCell ref="AL66:AP66"/>
    <mergeCell ref="AL67:AP67"/>
    <mergeCell ref="X65:Z65"/>
    <mergeCell ref="AL65:AP65"/>
    <mergeCell ref="AH65:AK65"/>
    <mergeCell ref="AD65:AG65"/>
    <mergeCell ref="AV63:AY63"/>
    <mergeCell ref="AZ63:BD63"/>
    <mergeCell ref="X64:Z64"/>
    <mergeCell ref="AA64:AC64"/>
    <mergeCell ref="AQ64:AU64"/>
    <mergeCell ref="AV64:AY64"/>
    <mergeCell ref="AL63:AP63"/>
    <mergeCell ref="AQ63:AU63"/>
    <mergeCell ref="AD62:AJ62"/>
    <mergeCell ref="X63:Z63"/>
    <mergeCell ref="AA63:AC63"/>
    <mergeCell ref="AD63:AG63"/>
    <mergeCell ref="AH63:AK63"/>
    <mergeCell ref="K54:M54"/>
    <mergeCell ref="X54:Z54"/>
    <mergeCell ref="AK54:AM54"/>
    <mergeCell ref="X44:Z44"/>
    <mergeCell ref="X48:Z48"/>
    <mergeCell ref="AC87:AD87"/>
    <mergeCell ref="AZ87:BD87"/>
    <mergeCell ref="AZ89:BD89"/>
    <mergeCell ref="AZ75:BD75"/>
    <mergeCell ref="AZ81:BD81"/>
    <mergeCell ref="AZ83:BD83"/>
    <mergeCell ref="AZ85:BD85"/>
    <mergeCell ref="AZ91:BD91"/>
    <mergeCell ref="AZ95:BD95"/>
    <mergeCell ref="AB101:AH101"/>
    <mergeCell ref="AB102:AH102"/>
    <mergeCell ref="AZ97:BD97"/>
    <mergeCell ref="AB100:AH100"/>
    <mergeCell ref="AB103:AH103"/>
    <mergeCell ref="Q105:S105"/>
    <mergeCell ref="T105:W105"/>
    <mergeCell ref="X105:AA105"/>
    <mergeCell ref="Q106:S106"/>
    <mergeCell ref="X106:AA106"/>
    <mergeCell ref="Q107:S107"/>
    <mergeCell ref="T107:W107"/>
    <mergeCell ref="X107:AA107"/>
    <mergeCell ref="Q108:S108"/>
    <mergeCell ref="Q109:S109"/>
    <mergeCell ref="Q110:S110"/>
    <mergeCell ref="Q111:S111"/>
    <mergeCell ref="Q112:S112"/>
    <mergeCell ref="Q113:S113"/>
    <mergeCell ref="Q114:S114"/>
    <mergeCell ref="T108:W108"/>
    <mergeCell ref="T109:W109"/>
    <mergeCell ref="T110:W110"/>
    <mergeCell ref="T111:W111"/>
    <mergeCell ref="T112:W112"/>
    <mergeCell ref="T113:W113"/>
    <mergeCell ref="T114:W114"/>
    <mergeCell ref="X108:AA108"/>
    <mergeCell ref="X109:AA109"/>
    <mergeCell ref="X110:AA110"/>
    <mergeCell ref="X111:AA111"/>
    <mergeCell ref="X112:AA112"/>
    <mergeCell ref="X113:AA113"/>
    <mergeCell ref="X114:AA114"/>
    <mergeCell ref="X115:AA115"/>
    <mergeCell ref="AJ146:AN146"/>
    <mergeCell ref="AB139:AD139"/>
    <mergeCell ref="AG147:AI147"/>
    <mergeCell ref="AJ147:AN147"/>
    <mergeCell ref="AJ141:AN141"/>
    <mergeCell ref="AJ142:AN142"/>
    <mergeCell ref="AJ143:AN143"/>
    <mergeCell ref="AJ144:AN144"/>
    <mergeCell ref="AJ145:AN145"/>
    <mergeCell ref="AQ72:AU72"/>
    <mergeCell ref="AV72:AY72"/>
    <mergeCell ref="AZ72:BD72"/>
    <mergeCell ref="X72:Z72"/>
    <mergeCell ref="AD72:AG72"/>
    <mergeCell ref="AH72:AK72"/>
    <mergeCell ref="AL72:AP7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aint.Picture" shapeId="3151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">
      <selection activeCell="C22" sqref="C22"/>
    </sheetView>
  </sheetViews>
  <sheetFormatPr defaultColWidth="9.140625" defaultRowHeight="12.75"/>
  <cols>
    <col min="1" max="1" width="14.28125" style="0" customWidth="1"/>
  </cols>
  <sheetData>
    <row r="1" spans="3:10" ht="12.75">
      <c r="C1">
        <f>IF(D1=TRUE,1,0)</f>
        <v>0</v>
      </c>
      <c r="D1" s="54" t="b">
        <v>0</v>
      </c>
      <c r="E1" t="s">
        <v>0</v>
      </c>
      <c r="J1">
        <f>IF(B4&gt;0,"AZ AJÁNLAT NEM VEHETŐ FEL","")</f>
      </c>
    </row>
    <row r="2" spans="3:10" ht="12.75">
      <c r="C2">
        <f aca="true" t="shared" si="0" ref="C2:C20">IF(D2=TRUE,1,0)</f>
        <v>0</v>
      </c>
      <c r="D2" s="54" t="b">
        <v>0</v>
      </c>
      <c r="E2" t="s">
        <v>1</v>
      </c>
      <c r="J2">
        <f>IF(B8&gt;0,"AZ AJÁNLAT CSAK AZ ÉRTÉKESÍTÉSI VEZETŐ ENGEDÉLYÉVEL VEHETŐ FEL","")</f>
      </c>
    </row>
    <row r="3" spans="3:10" ht="12.75">
      <c r="C3">
        <f t="shared" si="0"/>
        <v>0</v>
      </c>
      <c r="D3" s="54" t="b">
        <v>0</v>
      </c>
      <c r="E3" t="s">
        <v>2</v>
      </c>
      <c r="I3">
        <f>IF(J3&lt;&gt;"",1,0)</f>
        <v>0</v>
      </c>
      <c r="J3">
        <f>IF(C9&gt;0,"AZ AJÁNLAT CSAK VÍZVEZETÉKTÖRÉSBŐL EREDŐ KÁROK KIZÁRÁSÁVAL VEHETŐ FEL","")</f>
      </c>
    </row>
    <row r="4" spans="2:10" ht="12.75">
      <c r="B4">
        <f>SUM(C1:C4)</f>
        <v>0</v>
      </c>
      <c r="C4">
        <f t="shared" si="0"/>
        <v>0</v>
      </c>
      <c r="D4" s="54" t="b">
        <v>0</v>
      </c>
      <c r="E4" t="s">
        <v>6</v>
      </c>
      <c r="I4">
        <f>IF(J4&lt;&gt;"",1,0)</f>
        <v>0</v>
      </c>
      <c r="J4">
        <f>IF(B19&gt;2,"RONGÁLÁSI KÁROK KIEGÉSZÍTŐ BIZTOSÍTÁS NEM KÖTHETŐ","")</f>
      </c>
    </row>
    <row r="5" spans="3:10" ht="12.75">
      <c r="C5">
        <f t="shared" si="0"/>
        <v>0</v>
      </c>
      <c r="D5" s="54" t="b">
        <v>0</v>
      </c>
      <c r="E5" t="s">
        <v>3</v>
      </c>
      <c r="I5">
        <f>IF(J5&lt;&gt;"",1,0)</f>
        <v>0</v>
      </c>
      <c r="J5">
        <f>IF(C20&gt;0,"KÜLÖNLEGES ÜVEGEK KIEGÉSZÍTŐ BIZTOSÍTÁSA NEM KÖTHETŐ MEG","")</f>
      </c>
    </row>
    <row r="6" spans="3:5" ht="12.75">
      <c r="C6">
        <f t="shared" si="0"/>
        <v>0</v>
      </c>
      <c r="D6" s="54" t="b">
        <v>0</v>
      </c>
      <c r="E6" t="s">
        <v>4</v>
      </c>
    </row>
    <row r="7" spans="3:5" ht="12.75">
      <c r="C7">
        <f t="shared" si="0"/>
        <v>0</v>
      </c>
      <c r="D7" s="54" t="b">
        <v>0</v>
      </c>
      <c r="E7" t="s">
        <v>5</v>
      </c>
    </row>
    <row r="8" spans="2:5" ht="12.75">
      <c r="B8">
        <f>SUM(C5:C8)</f>
        <v>0</v>
      </c>
      <c r="C8">
        <f t="shared" si="0"/>
        <v>0</v>
      </c>
      <c r="D8" s="54" t="b">
        <v>0</v>
      </c>
      <c r="E8" t="s">
        <v>7</v>
      </c>
    </row>
    <row r="9" spans="3:5" ht="12.75">
      <c r="C9">
        <f t="shared" si="0"/>
        <v>0</v>
      </c>
      <c r="D9" s="54" t="b">
        <v>0</v>
      </c>
      <c r="E9" t="s">
        <v>8</v>
      </c>
    </row>
    <row r="10" spans="3:5" ht="12.75">
      <c r="C10">
        <f t="shared" si="0"/>
        <v>0</v>
      </c>
      <c r="D10" s="54" t="b">
        <v>0</v>
      </c>
      <c r="E10" t="s">
        <v>9</v>
      </c>
    </row>
    <row r="11" spans="3:5" ht="12.75">
      <c r="C11">
        <f t="shared" si="0"/>
        <v>0</v>
      </c>
      <c r="D11" s="54" t="b">
        <v>0</v>
      </c>
      <c r="E11" t="s">
        <v>10</v>
      </c>
    </row>
    <row r="12" spans="3:5" ht="12.75">
      <c r="C12">
        <f t="shared" si="0"/>
        <v>0</v>
      </c>
      <c r="D12" s="54" t="b">
        <v>0</v>
      </c>
      <c r="E12" t="s">
        <v>11</v>
      </c>
    </row>
    <row r="13" spans="3:5" ht="12.75">
      <c r="C13">
        <f t="shared" si="0"/>
        <v>0</v>
      </c>
      <c r="D13" s="54" t="b">
        <v>0</v>
      </c>
      <c r="E13" t="s">
        <v>12</v>
      </c>
    </row>
    <row r="14" spans="3:5" ht="12.75">
      <c r="C14">
        <f t="shared" si="0"/>
        <v>0</v>
      </c>
      <c r="D14" s="54" t="b">
        <v>0</v>
      </c>
      <c r="E14" t="s">
        <v>13</v>
      </c>
    </row>
    <row r="15" spans="3:5" ht="12.75">
      <c r="C15">
        <f t="shared" si="0"/>
        <v>0</v>
      </c>
      <c r="D15" s="54" t="b">
        <v>0</v>
      </c>
      <c r="E15" t="s">
        <v>14</v>
      </c>
    </row>
    <row r="16" spans="3:5" ht="12.75">
      <c r="C16">
        <f t="shared" si="0"/>
        <v>0</v>
      </c>
      <c r="D16" s="54" t="b">
        <v>0</v>
      </c>
      <c r="E16" t="s">
        <v>15</v>
      </c>
    </row>
    <row r="17" spans="3:5" ht="12.75">
      <c r="C17">
        <f t="shared" si="0"/>
        <v>0</v>
      </c>
      <c r="D17" s="54" t="b">
        <v>0</v>
      </c>
      <c r="E17" t="s">
        <v>16</v>
      </c>
    </row>
    <row r="18" spans="3:5" ht="12.75">
      <c r="C18">
        <f t="shared" si="0"/>
        <v>0</v>
      </c>
      <c r="D18" s="54" t="b">
        <v>0</v>
      </c>
      <c r="E18" t="s">
        <v>17</v>
      </c>
    </row>
    <row r="19" spans="2:5" ht="12.75">
      <c r="B19">
        <f>SUM(C10:C19)</f>
        <v>0</v>
      </c>
      <c r="C19">
        <f t="shared" si="0"/>
        <v>0</v>
      </c>
      <c r="D19" s="54" t="b">
        <v>0</v>
      </c>
      <c r="E19" t="s">
        <v>18</v>
      </c>
    </row>
    <row r="20" spans="3:5" ht="12.75">
      <c r="C20">
        <f t="shared" si="0"/>
        <v>0</v>
      </c>
      <c r="D20" s="54" t="b">
        <v>0</v>
      </c>
      <c r="E20" t="s">
        <v>19</v>
      </c>
    </row>
    <row r="21" ht="12.75">
      <c r="B21">
        <f>SUM(B4:B20)</f>
        <v>0</v>
      </c>
    </row>
    <row r="22" spans="1:6" ht="12.75">
      <c r="A22" t="s">
        <v>85</v>
      </c>
      <c r="B22">
        <f>IF(C22&lt;&gt;1,0.7,1)</f>
        <v>1</v>
      </c>
      <c r="C22" s="54">
        <v>1</v>
      </c>
      <c r="D22" t="s">
        <v>23</v>
      </c>
      <c r="F22" t="s">
        <v>24</v>
      </c>
    </row>
    <row r="23" ht="12.75">
      <c r="F23" t="s">
        <v>25</v>
      </c>
    </row>
    <row r="24" ht="12.75">
      <c r="F24" t="s">
        <v>26</v>
      </c>
    </row>
    <row r="25" ht="12.75">
      <c r="F25" t="s">
        <v>27</v>
      </c>
    </row>
    <row r="26" spans="3:6" ht="12.75">
      <c r="C26" s="54">
        <v>1</v>
      </c>
      <c r="D26" t="s">
        <v>28</v>
      </c>
      <c r="F26" t="s">
        <v>29</v>
      </c>
    </row>
    <row r="27" ht="12.75">
      <c r="F27" t="s">
        <v>30</v>
      </c>
    </row>
    <row r="28" ht="12.75">
      <c r="F28" t="s">
        <v>31</v>
      </c>
    </row>
    <row r="29" ht="12.75">
      <c r="F29" t="s">
        <v>32</v>
      </c>
    </row>
    <row r="30" ht="12.75">
      <c r="F30" t="s">
        <v>199</v>
      </c>
    </row>
    <row r="31" ht="12.75">
      <c r="F31" t="s">
        <v>33</v>
      </c>
    </row>
    <row r="32" spans="1:6" ht="12.75">
      <c r="A32" t="s">
        <v>84</v>
      </c>
      <c r="B32">
        <f>IF(C32=1,0.5,IF(C32=2,0.7,IF(C32=3,1,1.2)))</f>
        <v>0.7</v>
      </c>
      <c r="C32" s="54">
        <v>2</v>
      </c>
      <c r="D32" t="s">
        <v>34</v>
      </c>
      <c r="F32" t="s">
        <v>81</v>
      </c>
    </row>
    <row r="33" ht="12.75">
      <c r="F33" t="s">
        <v>82</v>
      </c>
    </row>
    <row r="34" ht="12.75">
      <c r="F34" t="s">
        <v>83</v>
      </c>
    </row>
    <row r="35" ht="12.75">
      <c r="F35" t="s">
        <v>35</v>
      </c>
    </row>
    <row r="36" spans="3:16" ht="12.75">
      <c r="C36" s="54">
        <v>7</v>
      </c>
      <c r="D36" t="s">
        <v>36</v>
      </c>
      <c r="F36" t="s">
        <v>37</v>
      </c>
      <c r="M36" s="54">
        <v>1</v>
      </c>
      <c r="N36" t="s">
        <v>36</v>
      </c>
      <c r="P36" t="s">
        <v>108</v>
      </c>
    </row>
    <row r="37" spans="4:16" ht="12.75">
      <c r="D37" t="s">
        <v>106</v>
      </c>
      <c r="F37" t="s">
        <v>38</v>
      </c>
      <c r="N37" t="s">
        <v>107</v>
      </c>
      <c r="P37" t="s">
        <v>37</v>
      </c>
    </row>
    <row r="38" spans="6:16" ht="12.75">
      <c r="F38" t="s">
        <v>44</v>
      </c>
      <c r="P38" t="s">
        <v>38</v>
      </c>
    </row>
    <row r="39" spans="6:16" ht="12.75">
      <c r="F39" t="s">
        <v>39</v>
      </c>
      <c r="P39" t="s">
        <v>44</v>
      </c>
    </row>
    <row r="40" spans="6:16" ht="12.75">
      <c r="F40" t="s">
        <v>40</v>
      </c>
      <c r="P40" t="s">
        <v>39</v>
      </c>
    </row>
    <row r="41" spans="6:16" ht="12.75">
      <c r="F41" t="s">
        <v>42</v>
      </c>
      <c r="P41" t="s">
        <v>40</v>
      </c>
    </row>
    <row r="42" spans="6:16" ht="12.75">
      <c r="F42" t="s">
        <v>41</v>
      </c>
      <c r="P42" t="s">
        <v>42</v>
      </c>
    </row>
    <row r="43" spans="6:16" ht="12.75">
      <c r="F43" t="s">
        <v>43</v>
      </c>
      <c r="P43" t="s">
        <v>41</v>
      </c>
    </row>
    <row r="44" spans="3:16" ht="12.75">
      <c r="C44" s="54">
        <v>2</v>
      </c>
      <c r="D44" t="s">
        <v>45</v>
      </c>
      <c r="F44" t="s">
        <v>46</v>
      </c>
      <c r="P44" t="s">
        <v>43</v>
      </c>
    </row>
    <row r="45" spans="6:16" ht="12.75">
      <c r="F45" t="s">
        <v>47</v>
      </c>
      <c r="M45" s="54">
        <v>1</v>
      </c>
      <c r="N45" t="s">
        <v>52</v>
      </c>
      <c r="P45" t="s">
        <v>108</v>
      </c>
    </row>
    <row r="46" spans="6:16" ht="12.75">
      <c r="F46" t="s">
        <v>48</v>
      </c>
      <c r="P46" t="s">
        <v>53</v>
      </c>
    </row>
    <row r="47" spans="6:16" ht="12.75">
      <c r="F47" t="s">
        <v>49</v>
      </c>
      <c r="P47" t="s">
        <v>54</v>
      </c>
    </row>
    <row r="48" spans="6:16" ht="12.75">
      <c r="F48" t="s">
        <v>50</v>
      </c>
      <c r="P48" t="s">
        <v>55</v>
      </c>
    </row>
    <row r="49" spans="6:16" ht="12.75">
      <c r="F49" t="s">
        <v>51</v>
      </c>
      <c r="P49" t="s">
        <v>56</v>
      </c>
    </row>
    <row r="50" spans="6:16" ht="12.75">
      <c r="F50" t="s">
        <v>33</v>
      </c>
      <c r="P50" t="s">
        <v>57</v>
      </c>
    </row>
    <row r="51" spans="3:16" ht="12.75">
      <c r="C51" s="54">
        <v>1</v>
      </c>
      <c r="D51" t="s">
        <v>52</v>
      </c>
      <c r="F51" t="s">
        <v>53</v>
      </c>
      <c r="P51" t="s">
        <v>91</v>
      </c>
    </row>
    <row r="52" ht="12.75">
      <c r="F52" t="s">
        <v>54</v>
      </c>
    </row>
    <row r="53" ht="12.75">
      <c r="F53" t="s">
        <v>55</v>
      </c>
    </row>
    <row r="54" ht="12.75">
      <c r="F54" t="s">
        <v>56</v>
      </c>
    </row>
    <row r="55" ht="12.75">
      <c r="F55" t="s">
        <v>57</v>
      </c>
    </row>
    <row r="56" ht="12.75">
      <c r="F56" t="s">
        <v>91</v>
      </c>
    </row>
    <row r="57" spans="3:6" ht="12.75">
      <c r="C57" s="54">
        <v>3</v>
      </c>
      <c r="D57" t="s">
        <v>58</v>
      </c>
      <c r="F57" t="s">
        <v>59</v>
      </c>
    </row>
    <row r="58" ht="12.75">
      <c r="F58" t="s">
        <v>60</v>
      </c>
    </row>
    <row r="59" ht="12.75">
      <c r="F59" t="s">
        <v>61</v>
      </c>
    </row>
    <row r="60" spans="3:6" ht="12.75">
      <c r="C60" s="54">
        <v>2</v>
      </c>
      <c r="D60" t="s">
        <v>8</v>
      </c>
      <c r="F60" t="s">
        <v>65</v>
      </c>
    </row>
    <row r="61" ht="12.75">
      <c r="F61" t="s">
        <v>66</v>
      </c>
    </row>
    <row r="62" ht="12.75">
      <c r="F62" t="s">
        <v>67</v>
      </c>
    </row>
    <row r="63" ht="12.75">
      <c r="F63" t="s">
        <v>48</v>
      </c>
    </row>
    <row r="64" spans="3:6" ht="12.75">
      <c r="C64" s="54">
        <v>1</v>
      </c>
      <c r="D64" t="s">
        <v>69</v>
      </c>
      <c r="F64" t="s">
        <v>70</v>
      </c>
    </row>
    <row r="65" ht="12.75">
      <c r="F65" t="s">
        <v>71</v>
      </c>
    </row>
    <row r="66" spans="3:6" ht="12.75">
      <c r="C66" s="54">
        <v>2</v>
      </c>
      <c r="D66" t="s">
        <v>74</v>
      </c>
      <c r="F66" t="s">
        <v>75</v>
      </c>
    </row>
    <row r="67" ht="12.75">
      <c r="F67" t="s">
        <v>76</v>
      </c>
    </row>
    <row r="68" spans="3:8" ht="12.75">
      <c r="C68" s="54">
        <f>IF(F68="I.",1,2)</f>
        <v>1</v>
      </c>
      <c r="D68" t="s">
        <v>80</v>
      </c>
      <c r="F68" t="str">
        <f>IF(C22=1,"I.",IF(C22=2,"I.","II."))</f>
        <v>I.</v>
      </c>
      <c r="H68" t="s">
        <v>86</v>
      </c>
    </row>
    <row r="69" spans="8:13" ht="12.75">
      <c r="H69" t="s">
        <v>87</v>
      </c>
      <c r="J69">
        <f>IF(C68=1,119.4,106.8)</f>
        <v>119.4</v>
      </c>
      <c r="K69" t="s">
        <v>88</v>
      </c>
      <c r="M69">
        <f>IF(C68=1,199,178)</f>
        <v>199</v>
      </c>
    </row>
    <row r="70" spans="8:10" ht="12.75">
      <c r="H70" t="s">
        <v>89</v>
      </c>
      <c r="J70">
        <f>IF(C66=1,J69,M69)</f>
        <v>199</v>
      </c>
    </row>
    <row r="71" ht="12.75">
      <c r="D71" t="s">
        <v>90</v>
      </c>
    </row>
    <row r="72" spans="4:11" ht="12.75">
      <c r="D72" t="s">
        <v>106</v>
      </c>
      <c r="K72" t="s">
        <v>107</v>
      </c>
    </row>
    <row r="73" spans="4:14" ht="12.75">
      <c r="D73" t="str">
        <f>IF(F75=TRUE,"A",IF(F76=TRUE,"B",IF(F77=TRUE,"C",IF(F78=TRUE,"D",IF(F79=TRUE,"E",IF(F80=TRUE,"F",""))))))</f>
        <v>B</v>
      </c>
      <c r="E73" t="s">
        <v>36</v>
      </c>
      <c r="H73" t="s">
        <v>92</v>
      </c>
      <c r="J73" t="str">
        <f>IF(L75=TRUE,"A",IF(L76=TRUE,"B",IF(L77=TRUE,"C",IF(L78=TRUE,"D",IF(L79=TRUE,"E",IF(L80=TRUE,"F",""))))))</f>
        <v>E</v>
      </c>
      <c r="K73" t="s">
        <v>36</v>
      </c>
      <c r="N73" t="s">
        <v>92</v>
      </c>
    </row>
    <row r="74" spans="4:14" ht="12.75">
      <c r="D74">
        <f>IF(E74="Éghető építőanyag",1,IF(E74="vegyes építőanyag",2,3))</f>
        <v>1</v>
      </c>
      <c r="E74" t="str">
        <f>IF(C36&lt;=3,"Éghetetlen építőanyag",IF(C36&gt;=7,"Éghető építőanyag","Vegyes építőanyag"))</f>
        <v>Éghető építőanyag</v>
      </c>
      <c r="G74" s="54">
        <f>IF(H74="Ellenálló tetőhéjazat",2,1)</f>
        <v>2</v>
      </c>
      <c r="H74" t="str">
        <f>IF(C51&lt;&gt;2,"Ellenálló tetőhéjazat","Nem ellenálló tetőhéjazat")</f>
        <v>Ellenálló tetőhéjazat</v>
      </c>
      <c r="J74">
        <f>IF(K74="Éghető építőanyag",1,IF(K74="vegyes építőanyag",2,3))</f>
        <v>3</v>
      </c>
      <c r="K74" t="str">
        <f>IF(M36=1,"Nincs melléképület",IF(M36&lt;=3,"Éghetetlen építőanyag",IF(I36&gt;=7,"Éghető építőanyag","Vegyes építőanyag")))</f>
        <v>Nincs melléképület</v>
      </c>
      <c r="M74" s="54">
        <f>IF(N74="Ellenálló tetőhéjazat",2,1)</f>
        <v>1</v>
      </c>
      <c r="N74" t="str">
        <f>IF(M45=1,"Nincs melléképület",IF(M45&lt;&gt;2,"Ellenálló tetőhéjazat","Nem ellenálló tetőhéjazat"))</f>
        <v>Nincs melléképület</v>
      </c>
    </row>
    <row r="75" spans="5:12" ht="12.75">
      <c r="E75" t="s">
        <v>93</v>
      </c>
      <c r="F75" s="55" t="b">
        <f>AND(D74=1,G74=1)</f>
        <v>0</v>
      </c>
      <c r="K75" t="s">
        <v>93</v>
      </c>
      <c r="L75" s="55" t="b">
        <f>AND(J74=1,M74=1)</f>
        <v>0</v>
      </c>
    </row>
    <row r="76" spans="5:12" ht="12.75">
      <c r="E76" t="s">
        <v>94</v>
      </c>
      <c r="F76" s="55" t="b">
        <f>AND(D74=1,G74=2)</f>
        <v>1</v>
      </c>
      <c r="K76" t="s">
        <v>94</v>
      </c>
      <c r="L76" s="55" t="b">
        <f>AND(J74=1,M74=2)</f>
        <v>0</v>
      </c>
    </row>
    <row r="77" spans="5:12" ht="12.75">
      <c r="E77" t="s">
        <v>95</v>
      </c>
      <c r="F77" s="55" t="b">
        <f>AND(D74=2,G74=1)</f>
        <v>0</v>
      </c>
      <c r="K77" t="s">
        <v>95</v>
      </c>
      <c r="L77" s="55" t="b">
        <f>AND(J74=2,M74=1)</f>
        <v>0</v>
      </c>
    </row>
    <row r="78" spans="5:12" ht="12.75">
      <c r="E78" t="s">
        <v>96</v>
      </c>
      <c r="F78" s="55" t="b">
        <f>AND(D74=2,G74=2)</f>
        <v>0</v>
      </c>
      <c r="K78" t="s">
        <v>96</v>
      </c>
      <c r="L78" s="55" t="b">
        <f>AND(J74=2,M74=2)</f>
        <v>0</v>
      </c>
    </row>
    <row r="79" spans="5:12" ht="12.75">
      <c r="E79" t="s">
        <v>97</v>
      </c>
      <c r="F79" s="55" t="b">
        <f>AND(D74=3,G74=1)</f>
        <v>0</v>
      </c>
      <c r="K79" t="s">
        <v>97</v>
      </c>
      <c r="L79" s="55" t="b">
        <f>AND(J74=3,M74=1)</f>
        <v>1</v>
      </c>
    </row>
    <row r="80" spans="5:12" ht="12.75">
      <c r="E80" t="s">
        <v>98</v>
      </c>
      <c r="F80" s="55" t="b">
        <f>AND(D74=3,G74=2)</f>
        <v>0</v>
      </c>
      <c r="K80" t="s">
        <v>98</v>
      </c>
      <c r="L80" s="55" t="b">
        <f>AND(J74=3,M74=2)</f>
        <v>0</v>
      </c>
    </row>
    <row r="81" ht="12.75">
      <c r="A81" t="s">
        <v>99</v>
      </c>
    </row>
    <row r="82" spans="1:7" ht="12.75">
      <c r="A82" t="s">
        <v>80</v>
      </c>
      <c r="B82" t="s">
        <v>100</v>
      </c>
      <c r="C82" t="s">
        <v>101</v>
      </c>
      <c r="D82" t="s">
        <v>102</v>
      </c>
      <c r="E82" t="s">
        <v>103</v>
      </c>
      <c r="F82" t="s">
        <v>104</v>
      </c>
      <c r="G82" t="s">
        <v>105</v>
      </c>
    </row>
    <row r="83" spans="1:9" ht="12.75">
      <c r="A83">
        <v>1</v>
      </c>
      <c r="B83">
        <v>1.3261</v>
      </c>
      <c r="C83">
        <v>1.2879</v>
      </c>
      <c r="D83">
        <v>1.1602</v>
      </c>
      <c r="E83">
        <v>1.1209</v>
      </c>
      <c r="F83">
        <v>1.0833</v>
      </c>
      <c r="G83">
        <v>1.0702</v>
      </c>
      <c r="H83" t="s">
        <v>109</v>
      </c>
      <c r="I83">
        <f>SUM(B89:G89,B91:G91)</f>
        <v>1.2879</v>
      </c>
    </row>
    <row r="84" spans="1:9" ht="12.75">
      <c r="A84">
        <v>2</v>
      </c>
      <c r="B84">
        <v>1.3261</v>
      </c>
      <c r="C84">
        <v>1.2879</v>
      </c>
      <c r="D84">
        <v>1.1602</v>
      </c>
      <c r="E84">
        <v>1.1209</v>
      </c>
      <c r="F84">
        <v>1.0833</v>
      </c>
      <c r="G84">
        <v>1.0702</v>
      </c>
      <c r="H84" t="s">
        <v>110</v>
      </c>
      <c r="I84">
        <f>I83</f>
        <v>1.2879</v>
      </c>
    </row>
    <row r="85" spans="1:14" ht="12.75">
      <c r="A85">
        <v>3</v>
      </c>
      <c r="B85">
        <v>1.3752</v>
      </c>
      <c r="C85">
        <v>1.337</v>
      </c>
      <c r="D85">
        <v>1.2093</v>
      </c>
      <c r="E85">
        <v>1.17</v>
      </c>
      <c r="F85">
        <v>1.1324</v>
      </c>
      <c r="G85">
        <v>1.1192</v>
      </c>
      <c r="H85" t="s">
        <v>111</v>
      </c>
      <c r="I85" t="s">
        <v>107</v>
      </c>
      <c r="K85">
        <f>IF(J73="a",B85,IF(J73="b",C85,IF(J73="c",D85,IF(J73="d",E85,IF(J73="e",F85,IF(J73="f",G85,0))))))</f>
        <v>1.1324</v>
      </c>
      <c r="L85" t="s">
        <v>136</v>
      </c>
      <c r="N85">
        <f>IF(D73="a",B85,IF(D73="b",C85,IF(D73="c",D85,IF(D73="d",E85,IF(D73="e",F85,IF(D73="f",G85,0))))))</f>
        <v>1.337</v>
      </c>
    </row>
    <row r="86" spans="1:9" ht="12.75">
      <c r="A86">
        <v>4</v>
      </c>
      <c r="B86">
        <v>1.3951</v>
      </c>
      <c r="C86">
        <v>1.3569</v>
      </c>
      <c r="D86">
        <v>1.2293</v>
      </c>
      <c r="E86">
        <v>1.1899</v>
      </c>
      <c r="F86">
        <v>1.1523</v>
      </c>
      <c r="G86">
        <v>1.1392</v>
      </c>
      <c r="H86" t="s">
        <v>112</v>
      </c>
      <c r="I86">
        <f>IF(D73="a",B86,IF(D73="B",C86,IF(D73="c",D86,IF(D73="d",E86,IF(D73="e",F86,IF(D73="f",G86,0))))))</f>
        <v>1.3569</v>
      </c>
    </row>
    <row r="88" spans="2:7" ht="12.75">
      <c r="B88" s="55" t="b">
        <f>AND(C68=1,D73="a")</f>
        <v>0</v>
      </c>
      <c r="C88" s="55" t="b">
        <f>AND(C68=1,D73="b")</f>
        <v>1</v>
      </c>
      <c r="D88" s="55" t="b">
        <f>AND(C68=1,D73="C")</f>
        <v>0</v>
      </c>
      <c r="E88" s="55" t="b">
        <f>AND(C68=1,D73="D")</f>
        <v>0</v>
      </c>
      <c r="F88" s="55" t="b">
        <f>AND(C68=1,D73="e")</f>
        <v>0</v>
      </c>
      <c r="G88" s="55" t="b">
        <f>AND(C68=1,D73="F")</f>
        <v>0</v>
      </c>
    </row>
    <row r="89" spans="1:7" ht="12.75">
      <c r="A89">
        <v>1</v>
      </c>
      <c r="B89">
        <f aca="true" t="shared" si="1" ref="B89:G89">IF(B88=TRUE,B83,0)</f>
        <v>0</v>
      </c>
      <c r="C89">
        <f t="shared" si="1"/>
        <v>1.2879</v>
      </c>
      <c r="D89">
        <f t="shared" si="1"/>
        <v>0</v>
      </c>
      <c r="E89">
        <f t="shared" si="1"/>
        <v>0</v>
      </c>
      <c r="F89">
        <f t="shared" si="1"/>
        <v>0</v>
      </c>
      <c r="G89">
        <f t="shared" si="1"/>
        <v>0</v>
      </c>
    </row>
    <row r="90" spans="2:7" ht="12.75">
      <c r="B90" s="55" t="b">
        <f>AND(C68=2,D73="a")</f>
        <v>0</v>
      </c>
      <c r="C90" s="55" t="b">
        <f>AND(C68=2,D73="b")</f>
        <v>0</v>
      </c>
      <c r="D90" s="55" t="b">
        <f>AND(C68=2,D73="c")</f>
        <v>0</v>
      </c>
      <c r="E90" s="55" t="b">
        <f>AND(C68=2,D73="d")</f>
        <v>0</v>
      </c>
      <c r="F90" s="55" t="b">
        <f>AND(C68=2,D73="e")</f>
        <v>0</v>
      </c>
      <c r="G90" s="55" t="b">
        <f>AND(C68=2,D73="f")</f>
        <v>0</v>
      </c>
    </row>
    <row r="91" spans="1:7" ht="12.75">
      <c r="A91">
        <v>2</v>
      </c>
      <c r="B91">
        <f aca="true" t="shared" si="2" ref="B91:G91">IF(B90=TRUE,B84,0)</f>
        <v>0</v>
      </c>
      <c r="C91">
        <f t="shared" si="2"/>
        <v>0</v>
      </c>
      <c r="D91">
        <f t="shared" si="2"/>
        <v>0</v>
      </c>
      <c r="E91">
        <f t="shared" si="2"/>
        <v>0</v>
      </c>
      <c r="F91">
        <f t="shared" si="2"/>
        <v>0</v>
      </c>
      <c r="G91">
        <f t="shared" si="2"/>
        <v>0</v>
      </c>
    </row>
    <row r="92" spans="1:4" ht="12.75">
      <c r="A92" t="s">
        <v>140</v>
      </c>
      <c r="C92" s="54">
        <v>2</v>
      </c>
      <c r="D92" t="s">
        <v>141</v>
      </c>
    </row>
    <row r="93" ht="12.75">
      <c r="D93" t="s">
        <v>142</v>
      </c>
    </row>
    <row r="94" spans="3:5" ht="12.75">
      <c r="C94" t="s">
        <v>24</v>
      </c>
      <c r="E94">
        <v>0.136</v>
      </c>
    </row>
    <row r="95" spans="3:5" ht="12.75">
      <c r="C95" t="s">
        <v>144</v>
      </c>
      <c r="E95">
        <v>0.0485</v>
      </c>
    </row>
    <row r="96" spans="3:5" ht="12.75">
      <c r="C96" t="s">
        <v>26</v>
      </c>
      <c r="E96">
        <v>0.0485</v>
      </c>
    </row>
    <row r="97" spans="3:5" ht="12.75">
      <c r="C97" t="s">
        <v>27</v>
      </c>
      <c r="E97">
        <v>0.0435</v>
      </c>
    </row>
    <row r="98" spans="3:6" ht="12.75">
      <c r="C98" t="s">
        <v>145</v>
      </c>
      <c r="F98">
        <f>IF(C22=1,E94,IF(C22=2,E95,IF(C22=3,E96,IF(C22=4,E97,0))))</f>
        <v>0.136</v>
      </c>
    </row>
    <row r="99" spans="1:4" ht="12.75">
      <c r="A99" t="s">
        <v>146</v>
      </c>
      <c r="C99" s="54">
        <v>1</v>
      </c>
      <c r="D99" t="s">
        <v>141</v>
      </c>
    </row>
    <row r="100" ht="12.75">
      <c r="D100" t="s">
        <v>142</v>
      </c>
    </row>
    <row r="101" spans="1:4" ht="12.75">
      <c r="A101" t="s">
        <v>148</v>
      </c>
      <c r="C101" s="54">
        <v>2</v>
      </c>
      <c r="D101" t="s">
        <v>141</v>
      </c>
    </row>
    <row r="102" ht="12.75">
      <c r="D102" t="s">
        <v>142</v>
      </c>
    </row>
    <row r="103" spans="1:5" ht="12.75">
      <c r="A103" t="s">
        <v>149</v>
      </c>
      <c r="C103" s="54">
        <f>IF('K&amp;H társasház kalkulátor'!AC87&gt;0,1,"")</f>
      </c>
      <c r="E103" t="str">
        <f>IF(C103=1,"Kérem","Nem kérem")</f>
        <v>Nem kérem</v>
      </c>
    </row>
    <row r="105" spans="1:6" ht="12.75">
      <c r="A105" t="s">
        <v>151</v>
      </c>
      <c r="C105" s="54">
        <v>2</v>
      </c>
      <c r="D105" t="s">
        <v>141</v>
      </c>
      <c r="F105" s="55" t="b">
        <f>AND(C105=1,C66=1)</f>
        <v>0</v>
      </c>
    </row>
    <row r="106" spans="4:6" ht="12.75">
      <c r="D106" t="s">
        <v>142</v>
      </c>
      <c r="F106" s="55" t="b">
        <f>AND(C105=1,C66=2)</f>
        <v>0</v>
      </c>
    </row>
    <row r="107" ht="12.75">
      <c r="A107" t="s">
        <v>155</v>
      </c>
    </row>
    <row r="108" spans="3:4" ht="12.75">
      <c r="C108" s="54">
        <v>1</v>
      </c>
      <c r="D108" t="s">
        <v>142</v>
      </c>
    </row>
    <row r="109" ht="12.75">
      <c r="D109" t="s">
        <v>156</v>
      </c>
    </row>
    <row r="110" ht="12.75">
      <c r="D110" t="s">
        <v>157</v>
      </c>
    </row>
    <row r="111" ht="12.75">
      <c r="D111" t="s">
        <v>158</v>
      </c>
    </row>
    <row r="112" ht="12.75">
      <c r="D112" t="s">
        <v>159</v>
      </c>
    </row>
    <row r="113" spans="1:4" ht="12.75">
      <c r="A113" t="s">
        <v>160</v>
      </c>
      <c r="C113" s="54">
        <v>2</v>
      </c>
      <c r="D113" t="s">
        <v>141</v>
      </c>
    </row>
    <row r="114" ht="12.75">
      <c r="D114" t="s">
        <v>142</v>
      </c>
    </row>
    <row r="115" spans="1:4" ht="12.75">
      <c r="A115" t="s">
        <v>161</v>
      </c>
      <c r="C115" s="54">
        <v>1</v>
      </c>
      <c r="D115" t="s">
        <v>141</v>
      </c>
    </row>
    <row r="116" ht="12.75">
      <c r="D116" t="s">
        <v>142</v>
      </c>
    </row>
    <row r="118" ht="12.75">
      <c r="B118" s="28"/>
    </row>
    <row r="119" ht="12.75">
      <c r="B119" s="28"/>
    </row>
    <row r="120" spans="1:2" ht="12.75">
      <c r="A120" t="s">
        <v>84</v>
      </c>
      <c r="B120" s="28">
        <f>IF(C32=1,0.5,IF(C32=2,0.7,IF(C32=3,1,IF(C32=4,1.2,0))))</f>
        <v>0.7</v>
      </c>
    </row>
    <row r="121" spans="1:9" ht="12.75">
      <c r="A121" t="s">
        <v>85</v>
      </c>
      <c r="B121" s="28">
        <f>IF(C22&gt;1,0.77,1)</f>
        <v>1</v>
      </c>
      <c r="G121" t="s">
        <v>75</v>
      </c>
      <c r="I121" t="s">
        <v>76</v>
      </c>
    </row>
    <row r="122" spans="1:10" ht="12.75">
      <c r="A122" t="s">
        <v>183</v>
      </c>
      <c r="B122" s="28" t="s">
        <v>184</v>
      </c>
      <c r="D122">
        <f>IF('K&amp;H társasház kalkulátor'!AZ81&gt;0,1,0)</f>
        <v>0</v>
      </c>
      <c r="E122" s="29" t="s">
        <v>185</v>
      </c>
      <c r="F122" s="55" t="b">
        <f>AND(C123&gt;4,C123&lt;7)</f>
        <v>0</v>
      </c>
      <c r="G122" s="55" t="b">
        <f>AND(F122=TRUE,C66=1)</f>
        <v>0</v>
      </c>
      <c r="H122">
        <f>IF(G122=TRUE,0.98,0)</f>
        <v>0</v>
      </c>
      <c r="I122" s="55" t="b">
        <f>AND(F122=TRUE,C66=2)</f>
        <v>0</v>
      </c>
      <c r="J122">
        <f>IF(I122=TRUE,0.95,0)</f>
        <v>0</v>
      </c>
    </row>
    <row r="123" spans="2:10" ht="12.75">
      <c r="B123">
        <f>IF(SUM(H122:H123,J122:J123)=0,1,SUM(H122:H123,J122:J123))</f>
        <v>1</v>
      </c>
      <c r="C123" s="28">
        <f>SUM(D122:D140)</f>
        <v>0</v>
      </c>
      <c r="D123">
        <f>IF('K&amp;H társasház kalkulátor'!AQ82&gt;0,1,0)</f>
        <v>0</v>
      </c>
      <c r="E123" s="29" t="s">
        <v>186</v>
      </c>
      <c r="F123" s="55" t="b">
        <f>AND(C123&gt;6,C123&lt;9)</f>
        <v>0</v>
      </c>
      <c r="G123" s="55" t="b">
        <f>AND(F123=TRUE,C66=1)</f>
        <v>0</v>
      </c>
      <c r="H123">
        <f>IF(G123=TRUE,0.95,0)</f>
        <v>0</v>
      </c>
      <c r="I123" s="55" t="b">
        <f>AND(F123=TRUE,C66=2)</f>
        <v>0</v>
      </c>
      <c r="J123">
        <f>IF(I123=TRUE,0.9,0)</f>
        <v>0</v>
      </c>
    </row>
    <row r="124" spans="2:4" ht="12.75">
      <c r="B124" s="28"/>
      <c r="D124">
        <f>IF('K&amp;H társasház kalkulátor'!AZ83&gt;0,1,0)</f>
        <v>0</v>
      </c>
    </row>
    <row r="125" ht="12.75">
      <c r="D125">
        <f>IF('K&amp;H társasház kalkulátor'!AQ84&gt;0,1,0)</f>
        <v>0</v>
      </c>
    </row>
    <row r="126" ht="12.75">
      <c r="D126">
        <f>IF('K&amp;H társasház kalkulátor'!AZ85&gt;0,1,0)</f>
        <v>0</v>
      </c>
    </row>
    <row r="127" ht="12.75">
      <c r="D127">
        <f>IF('K&amp;H társasház kalkulátor'!AQ86&gt;0,1,0)</f>
        <v>0</v>
      </c>
    </row>
    <row r="128" ht="12.75">
      <c r="D128">
        <f>IF('K&amp;H társasház kalkulátor'!AZ87&gt;0,1,0)</f>
        <v>0</v>
      </c>
    </row>
    <row r="129" ht="12.75">
      <c r="D129">
        <f>IF('K&amp;H társasház kalkulátor'!AQ88&gt;0,1,0)</f>
        <v>0</v>
      </c>
    </row>
    <row r="130" ht="12.75">
      <c r="D130">
        <f>IF('K&amp;H társasház kalkulátor'!AZ89&gt;0,1,0)</f>
        <v>0</v>
      </c>
    </row>
    <row r="131" ht="12.75">
      <c r="D131">
        <f>IF('K&amp;H társasház kalkulátor'!AQ90&gt;0,1,0)</f>
        <v>0</v>
      </c>
    </row>
    <row r="134" ht="12.75">
      <c r="D134">
        <f>IF('K&amp;H társasház kalkulátor'!AZ91&gt;0,1,0)</f>
        <v>0</v>
      </c>
    </row>
    <row r="135" ht="12.75">
      <c r="D135">
        <f>IF('K&amp;H társasház kalkulátor'!AQ92&gt;0,1,0)</f>
        <v>0</v>
      </c>
    </row>
    <row r="136" ht="12.75">
      <c r="D136">
        <f>IF('K&amp;H társasház kalkulátor'!AQ93&gt;0,1,0)</f>
        <v>0</v>
      </c>
    </row>
    <row r="137" ht="12.75">
      <c r="D137">
        <f>IF('K&amp;H társasház kalkulátor'!AQ94&gt;0,1,0)</f>
        <v>0</v>
      </c>
    </row>
    <row r="138" ht="12.75">
      <c r="D138">
        <f>IF('K&amp;H társasház kalkulátor'!AZ95&gt;0,1,0)</f>
        <v>0</v>
      </c>
    </row>
    <row r="139" ht="12.75">
      <c r="D139">
        <f>IF('K&amp;H társasház kalkulátor'!AQ96&gt;0,1,0)</f>
        <v>0</v>
      </c>
    </row>
    <row r="140" ht="12.75">
      <c r="D140">
        <f>IF('K&amp;H társasház kalkulátor'!AZ97&gt;0,1,0)</f>
        <v>0</v>
      </c>
    </row>
    <row r="141" spans="1:12" ht="12.75">
      <c r="A141" t="s">
        <v>187</v>
      </c>
      <c r="C141" s="54">
        <v>1</v>
      </c>
      <c r="D141" t="s">
        <v>189</v>
      </c>
      <c r="K141" s="55" t="b">
        <f>AND(C145&lt;4,C141=1)</f>
        <v>0</v>
      </c>
      <c r="L141">
        <f>IF(K141=TRUE,0.9,0)</f>
        <v>0</v>
      </c>
    </row>
    <row r="142" spans="4:12" ht="12.75">
      <c r="D142" t="s">
        <v>190</v>
      </c>
      <c r="K142" s="55" t="b">
        <f>AND(C145&lt;4,C141=2)</f>
        <v>0</v>
      </c>
      <c r="L142">
        <f>IF(K142=TRUE,0.94,0)</f>
        <v>0</v>
      </c>
    </row>
    <row r="143" spans="4:12" ht="12.75">
      <c r="D143" t="s">
        <v>191</v>
      </c>
      <c r="K143" s="55" t="b">
        <f>AND(C145&lt;4,C141=3)</f>
        <v>0</v>
      </c>
      <c r="L143">
        <f>IF(K143=TRUE,0.98,0)</f>
        <v>0</v>
      </c>
    </row>
    <row r="144" spans="4:12" ht="12.75">
      <c r="D144" t="s">
        <v>192</v>
      </c>
      <c r="K144" s="55" t="b">
        <f>AND(C145&lt;4,C141=4)</f>
        <v>0</v>
      </c>
      <c r="L144">
        <f>IF(K144=TRUE,1,0)</f>
        <v>0</v>
      </c>
    </row>
    <row r="145" spans="1:12" ht="12.75">
      <c r="A145" t="s">
        <v>188</v>
      </c>
      <c r="C145" s="54">
        <v>4</v>
      </c>
      <c r="D145" t="s">
        <v>193</v>
      </c>
      <c r="G145" t="s">
        <v>196</v>
      </c>
      <c r="I145" t="s">
        <v>189</v>
      </c>
      <c r="K145" s="55" t="b">
        <f>AND(C145=4,C141=1)</f>
        <v>1</v>
      </c>
      <c r="L145">
        <f>IF(K145=TRUE,0.855,0)</f>
        <v>0.855</v>
      </c>
    </row>
    <row r="146" spans="4:12" ht="12.75">
      <c r="D146" t="s">
        <v>194</v>
      </c>
      <c r="I146" t="s">
        <v>190</v>
      </c>
      <c r="K146" s="55" t="b">
        <f>AND(C145=4,C141=2)</f>
        <v>0</v>
      </c>
      <c r="L146">
        <f>IF(K146=TRUE,0.893,0)</f>
        <v>0</v>
      </c>
    </row>
    <row r="147" spans="4:12" ht="12.75">
      <c r="D147" t="s">
        <v>195</v>
      </c>
      <c r="I147" t="s">
        <v>191</v>
      </c>
      <c r="K147" s="55" t="b">
        <f>AND(C145=4,C141=3)</f>
        <v>0</v>
      </c>
      <c r="L147">
        <f>IF(K147=TRUE,0.931,0)</f>
        <v>0</v>
      </c>
    </row>
    <row r="148" spans="4:12" ht="12.75">
      <c r="D148" t="s">
        <v>197</v>
      </c>
      <c r="I148" t="s">
        <v>192</v>
      </c>
      <c r="K148" s="55" t="b">
        <f>AND(C145=4,C141=4)</f>
        <v>0</v>
      </c>
      <c r="L148">
        <f>IF(K148=TRUE,1,0)</f>
        <v>0</v>
      </c>
    </row>
    <row r="149" spans="2:4" ht="12.75">
      <c r="B149" t="s">
        <v>198</v>
      </c>
      <c r="C149">
        <f>SUM(L141:L148)</f>
        <v>0.855</v>
      </c>
      <c r="D149" s="46">
        <f>1-C149</f>
        <v>0.14500000000000002</v>
      </c>
    </row>
    <row r="150" spans="1:3" ht="12.75">
      <c r="A150" t="s">
        <v>200</v>
      </c>
      <c r="B150" t="s">
        <v>198</v>
      </c>
      <c r="C150">
        <f>IF(C26=2,1.8,IF(C26=3,1.8,IF(C26=5,1.4,1)))</f>
        <v>1</v>
      </c>
    </row>
    <row r="151" spans="1:8" ht="12.75">
      <c r="A151" t="s">
        <v>215</v>
      </c>
      <c r="C151" t="s">
        <v>216</v>
      </c>
      <c r="E151" s="54" t="b">
        <v>0</v>
      </c>
      <c r="F151">
        <f>IF(E151=TRUE,0.1,0)</f>
        <v>0</v>
      </c>
      <c r="G151" t="s">
        <v>198</v>
      </c>
      <c r="H151">
        <f>1-F151-F152</f>
        <v>1</v>
      </c>
    </row>
    <row r="152" spans="3:6" ht="12.75">
      <c r="C152" t="s">
        <v>217</v>
      </c>
      <c r="E152" s="54" t="b">
        <v>0</v>
      </c>
      <c r="F152">
        <f>IF(E152=TRUE,0.1,0)</f>
        <v>0</v>
      </c>
    </row>
  </sheetData>
  <sheetProtection password="ECC9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gycsavajda</dc:creator>
  <cp:keywords/>
  <dc:description/>
  <cp:lastModifiedBy>gycsavajda</cp:lastModifiedBy>
  <cp:lastPrinted>2009-03-23T13:32:16Z</cp:lastPrinted>
  <dcterms:created xsi:type="dcterms:W3CDTF">2009-02-26T15:42:41Z</dcterms:created>
  <dcterms:modified xsi:type="dcterms:W3CDTF">2009-10-20T14:13:25Z</dcterms:modified>
  <cp:category/>
  <cp:version/>
  <cp:contentType/>
  <cp:contentStatus/>
</cp:coreProperties>
</file>