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1550" windowHeight="8115" tabRatio="591" activeTab="0"/>
  </bookViews>
  <sheets>
    <sheet name="Díjkalkuláció" sheetId="1" r:id="rId1"/>
    <sheet name="Adatfelvétel" sheetId="2" r:id="rId2"/>
    <sheet name="Ajánlat" sheetId="3" r:id="rId3"/>
    <sheet name="Para" sheetId="4" state="veryHidden" r:id="rId4"/>
    <sheet name="Számolótábla" sheetId="5" state="veryHidden" r:id="rId5"/>
    <sheet name="Munka1" sheetId="6" r:id="rId6"/>
  </sheets>
  <definedNames>
    <definedName name="_xlfn.IFERROR" hidden="1">#NAME?</definedName>
    <definedName name="agenName">'Adatfelvétel'!$G$8</definedName>
    <definedName name="agentID">'Adatfelvétel'!$G$9</definedName>
    <definedName name="agentName">'Adatfelvétel'!$G$8</definedName>
    <definedName name="agentTel">'Adatfelvétel'!$G$10</definedName>
    <definedName name="berlemenyAjanlott">'Számolótábla'!$AI$53:$AM$61</definedName>
    <definedName name="bestBefore">'Para'!$B$11</definedName>
    <definedName name="biztNevek">S52O7:S60O8</definedName>
    <definedName name="biztositott">'Díjkalkuláció'!$AB$124</definedName>
    <definedName name="bornDate">'Adatfelvétel'!$G$17</definedName>
    <definedName name="bornPlace">'Adatfelvétel'!$G$16</definedName>
    <definedName name="bType">'Számolótábla'!$Q$10:$Q$12</definedName>
    <definedName name="Codes">'Para'!$K$10</definedName>
    <definedName name="custAddress">'Adatfelvétel'!$G$21:$G$23</definedName>
    <definedName name="custName">'Adatfelvétel'!$G$14</definedName>
    <definedName name="custPName">'Adatfelvétel'!$G$15</definedName>
    <definedName name="egyutt">'Díjkalkuláció'!$M$117</definedName>
    <definedName name="helyEll">'Adatfelvétel'!$G$43</definedName>
    <definedName name="HelysziniSzemle">'Díjkalkuláció'!$X$188</definedName>
    <definedName name="min_Ingo">'Számolótábla'!$AB$10</definedName>
    <definedName name="motherName">'Adatfelvétel'!$G$20</definedName>
    <definedName name="_xlnm.Print_Area" localSheetId="1">'Adatfelvétel'!$A$1:$J$79</definedName>
    <definedName name="_xlnm.Print_Area" localSheetId="0">'Díjkalkuláció'!$A$1:$AR$191</definedName>
    <definedName name="oBon">'Díjkalkuláció'!$Y$153</definedName>
    <definedName name="obStonePrice">'Para'!$B$12</definedName>
    <definedName name="offerType">'Számolótábla'!$S$9</definedName>
    <definedName name="OLE_LINK1" localSheetId="1">'Adatfelvétel'!$K$17</definedName>
    <definedName name="OLE_LINK2" localSheetId="1">'Adatfelvétel'!$K$18</definedName>
    <definedName name="OLE_LINK3" localSheetId="0">'Díjkalkuláció'!#REF!</definedName>
    <definedName name="otherBuild">'Para'!$B$10</definedName>
    <definedName name="prevClaim">'Számolótábla'!$V$5</definedName>
    <definedName name="prevClaimInfo">'Adatfelvétel'!$C$67:$G$68</definedName>
    <definedName name="rBon">'Díjkalkuláció'!$Y$152</definedName>
    <definedName name="rBon2">'Díjkalkuláció'!$Y$151</definedName>
    <definedName name="riskAddress">'Adatfelvétel'!$G$46:$G$49</definedName>
    <definedName name="riskStart">'Adatfelvétel'!$G$45</definedName>
    <definedName name="sajatAjanlott">'Számolótábla'!$AI$41:$AM$49</definedName>
    <definedName name="sumBon">'Díjkalkuláció'!$J$159</definedName>
    <definedName name="tarshBizt">'Adatfelvétel'!$G$62:$G$63</definedName>
    <definedName name="utemCella">'Számolótábla'!$A$171</definedName>
    <definedName name="vedelemMatrix">'Számolótábla'!$AC$50:$AF$68</definedName>
  </definedNames>
  <calcPr fullCalcOnLoad="1"/>
</workbook>
</file>

<file path=xl/comments1.xml><?xml version="1.0" encoding="utf-8"?>
<comments xmlns="http://schemas.openxmlformats.org/spreadsheetml/2006/main">
  <authors>
    <author>user</author>
  </authors>
  <commentList>
    <comment ref="B123" authorId="0">
      <text>
        <r>
          <rPr>
            <b/>
            <sz val="8"/>
            <rFont val="Tahoma"/>
            <family val="2"/>
          </rPr>
          <t>Alapszolgáltatás</t>
        </r>
        <r>
          <rPr>
            <sz val="8"/>
            <rFont val="Tahoma"/>
            <family val="2"/>
          </rPr>
          <t xml:space="preserve">
1. Baleseti halál                                                                        175.000 Ft.
2. Közlekedési baleseti halál                                                     175.000 Ft.
3. Baleseti 100 %-os rokkantság                                             350.000 Ft.
4. Baleseti 1-10 %-os rokkantság                                                7.000 Ft.
5 Közlekedési baleseti 100 %-os rokkantság                           350.000 Ft.
6. Baleseti műtéti térítés                                                            50.000 Ft.
7. Csonntörés, csontrepedés, 28 napon túl gyógyuló sérülés    7.000 Ft.
8. Kórházi napi térítés                                                                  3.000 Ft.
9. Ruházati kár                                                                           14.000 Ft.
</t>
        </r>
      </text>
    </comment>
  </commentList>
</comments>
</file>

<file path=xl/sharedStrings.xml><?xml version="1.0" encoding="utf-8"?>
<sst xmlns="http://schemas.openxmlformats.org/spreadsheetml/2006/main" count="2866" uniqueCount="1562">
  <si>
    <t>Budapest</t>
  </si>
  <si>
    <t>A</t>
  </si>
  <si>
    <t>B</t>
  </si>
  <si>
    <t>C</t>
  </si>
  <si>
    <t>D</t>
  </si>
  <si>
    <t>E</t>
  </si>
  <si>
    <t>F</t>
  </si>
  <si>
    <t>G</t>
  </si>
  <si>
    <t>Nincs</t>
  </si>
  <si>
    <t>H</t>
  </si>
  <si>
    <t>I</t>
  </si>
  <si>
    <t>Komfortfokozat</t>
  </si>
  <si>
    <t>Ingóságok</t>
  </si>
  <si>
    <t>Veszélyességi osztály</t>
  </si>
  <si>
    <t>Igen</t>
  </si>
  <si>
    <t>Nem</t>
  </si>
  <si>
    <t>NIN</t>
  </si>
  <si>
    <t>KAZ</t>
  </si>
  <si>
    <t>SZE</t>
  </si>
  <si>
    <t>ELE</t>
  </si>
  <si>
    <t>Vidék</t>
  </si>
  <si>
    <t>Vidéki város</t>
  </si>
  <si>
    <t>Megyei jogú város</t>
  </si>
  <si>
    <t>Állatok</t>
  </si>
  <si>
    <t>Kényelmi csomag</t>
  </si>
  <si>
    <t>Földszintes vagy egyemeletes ( tetőtér beépítéses ) ház, ikerház, sorház-Falazat: kő, tégla, beton, vegyes</t>
  </si>
  <si>
    <t>Földszintes vagy egyemeletes ( tetőtér beépítéses ) ház, ikerház, sorház-Falazat: könnyűszerkezetes</t>
  </si>
  <si>
    <t>Földszintes vagy egyemeletes ( tetőtér beépítéses ) ház, ikerház, sorház-Falazat: döngölt föld, vályog</t>
  </si>
  <si>
    <t>Többszintes, több lakásos lakóépület-Földszint+4 emeletig</t>
  </si>
  <si>
    <t>Többszintes, több lakásos lakóépület-Földszint+4 emeletnél magasabb</t>
  </si>
  <si>
    <t>Panel épület-Földszint+2 emeletnél magasabb</t>
  </si>
  <si>
    <t>Fa falazatú épület</t>
  </si>
  <si>
    <t>Melléképület-Falazat: kő, tégla, beton, vegyes</t>
  </si>
  <si>
    <t>Melléképület-Falazat: fa, döngölt, vályog</t>
  </si>
  <si>
    <t>Lakóépület</t>
  </si>
  <si>
    <t>Melléképület</t>
  </si>
  <si>
    <t>Komfort nélküli</t>
  </si>
  <si>
    <t>Félkomfortos</t>
  </si>
  <si>
    <t>Komfortos, összkomfortos</t>
  </si>
  <si>
    <t>Extra összkomfortos</t>
  </si>
  <si>
    <t>Luxus</t>
  </si>
  <si>
    <t>Saját tulajdonú épületek egységnyi ajánlott értéke (Ft/m2)</t>
  </si>
  <si>
    <t>Bérlemények egységnyi ajánlott értéke ( Ft/m2)</t>
  </si>
  <si>
    <t>Éghető építőanyag, nem ellenálló tetőhéjazat</t>
  </si>
  <si>
    <t>Éghető építőanyag, ellenálló tetőhéjazat</t>
  </si>
  <si>
    <t>Vegyes építőanyag, nem ellenálló tetőhéjazat</t>
  </si>
  <si>
    <t>Vegyes építőanyag, ellenálló tetőhéjazat</t>
  </si>
  <si>
    <t>Éghetetlen építőanyag, nem ellenálló tetőhéjazat</t>
  </si>
  <si>
    <t>Éghetetlen építőanyag, ellenálló tetőhéjazat</t>
  </si>
  <si>
    <t>Díjtételek ( %0)</t>
  </si>
  <si>
    <t>Földmozgás</t>
  </si>
  <si>
    <t>Békés, Borsod, Csongrád, Hajdú, Nógrád, Szabolcs</t>
  </si>
  <si>
    <t>Baranya, Budapest, Fejér, Győr, Heves, Pest, Somogy, Szolnok, Tolna, Vas, Veszprém</t>
  </si>
  <si>
    <t>Bács, Komárom, Zala</t>
  </si>
  <si>
    <t>Ajánlott egységár</t>
  </si>
  <si>
    <t>Díjtétel</t>
  </si>
  <si>
    <t>Vihar</t>
  </si>
  <si>
    <t>Díjtétel ( %0)</t>
  </si>
  <si>
    <t>Épület</t>
  </si>
  <si>
    <t>Ingóság</t>
  </si>
  <si>
    <t>Vízkárok</t>
  </si>
  <si>
    <t>Árvíz által veszélyeztetett, és/vagy 25 évnél régebbi közmű, és/vagy 15 évnél régebbi horganyzott vezeték</t>
  </si>
  <si>
    <t>Árvíz által nem veszélyeztetett, és/vagy 25 évnél fiatalabb teljes kiépítettségű közmű</t>
  </si>
  <si>
    <t>Árvíz által nem veszélyeztetett, és/vagy 25 évnél fiatalabb részleges kiépítettségű közmű</t>
  </si>
  <si>
    <t>Á= állandóan lakott</t>
  </si>
  <si>
    <t>I= ideiglenesen lakott</t>
  </si>
  <si>
    <t xml:space="preserve"> </t>
  </si>
  <si>
    <t>Állandóan lakott</t>
  </si>
  <si>
    <t>Üvegtörés</t>
  </si>
  <si>
    <t>Sima üvegezés</t>
  </si>
  <si>
    <t>Vegyes üvegezés</t>
  </si>
  <si>
    <t>Minőségi üvegezés</t>
  </si>
  <si>
    <t>Ajánlott egységár ( Ft./m2 )</t>
  </si>
  <si>
    <t>Díjtétel ( %0 )</t>
  </si>
  <si>
    <t>Kiegészítő üvegtörés különleges üvegre</t>
  </si>
  <si>
    <t>Díjtétel ( % )</t>
  </si>
  <si>
    <t>Betöréses lopás és rablás</t>
  </si>
  <si>
    <t>Védelem típusa</t>
  </si>
  <si>
    <t>Ingóság "A" vagyoncsoport tárolási előírások</t>
  </si>
  <si>
    <t>Település típusa</t>
  </si>
  <si>
    <t>Lakottság</t>
  </si>
  <si>
    <t>Ideiglenesen lakott</t>
  </si>
  <si>
    <t>Vandalizmus</t>
  </si>
  <si>
    <t>Díjtétel ( %0 ) az épület bizt. Összegre vetítve</t>
  </si>
  <si>
    <t>Mezőgazdasági tevékenységhez kapcsolódó vagyontárgyak</t>
  </si>
  <si>
    <t>Mezőgazdasági munkaeszközök</t>
  </si>
  <si>
    <t>Mezőgazdasági készletek</t>
  </si>
  <si>
    <t>Díjtételek ( %0 )</t>
  </si>
  <si>
    <t>Vállalkozói tevékenység vagyontárgyai</t>
  </si>
  <si>
    <t>Nem kérem</t>
  </si>
  <si>
    <t>Kérem</t>
  </si>
  <si>
    <t>Díj ( Ft. )</t>
  </si>
  <si>
    <t>Háztartási elektromos berendezések javítása</t>
  </si>
  <si>
    <t>Törzskönyvezett kutyák kiegészítő kockázata</t>
  </si>
  <si>
    <t>Tetőbeázási károk</t>
  </si>
  <si>
    <t>Magánszemélyek felelősségbiztosítása</t>
  </si>
  <si>
    <t>Biztosítási öszeg ( millió Ft. )</t>
  </si>
  <si>
    <t>Felelősségbiztosítás területi hatályának kiterjesztése</t>
  </si>
  <si>
    <t>Kutyatartói felelősség</t>
  </si>
  <si>
    <t>Balesetbiztosítás</t>
  </si>
  <si>
    <t>Többszörözés mértéke</t>
  </si>
  <si>
    <t>Alapszolgáltatás</t>
  </si>
  <si>
    <t>Baleseti halál</t>
  </si>
  <si>
    <t>Közlekedési baleseti halál</t>
  </si>
  <si>
    <t>Baleseti 100 %-os rokkantság</t>
  </si>
  <si>
    <t>Baleseti 1-10 %-os rokkantság</t>
  </si>
  <si>
    <t>Közlekedési baleseti 100 %-os rokkantság</t>
  </si>
  <si>
    <t>Baleseti műtéti sérülés</t>
  </si>
  <si>
    <t>Csonttörés, 28 napon túl gyógyuló sérülés</t>
  </si>
  <si>
    <t>Kórházi napi térítés</t>
  </si>
  <si>
    <t>Ruházati kár</t>
  </si>
  <si>
    <t>Díjfizetés ütemezése</t>
  </si>
  <si>
    <t>Havi</t>
  </si>
  <si>
    <t>Engedmény ( % )</t>
  </si>
  <si>
    <t>Negyedéves</t>
  </si>
  <si>
    <t>Féléves</t>
  </si>
  <si>
    <t>Éves</t>
  </si>
  <si>
    <t>Díjfizetés módja</t>
  </si>
  <si>
    <t>Postai csekk</t>
  </si>
  <si>
    <t>Banki átutalás</t>
  </si>
  <si>
    <t>Csoportos beszedés</t>
  </si>
  <si>
    <t>Csoportos beszedés K&amp;H bankszámláról</t>
  </si>
  <si>
    <t>FÉSZEK OTTHON BIZTOSÍTÁS (FOB07)</t>
  </si>
  <si>
    <t>Díjkalkulátor</t>
  </si>
  <si>
    <t>Tulajdonforma</t>
  </si>
  <si>
    <t>Tűzveszélyezettség</t>
  </si>
  <si>
    <t>Épületek, építmények</t>
  </si>
  <si>
    <t>Megnevezés</t>
  </si>
  <si>
    <t xml:space="preserve">Ajánlott </t>
  </si>
  <si>
    <t>egységár</t>
  </si>
  <si>
    <t>Választott</t>
  </si>
  <si>
    <t>Alapterület</t>
  </si>
  <si>
    <t>m2</t>
  </si>
  <si>
    <t>Biztosítási összeg</t>
  </si>
  <si>
    <t>Eft.</t>
  </si>
  <si>
    <t>Eft/m2</t>
  </si>
  <si>
    <t>Alap biztosítás ( Tűzkárok és tűzkár típusú károk )</t>
  </si>
  <si>
    <t>Kiemelt, elzárva tartható értékek</t>
  </si>
  <si>
    <t>nemesfémek, drága - és féldrága kövek, igazgyöngyök és eből készült tárgyak</t>
  </si>
  <si>
    <t>bélyeg,- és éremgyűjtemények</t>
  </si>
  <si>
    <t>készpénz</t>
  </si>
  <si>
    <t>Összesen</t>
  </si>
  <si>
    <t xml:space="preserve">el nem zárható méretű nemesfém tárgyak, </t>
  </si>
  <si>
    <t>képzőmüvészeti alkotások</t>
  </si>
  <si>
    <t>nemes szőrmék</t>
  </si>
  <si>
    <t>kézi csomzású szőnyegek</t>
  </si>
  <si>
    <t>antik bútorok</t>
  </si>
  <si>
    <t>"A"</t>
  </si>
  <si>
    <t>"B"</t>
  </si>
  <si>
    <t>Kiemelt, de elzárva nem tartható vagyontárgyak</t>
  </si>
  <si>
    <t>Híradástechnikai, számítástechnikai, fotó és videó eszközök</t>
  </si>
  <si>
    <t>híradástechnikai, számítástechnikai, multimédiás szórakoztató elektronikus eszközök</t>
  </si>
  <si>
    <t>adathordozón tárolt, kereskedelmi forgalomban kapható szoftverek</t>
  </si>
  <si>
    <t>adathordozón tárolt,(szerzői jogvédelem alá eső) multimédiás kiadványok</t>
  </si>
  <si>
    <t>fotó,- és video berendezések, kellékek</t>
  </si>
  <si>
    <t>"C"</t>
  </si>
  <si>
    <t>Sport és hobbi eszközök, barkács felszerelések</t>
  </si>
  <si>
    <t>felelősségbiztosításra nem kötelezett vízi,-légi,- és szárazföldi motoros eszközök</t>
  </si>
  <si>
    <t>sportfelszerelés és sportkiegészítők</t>
  </si>
  <si>
    <t>háztartási kerti berendezések, gépek</t>
  </si>
  <si>
    <t xml:space="preserve">magánhasználatra tartott barkácsgépek, szerszámok </t>
  </si>
  <si>
    <t>szabályosan tárolt sport,-és vadászfegyverek</t>
  </si>
  <si>
    <t>"D"</t>
  </si>
  <si>
    <t>Általános háztartási ingóságok</t>
  </si>
  <si>
    <t>minden olyan biztosítható vagyontárgy ami nem tartozik az előző vagyoncsoportokba</t>
  </si>
  <si>
    <t>"E"</t>
  </si>
  <si>
    <t>Kiegészítő biztosítások</t>
  </si>
  <si>
    <t>100.000 Ft. értéket meghaladó értékű gyüjtemények</t>
  </si>
  <si>
    <t xml:space="preserve">Általános üveg </t>
  </si>
  <si>
    <t>Értékelés üvegérték alapján</t>
  </si>
  <si>
    <t>Épületüvegezés minősége</t>
  </si>
  <si>
    <t>Sima</t>
  </si>
  <si>
    <t>Vegyes</t>
  </si>
  <si>
    <t>Üvegfelület ( m2 )</t>
  </si>
  <si>
    <t>Minőségi</t>
  </si>
  <si>
    <t>Ajánlott érték ( Eft. / m2 )</t>
  </si>
  <si>
    <t>Biztosítási összeg ( Eft. )</t>
  </si>
  <si>
    <t>Értékelés épületérték alapján</t>
  </si>
  <si>
    <t>Különleges üveg</t>
  </si>
  <si>
    <t>Betöréses lopás, rablás</t>
  </si>
  <si>
    <t>"B" Minimális mechanikai védelem</t>
  </si>
  <si>
    <t>"C" Részleges mechanikai védelem</t>
  </si>
  <si>
    <t>"E" Teljeskörű mechanikai védelem és minimális elektronikai védelem</t>
  </si>
  <si>
    <t>Értéktároló</t>
  </si>
  <si>
    <t>Ajánlott biztosítási összeg</t>
  </si>
  <si>
    <t>Tetőbeázás</t>
  </si>
  <si>
    <t>Törzskönyvezett ku-</t>
  </si>
  <si>
    <t>tya baleset, betegség</t>
  </si>
  <si>
    <t>Háztartási gépek</t>
  </si>
  <si>
    <t>javítása</t>
  </si>
  <si>
    <t>Általános felelősség</t>
  </si>
  <si>
    <t>Kártérítési limit ( ft. )</t>
  </si>
  <si>
    <t>Területi hatály kiterjesztése</t>
  </si>
  <si>
    <t xml:space="preserve">Balesetbiztosítás </t>
  </si>
  <si>
    <t>Többszörözés</t>
  </si>
  <si>
    <t>1 -szeres</t>
  </si>
  <si>
    <t>2- szeres</t>
  </si>
  <si>
    <t>3-szoros</t>
  </si>
  <si>
    <t>4- szeres</t>
  </si>
  <si>
    <t>5-szörös</t>
  </si>
  <si>
    <t>Kérem az állandóan lakott ingatlanra betöréses lopás és rablás kockázattal</t>
  </si>
  <si>
    <t>Kérem az ideiglenesen lakott ingatlanra betöréses lopás és rablás kockázattal</t>
  </si>
  <si>
    <t>Kérem betöréses lopás és rablás kockázat nélkül</t>
  </si>
  <si>
    <t xml:space="preserve">Biztosított személyek száma </t>
  </si>
  <si>
    <t>fő</t>
  </si>
  <si>
    <t>vagyontárgyak biztosítása</t>
  </si>
  <si>
    <t>Mezőgazdasághoz kapcsolódó</t>
  </si>
  <si>
    <t>Vagyonbiztosítás</t>
  </si>
  <si>
    <t>Betöréses lopás, rablás biztosítás</t>
  </si>
  <si>
    <t>Munkaeszközök ( Eft. )</t>
  </si>
  <si>
    <t>Készletek ( Eft. )</t>
  </si>
  <si>
    <t>Állatok ( Eft. )</t>
  </si>
  <si>
    <t>Vállalkozói tevékenység</t>
  </si>
  <si>
    <t>vagyontárgyainak biztosítása</t>
  </si>
  <si>
    <t>Tárgyi eszközök ( Eft. )</t>
  </si>
  <si>
    <t>Tevékenység megnevezése :</t>
  </si>
  <si>
    <t>Főépület</t>
  </si>
  <si>
    <t xml:space="preserve">Épület </t>
  </si>
  <si>
    <t>Üvegérték alapján</t>
  </si>
  <si>
    <t>Épületérték alapján</t>
  </si>
  <si>
    <t>Védelmi osztály</t>
  </si>
  <si>
    <t>Bet.lop. Kérem</t>
  </si>
  <si>
    <t>Bet.lop. Nem kérem</t>
  </si>
  <si>
    <t xml:space="preserve">Limit </t>
  </si>
  <si>
    <t>Szorzó</t>
  </si>
  <si>
    <t>Személyek száma</t>
  </si>
  <si>
    <t xml:space="preserve">Féléves </t>
  </si>
  <si>
    <t>Banki utalás</t>
  </si>
  <si>
    <t>Tűz</t>
  </si>
  <si>
    <t>Földmozg.</t>
  </si>
  <si>
    <t xml:space="preserve">Díjtétel (%0) </t>
  </si>
  <si>
    <t>BCG2</t>
  </si>
  <si>
    <t>BCG3</t>
  </si>
  <si>
    <t>BCG4</t>
  </si>
  <si>
    <t>AE2</t>
  </si>
  <si>
    <t>AE3</t>
  </si>
  <si>
    <t>AE4</t>
  </si>
  <si>
    <t>Lakóépület+ingóságai</t>
  </si>
  <si>
    <t>DF2</t>
  </si>
  <si>
    <t>DF3</t>
  </si>
  <si>
    <t>DF4</t>
  </si>
  <si>
    <t>Melléképület+ingóságai</t>
  </si>
  <si>
    <t>Djtétel</t>
  </si>
  <si>
    <t xml:space="preserve">Díjtétel </t>
  </si>
  <si>
    <t>Egyéb</t>
  </si>
  <si>
    <t xml:space="preserve">A </t>
  </si>
  <si>
    <t>C+D+E</t>
  </si>
  <si>
    <t xml:space="preserve">Kártérítési limitek </t>
  </si>
  <si>
    <t>Állandó</t>
  </si>
  <si>
    <t>Ideiglenes</t>
  </si>
  <si>
    <t>Limit</t>
  </si>
  <si>
    <t>A széf sz.</t>
  </si>
  <si>
    <t>Díjtételek</t>
  </si>
  <si>
    <t>Díjtétel A</t>
  </si>
  <si>
    <t>C,D,E,áll.</t>
  </si>
  <si>
    <t>C,D,E,id.</t>
  </si>
  <si>
    <t>Betlop</t>
  </si>
  <si>
    <t>Maximális bizt. Összeg</t>
  </si>
  <si>
    <t>Önálló ingóságbiztosítás</t>
  </si>
  <si>
    <t>Lakóépület alapterülete</t>
  </si>
  <si>
    <t>Minimális</t>
  </si>
  <si>
    <t>Ingóság összesen</t>
  </si>
  <si>
    <t>Ingatlan összesen</t>
  </si>
  <si>
    <t>TŰZ</t>
  </si>
  <si>
    <t>Bizt.Ö.</t>
  </si>
  <si>
    <t>Díj</t>
  </si>
  <si>
    <t>Üveg</t>
  </si>
  <si>
    <t>%</t>
  </si>
  <si>
    <t>Víz</t>
  </si>
  <si>
    <t>MABISZ minősítésű lezárt páncélszekrény elektronikus jelzőrendszerbe kötve          "A"    Max 10.000.000 Ft.</t>
  </si>
  <si>
    <t>MABISZ minősítésű lezárt páncélszekrény                                                                  "A"    Max.  2.000.000 Ft.</t>
  </si>
  <si>
    <t>MABISZ minősítésű beépített és lezárt páncélkazetta                                                "A"    Max.  1.000.000 Ft.</t>
  </si>
  <si>
    <t>Nincs                                                                                                                           "A"    Max.     200.000 Ft.</t>
  </si>
  <si>
    <t>Betöréses lopás</t>
  </si>
  <si>
    <t>C,D,E,</t>
  </si>
  <si>
    <t>Kártérítési limit</t>
  </si>
  <si>
    <t>Vagyon</t>
  </si>
  <si>
    <t>csoport</t>
  </si>
  <si>
    <t>Díjalap</t>
  </si>
  <si>
    <t>Törzskönyvezett kutya baleset és betegség</t>
  </si>
  <si>
    <t>Háztartási gépek javítása</t>
  </si>
  <si>
    <t>Kiegészítő felelősség</t>
  </si>
  <si>
    <t>1.-4.</t>
  </si>
  <si>
    <t xml:space="preserve">4 felett </t>
  </si>
  <si>
    <t>Együttlakók száma</t>
  </si>
  <si>
    <t>5.-</t>
  </si>
  <si>
    <t>Kiegészítő baleset</t>
  </si>
  <si>
    <t>Díj/fő</t>
  </si>
  <si>
    <t>Mezőgazdasági vagyontárgyak</t>
  </si>
  <si>
    <t>Munkaeszközök</t>
  </si>
  <si>
    <t>Készletek</t>
  </si>
  <si>
    <t>Nem jó!!!!!!!</t>
  </si>
  <si>
    <t>Bet.lop. Limitek</t>
  </si>
  <si>
    <t>Bet.lop. állandóan lakott</t>
  </si>
  <si>
    <t>Bet.lop. ideiglenessen lakott</t>
  </si>
  <si>
    <t>Vállalkozási tevékenység</t>
  </si>
  <si>
    <t>Tárgyi eszközök</t>
  </si>
  <si>
    <t>Éves díj összesen</t>
  </si>
  <si>
    <t>Díjfizetés miatti szorzó</t>
  </si>
  <si>
    <t>DES</t>
  </si>
  <si>
    <t>Fizetendő éves díj</t>
  </si>
  <si>
    <t>Tűzbiztosítás</t>
  </si>
  <si>
    <t>Általános üveg</t>
  </si>
  <si>
    <t>Törzskönyvezett kutya bal., betegség</t>
  </si>
  <si>
    <t>Felelősségbiztosítás</t>
  </si>
  <si>
    <t>Mezőgazdasághoz kapcs. vagyontárgyak</t>
  </si>
  <si>
    <t>Bruttó díj</t>
  </si>
  <si>
    <t>Nettó díj</t>
  </si>
  <si>
    <t>Kockázat megnevezése</t>
  </si>
  <si>
    <t>Éves díj (ft.)</t>
  </si>
  <si>
    <t>Díjösszesítő</t>
  </si>
  <si>
    <t>"F" Teljeskörű mechanikai védelem és részleges elektronikai védelem</t>
  </si>
  <si>
    <t>Törzskönyvezett kutya baleset, betegség</t>
  </si>
  <si>
    <t>Együtt lakók</t>
  </si>
  <si>
    <t>Bizt. összeg</t>
  </si>
  <si>
    <t>Születési dátum ( ÉÉÉÉ.HH.NN.)</t>
  </si>
  <si>
    <t>Születéskori neve</t>
  </si>
  <si>
    <t>Születési helye</t>
  </si>
  <si>
    <t>Gazdálkodó szervezet adószáma</t>
  </si>
  <si>
    <t>Címe</t>
  </si>
  <si>
    <t>Levelezési címe</t>
  </si>
  <si>
    <t>Irányítószám</t>
  </si>
  <si>
    <t>Település</t>
  </si>
  <si>
    <t>Utca/házszám/emelet/ajtó</t>
  </si>
  <si>
    <t>Kockázatviselés helye</t>
  </si>
  <si>
    <t>Szerződő neve</t>
  </si>
  <si>
    <t>Szerződő adatainak felvétele</t>
  </si>
  <si>
    <t>Megye</t>
  </si>
  <si>
    <t>Balesetbiztosításra feladott személyek</t>
  </si>
  <si>
    <t>Név</t>
  </si>
  <si>
    <t>Születési dátum</t>
  </si>
  <si>
    <t>ÉÉÉÉ.HH.NN.</t>
  </si>
  <si>
    <t>Kedvezények</t>
  </si>
  <si>
    <t>Össz. engedmény</t>
  </si>
  <si>
    <t>Érték</t>
  </si>
  <si>
    <t>Megjegyzés</t>
  </si>
  <si>
    <t>bestBefore</t>
  </si>
  <si>
    <t>Az a dátum, amíg ez a verzió használható</t>
  </si>
  <si>
    <t>Melléképület-Falazat: kő, tégla, beton, vegyes;Melléképület-Falazat: fa, döngölt, vályog</t>
  </si>
  <si>
    <t>otherBuild</t>
  </si>
  <si>
    <t>Egyéb épületek lehetséges típusai, pontosveszővel elválasztva</t>
  </si>
  <si>
    <t>obStonePrice</t>
  </si>
  <si>
    <t>obWoodPrice</t>
  </si>
  <si>
    <t>/Egyéb</t>
  </si>
  <si>
    <t>T</t>
  </si>
  <si>
    <t>Önálló ingóságbiztosítás esetén általános üvegbiztosítás nem köthető</t>
  </si>
  <si>
    <t>Üvegérték a főépületérték és a melléképület(ek) értékének 2%-a</t>
  </si>
  <si>
    <t>Üvegérték a főépületérték és a melléképület(ek) értékének 3%-a</t>
  </si>
  <si>
    <t>Üvegérték a főépületérték és a melléképület(ek) értékének 4%-a</t>
  </si>
  <si>
    <t>Üvegérték a főépületérték és a melléképület(ek) értékének 5%-a</t>
  </si>
  <si>
    <t>Építmény</t>
  </si>
  <si>
    <t>összesen</t>
  </si>
  <si>
    <t>MIN:</t>
  </si>
  <si>
    <t>Felvett személyek száma</t>
  </si>
  <si>
    <t>Biztosításközvetítő HK azonosítója</t>
  </si>
  <si>
    <t>Biztosításközvetítő telefonszáma</t>
  </si>
  <si>
    <t>Szerződő adatai</t>
  </si>
  <si>
    <t>Biztosításközvetítő adatai</t>
  </si>
  <si>
    <t>Kölcsönnyújtó hitelintézet (engedményes)</t>
  </si>
  <si>
    <t>adatai</t>
  </si>
  <si>
    <t>Neve</t>
  </si>
  <si>
    <t>Kölcsönnyújtó hitelintézet adószáma</t>
  </si>
  <si>
    <t>Hitelszám</t>
  </si>
  <si>
    <t>Hitel összege</t>
  </si>
  <si>
    <t>Hitel lejárata</t>
  </si>
  <si>
    <t>Kárkifizetési korlátozás</t>
  </si>
  <si>
    <t>Kockázatviselés kezdete</t>
  </si>
  <si>
    <t>5% díjkedvezmény, ha 10% önrészt, 10% díjkedvezmény, ha 20% önrészt választ – választott önrész miatti díjkedvezmény mértéke</t>
  </si>
  <si>
    <t>Vakolat záradék</t>
  </si>
  <si>
    <t>Számolótábla</t>
  </si>
  <si>
    <t>B18</t>
  </si>
  <si>
    <t>C25</t>
  </si>
  <si>
    <t>Adatfelvétel</t>
  </si>
  <si>
    <t>ajánlat K&amp;H fészek otthonbiztosításhoz</t>
  </si>
  <si>
    <t>(1.oldal)</t>
  </si>
  <si>
    <t>(2.oldal)</t>
  </si>
  <si>
    <t>ajánlati részletező a kockázatviselési helyre</t>
  </si>
  <si>
    <t>biztosításközvetítő neve:</t>
  </si>
  <si>
    <t>telefonszáma:</t>
  </si>
  <si>
    <t>kockázatviselés helye:</t>
  </si>
  <si>
    <t>tulajdonforma:</t>
  </si>
  <si>
    <t>lakottság:</t>
  </si>
  <si>
    <t>neve (szervezet rövid neve):</t>
  </si>
  <si>
    <t>komfortfokozat:</t>
  </si>
  <si>
    <t>születéskori név (leánykori név:</t>
  </si>
  <si>
    <t>anyja neve:</t>
  </si>
  <si>
    <t>személyazonosító igazolvány száma:</t>
  </si>
  <si>
    <t>születés dátuma:</t>
  </si>
  <si>
    <t>Születési helye:</t>
  </si>
  <si>
    <t>szervezet adószáma:</t>
  </si>
  <si>
    <t>állampolgársága:</t>
  </si>
  <si>
    <t>település típusa:</t>
  </si>
  <si>
    <t>lakóhely/szervezet székhelyének címe:</t>
  </si>
  <si>
    <t>védelmi szint:</t>
  </si>
  <si>
    <t>kapcsolattartó neve:</t>
  </si>
  <si>
    <t>értéktároló:</t>
  </si>
  <si>
    <t>levelezési cím:</t>
  </si>
  <si>
    <t>telefonszám:</t>
  </si>
  <si>
    <t>Mobil telefonszám:</t>
  </si>
  <si>
    <t>e-mail cím:</t>
  </si>
  <si>
    <t>A 45/1996 (XII.29.) PM rendelet értelmében a Szerződő nem képvisel nagy kockázatot.</t>
  </si>
  <si>
    <t>biztositási szerződés általános adatai:</t>
  </si>
  <si>
    <t>kockázatviselés kezdete:</t>
  </si>
  <si>
    <t>A biztosítás tartama határozatlan. A biztosítási évforduló minden évben a kockázatviselés kezdete hónapjának első napja.</t>
  </si>
  <si>
    <t>díjfizetés gyakorisága:</t>
  </si>
  <si>
    <t>kedvezmények</t>
  </si>
  <si>
    <t>üvegbiztosítás számításának alapja:</t>
  </si>
  <si>
    <t>díjadatok</t>
  </si>
  <si>
    <t>kiegészítő biztosítás/kockázat megnevezése</t>
  </si>
  <si>
    <t>földmozgás</t>
  </si>
  <si>
    <t>víz</t>
  </si>
  <si>
    <t>vandalizmus</t>
  </si>
  <si>
    <t>tetőbeázás</t>
  </si>
  <si>
    <t>törzskönyvezett kutya baleset és betegség</t>
  </si>
  <si>
    <t>kényelmi csomag</t>
  </si>
  <si>
    <t>háztartási gépek javítása</t>
  </si>
  <si>
    <t>kiegészítő balesetbiztosítás</t>
  </si>
  <si>
    <t>kockázatviselési hely éves biztosítási díja:</t>
  </si>
  <si>
    <t>(3.oldal)</t>
  </si>
  <si>
    <t>a Szerződő nyilatkozata</t>
  </si>
  <si>
    <t>Kelt:</t>
  </si>
  <si>
    <t>Szerződő (szervezet képviseletre jogosult) aláírása</t>
  </si>
  <si>
    <r>
      <rPr>
        <vertAlign val="superscript"/>
        <sz val="8"/>
        <rFont val="Arial"/>
        <family val="2"/>
      </rPr>
      <t>1</t>
    </r>
    <r>
      <rPr>
        <sz val="8"/>
        <rFont val="Arial"/>
        <family val="2"/>
      </rPr>
      <t xml:space="preserve"> csoportos beszedés esetén a megbízás érvénybe lépéséig postai csekk kerül postázásra.</t>
    </r>
  </si>
  <si>
    <t>Biztosításközvetítő neve</t>
  </si>
  <si>
    <t>Adat definiciók</t>
  </si>
  <si>
    <t>Paraméterek</t>
  </si>
  <si>
    <t>Forráslap</t>
  </si>
  <si>
    <t>Forráscella</t>
  </si>
  <si>
    <t>Név/Leírás</t>
  </si>
  <si>
    <t>Cél lap</t>
  </si>
  <si>
    <t>Cél Cella</t>
  </si>
  <si>
    <t>biztosításközvetítő neve</t>
  </si>
  <si>
    <t>Ajánlat</t>
  </si>
  <si>
    <t>D6</t>
  </si>
  <si>
    <t>D10</t>
  </si>
  <si>
    <t>sz. neve (szervezet rövid neve)</t>
  </si>
  <si>
    <t>sz. születéskori neve</t>
  </si>
  <si>
    <t>sz. születési dátuma</t>
  </si>
  <si>
    <t>sz. születési helye</t>
  </si>
  <si>
    <t>sz. állampolgársága</t>
  </si>
  <si>
    <t>sz. lakóhely/szervezet székhelyének címe</t>
  </si>
  <si>
    <t>sz. kapcsolattartó neve</t>
  </si>
  <si>
    <t>sz. levelezési cím</t>
  </si>
  <si>
    <t>sz. telefonszám</t>
  </si>
  <si>
    <t>sz. mobil</t>
  </si>
  <si>
    <t>sz. e-mail címe</t>
  </si>
  <si>
    <t>sz. személyazonosító igazolvány száma</t>
  </si>
  <si>
    <t>sz. szervezet adószáma</t>
  </si>
  <si>
    <t>biz. kockázatviselés kezdete</t>
  </si>
  <si>
    <t>biz. díjfizetés gyakorisága</t>
  </si>
  <si>
    <t>biz. díjfiztés módja</t>
  </si>
  <si>
    <t>J25</t>
  </si>
  <si>
    <t>B170</t>
  </si>
  <si>
    <t>B176</t>
  </si>
  <si>
    <t>G16</t>
  </si>
  <si>
    <t>C13</t>
  </si>
  <si>
    <t>D11</t>
  </si>
  <si>
    <t>G14</t>
  </si>
  <si>
    <t>F13</t>
  </si>
  <si>
    <t>G15</t>
  </si>
  <si>
    <t>Állampolgárság:</t>
  </si>
  <si>
    <t>C14</t>
  </si>
  <si>
    <t>G17</t>
  </si>
  <si>
    <t>G18</t>
  </si>
  <si>
    <t>K12</t>
  </si>
  <si>
    <t>G39</t>
  </si>
  <si>
    <t>D23</t>
  </si>
  <si>
    <t>ked. Kockázati kedvezmény</t>
  </si>
  <si>
    <t>ked. DES (max.10%)</t>
  </si>
  <si>
    <t>M8</t>
  </si>
  <si>
    <t>D2</t>
  </si>
  <si>
    <t>r. Lakottság</t>
  </si>
  <si>
    <t>r. Tulajdonforma</t>
  </si>
  <si>
    <t>M9</t>
  </si>
  <si>
    <t>M10</t>
  </si>
  <si>
    <t>r. Komfort fokozat</t>
  </si>
  <si>
    <t>M14</t>
  </si>
  <si>
    <t>r. Település típusa</t>
  </si>
  <si>
    <t>A26</t>
  </si>
  <si>
    <t>r. Tűzveszélyességi kategória</t>
  </si>
  <si>
    <t>M11</t>
  </si>
  <si>
    <t>M12</t>
  </si>
  <si>
    <t>r. vízveszélyességi kategória</t>
  </si>
  <si>
    <t>A49</t>
  </si>
  <si>
    <t>A18</t>
  </si>
  <si>
    <t>A74</t>
  </si>
  <si>
    <t>M15</t>
  </si>
  <si>
    <t>r. védelmi szint</t>
  </si>
  <si>
    <t>A80</t>
  </si>
  <si>
    <t>M16</t>
  </si>
  <si>
    <t>r. Értéktároló</t>
  </si>
  <si>
    <t>ing. A biztosítási összege</t>
  </si>
  <si>
    <t>ing. B biztosítási összege</t>
  </si>
  <si>
    <t>ing. C biztosítási összege</t>
  </si>
  <si>
    <t>ing. D biztosítási összege</t>
  </si>
  <si>
    <t>ing. E biztosítási összege</t>
  </si>
  <si>
    <t>Díjkalkuláció</t>
  </si>
  <si>
    <t>AB49</t>
  </si>
  <si>
    <t>AB56</t>
  </si>
  <si>
    <t>AB61</t>
  </si>
  <si>
    <t>AB67</t>
  </si>
  <si>
    <t>AB70</t>
  </si>
  <si>
    <t>L21</t>
  </si>
  <si>
    <t>bizt. vagyont. megnevezés 1</t>
  </si>
  <si>
    <t>bizt. vagyont. megnevezés 2</t>
  </si>
  <si>
    <t>bizt. vagyont. megnevezés 3</t>
  </si>
  <si>
    <t>bizt. vagyont. megnevezés 4</t>
  </si>
  <si>
    <t>bizt. vagyont. épületszerkezet 1</t>
  </si>
  <si>
    <t>bizt. vagyont. épületszerkezet 2</t>
  </si>
  <si>
    <t>bizt. vagyont. épületszerkezet 3</t>
  </si>
  <si>
    <t>bizt. vagyont. épületszerkezet 4</t>
  </si>
  <si>
    <t>bizt. vagyont. aj. bizt. összeg 1</t>
  </si>
  <si>
    <t>bizt. vagyont. aj. bizt. összeg 2</t>
  </si>
  <si>
    <t>bizt. vagyont. aj. bizt. összeg 3</t>
  </si>
  <si>
    <t>bizt. vagyont. aj. bizt. összeg 4</t>
  </si>
  <si>
    <t>bizt. vagyont. választott. bizt. összeg 1</t>
  </si>
  <si>
    <t>bizt. vagyont. választott. bizt. összeg 2</t>
  </si>
  <si>
    <t>bizt. vagyont. választott. bizt. összeg 3</t>
  </si>
  <si>
    <t>bizt. vagyont. választott. bizt. összeg 4</t>
  </si>
  <si>
    <t>M21</t>
  </si>
  <si>
    <t>G37</t>
  </si>
  <si>
    <t>G38</t>
  </si>
  <si>
    <t>G40</t>
  </si>
  <si>
    <t>X37</t>
  </si>
  <si>
    <t>X38</t>
  </si>
  <si>
    <t>X39</t>
  </si>
  <si>
    <t>X40</t>
  </si>
  <si>
    <t>R37</t>
  </si>
  <si>
    <t>R38</t>
  </si>
  <si>
    <t>R39</t>
  </si>
  <si>
    <t>R40</t>
  </si>
  <si>
    <t>AB37</t>
  </si>
  <si>
    <t>AB38</t>
  </si>
  <si>
    <t>AB39</t>
  </si>
  <si>
    <t>AB40</t>
  </si>
  <si>
    <t>P39</t>
  </si>
  <si>
    <t>kockázatviselési hely éves biztosítási díja</t>
  </si>
  <si>
    <t>biztosításközvetítő HK azonosítója</t>
  </si>
  <si>
    <t>biztosításközvetítő Tel</t>
  </si>
  <si>
    <t>F7</t>
  </si>
  <si>
    <t>J7</t>
  </si>
  <si>
    <t>Melléképület/Építmények/Egyéb</t>
  </si>
  <si>
    <t>Mellék</t>
  </si>
  <si>
    <t>bizt. vagyont. megnevezés 5</t>
  </si>
  <si>
    <t>bizt. vagyont. épületszerkezet 5</t>
  </si>
  <si>
    <t>bizt. vagyont. aj. bizt. összeg 5</t>
  </si>
  <si>
    <t>G36</t>
  </si>
  <si>
    <t>X36</t>
  </si>
  <si>
    <t>R36</t>
  </si>
  <si>
    <t>AB36</t>
  </si>
  <si>
    <t>bizt. vagyont. választott. bizt. összeg 5</t>
  </si>
  <si>
    <t>(4.oldal)</t>
  </si>
  <si>
    <t>G9</t>
  </si>
  <si>
    <t>G8</t>
  </si>
  <si>
    <t>G10</t>
  </si>
  <si>
    <t>Személyazonosító igazolvány száma:</t>
  </si>
  <si>
    <t>sz. anyja neve</t>
  </si>
  <si>
    <t>G19</t>
  </si>
  <si>
    <t>G20</t>
  </si>
  <si>
    <t>B12</t>
  </si>
  <si>
    <t>E15</t>
  </si>
  <si>
    <t>C17</t>
  </si>
  <si>
    <t>Z113</t>
  </si>
  <si>
    <t>Z114</t>
  </si>
  <si>
    <t>Kapcsolat tartó neve:</t>
  </si>
  <si>
    <t>G28</t>
  </si>
  <si>
    <t>C16</t>
  </si>
  <si>
    <t>Telefonszám:</t>
  </si>
  <si>
    <t>Mobil  telefonszám</t>
  </si>
  <si>
    <t>e-mail cím</t>
  </si>
  <si>
    <t>G29</t>
  </si>
  <si>
    <t>G30</t>
  </si>
  <si>
    <t>G31</t>
  </si>
  <si>
    <t>G45</t>
  </si>
  <si>
    <t>neve:</t>
  </si>
  <si>
    <t>G27</t>
  </si>
  <si>
    <t>engedm. Neve</t>
  </si>
  <si>
    <t>engedm. címe</t>
  </si>
  <si>
    <t>engedm. adószáma</t>
  </si>
  <si>
    <t>engedm. hitelszám</t>
  </si>
  <si>
    <t>hitel összege</t>
  </si>
  <si>
    <t>hitel lejárata</t>
  </si>
  <si>
    <t>kárkifizetési korlátozás</t>
  </si>
  <si>
    <t>G34</t>
  </si>
  <si>
    <t>G41</t>
  </si>
  <si>
    <t>G42</t>
  </si>
  <si>
    <t>Z115</t>
  </si>
  <si>
    <t>címe:</t>
  </si>
  <si>
    <t>hitelszám:</t>
  </si>
  <si>
    <t>F18</t>
  </si>
  <si>
    <t>J18</t>
  </si>
  <si>
    <t>hitel lejárata:</t>
  </si>
  <si>
    <t>kárkifizetési korlátozás:</t>
  </si>
  <si>
    <t xml:space="preserve">Kijelentem, hogy </t>
  </si>
  <si>
    <t>Ft-ot meghaladó kár esetén a Biztosító szolgáltatását a kárkifizetéskor fennálló hitelösszeg és</t>
  </si>
  <si>
    <t>járulékainak erejéig a kötvényen megjelölt kölcsönnyújtó hitelintézetre engedményezem Hozzájárulok ahhoz, hogy a hitelre vonatkozó adataimat a hitelintézet a Biztosítónak átadja, illetve a Biztosító a hitelhez kapcsolodó biztosításomra vonatkozó adatok teljes köréről a hitelintézetet tájékoztassa.</t>
  </si>
  <si>
    <t>0. órája</t>
  </si>
  <si>
    <t>M7</t>
  </si>
  <si>
    <t>Z116</t>
  </si>
  <si>
    <t>kockázatviselési hely</t>
  </si>
  <si>
    <t>Szerződés éves díja:</t>
  </si>
  <si>
    <t>B29</t>
  </si>
  <si>
    <t>B30</t>
  </si>
  <si>
    <t>J30</t>
  </si>
  <si>
    <t>B31</t>
  </si>
  <si>
    <t>K31</t>
  </si>
  <si>
    <t>B33</t>
  </si>
  <si>
    <t>tűzveszélyességi besorolás:</t>
  </si>
  <si>
    <t>vízveszélyességi besorolás:</t>
  </si>
  <si>
    <t>A86</t>
  </si>
  <si>
    <t>X122</t>
  </si>
  <si>
    <t>Ing. Összesen</t>
  </si>
  <si>
    <t>D55</t>
  </si>
  <si>
    <t>üveg bizt. Szám, alap</t>
  </si>
  <si>
    <t>"A"; Kiemelt, elzárva tartható értékek</t>
  </si>
  <si>
    <t>"B"; Kiemelt, de elzárva nem tartható vagyontárgyak</t>
  </si>
  <si>
    <t>"C"; Híradástechnikai, számítástechnikai, fotó és videó eszközök</t>
  </si>
  <si>
    <t>Összesen:</t>
  </si>
  <si>
    <t>"D"; Sport és hobbi eszközök, barkács felszerelések</t>
  </si>
  <si>
    <t>"E"; Általános háztartási ingóságok</t>
  </si>
  <si>
    <t>Lakóépület megnevezése</t>
  </si>
  <si>
    <t>Lakóépület alapterület</t>
  </si>
  <si>
    <t xml:space="preserve">   Alapterület</t>
  </si>
  <si>
    <r>
      <t>Alapterület (m</t>
    </r>
    <r>
      <rPr>
        <vertAlign val="superscript"/>
        <sz val="8"/>
        <rFont val="Arial"/>
        <family val="2"/>
      </rPr>
      <t>2</t>
    </r>
    <r>
      <rPr>
        <sz val="8"/>
        <rFont val="Arial"/>
        <family val="2"/>
      </rPr>
      <t>)</t>
    </r>
  </si>
  <si>
    <t>Lakóépület ajánlott m2 ár</t>
  </si>
  <si>
    <t>Lakóépület választott m2 ár</t>
  </si>
  <si>
    <t>Lakóépület bizt. Összeg</t>
  </si>
  <si>
    <t>Q21</t>
  </si>
  <si>
    <t>S21</t>
  </si>
  <si>
    <t>H28</t>
  </si>
  <si>
    <t>R28</t>
  </si>
  <si>
    <t>U28</t>
  </si>
  <si>
    <t>X28</t>
  </si>
  <si>
    <t>AB28</t>
  </si>
  <si>
    <t>L26</t>
  </si>
  <si>
    <t>L27</t>
  </si>
  <si>
    <t>L28</t>
  </si>
  <si>
    <t>L29</t>
  </si>
  <si>
    <t>L30</t>
  </si>
  <si>
    <t>M26</t>
  </si>
  <si>
    <t>M27</t>
  </si>
  <si>
    <t>M28</t>
  </si>
  <si>
    <t>M29</t>
  </si>
  <si>
    <t>M30</t>
  </si>
  <si>
    <t>N26</t>
  </si>
  <si>
    <t>N27</t>
  </si>
  <si>
    <t>N28</t>
  </si>
  <si>
    <t>N29</t>
  </si>
  <si>
    <t>N30</t>
  </si>
  <si>
    <t>P38</t>
  </si>
  <si>
    <t>Y16</t>
  </si>
  <si>
    <t>Y151</t>
  </si>
  <si>
    <t>Y152</t>
  </si>
  <si>
    <t>Y153</t>
  </si>
  <si>
    <t>Y154</t>
  </si>
  <si>
    <t>Kedvezmények összesen:</t>
  </si>
  <si>
    <t>ked. Össz.</t>
  </si>
  <si>
    <t>J159</t>
  </si>
  <si>
    <t>ked. Önrész</t>
  </si>
  <si>
    <t>Önrész kedvezmény</t>
  </si>
  <si>
    <t>J157</t>
  </si>
  <si>
    <t>Y30</t>
  </si>
  <si>
    <t>Bal. Bizt név 1</t>
  </si>
  <si>
    <t>Bal. Bizt név 2</t>
  </si>
  <si>
    <t>Bal. Bizt név 3</t>
  </si>
  <si>
    <t>Bal. Bizt név 4</t>
  </si>
  <si>
    <t>Bal. Bizt név 5</t>
  </si>
  <si>
    <t>Bal. Bizt név 6</t>
  </si>
  <si>
    <t>Bal. Bizt név 7</t>
  </si>
  <si>
    <t>Bal. Bizt név 8</t>
  </si>
  <si>
    <t>Bal. Bizt név 9</t>
  </si>
  <si>
    <t>Bal. Bizt szül. év 1</t>
  </si>
  <si>
    <t>Bal. Bizt szül. év 2</t>
  </si>
  <si>
    <t>Bal. Bizt szül. év 3</t>
  </si>
  <si>
    <t>Bal. Bizt szül. év 4</t>
  </si>
  <si>
    <t>Bal. Bizt szül. év 5</t>
  </si>
  <si>
    <t>Bal. Bizt szül. év 6</t>
  </si>
  <si>
    <t>Bal. Bizt szül. év 7</t>
  </si>
  <si>
    <t>Bal. Bizt szül. év 8</t>
  </si>
  <si>
    <t>Bal. Bizt szül. év 9</t>
  </si>
  <si>
    <t>AB30</t>
  </si>
  <si>
    <t>G52</t>
  </si>
  <si>
    <t>G53</t>
  </si>
  <si>
    <t>G54</t>
  </si>
  <si>
    <t>G55</t>
  </si>
  <si>
    <t>G56</t>
  </si>
  <si>
    <t>G57</t>
  </si>
  <si>
    <t>G58</t>
  </si>
  <si>
    <t>G59</t>
  </si>
  <si>
    <t>G60</t>
  </si>
  <si>
    <t>H52</t>
  </si>
  <si>
    <t>H53</t>
  </si>
  <si>
    <t>H54</t>
  </si>
  <si>
    <t>H55</t>
  </si>
  <si>
    <t>H56</t>
  </si>
  <si>
    <t>H57</t>
  </si>
  <si>
    <t>H58</t>
  </si>
  <si>
    <t>H59</t>
  </si>
  <si>
    <t>H60</t>
  </si>
  <si>
    <t>Többszörözés mértéke:</t>
  </si>
  <si>
    <t>Bal. Bizt többszörözés</t>
  </si>
  <si>
    <t>Bal. Bizt személyek száma</t>
  </si>
  <si>
    <t>C161</t>
  </si>
  <si>
    <t>T167</t>
  </si>
  <si>
    <t>Szerződő (Biztosított) adatai</t>
  </si>
  <si>
    <t>hitel összege:</t>
  </si>
  <si>
    <t>H31</t>
  </si>
  <si>
    <t>kötvényszám:</t>
  </si>
  <si>
    <t>Kölcsönnyújtó hitelintézet: (Engedményes)</t>
  </si>
  <si>
    <t>Biztosított vagyontárgyak: ingóságok vagyoncsoport</t>
  </si>
  <si>
    <t>Vagyontípus</t>
  </si>
  <si>
    <t>biztosítási fedezetek, kiegészítő kockázatok</t>
  </si>
  <si>
    <t>TŰZ (Alapfedezet)</t>
  </si>
  <si>
    <t>éves biztosítási díj</t>
  </si>
  <si>
    <t>AB11</t>
  </si>
  <si>
    <t>AB12</t>
  </si>
  <si>
    <t>AB13</t>
  </si>
  <si>
    <t>AB14</t>
  </si>
  <si>
    <t>AB15</t>
  </si>
  <si>
    <t>AB16</t>
  </si>
  <si>
    <t>AB17</t>
  </si>
  <si>
    <t>AB18</t>
  </si>
  <si>
    <t>AB19</t>
  </si>
  <si>
    <t>AB20</t>
  </si>
  <si>
    <t>AB21</t>
  </si>
  <si>
    <t>AB22</t>
  </si>
  <si>
    <t>biztosítási összeg (EFt)</t>
  </si>
  <si>
    <t>Y32</t>
  </si>
  <si>
    <t>AB32</t>
  </si>
  <si>
    <t>Épület szerkezet</t>
  </si>
  <si>
    <r>
      <t>Választott m</t>
    </r>
    <r>
      <rPr>
        <vertAlign val="superscript"/>
        <sz val="8"/>
        <rFont val="Arial"/>
        <family val="2"/>
      </rPr>
      <t>2</t>
    </r>
    <r>
      <rPr>
        <sz val="8"/>
        <rFont val="Arial"/>
        <family val="2"/>
      </rPr>
      <t xml:space="preserve"> ár (eFt)</t>
    </r>
  </si>
  <si>
    <t>Lakóépület szerkezet</t>
  </si>
  <si>
    <t>N21</t>
  </si>
  <si>
    <t>O21</t>
  </si>
  <si>
    <t>bizt. vagyont. ajánlott m2 ár 1</t>
  </si>
  <si>
    <t>bizt. vagyont. ajánlott m2 ár 2</t>
  </si>
  <si>
    <t>bizt. vagyont. ajánlott m2 ár 3</t>
  </si>
  <si>
    <t>bizt. vagyont. ajánlott m2 ár 4</t>
  </si>
  <si>
    <t>bizt. vagyont. ajánlott m2 ár 5</t>
  </si>
  <si>
    <t>bizt. vagyont. aj. alapterület 1</t>
  </si>
  <si>
    <t>bizt. vagyont. aj. alapterület 2</t>
  </si>
  <si>
    <t>bizt. vagyont. aj. alapterület 3</t>
  </si>
  <si>
    <t>bizt. vagyont. aj. alapterület 4</t>
  </si>
  <si>
    <t>bizt. vagyont. aj. alapterület 5</t>
  </si>
  <si>
    <t>O26</t>
  </si>
  <si>
    <t>O27</t>
  </si>
  <si>
    <t>O28</t>
  </si>
  <si>
    <t>O29</t>
  </si>
  <si>
    <t>O30</t>
  </si>
  <si>
    <t>Q26</t>
  </si>
  <si>
    <t>Q27</t>
  </si>
  <si>
    <t>Q28</t>
  </si>
  <si>
    <t>Q29</t>
  </si>
  <si>
    <t>Q30</t>
  </si>
  <si>
    <t>S26</t>
  </si>
  <si>
    <t>S27</t>
  </si>
  <si>
    <t>S28</t>
  </si>
  <si>
    <t>S29</t>
  </si>
  <si>
    <t>S30</t>
  </si>
  <si>
    <t>B4</t>
  </si>
  <si>
    <t>U36</t>
  </si>
  <si>
    <t>U37</t>
  </si>
  <si>
    <t>U38</t>
  </si>
  <si>
    <t>U39</t>
  </si>
  <si>
    <t>U40</t>
  </si>
  <si>
    <t>Kelt</t>
  </si>
  <si>
    <t>AC85</t>
  </si>
  <si>
    <t>Anyja neve:</t>
  </si>
  <si>
    <t>Építés alatt</t>
  </si>
  <si>
    <r>
      <t xml:space="preserve">"D" Teljeskörű mechanikai védelem </t>
    </r>
    <r>
      <rPr>
        <b/>
        <sz val="12"/>
        <rFont val="Calibri"/>
        <family val="2"/>
      </rPr>
      <t>vagy</t>
    </r>
    <r>
      <rPr>
        <sz val="12"/>
        <rFont val="Calibri"/>
        <family val="2"/>
      </rPr>
      <t xml:space="preserve"> részleges mechanikai,- és minimális elektronikai védelem </t>
    </r>
  </si>
  <si>
    <r>
      <t xml:space="preserve">"F" Minimális vagy részleges mechanikai védelem </t>
    </r>
    <r>
      <rPr>
        <b/>
        <sz val="12"/>
        <rFont val="Calibri"/>
        <family val="2"/>
      </rPr>
      <t xml:space="preserve">és </t>
    </r>
    <r>
      <rPr>
        <sz val="12"/>
        <rFont val="Calibri"/>
        <family val="2"/>
      </rPr>
      <t>teljeskörű elektronikai védelem</t>
    </r>
  </si>
  <si>
    <t>Együtt lakó személyek száma</t>
  </si>
  <si>
    <t>Védelem</t>
  </si>
  <si>
    <t>Típus</t>
  </si>
  <si>
    <t>Csoport</t>
  </si>
  <si>
    <t>Ajánlat típusa</t>
  </si>
  <si>
    <t>új üzlet</t>
  </si>
  <si>
    <t>Kötvényszám:</t>
  </si>
  <si>
    <t>Szentendre</t>
  </si>
  <si>
    <t>Érd</t>
  </si>
  <si>
    <t>Budaörs</t>
  </si>
  <si>
    <t>Biatorbágy</t>
  </si>
  <si>
    <t>Gödöllő</t>
  </si>
  <si>
    <t>Monor</t>
  </si>
  <si>
    <t>Szigetszentmiklós</t>
  </si>
  <si>
    <t>Dunaújváros</t>
  </si>
  <si>
    <t>Százhalombatta</t>
  </si>
  <si>
    <t>Esztergom</t>
  </si>
  <si>
    <t>Vác</t>
  </si>
  <si>
    <t>Balassagyarmat</t>
  </si>
  <si>
    <t>Cegléd</t>
  </si>
  <si>
    <t>Tatabánya</t>
  </si>
  <si>
    <t>Tata</t>
  </si>
  <si>
    <t>Komárom</t>
  </si>
  <si>
    <t>Hatvan</t>
  </si>
  <si>
    <t>Salgótarján</t>
  </si>
  <si>
    <t>Szécsény</t>
  </si>
  <si>
    <t>Gyöngyös</t>
  </si>
  <si>
    <t>Eger</t>
  </si>
  <si>
    <t>Heves</t>
  </si>
  <si>
    <t>Mezőkövesd</t>
  </si>
  <si>
    <t>Miskolc</t>
  </si>
  <si>
    <t>Ózd</t>
  </si>
  <si>
    <t>Kazincbarcika</t>
  </si>
  <si>
    <t>Debrecen</t>
  </si>
  <si>
    <t>Balmazújváros</t>
  </si>
  <si>
    <t>Hajdúböszörmény</t>
  </si>
  <si>
    <t>Hajdúszoboszló</t>
  </si>
  <si>
    <t>Újfehértó</t>
  </si>
  <si>
    <t>Nyíregyháza</t>
  </si>
  <si>
    <t>Kisvárda</t>
  </si>
  <si>
    <t>Mátészalka</t>
  </si>
  <si>
    <t>Szolnok</t>
  </si>
  <si>
    <t>Törökszentmiklós</t>
  </si>
  <si>
    <t>Karcag</t>
  </si>
  <si>
    <t>Szarvas</t>
  </si>
  <si>
    <t>Békéscsaba</t>
  </si>
  <si>
    <t>Gyula</t>
  </si>
  <si>
    <t>Orosháza</t>
  </si>
  <si>
    <t>Kecskemét</t>
  </si>
  <si>
    <t>Kiskunfélegyháza</t>
  </si>
  <si>
    <t>Kiskunhalas</t>
  </si>
  <si>
    <t>Baja</t>
  </si>
  <si>
    <t>Szentes</t>
  </si>
  <si>
    <t>Csongrád</t>
  </si>
  <si>
    <t>Szeged</t>
  </si>
  <si>
    <t>Hódmezővásárhely</t>
  </si>
  <si>
    <t>Sárbogárd</t>
  </si>
  <si>
    <t>Paks</t>
  </si>
  <si>
    <t>Szekszárd</t>
  </si>
  <si>
    <t>Bonyhád</t>
  </si>
  <si>
    <t>Dombóvár</t>
  </si>
  <si>
    <t>Komló</t>
  </si>
  <si>
    <t>Kaposvár</t>
  </si>
  <si>
    <t>Barcs</t>
  </si>
  <si>
    <t>Pécs</t>
  </si>
  <si>
    <t>Szigetvár</t>
  </si>
  <si>
    <t>Székesfehérvár</t>
  </si>
  <si>
    <t>Mór</t>
  </si>
  <si>
    <t>Veszprém</t>
  </si>
  <si>
    <t>Tapolca</t>
  </si>
  <si>
    <t>Keszthely</t>
  </si>
  <si>
    <t>Ajka</t>
  </si>
  <si>
    <t>Pápa</t>
  </si>
  <si>
    <t>Siófok</t>
  </si>
  <si>
    <t>Nagykanizsa</t>
  </si>
  <si>
    <t>Zalaegerszeg</t>
  </si>
  <si>
    <t>Lenti</t>
  </si>
  <si>
    <t>Győr</t>
  </si>
  <si>
    <t>Mosonmagyaróvár</t>
  </si>
  <si>
    <t>Csorna</t>
  </si>
  <si>
    <t>Sopron</t>
  </si>
  <si>
    <t>Celldömölk</t>
  </si>
  <si>
    <t>Sárvár</t>
  </si>
  <si>
    <t>Szombathely</t>
  </si>
  <si>
    <t>Körmend</t>
  </si>
  <si>
    <t>Code</t>
  </si>
  <si>
    <t>City</t>
  </si>
  <si>
    <t>Keresztértékesítési kedvezmény (10%)</t>
  </si>
  <si>
    <t>K&amp;H kötelező gépjármű-felelősségbiztosítás (GFB)</t>
  </si>
  <si>
    <t>K&amp;H casco biztosítás (casco)</t>
  </si>
  <si>
    <t>K&amp;H fészek otthonbiztosítások (FOB vagy SFO)</t>
  </si>
  <si>
    <t>K&amp;H vállalkozói biztosítás (KVB)</t>
  </si>
  <si>
    <t>K&amp;H vállalkozói vagyon- és felelősségbiztosítás (KKV)</t>
  </si>
  <si>
    <t>K&amp;H protectum</t>
  </si>
  <si>
    <t>K&amp;H élet-társ</t>
  </si>
  <si>
    <t>K&amp;H optimum</t>
  </si>
  <si>
    <t>K&amp;H maximum</t>
  </si>
  <si>
    <t>K&amp;H családfa</t>
  </si>
  <si>
    <t>egyéb (egyéb)</t>
  </si>
  <si>
    <t>Kereszet biztosítások</t>
  </si>
  <si>
    <t>Kötvény sz.</t>
  </si>
  <si>
    <t xml:space="preserve">Kockázati kedvezmény (10%)  </t>
  </si>
  <si>
    <t>Kül. Üveg</t>
  </si>
  <si>
    <t>Biztosítási összeg (Eft)</t>
  </si>
  <si>
    <t>Bet lop A</t>
  </si>
  <si>
    <t>Bet lop B</t>
  </si>
  <si>
    <t>Bet lop C</t>
  </si>
  <si>
    <t>Bet lop D</t>
  </si>
  <si>
    <t>Bet lop E</t>
  </si>
  <si>
    <t>Bruttódíj (Ft)</t>
  </si>
  <si>
    <t>Kutya</t>
  </si>
  <si>
    <t>Vállalkozási Tárgyi esz.</t>
  </si>
  <si>
    <t>Vállalkozási Készl.</t>
  </si>
  <si>
    <t>különleges üveg</t>
  </si>
  <si>
    <t>általános üveg</t>
  </si>
  <si>
    <t>betöréses lopás és rablás "A" vagyon típus</t>
  </si>
  <si>
    <t>betöréses lopás és rablás "B" vagyon típus</t>
  </si>
  <si>
    <t>betöréses lopás és rablás "C" vagyon típus</t>
  </si>
  <si>
    <t>betöréses lopás és rablás "D" vagyon típus</t>
  </si>
  <si>
    <t>betöréses lopás és rablás "E" vagyon típus</t>
  </si>
  <si>
    <t>TŰZ B.Ö.</t>
  </si>
  <si>
    <t>Földmozgás B.Ö.</t>
  </si>
  <si>
    <t>Vihar B.Ö.</t>
  </si>
  <si>
    <t>Víz B.Ö.</t>
  </si>
  <si>
    <t>Üveg B.Ö.</t>
  </si>
  <si>
    <t>Kül. Üveg B.Ö.</t>
  </si>
  <si>
    <t>Bet lop A B.Ö.</t>
  </si>
  <si>
    <t>Bet lop B B.Ö.</t>
  </si>
  <si>
    <t>Bet lop C B.Ö.</t>
  </si>
  <si>
    <t>Bet lop D B.Ö.</t>
  </si>
  <si>
    <t>Bet lop E B.Ö.</t>
  </si>
  <si>
    <t>Vandalizmus B.Ö.</t>
  </si>
  <si>
    <t>Tetőbeázás B.Ö.</t>
  </si>
  <si>
    <t>Kutya B.Ö.</t>
  </si>
  <si>
    <t>Kényelmi csomag B.Ö.</t>
  </si>
  <si>
    <t>Háztartási gépek javítása B.Ö.</t>
  </si>
  <si>
    <t>Kiegészítő felelősség B.Ö.</t>
  </si>
  <si>
    <t>Kiegészítő baleset B.Ö.</t>
  </si>
  <si>
    <t>Vállalkozási Tárgyi esz. B.Ö.</t>
  </si>
  <si>
    <t>Vállalkozási Készl. B.Ö.</t>
  </si>
  <si>
    <t>TŰZ B.Díj</t>
  </si>
  <si>
    <t>Földmozgás B.Díj</t>
  </si>
  <si>
    <t>Vihar B.Díj</t>
  </si>
  <si>
    <t>Víz B.Díj</t>
  </si>
  <si>
    <t>Üveg B.Díj</t>
  </si>
  <si>
    <t>Kül. Üveg B.Díj</t>
  </si>
  <si>
    <t>Bet lop A B.Díj</t>
  </si>
  <si>
    <t>Bet lop B B.Díj</t>
  </si>
  <si>
    <t>Bet lop C B.Díj</t>
  </si>
  <si>
    <t>Bet lop D B.Díj</t>
  </si>
  <si>
    <t>Bet lop E B.Díj</t>
  </si>
  <si>
    <t>Vandalizmus B.Díj</t>
  </si>
  <si>
    <t>Tetőbeázás B.Díj</t>
  </si>
  <si>
    <t>Kutya B.Díj</t>
  </si>
  <si>
    <t>Kényelmi csomag B.Díj</t>
  </si>
  <si>
    <t>Háztartási gépek javítása B.Díj</t>
  </si>
  <si>
    <t>Kiegészítő felelősség B.Díj</t>
  </si>
  <si>
    <t>Kiegészítő baleset B.Díj</t>
  </si>
  <si>
    <t>Vállalkozási Tárgyi esz. B.Díj</t>
  </si>
  <si>
    <t>Vállalkozási Készl. B.Díj</t>
  </si>
  <si>
    <t>Y8</t>
  </si>
  <si>
    <t>AB8</t>
  </si>
  <si>
    <t>Y11</t>
  </si>
  <si>
    <t>Y12</t>
  </si>
  <si>
    <t>Y13</t>
  </si>
  <si>
    <t>Y14</t>
  </si>
  <si>
    <t>Y15</t>
  </si>
  <si>
    <t>Y17</t>
  </si>
  <si>
    <t>Y18</t>
  </si>
  <si>
    <t>Y19</t>
  </si>
  <si>
    <t>Y20</t>
  </si>
  <si>
    <t>Y21</t>
  </si>
  <si>
    <t>Y22</t>
  </si>
  <si>
    <t>Y23</t>
  </si>
  <si>
    <t>Y24</t>
  </si>
  <si>
    <t>Y25</t>
  </si>
  <si>
    <t>Y26</t>
  </si>
  <si>
    <t>Y27</t>
  </si>
  <si>
    <t>Y28</t>
  </si>
  <si>
    <t>Y34</t>
  </si>
  <si>
    <t>Y36</t>
  </si>
  <si>
    <t>AB23</t>
  </si>
  <si>
    <t>AB24</t>
  </si>
  <si>
    <t>AB25</t>
  </si>
  <si>
    <t>AB26</t>
  </si>
  <si>
    <t>AB27</t>
  </si>
  <si>
    <t>AB34</t>
  </si>
  <si>
    <t>Mezőgazd. Munkaeszk.</t>
  </si>
  <si>
    <t>Mezőgazd. Készletek</t>
  </si>
  <si>
    <t>Mezőgazd. Állatok</t>
  </si>
  <si>
    <t>Mezőgazd vagyon ME. B.Ö.</t>
  </si>
  <si>
    <t>Mezőgazd vagyon Kész. B.Ö.</t>
  </si>
  <si>
    <t>Mezőgazd vagyon Áll. B.Ö.</t>
  </si>
  <si>
    <t>Mezőgazd vagyon ME. B.Díj</t>
  </si>
  <si>
    <t>Mezőgazd vagyon Kész. B.Díj</t>
  </si>
  <si>
    <t>Mezőgazd vagyon Áll. B.Díj</t>
  </si>
  <si>
    <t>N47</t>
  </si>
  <si>
    <t>N48</t>
  </si>
  <si>
    <t>N49</t>
  </si>
  <si>
    <t>R47</t>
  </si>
  <si>
    <t>R48</t>
  </si>
  <si>
    <t xml:space="preserve">Társasházat biztosító társaság </t>
  </si>
  <si>
    <t>Önnálló ingóságbiztosítás esetén kötelező</t>
  </si>
  <si>
    <t>Társasház biztosítási kötvényszám</t>
  </si>
  <si>
    <t>Társasház biztosító</t>
  </si>
  <si>
    <t>Társasház biztosítói kötvényszám</t>
  </si>
  <si>
    <t>R15</t>
  </si>
  <si>
    <t>R16</t>
  </si>
  <si>
    <t>G63</t>
  </si>
  <si>
    <t>Kár típusa</t>
  </si>
  <si>
    <t>Kár időpontja</t>
  </si>
  <si>
    <t>kár összege</t>
  </si>
  <si>
    <t>Kár összege</t>
  </si>
  <si>
    <t>Intézkedés</t>
  </si>
  <si>
    <t>G62</t>
  </si>
  <si>
    <t>kárelőzmény adatok</t>
  </si>
  <si>
    <t>AF30</t>
  </si>
  <si>
    <t>kár időpontja</t>
  </si>
  <si>
    <t>intézkedés</t>
  </si>
  <si>
    <t>kár típusa 1</t>
  </si>
  <si>
    <t>kár típusa 2</t>
  </si>
  <si>
    <t>kár időpontja 1</t>
  </si>
  <si>
    <t>kár időpontja 2</t>
  </si>
  <si>
    <t>kár összege 1</t>
  </si>
  <si>
    <t>kár összege 2</t>
  </si>
  <si>
    <t>intézkedés 1</t>
  </si>
  <si>
    <t>intézkedés 2</t>
  </si>
  <si>
    <t>AE8</t>
  </si>
  <si>
    <t>AE9</t>
  </si>
  <si>
    <t>AG8</t>
  </si>
  <si>
    <t>AG9</t>
  </si>
  <si>
    <t>AI8</t>
  </si>
  <si>
    <t>AI9</t>
  </si>
  <si>
    <t>AM8</t>
  </si>
  <si>
    <t>AM9</t>
  </si>
  <si>
    <t>C68</t>
  </si>
  <si>
    <t>D68</t>
  </si>
  <si>
    <t>E68</t>
  </si>
  <si>
    <t>G68</t>
  </si>
  <si>
    <t>Kockázat viselési helye (amennyiben eltér az eredetitől)</t>
  </si>
  <si>
    <t>W128</t>
  </si>
  <si>
    <t xml:space="preserve">eltérő kock. Hely </t>
  </si>
  <si>
    <t>Y49</t>
  </si>
  <si>
    <t>ked. Kock. És Ter kedv.</t>
  </si>
  <si>
    <t>ked. keresztértékesítésikedvezmény</t>
  </si>
  <si>
    <t>E44</t>
  </si>
  <si>
    <t>E45</t>
  </si>
  <si>
    <t>O279</t>
  </si>
  <si>
    <t>Ft</t>
  </si>
  <si>
    <t>Kérem válasszon!</t>
  </si>
  <si>
    <t>Korábbi káreset volt-e</t>
  </si>
  <si>
    <t>Kárelőzmény adatok:  A biztosítandó kockázatok tekintetében történt-e káresemény az utolsó két évben?</t>
  </si>
  <si>
    <t>Előző kár volt</t>
  </si>
  <si>
    <t>A biztosítandó kockázatok tekintetében történt-e káresemény az utolsó két évben?</t>
  </si>
  <si>
    <t>AN6</t>
  </si>
  <si>
    <t>V6</t>
  </si>
  <si>
    <t>Kockázati és területi (városi) kedvezmény</t>
  </si>
  <si>
    <t>K&amp;H Csoportos beszedés</t>
  </si>
  <si>
    <t>Helyszíni kockázatelbírálást végezte</t>
  </si>
  <si>
    <t>Komfort fokozat</t>
  </si>
  <si>
    <t>1.</t>
  </si>
  <si>
    <t>2.</t>
  </si>
  <si>
    <t>3.</t>
  </si>
  <si>
    <t>4.</t>
  </si>
  <si>
    <t>5.</t>
  </si>
  <si>
    <t>A.</t>
  </si>
  <si>
    <t>B.</t>
  </si>
  <si>
    <t>C.</t>
  </si>
  <si>
    <t>D.</t>
  </si>
  <si>
    <t>E.</t>
  </si>
  <si>
    <t>F.</t>
  </si>
  <si>
    <t>G.</t>
  </si>
  <si>
    <t>H.</t>
  </si>
  <si>
    <t>I.</t>
  </si>
  <si>
    <t>Alap biztosítás/kockázat megnevezése</t>
  </si>
  <si>
    <t>Y185</t>
  </si>
  <si>
    <t>Y186</t>
  </si>
  <si>
    <t>Y187</t>
  </si>
  <si>
    <t>Y188</t>
  </si>
  <si>
    <t>Y189</t>
  </si>
  <si>
    <t>Y190</t>
  </si>
  <si>
    <t>Y191</t>
  </si>
  <si>
    <t>Y192</t>
  </si>
  <si>
    <t>Y193</t>
  </si>
  <si>
    <t>Y194</t>
  </si>
  <si>
    <t>Y195</t>
  </si>
  <si>
    <t>Y196</t>
  </si>
  <si>
    <t>Y197</t>
  </si>
  <si>
    <t>Y198</t>
  </si>
  <si>
    <t>Y199</t>
  </si>
  <si>
    <t>Y200</t>
  </si>
  <si>
    <t>Y201</t>
  </si>
  <si>
    <t>Y202</t>
  </si>
  <si>
    <t>Y203</t>
  </si>
  <si>
    <t>Y204</t>
  </si>
  <si>
    <t>Y205</t>
  </si>
  <si>
    <t>Y206</t>
  </si>
  <si>
    <t>Y207</t>
  </si>
  <si>
    <t>Y208</t>
  </si>
  <si>
    <t>Y209</t>
  </si>
  <si>
    <t>Z185</t>
  </si>
  <si>
    <t>Z186</t>
  </si>
  <si>
    <t>Z187</t>
  </si>
  <si>
    <t>Z188</t>
  </si>
  <si>
    <t>Z189</t>
  </si>
  <si>
    <t>Z190</t>
  </si>
  <si>
    <t>Z191</t>
  </si>
  <si>
    <t>Z192</t>
  </si>
  <si>
    <t>Z193</t>
  </si>
  <si>
    <t>Z194</t>
  </si>
  <si>
    <t>Z195</t>
  </si>
  <si>
    <t>Z196</t>
  </si>
  <si>
    <t>Z197</t>
  </si>
  <si>
    <t>Z198</t>
  </si>
  <si>
    <t>Z199</t>
  </si>
  <si>
    <t>Z200</t>
  </si>
  <si>
    <t>Z201</t>
  </si>
  <si>
    <t>Z202</t>
  </si>
  <si>
    <t>Z203</t>
  </si>
  <si>
    <t>Z204</t>
  </si>
  <si>
    <t>Z205</t>
  </si>
  <si>
    <t>Z206</t>
  </si>
  <si>
    <t>Z207</t>
  </si>
  <si>
    <t>Z208</t>
  </si>
  <si>
    <t>Z209</t>
  </si>
  <si>
    <t>Z210</t>
  </si>
  <si>
    <t>Y48</t>
  </si>
  <si>
    <t>Vállalkozói tevékenység megnevezése:</t>
  </si>
  <si>
    <t>Váll tevékenység</t>
  </si>
  <si>
    <t>J140</t>
  </si>
  <si>
    <t>J14</t>
  </si>
  <si>
    <t>szemléző</t>
  </si>
  <si>
    <t>D39</t>
  </si>
  <si>
    <t>G43</t>
  </si>
  <si>
    <t>E46</t>
  </si>
  <si>
    <t>E47</t>
  </si>
  <si>
    <t>kötvényszám</t>
  </si>
  <si>
    <t>B5</t>
  </si>
  <si>
    <t>U9</t>
  </si>
  <si>
    <t>J5</t>
  </si>
  <si>
    <t>Helyszíni szemlét végző személy</t>
  </si>
  <si>
    <t>Helyszíni szemlét végző neve:</t>
  </si>
  <si>
    <t>Helyszíni szemlét végző aláírása</t>
  </si>
  <si>
    <t>Biztosítási összeg:</t>
  </si>
  <si>
    <t>Ajánlott érték</t>
  </si>
  <si>
    <t>ing. E ajánlott érték</t>
  </si>
  <si>
    <t>V70</t>
  </si>
  <si>
    <t>R34</t>
  </si>
  <si>
    <t>R35</t>
  </si>
  <si>
    <t xml:space="preserve">                       területi hatály kiterjesztése</t>
  </si>
  <si>
    <t xml:space="preserve">                       kutyatartói felelősség biztosítással</t>
  </si>
  <si>
    <t>Területi hatály</t>
  </si>
  <si>
    <t>Kutyatartói felősség</t>
  </si>
  <si>
    <t>Z41</t>
  </si>
  <si>
    <t>Területi kieg B.Díj</t>
  </si>
  <si>
    <t>Kutyíatart kieg. B.Díj</t>
  </si>
  <si>
    <t>Y29</t>
  </si>
  <si>
    <t>AB29</t>
  </si>
  <si>
    <t>Területi kieg B.Ö.</t>
  </si>
  <si>
    <t>Kutyíatart kieg. B.Ö.</t>
  </si>
  <si>
    <t>T47</t>
  </si>
  <si>
    <t>T48</t>
  </si>
  <si>
    <t>T49</t>
  </si>
  <si>
    <t>T50</t>
  </si>
  <si>
    <t>Y47</t>
  </si>
  <si>
    <t>W47</t>
  </si>
  <si>
    <t>W48</t>
  </si>
  <si>
    <t>W49</t>
  </si>
  <si>
    <t>W50</t>
  </si>
  <si>
    <t>AC47</t>
  </si>
  <si>
    <t>AC48</t>
  </si>
  <si>
    <t>AC49</t>
  </si>
  <si>
    <t>W51</t>
  </si>
  <si>
    <t>N44</t>
  </si>
  <si>
    <r>
      <t>Ajánlott m</t>
    </r>
    <r>
      <rPr>
        <vertAlign val="superscript"/>
        <sz val="8"/>
        <rFont val="Arial"/>
        <family val="2"/>
      </rPr>
      <t xml:space="preserve">2 </t>
    </r>
    <r>
      <rPr>
        <sz val="8"/>
        <rFont val="Arial"/>
        <family val="2"/>
      </rPr>
      <t>ár (eFt)</t>
    </r>
  </si>
  <si>
    <t>Q80</t>
  </si>
  <si>
    <t>Sima üveg m2</t>
  </si>
  <si>
    <t>Sima üveg ajánlott érték</t>
  </si>
  <si>
    <t>Sima üveg B.Ö.</t>
  </si>
  <si>
    <t>Vegyes üveg m2</t>
  </si>
  <si>
    <t>Vegyes üveg ajánlott érték</t>
  </si>
  <si>
    <t>Vegyes üveg B.Ö.</t>
  </si>
  <si>
    <t>Minőségi üveg m2</t>
  </si>
  <si>
    <t>Minőségi üveg B.Ö.</t>
  </si>
  <si>
    <t>Minőségi üveg ajánlott érték</t>
  </si>
  <si>
    <t>Q81</t>
  </si>
  <si>
    <t>Q82</t>
  </si>
  <si>
    <t>P47</t>
  </si>
  <si>
    <t>P48</t>
  </si>
  <si>
    <t>P49</t>
  </si>
  <si>
    <t>R49</t>
  </si>
  <si>
    <t>T80</t>
  </si>
  <si>
    <t>T81</t>
  </si>
  <si>
    <t>T82</t>
  </si>
  <si>
    <t>W80</t>
  </si>
  <si>
    <t>W81</t>
  </si>
  <si>
    <t>W82</t>
  </si>
  <si>
    <t>biztosításközvetítő K&amp;H-s nyílvántartási száma:</t>
  </si>
  <si>
    <t>Kötvényszáma</t>
  </si>
  <si>
    <t>kiegészítő balesetbiztosítás (Biztosítottak)</t>
  </si>
  <si>
    <t>Évesdíj összesen</t>
  </si>
  <si>
    <t>E51</t>
  </si>
  <si>
    <t xml:space="preserve">                                Készletek:</t>
  </si>
  <si>
    <t xml:space="preserve">                                Állatok:</t>
  </si>
  <si>
    <t>Y33</t>
  </si>
  <si>
    <t>AB33</t>
  </si>
  <si>
    <t>E48</t>
  </si>
  <si>
    <t>kár típusa</t>
  </si>
  <si>
    <t>Mezőgazdasághoz kapcsolodó eltérő kockázatviselés helye:</t>
  </si>
  <si>
    <t>C67</t>
  </si>
  <si>
    <t>D67</t>
  </si>
  <si>
    <t>E67</t>
  </si>
  <si>
    <t>G67</t>
  </si>
  <si>
    <t>X156</t>
  </si>
  <si>
    <t>X157</t>
  </si>
  <si>
    <t>X158</t>
  </si>
  <si>
    <t>X159</t>
  </si>
  <si>
    <t>X160</t>
  </si>
  <si>
    <t>Z43</t>
  </si>
  <si>
    <t>Z39</t>
  </si>
  <si>
    <t>Mezőgazd. Vagy bizt</t>
  </si>
  <si>
    <t>Z108</t>
  </si>
  <si>
    <t>T51</t>
  </si>
  <si>
    <t>Y50</t>
  </si>
  <si>
    <t>AC50</t>
  </si>
  <si>
    <t>W52</t>
  </si>
  <si>
    <t>AC52</t>
  </si>
  <si>
    <t>Építés alatt áll ?</t>
  </si>
  <si>
    <t>Település típusa:</t>
  </si>
  <si>
    <t>Q9</t>
  </si>
  <si>
    <t>D8</t>
  </si>
  <si>
    <t>Q8</t>
  </si>
  <si>
    <t>A85</t>
  </si>
  <si>
    <t>Kizárólag ingóságbiztosítás esetén</t>
  </si>
  <si>
    <r>
      <t>díjfizetés módja</t>
    </r>
    <r>
      <rPr>
        <vertAlign val="superscript"/>
        <sz val="8"/>
        <rFont val="Arial"/>
        <family val="2"/>
      </rPr>
      <t>1</t>
    </r>
    <r>
      <rPr>
        <sz val="8"/>
        <rFont val="Arial"/>
        <family val="2"/>
      </rPr>
      <t>:</t>
    </r>
  </si>
  <si>
    <t>Kockázati és területi (városi) kedvezmény (25%)</t>
  </si>
  <si>
    <t xml:space="preserve">X termék </t>
  </si>
  <si>
    <t>U13</t>
  </si>
  <si>
    <t>AL153</t>
  </si>
  <si>
    <t>X kotvszam</t>
  </si>
  <si>
    <t>Kockázati kedvezmény</t>
  </si>
  <si>
    <t>F46</t>
  </si>
  <si>
    <t>I47</t>
  </si>
  <si>
    <t xml:space="preserve">magánszemélyi felelősségbiztosítás:(együtt lakó személyek </t>
  </si>
  <si>
    <t>K93</t>
  </si>
  <si>
    <t>Együtt lakó sz.</t>
  </si>
  <si>
    <t>X26</t>
  </si>
  <si>
    <t>Védelem típusa:</t>
  </si>
  <si>
    <t>C111</t>
  </si>
  <si>
    <t>V42</t>
  </si>
  <si>
    <t>J149</t>
  </si>
  <si>
    <t>z38</t>
  </si>
  <si>
    <t xml:space="preserve">út, utca, tér stb. / szám / hrsz. </t>
  </si>
  <si>
    <r>
      <t>Üvegérték a főépületérték</t>
    </r>
    <r>
      <rPr>
        <b/>
        <sz val="12"/>
        <rFont val="Calibri"/>
        <family val="2"/>
      </rPr>
      <t xml:space="preserve"> 2</t>
    </r>
    <r>
      <rPr>
        <sz val="12"/>
        <rFont val="Calibri"/>
        <family val="2"/>
      </rPr>
      <t xml:space="preserve"> %-a</t>
    </r>
  </si>
  <si>
    <r>
      <t xml:space="preserve">Üvegérték a főépületérték </t>
    </r>
    <r>
      <rPr>
        <b/>
        <sz val="12"/>
        <rFont val="Calibri"/>
        <family val="2"/>
      </rPr>
      <t>3</t>
    </r>
    <r>
      <rPr>
        <sz val="12"/>
        <rFont val="Calibri"/>
        <family val="2"/>
      </rPr>
      <t xml:space="preserve"> %-a</t>
    </r>
  </si>
  <si>
    <r>
      <t xml:space="preserve">Üvegérték a főépületérték </t>
    </r>
    <r>
      <rPr>
        <b/>
        <sz val="12"/>
        <rFont val="Calibri"/>
        <family val="2"/>
      </rPr>
      <t xml:space="preserve">4 </t>
    </r>
    <r>
      <rPr>
        <sz val="12"/>
        <rFont val="Calibri"/>
        <family val="2"/>
      </rPr>
      <t>%-a</t>
    </r>
  </si>
  <si>
    <r>
      <t xml:space="preserve">Üvegérték a főépületérték </t>
    </r>
    <r>
      <rPr>
        <b/>
        <sz val="12"/>
        <rFont val="Calibri"/>
        <family val="2"/>
      </rPr>
      <t>5</t>
    </r>
    <r>
      <rPr>
        <sz val="12"/>
        <rFont val="Calibri"/>
        <family val="2"/>
      </rPr>
      <t xml:space="preserve"> %-a</t>
    </r>
  </si>
  <si>
    <t>mezőgazdasághoz kapcsolodó vagyontárgyak kiegészítő biztosítása              Munkaeszközök:</t>
  </si>
  <si>
    <t>vállalkozói tevékenység vagyontárgyainak biztosítása
                                Tárgyi eszközök</t>
  </si>
  <si>
    <t xml:space="preserve">Általános felelősség kártérítési limit: </t>
  </si>
  <si>
    <t>építés alatt áll</t>
  </si>
  <si>
    <t>Mezőgazdasághoz kapcsolódó eltérő kockázatviselés helye:</t>
  </si>
  <si>
    <t>Mezőgazdasághoz kapcsolódó vagyontárgyak biztosítási kockázata:</t>
  </si>
  <si>
    <t>Biztosított vagyontárgyak: lakóépület</t>
  </si>
  <si>
    <t>Biztosított vagyontárgyak: melléképületek, építmények vagyoncsoport</t>
  </si>
  <si>
    <t>élő FOB-07-es szerződés módosítása</t>
  </si>
  <si>
    <t>élő FOB-07-es szerződés megújítása</t>
  </si>
  <si>
    <t>Ajánlat típusa:</t>
  </si>
  <si>
    <t xml:space="preserve">Szentendre </t>
  </si>
  <si>
    <t xml:space="preserve">Érd </t>
  </si>
  <si>
    <t>Érd (Parkváros)</t>
  </si>
  <si>
    <t>Érd (Érdliget)</t>
  </si>
  <si>
    <t>Budaörs 1.p.</t>
  </si>
  <si>
    <t>Budaörs 2.p.</t>
  </si>
  <si>
    <t>Budaörs 3.p.</t>
  </si>
  <si>
    <t>Budaörs 4.p.</t>
  </si>
  <si>
    <t xml:space="preserve">Biatorbágy </t>
  </si>
  <si>
    <t>Gödöllő 1.p.</t>
  </si>
  <si>
    <t>Gödöllő 2.p.</t>
  </si>
  <si>
    <t>Gödöllő 3.p.</t>
  </si>
  <si>
    <t>Gödöllő 4.p.</t>
  </si>
  <si>
    <t>Gödöllő 5.p.</t>
  </si>
  <si>
    <t xml:space="preserve">Monor </t>
  </si>
  <si>
    <t xml:space="preserve">Szigetszentmiklós </t>
  </si>
  <si>
    <t xml:space="preserve">Dunaújváros </t>
  </si>
  <si>
    <t>Dunaújváros (Pálhalma)</t>
  </si>
  <si>
    <t>Százhalombatta 1.p.</t>
  </si>
  <si>
    <t>Százhalombatta 2.p.</t>
  </si>
  <si>
    <t>Százhalombatta 3.p.</t>
  </si>
  <si>
    <t>Százhalombatta 4.p.</t>
  </si>
  <si>
    <t>Esztergom 1.p.</t>
  </si>
  <si>
    <t>Esztergom 2.p.</t>
  </si>
  <si>
    <t>Esztergom 3.p.</t>
  </si>
  <si>
    <t>Esztergom-Pilisszentlélek</t>
  </si>
  <si>
    <t>Esztergom-Kertváros</t>
  </si>
  <si>
    <t xml:space="preserve">Vác </t>
  </si>
  <si>
    <t xml:space="preserve">Balassagyarmat </t>
  </si>
  <si>
    <t xml:space="preserve">Cegléd </t>
  </si>
  <si>
    <t>Cegléd (Budai út)</t>
  </si>
  <si>
    <t>Tatabánya 1.p.</t>
  </si>
  <si>
    <t>Tatabánya 2.p.</t>
  </si>
  <si>
    <t>Tatabánya 3.p.</t>
  </si>
  <si>
    <t>Tatabánya 4.p.</t>
  </si>
  <si>
    <t>Tatabánya 5.p.</t>
  </si>
  <si>
    <t>Tatabánya 6.p.</t>
  </si>
  <si>
    <t>Tatabánya 7.p.</t>
  </si>
  <si>
    <t>Tatabánya 8.p.</t>
  </si>
  <si>
    <t>Tatabánya 9.p.</t>
  </si>
  <si>
    <t>Tata (Agostyán)</t>
  </si>
  <si>
    <t>Tata 1.p.</t>
  </si>
  <si>
    <t>Tata 2.p.</t>
  </si>
  <si>
    <t>Tata 3.p.</t>
  </si>
  <si>
    <t>Tata 4.p.</t>
  </si>
  <si>
    <t xml:space="preserve">Komárom </t>
  </si>
  <si>
    <t>Komárom (Koppánymonostor)</t>
  </si>
  <si>
    <t>Komárom (Szőny)</t>
  </si>
  <si>
    <t xml:space="preserve">Hatvan </t>
  </si>
  <si>
    <t>Hatvan (Kerekharaszt)</t>
  </si>
  <si>
    <t>Salgótarján (Baglyasalja)</t>
  </si>
  <si>
    <t>Salgótarján (Zagyvapálfalva)</t>
  </si>
  <si>
    <t>Salgótarján (Salgóbánya)</t>
  </si>
  <si>
    <t>Salgótarján (Somoskőújfalu)</t>
  </si>
  <si>
    <t>Salgótarján (Zagyvaróna)</t>
  </si>
  <si>
    <t xml:space="preserve">Gyöngyös </t>
  </si>
  <si>
    <t>Gyöngyös(Kékestető)</t>
  </si>
  <si>
    <t>Gyöngyös(Mátrafüred)</t>
  </si>
  <si>
    <t>Gyöngyös(Mátraháza)</t>
  </si>
  <si>
    <t>Eger 1.p.</t>
  </si>
  <si>
    <t>Eger 2.p.</t>
  </si>
  <si>
    <t>Eger 3.p.</t>
  </si>
  <si>
    <t>Eger 4.p.</t>
  </si>
  <si>
    <t>Eger 5.p.</t>
  </si>
  <si>
    <t>Eger(Szarvaskő)</t>
  </si>
  <si>
    <t xml:space="preserve">Mezőkövesd </t>
  </si>
  <si>
    <t xml:space="preserve">Miskolc </t>
  </si>
  <si>
    <t>Miskolc (Hejőcsaba)</t>
  </si>
  <si>
    <t>Miskolc (Bükkszentlászló)</t>
  </si>
  <si>
    <t>Miskolc (Diósgyőr)</t>
  </si>
  <si>
    <t>Miskolc (Egyetemváros)</t>
  </si>
  <si>
    <t>Miskolc (Görömböly)</t>
  </si>
  <si>
    <t>Miskolc (Lillafüred)</t>
  </si>
  <si>
    <t>Miskolc (Pereces)</t>
  </si>
  <si>
    <t>Miskolc (Tapolcafürdő)</t>
  </si>
  <si>
    <t>Miskolc (Szirma)</t>
  </si>
  <si>
    <t xml:space="preserve">Ózd </t>
  </si>
  <si>
    <t>Ózd (Sajóvárkony)</t>
  </si>
  <si>
    <t>Ózd (Bánszállás)</t>
  </si>
  <si>
    <t>Ózd (Uraj)</t>
  </si>
  <si>
    <t>Ózd (Szentsimon)</t>
  </si>
  <si>
    <t>Ózd (Központ)</t>
  </si>
  <si>
    <t>Ózd (Hódoscsépány)</t>
  </si>
  <si>
    <t>Ózd (Somsálybánya)</t>
  </si>
  <si>
    <t xml:space="preserve">Kazincbarcika </t>
  </si>
  <si>
    <t xml:space="preserve">Debrecen </t>
  </si>
  <si>
    <t>Debrecen 10.p.</t>
  </si>
  <si>
    <t>Debrecen 11.p.</t>
  </si>
  <si>
    <t>Debrecen 12.p.</t>
  </si>
  <si>
    <t>Debrecen 13.p.</t>
  </si>
  <si>
    <t>Debrecen 14.p.</t>
  </si>
  <si>
    <t>Debrecen 15.p.</t>
  </si>
  <si>
    <t>Debrecen (Nagymacs)</t>
  </si>
  <si>
    <t>Hajdúböszörmény(Nagypród)</t>
  </si>
  <si>
    <t>Debrecen (Nagycsere)</t>
  </si>
  <si>
    <t>Debrecen (Haláp)</t>
  </si>
  <si>
    <t>Debrecen (Bánk)</t>
  </si>
  <si>
    <t>Hajdúböszörmény(Hajdúvid)</t>
  </si>
  <si>
    <t xml:space="preserve">Hajdúszoboszló </t>
  </si>
  <si>
    <t xml:space="preserve">Hajdúböszörmény  </t>
  </si>
  <si>
    <t>Hajdúböszörmény(Bodaszőlő)</t>
  </si>
  <si>
    <t>Debrecen (Józsa)</t>
  </si>
  <si>
    <t>Nyíregyháza (Butykatelep)</t>
  </si>
  <si>
    <t>Nyíregyháza 1.p.</t>
  </si>
  <si>
    <t>Nyíregyháza 2.p.</t>
  </si>
  <si>
    <t>Nyíregyháza 3.p.</t>
  </si>
  <si>
    <t>Nyíregyháza 4.p.</t>
  </si>
  <si>
    <t>Nyíregyháza 5.p.</t>
  </si>
  <si>
    <t>Nyíregyháza 6.p.</t>
  </si>
  <si>
    <t>Nyíregyháza 7.p.</t>
  </si>
  <si>
    <t xml:space="preserve">Nyíregyháza </t>
  </si>
  <si>
    <t>Nyíregyháza(Jósa András Kórház)</t>
  </si>
  <si>
    <t>Nyíregyháza (Sóstófürdő)</t>
  </si>
  <si>
    <t>Nyíregyháza (Nyírszőlős)</t>
  </si>
  <si>
    <t>Nyíregyháza (Felsősima)</t>
  </si>
  <si>
    <t>Nyíregyháza (Sóstóhegy)</t>
  </si>
  <si>
    <t>Nyíregyháza (Oros)</t>
  </si>
  <si>
    <t>Kisvárda 1.p.</t>
  </si>
  <si>
    <t>Kisvárda 2.p.</t>
  </si>
  <si>
    <t>Kisvárda 3.p.</t>
  </si>
  <si>
    <t xml:space="preserve">Mátészalka </t>
  </si>
  <si>
    <t>Szolnok 1.p.</t>
  </si>
  <si>
    <t>Szolnok 2.p.</t>
  </si>
  <si>
    <t>Szolnok 3.p.</t>
  </si>
  <si>
    <t>Szolnok 4.p.</t>
  </si>
  <si>
    <t>Szolnok 5.p.</t>
  </si>
  <si>
    <t>Szolnok 6.p.</t>
  </si>
  <si>
    <t>Szolnok 7.p.</t>
  </si>
  <si>
    <t>Szolnok 8.p.</t>
  </si>
  <si>
    <t>Szolnok 9.p.</t>
  </si>
  <si>
    <t xml:space="preserve">Szolnok </t>
  </si>
  <si>
    <t>Jászberény (Portelek)</t>
  </si>
  <si>
    <t xml:space="preserve">Törökszentmiklós  </t>
  </si>
  <si>
    <t>Törökszentmiklós(Surjány)</t>
  </si>
  <si>
    <t xml:space="preserve">Karcag </t>
  </si>
  <si>
    <t xml:space="preserve">Szarvas  </t>
  </si>
  <si>
    <t xml:space="preserve">Békéscsaba </t>
  </si>
  <si>
    <t>Békéscsaba (Gerla)</t>
  </si>
  <si>
    <t>Békéscsaba (Mezőmegyer)</t>
  </si>
  <si>
    <t xml:space="preserve">Gyula </t>
  </si>
  <si>
    <t>Gyula(József Attila Szanatórium)</t>
  </si>
  <si>
    <t>Gyula(Gyulavári)</t>
  </si>
  <si>
    <t xml:space="preserve">Orosháza </t>
  </si>
  <si>
    <t>Orosháza(Rákóczitelep)</t>
  </si>
  <si>
    <t>Orosháza(Gyopárosfürdő)</t>
  </si>
  <si>
    <t>Orosháza(Szentetornya)</t>
  </si>
  <si>
    <t>Kecskemét (Méntelek)</t>
  </si>
  <si>
    <t>Kecskemét (Hetényegyháza)</t>
  </si>
  <si>
    <t xml:space="preserve">Kiskunfélegyháza </t>
  </si>
  <si>
    <t>Kiskunhalas 1.p.</t>
  </si>
  <si>
    <t>Kiskunhalas 2.p.</t>
  </si>
  <si>
    <t xml:space="preserve">Baja </t>
  </si>
  <si>
    <t>Baja (Bajaszentistván)</t>
  </si>
  <si>
    <t xml:space="preserve">Szentes </t>
  </si>
  <si>
    <t xml:space="preserve">Csongrád </t>
  </si>
  <si>
    <t>Csongrád(Bokros)</t>
  </si>
  <si>
    <t>Szeged 1.p.</t>
  </si>
  <si>
    <t>Szeged 2.p.</t>
  </si>
  <si>
    <t>Szeged 3.p.</t>
  </si>
  <si>
    <t>Szeged 4.p.</t>
  </si>
  <si>
    <t>Szeged 5.p.</t>
  </si>
  <si>
    <t>Szeged 6.p.</t>
  </si>
  <si>
    <t>Szeged 7.p.</t>
  </si>
  <si>
    <t>Szeged 8.p.</t>
  </si>
  <si>
    <t>Szeged 9.p.</t>
  </si>
  <si>
    <t>Szeged (Szentmihály)</t>
  </si>
  <si>
    <t>Szeged (Tápé)</t>
  </si>
  <si>
    <t>Szeged (Gyálarét)</t>
  </si>
  <si>
    <t>Szeged (Szőreg)</t>
  </si>
  <si>
    <t xml:space="preserve">Szeged </t>
  </si>
  <si>
    <t>Szeged (Kiskundorozsma)</t>
  </si>
  <si>
    <t xml:space="preserve">Hódmezővásárhely </t>
  </si>
  <si>
    <t>Hódmezővásárhely (Szikáncs)</t>
  </si>
  <si>
    <t>Makó (Rákos)</t>
  </si>
  <si>
    <t xml:space="preserve">Sárbogárd </t>
  </si>
  <si>
    <t>Sárbogárd (Sárszentmiklós)</t>
  </si>
  <si>
    <t>Sárbogárd (Pusztaegres)</t>
  </si>
  <si>
    <t>Sárbogárd (Sárhatvan)</t>
  </si>
  <si>
    <t>Paks(Dunakömlőd)</t>
  </si>
  <si>
    <t xml:space="preserve">Paks </t>
  </si>
  <si>
    <t>Szekszárd 1.p.</t>
  </si>
  <si>
    <t>Szekszárd 2.p.</t>
  </si>
  <si>
    <t>Szekszárd 3.p.</t>
  </si>
  <si>
    <t xml:space="preserve">Bonyhád </t>
  </si>
  <si>
    <t>Bonyhád (Majos)</t>
  </si>
  <si>
    <t xml:space="preserve">Dombóvár </t>
  </si>
  <si>
    <t>Komló (Mecsekjánosi)</t>
  </si>
  <si>
    <t xml:space="preserve">Komló </t>
  </si>
  <si>
    <t>Komló(Mecsekjánosi)</t>
  </si>
  <si>
    <t>Komló (Gesztenyés)</t>
  </si>
  <si>
    <t xml:space="preserve">Kaposvár </t>
  </si>
  <si>
    <t>Barcs(Somogytarnóca)</t>
  </si>
  <si>
    <t xml:space="preserve">Barcs </t>
  </si>
  <si>
    <t>Pécs 1.p.</t>
  </si>
  <si>
    <t>Pécs 2.p.</t>
  </si>
  <si>
    <t>Pécs 3.p.</t>
  </si>
  <si>
    <t>Pécs 4.p.</t>
  </si>
  <si>
    <t>Pécs 5.p.</t>
  </si>
  <si>
    <t>Pécs 6.p.</t>
  </si>
  <si>
    <t>Pécs 7.p.</t>
  </si>
  <si>
    <t>Pécs 8.p.</t>
  </si>
  <si>
    <t>Pécs 9.p.</t>
  </si>
  <si>
    <t>Pécs 10.p.</t>
  </si>
  <si>
    <t>Pécs 11.p.</t>
  </si>
  <si>
    <t>Pécs 13.p.</t>
  </si>
  <si>
    <t>Pécs 15.p.</t>
  </si>
  <si>
    <t>Pécs 17.p.</t>
  </si>
  <si>
    <t>Pécs 18.p.</t>
  </si>
  <si>
    <t>Pécs 19.p.</t>
  </si>
  <si>
    <t xml:space="preserve">Pécs </t>
  </si>
  <si>
    <t>Pécs (Vasas)</t>
  </si>
  <si>
    <t>Pécs (Hird)</t>
  </si>
  <si>
    <t xml:space="preserve">Siklós </t>
  </si>
  <si>
    <t>Siklós(Máriagyűd)</t>
  </si>
  <si>
    <t xml:space="preserve">Szigetvár </t>
  </si>
  <si>
    <t xml:space="preserve">Székesfehérvár </t>
  </si>
  <si>
    <t>Székesfehérvár (Börgönd)</t>
  </si>
  <si>
    <t xml:space="preserve">Mór </t>
  </si>
  <si>
    <t>Veszprém 1.p.</t>
  </si>
  <si>
    <t>Veszprém 2.p.</t>
  </si>
  <si>
    <t>Veszprém 3.p.</t>
  </si>
  <si>
    <t>Veszprém 4.p.</t>
  </si>
  <si>
    <t>Veszprém 5.p.</t>
  </si>
  <si>
    <t>Veszprém 6.p.</t>
  </si>
  <si>
    <t>Veszprém 7.p.</t>
  </si>
  <si>
    <t xml:space="preserve">Veszprém </t>
  </si>
  <si>
    <t>Tapolca(Diszel)</t>
  </si>
  <si>
    <t xml:space="preserve">Tapolca </t>
  </si>
  <si>
    <t xml:space="preserve">Keszthely </t>
  </si>
  <si>
    <t xml:space="preserve">Ajka </t>
  </si>
  <si>
    <t xml:space="preserve">Ajka  </t>
  </si>
  <si>
    <t>Veszprém (Kádárta)</t>
  </si>
  <si>
    <t>Veszprém (Gyulafirátót)</t>
  </si>
  <si>
    <t>Ajka (Ajkarendek)</t>
  </si>
  <si>
    <t>Ajka (Bakonygyepes)</t>
  </si>
  <si>
    <t>Ajka (Padragkút)</t>
  </si>
  <si>
    <t xml:space="preserve">Pápa </t>
  </si>
  <si>
    <t>Pápa (Borsosgyőr)</t>
  </si>
  <si>
    <t>Pápa (Kéttornyúlak)</t>
  </si>
  <si>
    <t>Pápa (Tapolcafő)</t>
  </si>
  <si>
    <t xml:space="preserve">Siófok </t>
  </si>
  <si>
    <t>Siófok (Balatonszéplak)</t>
  </si>
  <si>
    <t>Siófok (Balatonkiliti)</t>
  </si>
  <si>
    <t xml:space="preserve">Marcali  </t>
  </si>
  <si>
    <t>Marcali(Horvátkút)</t>
  </si>
  <si>
    <t xml:space="preserve">Nagykanizsa </t>
  </si>
  <si>
    <t>Nagykanizsa (Palin)</t>
  </si>
  <si>
    <t>Nagykanizsa (Sánc)</t>
  </si>
  <si>
    <t>Nagykanizsa (Miklósfa)</t>
  </si>
  <si>
    <t>Zalaegerszeg 1.p.</t>
  </si>
  <si>
    <t>Zalaegerszeg 2.p.</t>
  </si>
  <si>
    <t>Zalaegerszeg 3.p.</t>
  </si>
  <si>
    <t>Zalaegerszeg 4.p.</t>
  </si>
  <si>
    <t>Zalaegerszeg 6.p.</t>
  </si>
  <si>
    <t>Zalaegerszeg 7.p.</t>
  </si>
  <si>
    <t>Zalaegerszeg 8.fp.</t>
  </si>
  <si>
    <t>Zalaegerszeg 9.fp.</t>
  </si>
  <si>
    <t xml:space="preserve">Lenti  </t>
  </si>
  <si>
    <t>Lenti(Lentikápolna)</t>
  </si>
  <si>
    <t>Győr 1.p.</t>
  </si>
  <si>
    <t>Győr 2.p.</t>
  </si>
  <si>
    <t>Győr 3.p.</t>
  </si>
  <si>
    <t>Győr 4.p.</t>
  </si>
  <si>
    <t>Győr 5.p.</t>
  </si>
  <si>
    <t>Győr 6.p.</t>
  </si>
  <si>
    <t>Győr 7.p.</t>
  </si>
  <si>
    <t>Győr 8.p.</t>
  </si>
  <si>
    <t>Győr 9.p.</t>
  </si>
  <si>
    <t xml:space="preserve">Győr </t>
  </si>
  <si>
    <t>Győr (Győrszentiván)</t>
  </si>
  <si>
    <t>Győr (Ménfőcsanak)</t>
  </si>
  <si>
    <t>Győr (Gyirmót)</t>
  </si>
  <si>
    <t xml:space="preserve">Mosonmagyaróvár </t>
  </si>
  <si>
    <t xml:space="preserve">Csorna </t>
  </si>
  <si>
    <t>Sopron 1.p.</t>
  </si>
  <si>
    <t>Sopron 2.p.</t>
  </si>
  <si>
    <t>Sopron 3.p.</t>
  </si>
  <si>
    <t>Sopron 4.p.</t>
  </si>
  <si>
    <t>Sopron 5.p.</t>
  </si>
  <si>
    <t>Sopron 6.p.</t>
  </si>
  <si>
    <t>Sopron 7.p.</t>
  </si>
  <si>
    <t>Sopron 8.p.</t>
  </si>
  <si>
    <t>Sopron 9.p.</t>
  </si>
  <si>
    <t>Sopron (Balf)</t>
  </si>
  <si>
    <t xml:space="preserve">Celldömölk </t>
  </si>
  <si>
    <t>Celldömölk(Izsákfa)</t>
  </si>
  <si>
    <t xml:space="preserve">Sárvár </t>
  </si>
  <si>
    <t>Sárvár (Rábasömjén)</t>
  </si>
  <si>
    <t>Sárvár (Lánkapuszta)</t>
  </si>
  <si>
    <t>Szombathely 1.p.</t>
  </si>
  <si>
    <t>Szombathely 2.p.</t>
  </si>
  <si>
    <t>Szombathely 3.p.</t>
  </si>
  <si>
    <t>Szombathely 4.p.</t>
  </si>
  <si>
    <t>Szombathely 5.p.</t>
  </si>
  <si>
    <t>Szombathely 6.p.</t>
  </si>
  <si>
    <t>Szombathely 7.p.</t>
  </si>
  <si>
    <t>Szombathely 8.p.</t>
  </si>
  <si>
    <t>Szombathely 9.p.</t>
  </si>
  <si>
    <t>Szombathely 10.p.</t>
  </si>
  <si>
    <t>Szombathely (Szentkirály)</t>
  </si>
  <si>
    <t xml:space="preserve">Körmend  </t>
  </si>
  <si>
    <t>Körmend(Horvátnádalja)</t>
  </si>
  <si>
    <t>ked. Díjfizetési kedvezmény</t>
  </si>
  <si>
    <t>P248</t>
  </si>
  <si>
    <t>E49</t>
  </si>
  <si>
    <t>P249</t>
  </si>
  <si>
    <t>ked. Szöveg módosítás, megújítás esetén</t>
  </si>
  <si>
    <t>Díjfizetési kedvezmény(ütemezés, mód):</t>
  </si>
  <si>
    <t>A52</t>
  </si>
  <si>
    <t>K48</t>
  </si>
  <si>
    <t/>
  </si>
  <si>
    <t>AG11</t>
  </si>
  <si>
    <t xml:space="preserve">Alulírott szerződő kötelezettséget vállalok arra, hogy a szerződés részét képező szerződési feltételek alapján megállapított, a kötvényben és mellékleteiben előírt díjat a jelen megállapodás szerint megfizetem. A felek az első díj tekintetében a kötvényben és a díjesedékességi értesítőben foglalt díjesedékességi határidőig halasztásban állapodnak meg. Tudomásul veszem, hogy a szerződésre a K&amp;H fészek otthonbiztosítás (FOB-07) szerződési feltételei vonatkoznak, amelyet az ügyfél-tájékoztatóval együtt az ajánlat aláírása előtt átvettem és annak tartalmát megértettem. Felhatalmazom a biztosítót arra, hogy az igényelt biztosítással összefüggő adatokat számítógépen tárolja, és az illetékes viszontbiztosítónak átadja. Kívánságomra megadják annak címét és adatait, akinek adataimat továbbították. Kijelentem, hogy más Biztosító társaságnál nem rendelkezem a fenti kockázatokra vonatkozó biztosítással. Vállalom, hogy a szerződést érintő adatokban bekövetkezett változásokat a Biztosítónak 8 napon belül bejelentem. </t>
  </si>
  <si>
    <t>Az "nyilatkozat biztosítási szerződés megkötéséhez" nyomtatvány a szerződés részét képezi. Nem jön létre a szerződés, ha az ajánlatot a Biztosító annak átadásától számított 15 napon belül visszautasítja. Az arról való tájékoztatást, hogy a K&amp;H Biztosító Zrt. biztosításközvetítői a K&amp;H Biztosító Zrt. nevében biztosítási díj átvételére nem jogosultak, megkaptam.</t>
  </si>
  <si>
    <t>engedményes adószám:</t>
  </si>
  <si>
    <t>Díjeltérítési szorzó + éves díjfiz. gyak extra DES</t>
  </si>
  <si>
    <t>Saját tulajdon</t>
  </si>
  <si>
    <t>Bérlemény</t>
  </si>
  <si>
    <t>Kő melléképület ajánlott egységára Eft/m2, a Díjkalkuláció táblában a tulajdon típusától (Saját/Bérlemény) függ, adatok szintén a Díjkalkulációról jönnek</t>
  </si>
  <si>
    <t>Fa melléképület ajánlott egységára Eft/m2, a Díjkalkuláció táblában a tulajdon típusától (Saját/Bérlemény) függ, adatok szintén a Díjkalkulációról jönnek</t>
  </si>
  <si>
    <t>Helyszíni szemle irányítószámok</t>
  </si>
  <si>
    <t>Helyszíni szemle nélkül az ajánlat nem vehető fel!</t>
  </si>
  <si>
    <t>DES (max 10%)</t>
  </si>
</sst>
</file>

<file path=xl/styles.xml><?xml version="1.0" encoding="utf-8"?>
<styleSheet xmlns="http://schemas.openxmlformats.org/spreadsheetml/2006/main">
  <numFmts count="2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40E]yyyy\.\ mmmm\ d\."/>
    <numFmt numFmtId="172" formatCode="yyyy/mm/dd;@"/>
    <numFmt numFmtId="173" formatCode="0.00000"/>
    <numFmt numFmtId="174" formatCode="0.0000"/>
    <numFmt numFmtId="175" formatCode="0.000"/>
    <numFmt numFmtId="176" formatCode="0.000000"/>
    <numFmt numFmtId="177" formatCode="_-* #,##0.000\ _F_t_-;\-* #,##0.000\ _F_t_-;_-* &quot;-&quot;??\ _F_t_-;_-@_-"/>
    <numFmt numFmtId="178" formatCode="_-* #,##0.0\ _F_t_-;\-* #,##0.0\ _F_t_-;_-* &quot;-&quot;??\ _F_t_-;_-@_-"/>
    <numFmt numFmtId="179" formatCode="_-* #,##0\ _F_t_-;\-* #,##0\ _F_t_-;_-* &quot;-&quot;??\ _F_t_-;_-@_-"/>
    <numFmt numFmtId="180" formatCode="&quot;Igen&quot;;&quot;Igen&quot;;&quot;Nem&quot;"/>
    <numFmt numFmtId="181" formatCode="&quot;Igaz&quot;;&quot;Igaz&quot;;&quot;Hamis&quot;"/>
    <numFmt numFmtId="182" formatCode="&quot;Be&quot;;&quot;Be&quot;;&quot;Ki&quot;"/>
    <numFmt numFmtId="183" formatCode="[$€-2]\ #\ ##,000_);[Red]\([$€-2]\ #\ ##,000\)"/>
  </numFmts>
  <fonts count="68">
    <font>
      <sz val="10"/>
      <name val="Arial"/>
      <family val="0"/>
    </font>
    <font>
      <sz val="11"/>
      <color indexed="8"/>
      <name val="Calibri"/>
      <family val="2"/>
    </font>
    <font>
      <b/>
      <sz val="10"/>
      <name val="Arial"/>
      <family val="2"/>
    </font>
    <font>
      <sz val="8"/>
      <name val="Tahoma"/>
      <family val="2"/>
    </font>
    <font>
      <b/>
      <sz val="8"/>
      <name val="Tahoma"/>
      <family val="2"/>
    </font>
    <font>
      <sz val="8"/>
      <name val="Arial"/>
      <family val="2"/>
    </font>
    <font>
      <sz val="10"/>
      <color indexed="10"/>
      <name val="Arial"/>
      <family val="2"/>
    </font>
    <font>
      <b/>
      <sz val="10"/>
      <color indexed="9"/>
      <name val="Arial"/>
      <family val="2"/>
    </font>
    <font>
      <b/>
      <sz val="12"/>
      <color indexed="9"/>
      <name val="Arial"/>
      <family val="2"/>
    </font>
    <font>
      <b/>
      <sz val="10"/>
      <color indexed="10"/>
      <name val="Arial"/>
      <family val="2"/>
    </font>
    <font>
      <sz val="10"/>
      <color indexed="44"/>
      <name val="Arial"/>
      <family val="2"/>
    </font>
    <font>
      <sz val="10"/>
      <color indexed="60"/>
      <name val="Arial"/>
      <family val="2"/>
    </font>
    <font>
      <b/>
      <sz val="10"/>
      <color indexed="18"/>
      <name val="Arial"/>
      <family val="2"/>
    </font>
    <font>
      <b/>
      <sz val="8"/>
      <name val="Arial"/>
      <family val="2"/>
    </font>
    <font>
      <vertAlign val="superscript"/>
      <sz val="8"/>
      <name val="Arial"/>
      <family val="2"/>
    </font>
    <font>
      <i/>
      <sz val="8"/>
      <name val="Arial"/>
      <family val="2"/>
    </font>
    <font>
      <b/>
      <sz val="12"/>
      <name val="Calibri"/>
      <family val="2"/>
    </font>
    <font>
      <sz val="12"/>
      <name val="Calibri"/>
      <family val="2"/>
    </font>
    <font>
      <u val="single"/>
      <sz val="10"/>
      <color indexed="12"/>
      <name val="Arial"/>
      <family val="2"/>
    </font>
    <font>
      <sz val="10"/>
      <name val="Arial CE"/>
      <family val="0"/>
    </font>
    <font>
      <sz val="10"/>
      <color indexed="8"/>
      <name val="Arial"/>
      <family val="2"/>
    </font>
    <font>
      <sz val="8"/>
      <name val="Calibri"/>
      <family val="2"/>
    </font>
    <font>
      <b/>
      <i/>
      <sz val="8"/>
      <name val="Arial"/>
      <family val="2"/>
    </font>
    <font>
      <i/>
      <sz val="7"/>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50"/>
      <name val="Calibri"/>
      <family val="2"/>
    </font>
    <font>
      <b/>
      <sz val="7.5"/>
      <color indexed="8"/>
      <name val="Arial"/>
      <family val="2"/>
    </font>
    <font>
      <sz val="12"/>
      <color indexed="30"/>
      <name val="Calibri"/>
      <family val="2"/>
    </font>
    <font>
      <sz val="7.5"/>
      <color indexed="8"/>
      <name val="Arial"/>
      <family val="2"/>
    </font>
    <font>
      <b/>
      <sz val="10"/>
      <color indexed="56"/>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rgb="FF92D050"/>
      <name val="Calibri"/>
      <family val="2"/>
    </font>
    <font>
      <b/>
      <sz val="7.5"/>
      <color theme="1"/>
      <name val="Arial"/>
      <family val="2"/>
    </font>
    <font>
      <sz val="12"/>
      <color rgb="FF0070C0"/>
      <name val="Calibri"/>
      <family val="2"/>
    </font>
    <font>
      <sz val="7.5"/>
      <color theme="1"/>
      <name val="Arial"/>
      <family val="2"/>
    </font>
    <font>
      <b/>
      <sz val="10"/>
      <color theme="3"/>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theme="0"/>
        <bgColor indexed="64"/>
      </patternFill>
    </fill>
    <fill>
      <patternFill patternType="solid">
        <fgColor theme="1"/>
        <bgColor indexed="64"/>
      </patternFill>
    </fill>
    <fill>
      <patternFill patternType="solid">
        <fgColor rgb="FFF3F3F3"/>
        <bgColor indexed="64"/>
      </patternFill>
    </fill>
    <fill>
      <patternFill patternType="solid">
        <fgColor indexed="26"/>
        <bgColor indexed="64"/>
      </patternFill>
    </fill>
    <fill>
      <patternFill patternType="solid">
        <fgColor theme="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style="thin"/>
      <right style="thin"/>
      <top/>
      <bottom/>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ck">
        <color rgb="FF000000"/>
      </left>
      <right style="thick">
        <color rgb="FF000000"/>
      </right>
      <top style="thick">
        <color rgb="FF000000"/>
      </top>
      <bottom style="thick">
        <color rgb="FF000000"/>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ck"/>
      <right style="thick"/>
      <top style="thick"/>
      <bottom style="medium"/>
    </border>
    <border>
      <left>
        <color indexed="63"/>
      </left>
      <right style="thick"/>
      <top style="thick"/>
      <bottom style="medium"/>
    </border>
    <border>
      <left style="thick"/>
      <right style="thick"/>
      <top>
        <color indexed="63"/>
      </top>
      <bottom style="medium"/>
    </border>
    <border>
      <left>
        <color indexed="63"/>
      </left>
      <right style="thick"/>
      <top>
        <color indexed="63"/>
      </top>
      <bottom style="medium"/>
    </border>
    <border>
      <left style="thick"/>
      <right style="thick"/>
      <top>
        <color indexed="63"/>
      </top>
      <bottom style="thick"/>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ck">
        <color rgb="FF000000"/>
      </bottom>
    </border>
    <border>
      <left style="thick">
        <color rgb="FF000000"/>
      </left>
      <right style="thick">
        <color rgb="FF000000"/>
      </right>
      <top style="thick">
        <color rgb="FF000000"/>
      </top>
      <bottom>
        <color indexed="63"/>
      </bottom>
    </border>
    <border>
      <left style="thick">
        <color rgb="FF000000"/>
      </left>
      <right style="thick">
        <color rgb="FF000000"/>
      </right>
      <top>
        <color indexed="63"/>
      </top>
      <bottom style="thick">
        <color rgb="FF000000"/>
      </bottom>
    </border>
    <border>
      <left style="thick">
        <color rgb="FF000000"/>
      </left>
      <right>
        <color indexed="63"/>
      </right>
      <top style="thick">
        <color rgb="FF000000"/>
      </top>
      <bottom style="thick">
        <color rgb="FF000000"/>
      </bottom>
    </border>
    <border>
      <left>
        <color indexed="63"/>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0" borderId="6" applyNumberFormat="0" applyFill="0" applyAlignment="0" applyProtection="0"/>
    <xf numFmtId="0" fontId="0" fillId="22" borderId="7" applyNumberFormat="0" applyFont="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5" fillId="29" borderId="0" applyNumberFormat="0" applyBorder="0" applyAlignment="0" applyProtection="0"/>
    <xf numFmtId="0" fontId="56" fillId="30" borderId="8" applyNumberFormat="0" applyAlignment="0" applyProtection="0"/>
    <xf numFmtId="0" fontId="57" fillId="0" borderId="0" applyNumberFormat="0" applyFill="0" applyBorder="0" applyAlignment="0" applyProtection="0"/>
    <xf numFmtId="0" fontId="19" fillId="0" borderId="0">
      <alignment/>
      <protection/>
    </xf>
    <xf numFmtId="0" fontId="0" fillId="0" borderId="0">
      <alignment/>
      <protection/>
    </xf>
    <xf numFmtId="0" fontId="45" fillId="0" borderId="0">
      <alignment/>
      <protection/>
    </xf>
    <xf numFmtId="0" fontId="1" fillId="0" borderId="0">
      <alignment/>
      <protection/>
    </xf>
    <xf numFmtId="0" fontId="5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60" fillId="32" borderId="0" applyNumberFormat="0" applyBorder="0" applyAlignment="0" applyProtection="0"/>
    <xf numFmtId="0" fontId="61"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cellStyleXfs>
  <cellXfs count="540">
    <xf numFmtId="0" fontId="0" fillId="0" borderId="0" xfId="0" applyAlignment="1">
      <alignment/>
    </xf>
    <xf numFmtId="0" fontId="0" fillId="0" borderId="0" xfId="0" applyFont="1" applyFill="1" applyAlignment="1">
      <alignment/>
    </xf>
    <xf numFmtId="0" fontId="0" fillId="33" borderId="0" xfId="0" applyFont="1" applyFill="1" applyAlignment="1">
      <alignment/>
    </xf>
    <xf numFmtId="0" fontId="0" fillId="34" borderId="0" xfId="0" applyFont="1" applyFill="1" applyAlignment="1">
      <alignment/>
    </xf>
    <xf numFmtId="0" fontId="2" fillId="34" borderId="0" xfId="0" applyFont="1" applyFill="1" applyAlignment="1">
      <alignment/>
    </xf>
    <xf numFmtId="0" fontId="7" fillId="34" borderId="0" xfId="0" applyFont="1" applyFill="1" applyAlignment="1">
      <alignment/>
    </xf>
    <xf numFmtId="0" fontId="8" fillId="34" borderId="0" xfId="0" applyFont="1" applyFill="1" applyAlignment="1">
      <alignment/>
    </xf>
    <xf numFmtId="0" fontId="0" fillId="35" borderId="0" xfId="0" applyFont="1" applyFill="1" applyAlignment="1">
      <alignment/>
    </xf>
    <xf numFmtId="0" fontId="2" fillId="35" borderId="0" xfId="0" applyFont="1" applyFill="1" applyAlignment="1">
      <alignment/>
    </xf>
    <xf numFmtId="0" fontId="0" fillId="35" borderId="10" xfId="0" applyFont="1" applyFill="1" applyBorder="1" applyAlignment="1">
      <alignment/>
    </xf>
    <xf numFmtId="0" fontId="0"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0" fillId="35" borderId="13" xfId="0" applyFont="1" applyFill="1" applyBorder="1" applyAlignment="1">
      <alignment horizontal="center"/>
    </xf>
    <xf numFmtId="0" fontId="0" fillId="35" borderId="0"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35" borderId="17" xfId="0" applyFont="1" applyFill="1" applyBorder="1" applyAlignment="1">
      <alignment/>
    </xf>
    <xf numFmtId="0" fontId="0" fillId="35" borderId="18" xfId="0" applyFont="1" applyFill="1" applyBorder="1" applyAlignment="1">
      <alignment horizontal="right"/>
    </xf>
    <xf numFmtId="0" fontId="6" fillId="35" borderId="0" xfId="0" applyFont="1" applyFill="1" applyAlignment="1">
      <alignment/>
    </xf>
    <xf numFmtId="0" fontId="2" fillId="35" borderId="10" xfId="0" applyFont="1" applyFill="1" applyBorder="1" applyAlignment="1">
      <alignment/>
    </xf>
    <xf numFmtId="0" fontId="2" fillId="35" borderId="16" xfId="0" applyFont="1" applyFill="1" applyBorder="1" applyAlignment="1">
      <alignment/>
    </xf>
    <xf numFmtId="0" fontId="2" fillId="35" borderId="19" xfId="0" applyFont="1" applyFill="1" applyBorder="1" applyAlignment="1">
      <alignment/>
    </xf>
    <xf numFmtId="0" fontId="2" fillId="35" borderId="18" xfId="0" applyFont="1" applyFill="1" applyBorder="1" applyAlignment="1">
      <alignment/>
    </xf>
    <xf numFmtId="0" fontId="2" fillId="35" borderId="20" xfId="0" applyFont="1" applyFill="1" applyBorder="1" applyAlignment="1">
      <alignment/>
    </xf>
    <xf numFmtId="0" fontId="0" fillId="35" borderId="19" xfId="0" applyFont="1" applyFill="1" applyBorder="1" applyAlignment="1">
      <alignment/>
    </xf>
    <xf numFmtId="0" fontId="0" fillId="35" borderId="18" xfId="0" applyFont="1" applyFill="1" applyBorder="1" applyAlignment="1">
      <alignment/>
    </xf>
    <xf numFmtId="0" fontId="0" fillId="35" borderId="20" xfId="0" applyFont="1" applyFill="1" applyBorder="1" applyAlignment="1">
      <alignment/>
    </xf>
    <xf numFmtId="3" fontId="6" fillId="35" borderId="0" xfId="0" applyNumberFormat="1" applyFont="1" applyFill="1" applyAlignment="1">
      <alignment horizontal="right"/>
    </xf>
    <xf numFmtId="3" fontId="0" fillId="35" borderId="11" xfId="0" applyNumberFormat="1" applyFont="1" applyFill="1" applyBorder="1" applyAlignment="1">
      <alignment horizontal="right"/>
    </xf>
    <xf numFmtId="3" fontId="0" fillId="35" borderId="12" xfId="0" applyNumberFormat="1" applyFont="1" applyFill="1" applyBorder="1" applyAlignment="1">
      <alignment horizontal="right"/>
    </xf>
    <xf numFmtId="0" fontId="0" fillId="35" borderId="0" xfId="0" applyFont="1" applyFill="1" applyAlignment="1">
      <alignment horizontal="left"/>
    </xf>
    <xf numFmtId="0" fontId="6" fillId="35" borderId="0" xfId="0" applyFont="1" applyFill="1" applyBorder="1" applyAlignment="1">
      <alignment/>
    </xf>
    <xf numFmtId="3" fontId="0" fillId="35" borderId="16" xfId="0" applyNumberFormat="1" applyFont="1" applyFill="1" applyBorder="1" applyAlignment="1">
      <alignment horizontal="right"/>
    </xf>
    <xf numFmtId="3" fontId="0" fillId="35" borderId="17" xfId="0" applyNumberFormat="1" applyFont="1" applyFill="1" applyBorder="1" applyAlignment="1">
      <alignment horizontal="right"/>
    </xf>
    <xf numFmtId="0" fontId="0" fillId="35" borderId="0" xfId="0" applyFont="1" applyFill="1" applyAlignment="1">
      <alignment horizontal="right"/>
    </xf>
    <xf numFmtId="0" fontId="0" fillId="35" borderId="0" xfId="0" applyFont="1" applyFill="1" applyBorder="1" applyAlignment="1">
      <alignment horizontal="right"/>
    </xf>
    <xf numFmtId="3" fontId="0" fillId="35" borderId="0" xfId="0" applyNumberFormat="1" applyFont="1" applyFill="1" applyBorder="1" applyAlignment="1">
      <alignment horizontal="right"/>
    </xf>
    <xf numFmtId="3" fontId="0" fillId="35" borderId="14" xfId="0" applyNumberFormat="1" applyFont="1" applyFill="1" applyBorder="1" applyAlignment="1">
      <alignment horizontal="right"/>
    </xf>
    <xf numFmtId="0" fontId="2" fillId="35" borderId="0" xfId="0" applyFont="1" applyFill="1" applyBorder="1" applyAlignment="1">
      <alignment/>
    </xf>
    <xf numFmtId="0" fontId="6" fillId="35" borderId="0" xfId="0" applyFont="1" applyFill="1" applyBorder="1" applyAlignment="1" applyProtection="1">
      <alignment horizontal="left"/>
      <protection hidden="1" locked="0"/>
    </xf>
    <xf numFmtId="3" fontId="6" fillId="35" borderId="0" xfId="0" applyNumberFormat="1" applyFont="1" applyFill="1" applyBorder="1" applyAlignment="1" applyProtection="1">
      <alignment horizontal="center"/>
      <protection hidden="1" locked="0"/>
    </xf>
    <xf numFmtId="0" fontId="0" fillId="35" borderId="0" xfId="0" applyFont="1" applyFill="1" applyBorder="1" applyAlignment="1" applyProtection="1">
      <alignment horizontal="left"/>
      <protection hidden="1" locked="0"/>
    </xf>
    <xf numFmtId="0" fontId="2" fillId="35" borderId="19" xfId="0" applyFont="1" applyFill="1" applyBorder="1" applyAlignment="1">
      <alignment/>
    </xf>
    <xf numFmtId="0" fontId="2" fillId="35" borderId="18" xfId="0" applyFont="1" applyFill="1" applyBorder="1" applyAlignment="1">
      <alignment/>
    </xf>
    <xf numFmtId="0" fontId="2" fillId="35" borderId="20"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9" xfId="0" applyFont="1" applyFill="1" applyBorder="1" applyAlignment="1">
      <alignment/>
    </xf>
    <xf numFmtId="0" fontId="0" fillId="35" borderId="18" xfId="0" applyFont="1" applyFill="1" applyBorder="1" applyAlignment="1">
      <alignment/>
    </xf>
    <xf numFmtId="0" fontId="0" fillId="34" borderId="0" xfId="0" applyFont="1" applyFill="1" applyAlignment="1">
      <alignment/>
    </xf>
    <xf numFmtId="0" fontId="7" fillId="34" borderId="0" xfId="0" applyFont="1" applyFill="1" applyAlignment="1">
      <alignment/>
    </xf>
    <xf numFmtId="0" fontId="0" fillId="33" borderId="0" xfId="0" applyFont="1" applyFill="1" applyAlignment="1">
      <alignment/>
    </xf>
    <xf numFmtId="0" fontId="0" fillId="35" borderId="0" xfId="0" applyFont="1" applyFill="1" applyAlignment="1" applyProtection="1">
      <alignment/>
      <protection hidden="1"/>
    </xf>
    <xf numFmtId="0" fontId="10" fillId="35" borderId="0" xfId="0" applyFont="1" applyFill="1" applyAlignment="1">
      <alignment/>
    </xf>
    <xf numFmtId="165" fontId="0" fillId="35" borderId="0" xfId="0" applyNumberFormat="1" applyFont="1" applyFill="1" applyBorder="1" applyAlignment="1" applyProtection="1">
      <alignment horizontal="right"/>
      <protection hidden="1" locked="0"/>
    </xf>
    <xf numFmtId="0" fontId="11" fillId="35" borderId="0" xfId="0" applyFont="1" applyFill="1" applyAlignment="1">
      <alignment vertical="top" wrapText="1"/>
    </xf>
    <xf numFmtId="0" fontId="11" fillId="35" borderId="0" xfId="0" applyFont="1" applyFill="1" applyAlignment="1">
      <alignment horizontal="center" vertical="top" wrapText="1"/>
    </xf>
    <xf numFmtId="0" fontId="0" fillId="35" borderId="0" xfId="0" applyFont="1" applyFill="1" applyBorder="1" applyAlignment="1">
      <alignment horizontal="left"/>
    </xf>
    <xf numFmtId="9" fontId="11" fillId="35" borderId="0" xfId="0" applyNumberFormat="1" applyFont="1" applyFill="1" applyBorder="1" applyAlignment="1">
      <alignment horizontal="right" vertical="top" wrapText="1"/>
    </xf>
    <xf numFmtId="0" fontId="11" fillId="35" borderId="0" xfId="0" applyFont="1" applyFill="1" applyBorder="1" applyAlignment="1">
      <alignment horizontal="right" vertical="top" wrapText="1"/>
    </xf>
    <xf numFmtId="9" fontId="11" fillId="35" borderId="0" xfId="0" applyNumberFormat="1" applyFont="1" applyFill="1" applyBorder="1" applyAlignment="1" applyProtection="1">
      <alignment vertical="top" wrapText="1"/>
      <protection locked="0"/>
    </xf>
    <xf numFmtId="0" fontId="11" fillId="35" borderId="0" xfId="0" applyFont="1" applyFill="1" applyBorder="1" applyAlignment="1">
      <alignment vertical="top" wrapText="1"/>
    </xf>
    <xf numFmtId="9" fontId="11" fillId="35" borderId="0" xfId="0" applyNumberFormat="1" applyFont="1" applyFill="1" applyBorder="1" applyAlignment="1" applyProtection="1">
      <alignment horizontal="right" vertical="top" wrapText="1"/>
      <protection locked="0"/>
    </xf>
    <xf numFmtId="14" fontId="0" fillId="0" borderId="0" xfId="0" applyNumberFormat="1" applyAlignment="1">
      <alignment/>
    </xf>
    <xf numFmtId="0" fontId="0" fillId="35" borderId="10" xfId="0" applyFont="1" applyFill="1" applyBorder="1" applyAlignment="1">
      <alignment horizontal="centerContinuous"/>
    </xf>
    <xf numFmtId="0" fontId="0" fillId="35" borderId="11" xfId="0" applyFont="1" applyFill="1" applyBorder="1" applyAlignment="1">
      <alignment horizontal="centerContinuous"/>
    </xf>
    <xf numFmtId="0" fontId="0" fillId="35" borderId="12" xfId="0" applyFont="1" applyFill="1" applyBorder="1" applyAlignment="1">
      <alignment horizontal="centerContinuous"/>
    </xf>
    <xf numFmtId="0" fontId="0" fillId="35" borderId="13" xfId="0" applyFont="1" applyFill="1" applyBorder="1" applyAlignment="1">
      <alignment horizontal="centerContinuous"/>
    </xf>
    <xf numFmtId="0" fontId="0" fillId="35" borderId="0" xfId="0" applyFont="1" applyFill="1" applyBorder="1" applyAlignment="1">
      <alignment horizontal="centerContinuous"/>
    </xf>
    <xf numFmtId="0" fontId="0" fillId="35" borderId="14" xfId="0" applyFont="1" applyFill="1" applyBorder="1" applyAlignment="1">
      <alignment horizontal="centerContinuous"/>
    </xf>
    <xf numFmtId="0" fontId="0" fillId="35" borderId="16" xfId="0" applyFont="1" applyFill="1" applyBorder="1" applyAlignment="1">
      <alignment horizontal="centerContinuous"/>
    </xf>
    <xf numFmtId="0" fontId="0" fillId="35" borderId="17" xfId="0" applyFont="1" applyFill="1" applyBorder="1" applyAlignment="1">
      <alignment horizontal="centerContinuous"/>
    </xf>
    <xf numFmtId="0" fontId="0" fillId="35" borderId="13" xfId="0" applyFont="1" applyFill="1" applyBorder="1" applyAlignment="1">
      <alignment/>
    </xf>
    <xf numFmtId="0" fontId="0" fillId="35" borderId="10" xfId="0" applyFont="1" applyFill="1" applyBorder="1" applyAlignment="1">
      <alignment/>
    </xf>
    <xf numFmtId="0" fontId="0" fillId="0" borderId="0" xfId="0" applyFont="1" applyAlignment="1">
      <alignment/>
    </xf>
    <xf numFmtId="0" fontId="12" fillId="35" borderId="0" xfId="0" applyFont="1" applyFill="1" applyAlignment="1">
      <alignment/>
    </xf>
    <xf numFmtId="0" fontId="6" fillId="35" borderId="0" xfId="0" applyFont="1" applyFill="1" applyAlignment="1">
      <alignment/>
    </xf>
    <xf numFmtId="0" fontId="0" fillId="0" borderId="21" xfId="0" applyFont="1" applyFill="1" applyBorder="1" applyAlignment="1" applyProtection="1">
      <alignment horizontal="left"/>
      <protection hidden="1" locked="0"/>
    </xf>
    <xf numFmtId="0" fontId="0" fillId="35" borderId="22" xfId="0" applyFont="1" applyFill="1" applyBorder="1" applyAlignment="1">
      <alignment/>
    </xf>
    <xf numFmtId="0" fontId="0" fillId="35" borderId="23" xfId="0" applyFont="1" applyFill="1" applyBorder="1" applyAlignment="1">
      <alignment/>
    </xf>
    <xf numFmtId="0" fontId="0" fillId="35" borderId="24" xfId="0" applyFont="1" applyFill="1" applyBorder="1" applyAlignment="1">
      <alignment/>
    </xf>
    <xf numFmtId="0" fontId="0" fillId="35" borderId="0" xfId="0" applyFont="1" applyFill="1" applyAlignment="1">
      <alignment horizontal="centerContinuous"/>
    </xf>
    <xf numFmtId="0" fontId="2" fillId="35" borderId="0" xfId="0" applyFont="1" applyFill="1" applyAlignment="1">
      <alignment horizontal="centerContinuous"/>
    </xf>
    <xf numFmtId="0" fontId="12" fillId="35" borderId="0" xfId="0" applyFont="1" applyFill="1" applyAlignment="1">
      <alignment/>
    </xf>
    <xf numFmtId="0" fontId="0" fillId="0" borderId="19" xfId="0" applyFont="1" applyFill="1" applyBorder="1" applyAlignment="1" applyProtection="1">
      <alignment horizontal="left"/>
      <protection hidden="1" locked="0"/>
    </xf>
    <xf numFmtId="0" fontId="0" fillId="35" borderId="15" xfId="0" applyFont="1" applyFill="1" applyBorder="1" applyAlignment="1">
      <alignment horizontal="left"/>
    </xf>
    <xf numFmtId="0" fontId="2" fillId="35" borderId="10" xfId="0" applyFont="1" applyFill="1" applyBorder="1" applyAlignment="1">
      <alignment horizontal="left"/>
    </xf>
    <xf numFmtId="14" fontId="0" fillId="0" borderId="19" xfId="0" applyNumberFormat="1" applyFont="1" applyFill="1" applyBorder="1" applyAlignment="1" applyProtection="1">
      <alignment horizontal="left"/>
      <protection hidden="1" locked="0"/>
    </xf>
    <xf numFmtId="0" fontId="7" fillId="34" borderId="0" xfId="0" applyFont="1" applyFill="1" applyAlignment="1">
      <alignment horizont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33" borderId="0" xfId="0" applyFont="1" applyFill="1" applyBorder="1" applyAlignment="1">
      <alignment vertical="center"/>
    </xf>
    <xf numFmtId="0" fontId="5" fillId="0" borderId="21" xfId="0" applyFont="1" applyBorder="1" applyAlignment="1">
      <alignment horizontal="center" vertical="center"/>
    </xf>
    <xf numFmtId="0" fontId="5" fillId="0" borderId="16" xfId="0" applyFont="1" applyBorder="1" applyAlignment="1">
      <alignment vertical="center"/>
    </xf>
    <xf numFmtId="14" fontId="5" fillId="0" borderId="16" xfId="0" applyNumberFormat="1" applyFont="1" applyBorder="1" applyAlignment="1">
      <alignment vertical="center"/>
    </xf>
    <xf numFmtId="0" fontId="0" fillId="35" borderId="0" xfId="0" applyFont="1" applyFill="1" applyAlignment="1">
      <alignment/>
    </xf>
    <xf numFmtId="0" fontId="0" fillId="34"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2" fillId="35" borderId="10" xfId="0" applyFont="1" applyFill="1" applyBorder="1" applyAlignment="1">
      <alignment/>
    </xf>
    <xf numFmtId="0" fontId="0" fillId="35" borderId="11"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35" borderId="19" xfId="0" applyFont="1" applyFill="1" applyBorder="1" applyAlignment="1">
      <alignment/>
    </xf>
    <xf numFmtId="0" fontId="0" fillId="35" borderId="18" xfId="0" applyFont="1" applyFill="1" applyBorder="1" applyAlignment="1">
      <alignment/>
    </xf>
    <xf numFmtId="0" fontId="0" fillId="35" borderId="20" xfId="0" applyFont="1" applyFill="1" applyBorder="1" applyAlignment="1">
      <alignment/>
    </xf>
    <xf numFmtId="0" fontId="0" fillId="35" borderId="17" xfId="0" applyFont="1" applyFill="1" applyBorder="1" applyAlignment="1">
      <alignment/>
    </xf>
    <xf numFmtId="0" fontId="0" fillId="35" borderId="13" xfId="0" applyFont="1" applyFill="1" applyBorder="1" applyAlignment="1">
      <alignment/>
    </xf>
    <xf numFmtId="0" fontId="0" fillId="35" borderId="0" xfId="0" applyFont="1" applyFill="1" applyBorder="1" applyAlignment="1">
      <alignment/>
    </xf>
    <xf numFmtId="0" fontId="0" fillId="35" borderId="14" xfId="0" applyFont="1" applyFill="1" applyBorder="1" applyAlignment="1">
      <alignment/>
    </xf>
    <xf numFmtId="0" fontId="0" fillId="35" borderId="10" xfId="0" applyFont="1" applyFill="1" applyBorder="1" applyAlignment="1">
      <alignment/>
    </xf>
    <xf numFmtId="0" fontId="0" fillId="35" borderId="12" xfId="0" applyFont="1" applyFill="1" applyBorder="1" applyAlignment="1">
      <alignment/>
    </xf>
    <xf numFmtId="0" fontId="0" fillId="33" borderId="0" xfId="0" applyFont="1" applyFill="1" applyBorder="1" applyAlignment="1">
      <alignment/>
    </xf>
    <xf numFmtId="0" fontId="2" fillId="35" borderId="13" xfId="0" applyFont="1" applyFill="1" applyBorder="1" applyAlignment="1">
      <alignment/>
    </xf>
    <xf numFmtId="0" fontId="2" fillId="35" borderId="15" xfId="0" applyFont="1" applyFill="1" applyBorder="1" applyAlignment="1">
      <alignment/>
    </xf>
    <xf numFmtId="0" fontId="0" fillId="0" borderId="0" xfId="0" applyAlignment="1">
      <alignment/>
    </xf>
    <xf numFmtId="0" fontId="2" fillId="35" borderId="25" xfId="0" applyFont="1" applyFill="1" applyBorder="1" applyAlignment="1">
      <alignment horizontal="center"/>
    </xf>
    <xf numFmtId="0" fontId="0" fillId="35" borderId="26" xfId="0" applyFont="1" applyFill="1" applyBorder="1" applyAlignment="1">
      <alignment horizontal="center"/>
    </xf>
    <xf numFmtId="0" fontId="0" fillId="33" borderId="19" xfId="0" applyFont="1" applyFill="1" applyBorder="1" applyAlignment="1" applyProtection="1">
      <alignment horizontal="left"/>
      <protection hidden="1" locked="0"/>
    </xf>
    <xf numFmtId="0" fontId="0" fillId="35" borderId="13" xfId="0" applyFont="1" applyFill="1" applyBorder="1" applyAlignment="1">
      <alignment horizontal="left"/>
    </xf>
    <xf numFmtId="0" fontId="0" fillId="35" borderId="0" xfId="0" applyFont="1" applyFill="1" applyBorder="1" applyAlignment="1">
      <alignment horizontal="left"/>
    </xf>
    <xf numFmtId="0" fontId="2" fillId="35" borderId="13" xfId="0" applyFont="1" applyFill="1" applyBorder="1" applyAlignment="1">
      <alignment horizontal="left"/>
    </xf>
    <xf numFmtId="0" fontId="2" fillId="35" borderId="25" xfId="0" applyFont="1" applyFill="1" applyBorder="1" applyAlignment="1">
      <alignment horizontal="left"/>
    </xf>
    <xf numFmtId="0" fontId="0" fillId="35" borderId="26" xfId="0" applyFont="1" applyFill="1" applyBorder="1" applyAlignment="1">
      <alignment horizontal="left"/>
    </xf>
    <xf numFmtId="14" fontId="0" fillId="0" borderId="21" xfId="0" applyNumberFormat="1" applyFont="1" applyFill="1" applyBorder="1" applyAlignment="1" applyProtection="1">
      <alignment horizontal="center"/>
      <protection hidden="1" locked="0"/>
    </xf>
    <xf numFmtId="0" fontId="2" fillId="0" borderId="22" xfId="0" applyFont="1" applyBorder="1" applyAlignment="1">
      <alignment horizontal="centerContinuous"/>
    </xf>
    <xf numFmtId="0" fontId="2" fillId="0" borderId="23" xfId="0" applyFont="1" applyBorder="1" applyAlignment="1">
      <alignment horizontal="centerContinuous"/>
    </xf>
    <xf numFmtId="0" fontId="2" fillId="0" borderId="27" xfId="0" applyFont="1" applyBorder="1" applyAlignment="1">
      <alignment horizontal="centerContinuous"/>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0" fillId="0" borderId="23" xfId="0" applyBorder="1" applyAlignment="1">
      <alignment horizontal="centerContinuous"/>
    </xf>
    <xf numFmtId="0" fontId="0" fillId="0" borderId="27" xfId="0" applyBorder="1" applyAlignment="1">
      <alignment horizontal="centerContinuous"/>
    </xf>
    <xf numFmtId="0" fontId="0" fillId="0" borderId="0" xfId="0" applyFont="1" applyFill="1" applyBorder="1" applyAlignment="1">
      <alignment/>
    </xf>
    <xf numFmtId="0" fontId="0" fillId="33" borderId="0" xfId="0" applyFont="1" applyFill="1" applyBorder="1" applyAlignment="1">
      <alignment/>
    </xf>
    <xf numFmtId="0" fontId="0" fillId="35" borderId="10" xfId="0" applyFont="1" applyFill="1" applyBorder="1" applyAlignment="1">
      <alignment horizontal="center"/>
    </xf>
    <xf numFmtId="0" fontId="0" fillId="35" borderId="11" xfId="0" applyFont="1" applyFill="1" applyBorder="1" applyAlignment="1">
      <alignment horizontal="center"/>
    </xf>
    <xf numFmtId="0" fontId="0" fillId="35" borderId="15" xfId="0" applyFont="1" applyFill="1" applyBorder="1" applyAlignment="1">
      <alignment horizontal="center"/>
    </xf>
    <xf numFmtId="0" fontId="0" fillId="35" borderId="16" xfId="0" applyFont="1" applyFill="1" applyBorder="1" applyAlignment="1">
      <alignment horizontal="center"/>
    </xf>
    <xf numFmtId="0" fontId="0" fillId="35" borderId="12" xfId="0" applyFont="1" applyFill="1" applyBorder="1" applyAlignment="1">
      <alignment horizontal="center"/>
    </xf>
    <xf numFmtId="0" fontId="0" fillId="35" borderId="17" xfId="0" applyFont="1" applyFill="1" applyBorder="1" applyAlignment="1">
      <alignment horizontal="center"/>
    </xf>
    <xf numFmtId="0" fontId="0" fillId="35" borderId="0" xfId="0" applyFont="1" applyFill="1" applyBorder="1" applyAlignment="1">
      <alignment horizontal="center"/>
    </xf>
    <xf numFmtId="0" fontId="0" fillId="35" borderId="14"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5" borderId="33" xfId="0" applyFont="1" applyFill="1" applyBorder="1" applyAlignment="1">
      <alignment/>
    </xf>
    <xf numFmtId="0" fontId="0" fillId="35" borderId="34" xfId="0" applyFont="1" applyFill="1" applyBorder="1" applyAlignment="1">
      <alignment/>
    </xf>
    <xf numFmtId="0" fontId="0" fillId="33" borderId="19" xfId="0" applyFont="1" applyFill="1" applyBorder="1" applyAlignment="1" applyProtection="1">
      <alignment/>
      <protection/>
    </xf>
    <xf numFmtId="0" fontId="0" fillId="33" borderId="18" xfId="0" applyFill="1" applyBorder="1" applyAlignment="1" applyProtection="1">
      <alignment/>
      <protection/>
    </xf>
    <xf numFmtId="0" fontId="0" fillId="33" borderId="20" xfId="0" applyFill="1" applyBorder="1" applyAlignment="1" applyProtection="1">
      <alignment/>
      <protection/>
    </xf>
    <xf numFmtId="0" fontId="0" fillId="0" borderId="19" xfId="0" applyFont="1" applyFill="1" applyBorder="1" applyAlignment="1" applyProtection="1">
      <alignment horizontal="center"/>
      <protection/>
    </xf>
    <xf numFmtId="3" fontId="0" fillId="33" borderId="19" xfId="0" applyNumberFormat="1" applyFont="1" applyFill="1" applyBorder="1" applyAlignment="1" applyProtection="1">
      <alignment horizontal="right"/>
      <protection/>
    </xf>
    <xf numFmtId="0" fontId="0" fillId="33" borderId="20" xfId="0" applyFill="1" applyBorder="1" applyAlignment="1" applyProtection="1">
      <alignment horizontal="right"/>
      <protection/>
    </xf>
    <xf numFmtId="3" fontId="0" fillId="33" borderId="18" xfId="0" applyNumberFormat="1" applyFont="1" applyFill="1" applyBorder="1" applyAlignment="1" applyProtection="1">
      <alignment horizontal="right"/>
      <protection/>
    </xf>
    <xf numFmtId="3" fontId="0" fillId="33" borderId="20" xfId="0" applyNumberFormat="1" applyFont="1" applyFill="1" applyBorder="1" applyAlignment="1" applyProtection="1">
      <alignment horizontal="right"/>
      <protection/>
    </xf>
    <xf numFmtId="0" fontId="5" fillId="0" borderId="0" xfId="0" applyFont="1" applyBorder="1" applyAlignment="1">
      <alignment horizontal="left" vertical="top"/>
    </xf>
    <xf numFmtId="0" fontId="0" fillId="0" borderId="0" xfId="0" applyFont="1" applyFill="1" applyBorder="1" applyAlignment="1">
      <alignment/>
    </xf>
    <xf numFmtId="0" fontId="5" fillId="0" borderId="0" xfId="0" applyFont="1" applyAlignment="1">
      <alignment horizontal="left" vertical="top"/>
    </xf>
    <xf numFmtId="0" fontId="15" fillId="0" borderId="0" xfId="0" applyFont="1" applyBorder="1" applyAlignment="1">
      <alignment vertical="center"/>
    </xf>
    <xf numFmtId="0" fontId="15" fillId="0" borderId="0" xfId="0" applyFont="1" applyBorder="1" applyAlignment="1">
      <alignment horizontal="center" vertical="center"/>
    </xf>
    <xf numFmtId="14" fontId="15" fillId="0" borderId="0" xfId="0" applyNumberFormat="1" applyFont="1" applyAlignment="1">
      <alignment horizontal="left" vertical="top"/>
    </xf>
    <xf numFmtId="0" fontId="11" fillId="35" borderId="0" xfId="0" applyFont="1" applyFill="1" applyAlignment="1">
      <alignment horizontal="left" vertical="top" wrapText="1"/>
    </xf>
    <xf numFmtId="0" fontId="0" fillId="35" borderId="25" xfId="0" applyFont="1" applyFill="1" applyBorder="1" applyAlignment="1">
      <alignment/>
    </xf>
    <xf numFmtId="0" fontId="0" fillId="35" borderId="35" xfId="0" applyFont="1" applyFill="1" applyBorder="1" applyAlignment="1">
      <alignment/>
    </xf>
    <xf numFmtId="0" fontId="0" fillId="35" borderId="26" xfId="0" applyFont="1" applyFill="1" applyBorder="1" applyAlignment="1">
      <alignment/>
    </xf>
    <xf numFmtId="0" fontId="0" fillId="35" borderId="25" xfId="0" applyFont="1" applyFill="1" applyBorder="1" applyAlignment="1">
      <alignment horizontal="center"/>
    </xf>
    <xf numFmtId="0" fontId="0" fillId="35" borderId="35" xfId="0" applyFont="1" applyFill="1" applyBorder="1" applyAlignment="1">
      <alignment horizontal="center"/>
    </xf>
    <xf numFmtId="0" fontId="0" fillId="35" borderId="26" xfId="0" applyFont="1" applyFill="1" applyBorder="1" applyAlignment="1">
      <alignment horizontal="center"/>
    </xf>
    <xf numFmtId="0" fontId="0" fillId="35" borderId="14" xfId="0" applyFont="1" applyFill="1" applyBorder="1" applyAlignment="1">
      <alignment/>
    </xf>
    <xf numFmtId="9" fontId="5" fillId="0" borderId="0" xfId="66" applyFont="1" applyBorder="1" applyAlignment="1">
      <alignment vertical="center"/>
    </xf>
    <xf numFmtId="0" fontId="17" fillId="0" borderId="0" xfId="0" applyFont="1" applyAlignment="1" applyProtection="1">
      <alignment/>
      <protection hidden="1"/>
    </xf>
    <xf numFmtId="14" fontId="0" fillId="33" borderId="0" xfId="0" applyNumberFormat="1" applyFont="1" applyFill="1" applyAlignment="1">
      <alignment/>
    </xf>
    <xf numFmtId="0" fontId="0" fillId="33" borderId="0" xfId="0" applyNumberFormat="1" applyFont="1" applyFill="1" applyAlignment="1">
      <alignment/>
    </xf>
    <xf numFmtId="0" fontId="2" fillId="0" borderId="36" xfId="0" applyFont="1" applyFill="1" applyBorder="1" applyAlignment="1">
      <alignment horizontal="center"/>
    </xf>
    <xf numFmtId="0" fontId="2" fillId="0" borderId="37" xfId="0" applyFont="1" applyFill="1" applyBorder="1" applyAlignment="1">
      <alignment horizontal="center"/>
    </xf>
    <xf numFmtId="0" fontId="19" fillId="0" borderId="0" xfId="56" applyBorder="1" applyAlignment="1">
      <alignment horizontal="center" vertical="center"/>
      <protection/>
    </xf>
    <xf numFmtId="0" fontId="1" fillId="0" borderId="0" xfId="59" applyBorder="1" applyAlignment="1">
      <alignment horizontal="center" vertical="center"/>
      <protection/>
    </xf>
    <xf numFmtId="1" fontId="20" fillId="0" borderId="0" xfId="56" applyNumberFormat="1" applyFont="1" applyBorder="1" applyAlignment="1">
      <alignment horizontal="center" vertical="center"/>
      <protection/>
    </xf>
    <xf numFmtId="0" fontId="0" fillId="35" borderId="0" xfId="0" applyFont="1" applyFill="1" applyAlignment="1">
      <alignment vertical="top" wrapText="1"/>
    </xf>
    <xf numFmtId="0" fontId="17" fillId="0" borderId="0" xfId="0" applyFont="1" applyAlignment="1" applyProtection="1">
      <alignment/>
      <protection hidden="1"/>
    </xf>
    <xf numFmtId="0" fontId="0" fillId="35" borderId="38" xfId="0" applyFont="1" applyFill="1" applyBorder="1" applyAlignment="1">
      <alignment/>
    </xf>
    <xf numFmtId="0" fontId="0" fillId="35" borderId="39" xfId="0" applyFont="1" applyFill="1" applyBorder="1" applyAlignment="1">
      <alignment/>
    </xf>
    <xf numFmtId="0" fontId="0" fillId="35" borderId="40" xfId="0" applyFont="1" applyFill="1" applyBorder="1" applyAlignment="1">
      <alignment/>
    </xf>
    <xf numFmtId="9" fontId="5" fillId="0" borderId="0" xfId="66" applyFont="1" applyAlignment="1">
      <alignment vertical="center"/>
    </xf>
    <xf numFmtId="0" fontId="15" fillId="0" borderId="0" xfId="0" applyFont="1" applyBorder="1" applyAlignment="1">
      <alignment horizontal="left" vertical="center"/>
    </xf>
    <xf numFmtId="179" fontId="17" fillId="0" borderId="0" xfId="40" applyNumberFormat="1" applyFont="1" applyAlignment="1" applyProtection="1">
      <alignment/>
      <protection hidden="1"/>
    </xf>
    <xf numFmtId="0" fontId="15" fillId="0" borderId="21" xfId="0" applyFont="1" applyBorder="1" applyAlignment="1">
      <alignment vertical="center"/>
    </xf>
    <xf numFmtId="0" fontId="15" fillId="0" borderId="21" xfId="0" applyFont="1" applyBorder="1" applyAlignment="1">
      <alignment horizontal="center" vertical="center"/>
    </xf>
    <xf numFmtId="0" fontId="2" fillId="35" borderId="0" xfId="0" applyFont="1" applyFill="1" applyAlignment="1">
      <alignment horizontal="center"/>
    </xf>
    <xf numFmtId="0" fontId="13" fillId="0" borderId="0" xfId="0" applyFont="1" applyBorder="1" applyAlignment="1">
      <alignment vertical="center"/>
    </xf>
    <xf numFmtId="0" fontId="0" fillId="36" borderId="18" xfId="0" applyFont="1" applyFill="1" applyBorder="1" applyAlignment="1">
      <alignment/>
    </xf>
    <xf numFmtId="0" fontId="0" fillId="36" borderId="20" xfId="0" applyFont="1" applyFill="1" applyBorder="1" applyAlignment="1">
      <alignment/>
    </xf>
    <xf numFmtId="0" fontId="0" fillId="0" borderId="19" xfId="0" applyFont="1" applyFill="1" applyBorder="1" applyAlignment="1" applyProtection="1">
      <alignment horizontal="left"/>
      <protection hidden="1"/>
    </xf>
    <xf numFmtId="0" fontId="5" fillId="36" borderId="19" xfId="0" applyFont="1" applyFill="1" applyBorder="1" applyAlignment="1">
      <alignment/>
    </xf>
    <xf numFmtId="0" fontId="0" fillId="0" borderId="21"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left"/>
      <protection locked="0"/>
    </xf>
    <xf numFmtId="0" fontId="0" fillId="0" borderId="41" xfId="0" applyFont="1" applyFill="1" applyBorder="1" applyAlignment="1" applyProtection="1">
      <alignment/>
      <protection locked="0"/>
    </xf>
    <xf numFmtId="14" fontId="0" fillId="0" borderId="26" xfId="0" applyNumberFormat="1" applyFont="1" applyFill="1" applyBorder="1" applyAlignment="1" applyProtection="1">
      <alignment/>
      <protection locked="0"/>
    </xf>
    <xf numFmtId="0" fontId="0" fillId="0" borderId="42" xfId="0" applyFont="1" applyFill="1" applyBorder="1" applyAlignment="1" applyProtection="1">
      <alignment/>
      <protection locked="0"/>
    </xf>
    <xf numFmtId="3" fontId="0" fillId="35" borderId="0" xfId="0" applyNumberFormat="1" applyFont="1" applyFill="1" applyAlignment="1" applyProtection="1">
      <alignment horizontal="centerContinuous"/>
      <protection locked="0"/>
    </xf>
    <xf numFmtId="0" fontId="15" fillId="0" borderId="0" xfId="57" applyFont="1" applyFill="1" applyBorder="1" applyAlignment="1">
      <alignment horizontal="center" vertical="center"/>
      <protection/>
    </xf>
    <xf numFmtId="0" fontId="5" fillId="0" borderId="0" xfId="57" applyFont="1" applyAlignment="1">
      <alignment/>
      <protection/>
    </xf>
    <xf numFmtId="0" fontId="5" fillId="0" borderId="0" xfId="57" applyFont="1" applyFill="1" applyBorder="1" applyAlignment="1">
      <alignment horizontal="left" vertical="top"/>
      <protection/>
    </xf>
    <xf numFmtId="179" fontId="15" fillId="0" borderId="0" xfId="40" applyNumberFormat="1" applyFont="1" applyAlignment="1">
      <alignment horizontal="right" vertical="center"/>
    </xf>
    <xf numFmtId="179" fontId="5" fillId="0" borderId="0" xfId="40" applyNumberFormat="1" applyFont="1" applyAlignment="1">
      <alignment horizontal="left" vertical="center"/>
    </xf>
    <xf numFmtId="0" fontId="16" fillId="0" borderId="0" xfId="0" applyFont="1" applyAlignment="1" applyProtection="1">
      <alignment/>
      <protection locked="0"/>
    </xf>
    <xf numFmtId="0" fontId="17" fillId="0" borderId="0" xfId="0" applyFont="1" applyAlignment="1" applyProtection="1">
      <alignment/>
      <protection locked="0"/>
    </xf>
    <xf numFmtId="0" fontId="16" fillId="0" borderId="25" xfId="0" applyFont="1" applyBorder="1" applyAlignment="1" applyProtection="1">
      <alignment/>
      <protection locked="0"/>
    </xf>
    <xf numFmtId="179" fontId="17" fillId="0" borderId="0" xfId="40" applyNumberFormat="1" applyFont="1" applyAlignment="1" applyProtection="1">
      <alignment/>
      <protection locked="0"/>
    </xf>
    <xf numFmtId="0" fontId="16" fillId="0" borderId="0" xfId="0" applyFont="1" applyFill="1" applyAlignment="1" applyProtection="1">
      <alignment/>
      <protection locked="0"/>
    </xf>
    <xf numFmtId="0" fontId="17" fillId="0" borderId="35" xfId="0" applyFont="1" applyBorder="1" applyAlignment="1" applyProtection="1">
      <alignment/>
      <protection locked="0"/>
    </xf>
    <xf numFmtId="164" fontId="17" fillId="0" borderId="0" xfId="0" applyNumberFormat="1" applyFont="1" applyAlignment="1" applyProtection="1">
      <alignment/>
      <protection locked="0"/>
    </xf>
    <xf numFmtId="0" fontId="17" fillId="0" borderId="26" xfId="0" applyFont="1" applyBorder="1" applyAlignment="1" applyProtection="1">
      <alignment/>
      <protection locked="0"/>
    </xf>
    <xf numFmtId="0" fontId="17" fillId="0" borderId="21" xfId="0" applyFont="1" applyBorder="1" applyAlignment="1" applyProtection="1">
      <alignment/>
      <protection locked="0"/>
    </xf>
    <xf numFmtId="3" fontId="17" fillId="0" borderId="0" xfId="0" applyNumberFormat="1" applyFont="1" applyAlignment="1" applyProtection="1">
      <alignment/>
      <protection locked="0"/>
    </xf>
    <xf numFmtId="1" fontId="17" fillId="0" borderId="0" xfId="0" applyNumberFormat="1" applyFont="1" applyAlignment="1" applyProtection="1">
      <alignment/>
      <protection locked="0"/>
    </xf>
    <xf numFmtId="164" fontId="16" fillId="0" borderId="0" xfId="0" applyNumberFormat="1" applyFont="1" applyAlignment="1" applyProtection="1">
      <alignment/>
      <protection locked="0"/>
    </xf>
    <xf numFmtId="0" fontId="16" fillId="0" borderId="0" xfId="0" applyFont="1" applyAlignment="1" applyProtection="1">
      <alignment/>
      <protection locked="0"/>
    </xf>
    <xf numFmtId="0" fontId="0" fillId="0" borderId="0" xfId="0" applyAlignment="1" applyProtection="1">
      <alignment/>
      <protection locked="0"/>
    </xf>
    <xf numFmtId="179" fontId="17" fillId="0" borderId="0" xfId="40" applyNumberFormat="1" applyFont="1" applyAlignment="1" applyProtection="1">
      <alignment horizontal="center"/>
      <protection locked="0"/>
    </xf>
    <xf numFmtId="0" fontId="17" fillId="0" borderId="0" xfId="0" applyFont="1" applyAlignment="1" applyProtection="1">
      <alignment horizontal="center"/>
      <protection locked="0"/>
    </xf>
    <xf numFmtId="0" fontId="62" fillId="37" borderId="0" xfId="0" applyFont="1" applyFill="1" applyAlignment="1" applyProtection="1">
      <alignment/>
      <protection locked="0"/>
    </xf>
    <xf numFmtId="0" fontId="63" fillId="38" borderId="43" xfId="0" applyFont="1" applyFill="1" applyBorder="1" applyAlignment="1" applyProtection="1">
      <alignment horizontal="center" wrapText="1"/>
      <protection locked="0"/>
    </xf>
    <xf numFmtId="0" fontId="64" fillId="0" borderId="0" xfId="0" applyFont="1" applyAlignment="1" applyProtection="1">
      <alignment/>
      <protection locked="0"/>
    </xf>
    <xf numFmtId="0" fontId="65" fillId="0" borderId="43" xfId="0" applyFont="1" applyBorder="1" applyAlignment="1" applyProtection="1">
      <alignment horizontal="center" wrapText="1"/>
      <protection locked="0"/>
    </xf>
    <xf numFmtId="14" fontId="17" fillId="0" borderId="0" xfId="0" applyNumberFormat="1" applyFont="1" applyAlignment="1" applyProtection="1">
      <alignment/>
      <protection locked="0"/>
    </xf>
    <xf numFmtId="0" fontId="21" fillId="0" borderId="0" xfId="0" applyFont="1" applyAlignment="1" applyProtection="1">
      <alignment/>
      <protection locked="0"/>
    </xf>
    <xf numFmtId="0" fontId="0" fillId="0" borderId="0" xfId="0" applyFont="1" applyAlignment="1" applyProtection="1">
      <alignment/>
      <protection locked="0"/>
    </xf>
    <xf numFmtId="16" fontId="17" fillId="0" borderId="21" xfId="0" applyNumberFormat="1" applyFont="1" applyBorder="1" applyAlignment="1" applyProtection="1">
      <alignment/>
      <protection locked="0"/>
    </xf>
    <xf numFmtId="16" fontId="17" fillId="0" borderId="0" xfId="0" applyNumberFormat="1" applyFont="1" applyAlignment="1" applyProtection="1">
      <alignment/>
      <protection locked="0"/>
    </xf>
    <xf numFmtId="2" fontId="17" fillId="0" borderId="0" xfId="0" applyNumberFormat="1" applyFont="1" applyAlignment="1" applyProtection="1">
      <alignment/>
      <protection locked="0"/>
    </xf>
    <xf numFmtId="0" fontId="17" fillId="0" borderId="0" xfId="0" applyFont="1" applyAlignment="1" applyProtection="1">
      <alignment/>
      <protection locked="0"/>
    </xf>
    <xf numFmtId="0" fontId="17" fillId="0" borderId="22" xfId="0" applyFont="1" applyBorder="1" applyAlignment="1" applyProtection="1">
      <alignment/>
      <protection locked="0"/>
    </xf>
    <xf numFmtId="0" fontId="17" fillId="0" borderId="23" xfId="0" applyFont="1" applyBorder="1" applyAlignment="1" applyProtection="1">
      <alignment/>
      <protection locked="0"/>
    </xf>
    <xf numFmtId="3" fontId="17" fillId="0" borderId="23" xfId="0" applyNumberFormat="1" applyFont="1" applyBorder="1" applyAlignment="1" applyProtection="1">
      <alignment/>
      <protection locked="0"/>
    </xf>
    <xf numFmtId="3" fontId="17" fillId="0" borderId="27" xfId="0" applyNumberFormat="1" applyFont="1" applyBorder="1" applyAlignment="1" applyProtection="1">
      <alignment/>
      <protection locked="0"/>
    </xf>
    <xf numFmtId="0" fontId="17" fillId="0" borderId="44" xfId="0" applyFont="1" applyBorder="1" applyAlignment="1" applyProtection="1">
      <alignment/>
      <protection locked="0"/>
    </xf>
    <xf numFmtId="0" fontId="17" fillId="0" borderId="0" xfId="0" applyFont="1" applyBorder="1" applyAlignment="1" applyProtection="1">
      <alignment/>
      <protection locked="0"/>
    </xf>
    <xf numFmtId="3" fontId="17" fillId="0" borderId="0" xfId="0" applyNumberFormat="1" applyFont="1" applyBorder="1" applyAlignment="1" applyProtection="1">
      <alignment/>
      <protection locked="0"/>
    </xf>
    <xf numFmtId="3" fontId="17" fillId="0" borderId="45" xfId="0" applyNumberFormat="1" applyFont="1" applyBorder="1" applyAlignment="1" applyProtection="1">
      <alignment/>
      <protection locked="0"/>
    </xf>
    <xf numFmtId="0" fontId="17" fillId="0" borderId="31" xfId="0" applyFont="1" applyBorder="1" applyAlignment="1" applyProtection="1">
      <alignment/>
      <protection locked="0"/>
    </xf>
    <xf numFmtId="0" fontId="17" fillId="0" borderId="32" xfId="0" applyFont="1" applyBorder="1" applyAlignment="1" applyProtection="1">
      <alignment/>
      <protection locked="0"/>
    </xf>
    <xf numFmtId="3" fontId="17" fillId="0" borderId="32" xfId="0" applyNumberFormat="1" applyFont="1" applyBorder="1" applyAlignment="1" applyProtection="1">
      <alignment/>
      <protection locked="0"/>
    </xf>
    <xf numFmtId="3" fontId="17" fillId="0" borderId="46" xfId="0" applyNumberFormat="1" applyFont="1" applyBorder="1" applyAlignment="1" applyProtection="1">
      <alignment/>
      <protection locked="0"/>
    </xf>
    <xf numFmtId="0" fontId="5" fillId="0" borderId="0" xfId="0" applyFont="1" applyAlignment="1">
      <alignment horizontal="left" vertical="top" wrapText="1"/>
    </xf>
    <xf numFmtId="0" fontId="5" fillId="0" borderId="0" xfId="0" applyFont="1" applyFill="1" applyAlignment="1">
      <alignment vertical="center"/>
    </xf>
    <xf numFmtId="0" fontId="5" fillId="33" borderId="0" xfId="0" applyFont="1" applyFill="1" applyAlignment="1">
      <alignment vertical="center"/>
    </xf>
    <xf numFmtId="0" fontId="15" fillId="0" borderId="0" xfId="0"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0" xfId="0" applyFont="1" applyBorder="1" applyAlignment="1">
      <alignment horizontal="right" vertical="center"/>
    </xf>
    <xf numFmtId="0" fontId="5"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5" fillId="0" borderId="21" xfId="0" applyFont="1" applyBorder="1" applyAlignment="1">
      <alignment vertical="center"/>
    </xf>
    <xf numFmtId="1" fontId="5" fillId="0" borderId="0" xfId="0" applyNumberFormat="1" applyFont="1" applyAlignment="1">
      <alignment vertical="center"/>
    </xf>
    <xf numFmtId="0" fontId="0" fillId="33" borderId="15" xfId="0" applyFont="1" applyFill="1" applyBorder="1" applyAlignment="1" applyProtection="1">
      <alignment horizontal="centerContinuous"/>
      <protection/>
    </xf>
    <xf numFmtId="0" fontId="0" fillId="33" borderId="19" xfId="0" applyFont="1" applyFill="1" applyBorder="1" applyAlignment="1" applyProtection="1">
      <alignment horizontal="centerContinuous"/>
      <protection/>
    </xf>
    <xf numFmtId="0" fontId="0" fillId="33" borderId="18" xfId="0" applyFont="1" applyFill="1" applyBorder="1" applyAlignment="1" applyProtection="1">
      <alignment horizontal="centerContinuous"/>
      <protection/>
    </xf>
    <xf numFmtId="0" fontId="0" fillId="33" borderId="18" xfId="0" applyFill="1" applyBorder="1" applyAlignment="1" applyProtection="1">
      <alignment horizontal="centerContinuous"/>
      <protection/>
    </xf>
    <xf numFmtId="0" fontId="0" fillId="33" borderId="16" xfId="0" applyFont="1" applyFill="1" applyBorder="1" applyAlignment="1" applyProtection="1">
      <alignment horizontal="centerContinuous"/>
      <protection/>
    </xf>
    <xf numFmtId="0" fontId="0" fillId="33" borderId="17" xfId="0" applyFont="1" applyFill="1" applyBorder="1" applyAlignment="1" applyProtection="1">
      <alignment horizontal="centerContinuous"/>
      <protection/>
    </xf>
    <xf numFmtId="0" fontId="0" fillId="33" borderId="20" xfId="0" applyFont="1" applyFill="1" applyBorder="1" applyAlignment="1" applyProtection="1">
      <alignment horizontal="centerContinuous"/>
      <protection/>
    </xf>
    <xf numFmtId="0" fontId="0" fillId="33" borderId="20" xfId="0" applyFill="1" applyBorder="1" applyAlignment="1" applyProtection="1">
      <alignment horizontal="centerContinuous"/>
      <protection/>
    </xf>
    <xf numFmtId="0" fontId="11" fillId="35" borderId="0" xfId="0" applyFont="1" applyFill="1" applyAlignment="1">
      <alignment horizontal="centerContinuous" vertical="top" wrapText="1"/>
    </xf>
    <xf numFmtId="0" fontId="6" fillId="35" borderId="0" xfId="0" applyFont="1" applyFill="1" applyAlignment="1">
      <alignment horizontal="centerContinuous"/>
    </xf>
    <xf numFmtId="0" fontId="11" fillId="35" borderId="0" xfId="0" applyFont="1" applyFill="1" applyAlignment="1">
      <alignment horizontal="centerContinuous" vertical="top"/>
    </xf>
    <xf numFmtId="0" fontId="9" fillId="35" borderId="0" xfId="0" applyFont="1" applyFill="1" applyAlignment="1" applyProtection="1">
      <alignment/>
      <protection hidden="1"/>
    </xf>
    <xf numFmtId="0" fontId="6" fillId="35" borderId="0" xfId="0" applyFont="1" applyFill="1" applyAlignment="1" applyProtection="1">
      <alignment/>
      <protection hidden="1"/>
    </xf>
    <xf numFmtId="0" fontId="6" fillId="35" borderId="0" xfId="0" applyFont="1" applyFill="1" applyAlignment="1" applyProtection="1">
      <alignment/>
      <protection hidden="1"/>
    </xf>
    <xf numFmtId="0" fontId="6" fillId="35" borderId="0" xfId="0" applyFont="1" applyFill="1" applyBorder="1" applyAlignment="1" applyProtection="1">
      <alignment/>
      <protection hidden="1"/>
    </xf>
    <xf numFmtId="0" fontId="66" fillId="35" borderId="0" xfId="0" applyFont="1" applyFill="1" applyAlignment="1" applyProtection="1">
      <alignment horizontal="centerContinuous"/>
      <protection hidden="1"/>
    </xf>
    <xf numFmtId="0" fontId="5" fillId="0" borderId="0" xfId="0" applyFont="1" applyAlignment="1" applyProtection="1">
      <alignment horizontal="left" vertical="center"/>
      <protection/>
    </xf>
    <xf numFmtId="9" fontId="5" fillId="0" borderId="0" xfId="0" applyNumberFormat="1" applyFont="1" applyAlignment="1">
      <alignment vertical="center"/>
    </xf>
    <xf numFmtId="0" fontId="0" fillId="0" borderId="0" xfId="0" applyAlignment="1">
      <alignment vertical="center"/>
    </xf>
    <xf numFmtId="0" fontId="5" fillId="0" borderId="11" xfId="0" applyFont="1" applyBorder="1" applyAlignment="1">
      <alignment vertical="center"/>
    </xf>
    <xf numFmtId="0" fontId="5" fillId="0" borderId="0" xfId="0" applyFont="1" applyAlignment="1">
      <alignment/>
    </xf>
    <xf numFmtId="49" fontId="0" fillId="0" borderId="19" xfId="0" applyNumberFormat="1" applyFont="1" applyFill="1" applyBorder="1" applyAlignment="1" applyProtection="1">
      <alignment horizontal="left"/>
      <protection hidden="1" locked="0"/>
    </xf>
    <xf numFmtId="0" fontId="15" fillId="0" borderId="0" xfId="0" applyFont="1" applyAlignment="1">
      <alignment horizontal="center" vertical="top"/>
    </xf>
    <xf numFmtId="172" fontId="15" fillId="0" borderId="0" xfId="0" applyNumberFormat="1" applyFont="1" applyBorder="1" applyAlignment="1">
      <alignment horizontal="left" vertical="center"/>
    </xf>
    <xf numFmtId="3" fontId="0" fillId="0" borderId="47" xfId="0" applyNumberFormat="1" applyFont="1" applyBorder="1" applyAlignment="1">
      <alignment horizontal="center"/>
    </xf>
    <xf numFmtId="3" fontId="0" fillId="0" borderId="48" xfId="0" applyNumberFormat="1" applyFont="1" applyBorder="1" applyAlignment="1">
      <alignment horizontal="center"/>
    </xf>
    <xf numFmtId="3" fontId="0" fillId="0" borderId="49" xfId="0" applyNumberFormat="1" applyFont="1" applyBorder="1" applyAlignment="1">
      <alignment horizontal="center"/>
    </xf>
    <xf numFmtId="3" fontId="0" fillId="0" borderId="50" xfId="0" applyNumberFormat="1" applyFont="1" applyBorder="1" applyAlignment="1">
      <alignment horizontal="center"/>
    </xf>
    <xf numFmtId="3" fontId="0" fillId="0" borderId="51" xfId="0" applyNumberFormat="1" applyFont="1" applyBorder="1" applyAlignment="1">
      <alignment horizontal="center"/>
    </xf>
    <xf numFmtId="3" fontId="0" fillId="0" borderId="52" xfId="0" applyNumberFormat="1" applyFont="1" applyBorder="1" applyAlignment="1">
      <alignment horizontal="center"/>
    </xf>
    <xf numFmtId="0" fontId="16" fillId="0" borderId="21" xfId="0" applyFont="1" applyBorder="1" applyAlignment="1" applyProtection="1">
      <alignment/>
      <protection locked="0"/>
    </xf>
    <xf numFmtId="3" fontId="17" fillId="0" borderId="21" xfId="0" applyNumberFormat="1" applyFont="1" applyBorder="1" applyAlignment="1" applyProtection="1">
      <alignment/>
      <protection locked="0"/>
    </xf>
    <xf numFmtId="0" fontId="0" fillId="0" borderId="0" xfId="0" applyAlignment="1">
      <alignment wrapText="1"/>
    </xf>
    <xf numFmtId="0" fontId="0" fillId="0" borderId="21" xfId="0" applyBorder="1" applyAlignment="1" applyProtection="1">
      <alignment horizontal="center"/>
      <protection locked="0"/>
    </xf>
    <xf numFmtId="0" fontId="67" fillId="35" borderId="0" xfId="0" applyFont="1" applyFill="1" applyAlignment="1">
      <alignment/>
    </xf>
    <xf numFmtId="3" fontId="0" fillId="35" borderId="0" xfId="0" applyNumberFormat="1" applyFont="1" applyFill="1" applyAlignment="1" applyProtection="1">
      <alignment horizontal="right"/>
      <protection hidden="1"/>
    </xf>
    <xf numFmtId="3" fontId="0" fillId="35" borderId="15" xfId="0" applyNumberFormat="1" applyFont="1" applyFill="1" applyBorder="1" applyAlignment="1" applyProtection="1">
      <alignment horizontal="center"/>
      <protection hidden="1"/>
    </xf>
    <xf numFmtId="3" fontId="0" fillId="35" borderId="16" xfId="0" applyNumberFormat="1" applyFont="1" applyFill="1" applyBorder="1" applyAlignment="1" applyProtection="1">
      <alignment horizontal="center"/>
      <protection hidden="1"/>
    </xf>
    <xf numFmtId="3" fontId="0" fillId="35" borderId="17" xfId="0" applyNumberFormat="1" applyFont="1" applyFill="1" applyBorder="1" applyAlignment="1" applyProtection="1">
      <alignment horizontal="center"/>
      <protection hidden="1"/>
    </xf>
    <xf numFmtId="49" fontId="0" fillId="33" borderId="19" xfId="0" applyNumberFormat="1" applyFont="1" applyFill="1" applyBorder="1" applyAlignment="1">
      <alignment/>
    </xf>
    <xf numFmtId="0" fontId="0" fillId="0" borderId="20" xfId="0" applyBorder="1" applyAlignment="1">
      <alignment/>
    </xf>
    <xf numFmtId="0" fontId="0" fillId="35" borderId="15" xfId="0" applyFont="1" applyFill="1" applyBorder="1" applyAlignment="1">
      <alignment horizontal="center"/>
    </xf>
    <xf numFmtId="0" fontId="0" fillId="35" borderId="16" xfId="0" applyFont="1" applyFill="1" applyBorder="1" applyAlignment="1">
      <alignment horizontal="center"/>
    </xf>
    <xf numFmtId="0" fontId="0" fillId="35" borderId="21" xfId="0" applyFont="1" applyFill="1" applyBorder="1" applyAlignment="1">
      <alignment/>
    </xf>
    <xf numFmtId="0" fontId="0" fillId="0" borderId="21" xfId="0" applyBorder="1" applyAlignment="1">
      <alignment/>
    </xf>
    <xf numFmtId="3" fontId="0" fillId="0" borderId="19" xfId="0" applyNumberFormat="1" applyFont="1" applyFill="1" applyBorder="1" applyAlignment="1" applyProtection="1">
      <alignment horizontal="right"/>
      <protection hidden="1" locked="0"/>
    </xf>
    <xf numFmtId="3" fontId="0" fillId="0" borderId="18" xfId="0" applyNumberFormat="1" applyFont="1" applyFill="1" applyBorder="1" applyAlignment="1" applyProtection="1">
      <alignment horizontal="right"/>
      <protection hidden="1" locked="0"/>
    </xf>
    <xf numFmtId="3" fontId="0" fillId="0" borderId="20" xfId="0" applyNumberFormat="1" applyFont="1" applyFill="1" applyBorder="1" applyAlignment="1" applyProtection="1">
      <alignment horizontal="right"/>
      <protection hidden="1" locked="0"/>
    </xf>
    <xf numFmtId="3" fontId="0" fillId="35" borderId="19" xfId="0" applyNumberFormat="1" applyFont="1" applyFill="1" applyBorder="1" applyAlignment="1" applyProtection="1">
      <alignment horizontal="right"/>
      <protection hidden="1"/>
    </xf>
    <xf numFmtId="3" fontId="0" fillId="35" borderId="18" xfId="0" applyNumberFormat="1" applyFont="1" applyFill="1" applyBorder="1" applyAlignment="1" applyProtection="1">
      <alignment horizontal="right"/>
      <protection hidden="1"/>
    </xf>
    <xf numFmtId="3" fontId="0" fillId="35" borderId="20" xfId="0" applyNumberFormat="1" applyFont="1" applyFill="1" applyBorder="1" applyAlignment="1" applyProtection="1">
      <alignment horizontal="right"/>
      <protection hidden="1"/>
    </xf>
    <xf numFmtId="0" fontId="9" fillId="35" borderId="0" xfId="0" applyFont="1" applyFill="1" applyAlignment="1">
      <alignment horizontal="left" wrapText="1"/>
    </xf>
    <xf numFmtId="3" fontId="0" fillId="0" borderId="15" xfId="0" applyNumberFormat="1" applyFont="1" applyFill="1" applyBorder="1" applyAlignment="1" applyProtection="1">
      <alignment horizontal="right"/>
      <protection/>
    </xf>
    <xf numFmtId="3" fontId="0" fillId="0" borderId="16" xfId="0" applyNumberFormat="1" applyFont="1" applyFill="1" applyBorder="1" applyAlignment="1" applyProtection="1">
      <alignment horizontal="right"/>
      <protection/>
    </xf>
    <xf numFmtId="3" fontId="0" fillId="0" borderId="17" xfId="0" applyNumberFormat="1" applyFont="1" applyFill="1" applyBorder="1" applyAlignment="1" applyProtection="1">
      <alignment horizontal="right"/>
      <protection/>
    </xf>
    <xf numFmtId="0" fontId="0" fillId="35" borderId="19" xfId="0" applyFont="1" applyFill="1" applyBorder="1" applyAlignment="1">
      <alignment horizontal="center"/>
    </xf>
    <xf numFmtId="0" fontId="0" fillId="35" borderId="18" xfId="0" applyFont="1" applyFill="1" applyBorder="1" applyAlignment="1">
      <alignment horizontal="center"/>
    </xf>
    <xf numFmtId="0" fontId="0" fillId="35" borderId="20" xfId="0" applyFont="1" applyFill="1" applyBorder="1" applyAlignment="1">
      <alignment horizontal="center"/>
    </xf>
    <xf numFmtId="0" fontId="0" fillId="0" borderId="19" xfId="0" applyFont="1" applyFill="1" applyBorder="1" applyAlignment="1" applyProtection="1">
      <alignment horizontal="right"/>
      <protection hidden="1"/>
    </xf>
    <xf numFmtId="0" fontId="0" fillId="0" borderId="18" xfId="0" applyFont="1" applyFill="1" applyBorder="1" applyAlignment="1" applyProtection="1">
      <alignment horizontal="right"/>
      <protection hidden="1"/>
    </xf>
    <xf numFmtId="0" fontId="0" fillId="0" borderId="20" xfId="0" applyFont="1" applyFill="1" applyBorder="1" applyAlignment="1" applyProtection="1">
      <alignment horizontal="right"/>
      <protection hidden="1"/>
    </xf>
    <xf numFmtId="0" fontId="0" fillId="35" borderId="17" xfId="0" applyFont="1" applyFill="1" applyBorder="1" applyAlignment="1">
      <alignment horizontal="center"/>
    </xf>
    <xf numFmtId="3" fontId="0" fillId="35" borderId="13" xfId="0" applyNumberFormat="1" applyFont="1" applyFill="1" applyBorder="1" applyAlignment="1">
      <alignment horizontal="center"/>
    </xf>
    <xf numFmtId="3" fontId="0" fillId="35" borderId="0"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5" borderId="10" xfId="0" applyNumberFormat="1" applyFont="1" applyFill="1" applyBorder="1" applyAlignment="1" applyProtection="1">
      <alignment horizontal="right"/>
      <protection hidden="1"/>
    </xf>
    <xf numFmtId="3" fontId="0" fillId="35" borderId="11" xfId="0" applyNumberFormat="1" applyFont="1" applyFill="1" applyBorder="1" applyAlignment="1" applyProtection="1">
      <alignment horizontal="right"/>
      <protection hidden="1"/>
    </xf>
    <xf numFmtId="3" fontId="0" fillId="35" borderId="12" xfId="0" applyNumberFormat="1" applyFont="1" applyFill="1" applyBorder="1" applyAlignment="1" applyProtection="1">
      <alignment horizontal="right"/>
      <protection hidden="1"/>
    </xf>
    <xf numFmtId="3" fontId="0" fillId="35" borderId="10" xfId="0" applyNumberFormat="1" applyFont="1" applyFill="1" applyBorder="1" applyAlignment="1" applyProtection="1">
      <alignment horizontal="center"/>
      <protection hidden="1"/>
    </xf>
    <xf numFmtId="3" fontId="0" fillId="35" borderId="11" xfId="0" applyNumberFormat="1" applyFont="1" applyFill="1" applyBorder="1" applyAlignment="1" applyProtection="1">
      <alignment horizontal="center"/>
      <protection hidden="1"/>
    </xf>
    <xf numFmtId="3" fontId="0" fillId="35" borderId="12" xfId="0" applyNumberFormat="1" applyFont="1" applyFill="1" applyBorder="1" applyAlignment="1" applyProtection="1">
      <alignment horizontal="center"/>
      <protection hidden="1"/>
    </xf>
    <xf numFmtId="0" fontId="0" fillId="35" borderId="21" xfId="0" applyFont="1" applyFill="1" applyBorder="1" applyAlignment="1">
      <alignment horizontal="left" wrapText="1"/>
    </xf>
    <xf numFmtId="3" fontId="0" fillId="0" borderId="19" xfId="0" applyNumberFormat="1" applyFont="1" applyFill="1" applyBorder="1" applyAlignment="1" applyProtection="1">
      <alignment horizontal="right"/>
      <protection hidden="1"/>
    </xf>
    <xf numFmtId="3" fontId="0" fillId="0" borderId="18" xfId="0" applyNumberFormat="1" applyFont="1" applyFill="1" applyBorder="1" applyAlignment="1" applyProtection="1">
      <alignment horizontal="right"/>
      <protection hidden="1"/>
    </xf>
    <xf numFmtId="3" fontId="0" fillId="0" borderId="20" xfId="0" applyNumberFormat="1" applyFont="1" applyFill="1" applyBorder="1" applyAlignment="1" applyProtection="1">
      <alignment horizontal="right"/>
      <protection hidden="1"/>
    </xf>
    <xf numFmtId="3" fontId="0" fillId="35" borderId="0" xfId="0" applyNumberFormat="1" applyFont="1" applyFill="1" applyBorder="1" applyAlignment="1" applyProtection="1">
      <alignment horizontal="right"/>
      <protection hidden="1" locked="0"/>
    </xf>
    <xf numFmtId="0" fontId="11" fillId="35" borderId="0" xfId="0" applyFont="1" applyFill="1" applyAlignment="1">
      <alignment horizontal="left" vertical="top" wrapText="1"/>
    </xf>
    <xf numFmtId="9" fontId="11" fillId="33" borderId="21" xfId="0" applyNumberFormat="1" applyFont="1" applyFill="1" applyBorder="1" applyAlignment="1" applyProtection="1">
      <alignment horizontal="right" vertical="top" wrapText="1"/>
      <protection locked="0"/>
    </xf>
    <xf numFmtId="0" fontId="2" fillId="35" borderId="19" xfId="0" applyFont="1" applyFill="1" applyBorder="1" applyAlignment="1">
      <alignment/>
    </xf>
    <xf numFmtId="0" fontId="0" fillId="0" borderId="18" xfId="0" applyBorder="1" applyAlignment="1">
      <alignment/>
    </xf>
    <xf numFmtId="0" fontId="0" fillId="35" borderId="19" xfId="0" applyFont="1" applyFill="1" applyBorder="1" applyAlignment="1">
      <alignment horizontal="left"/>
    </xf>
    <xf numFmtId="0" fontId="0" fillId="35" borderId="18" xfId="0" applyFont="1" applyFill="1" applyBorder="1" applyAlignment="1">
      <alignment horizontal="left"/>
    </xf>
    <xf numFmtId="0" fontId="0" fillId="0" borderId="18" xfId="0" applyBorder="1" applyAlignment="1">
      <alignment horizontal="left"/>
    </xf>
    <xf numFmtId="0" fontId="0" fillId="0" borderId="20" xfId="0" applyBorder="1" applyAlignment="1">
      <alignment horizontal="left"/>
    </xf>
    <xf numFmtId="3" fontId="2" fillId="0" borderId="18" xfId="0" applyNumberFormat="1" applyFont="1" applyFill="1" applyBorder="1" applyAlignment="1" applyProtection="1">
      <alignment horizontal="right"/>
      <protection hidden="1"/>
    </xf>
    <xf numFmtId="3" fontId="2" fillId="0" borderId="20" xfId="0" applyNumberFormat="1" applyFont="1" applyFill="1" applyBorder="1" applyAlignment="1" applyProtection="1">
      <alignment horizontal="right"/>
      <protection hidden="1"/>
    </xf>
    <xf numFmtId="0" fontId="2" fillId="35" borderId="18" xfId="0" applyFont="1" applyFill="1" applyBorder="1" applyAlignment="1">
      <alignment horizontal="center"/>
    </xf>
    <xf numFmtId="0" fontId="2" fillId="35" borderId="20" xfId="0" applyFont="1" applyFill="1" applyBorder="1" applyAlignment="1">
      <alignment horizontal="center"/>
    </xf>
    <xf numFmtId="3" fontId="0" fillId="0" borderId="18" xfId="0" applyNumberFormat="1" applyFont="1" applyFill="1" applyBorder="1" applyAlignment="1" applyProtection="1">
      <alignment horizontal="right"/>
      <protection hidden="1"/>
    </xf>
    <xf numFmtId="3" fontId="0" fillId="0" borderId="2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0" fillId="0" borderId="14" xfId="0" applyNumberFormat="1" applyFont="1" applyFill="1" applyBorder="1" applyAlignment="1" applyProtection="1">
      <alignment horizontal="right"/>
      <protection hidden="1"/>
    </xf>
    <xf numFmtId="3" fontId="0" fillId="35" borderId="0" xfId="0" applyNumberFormat="1" applyFont="1" applyFill="1" applyBorder="1" applyAlignment="1">
      <alignment horizontal="right"/>
    </xf>
    <xf numFmtId="3" fontId="0" fillId="35" borderId="14" xfId="0" applyNumberFormat="1" applyFont="1" applyFill="1" applyBorder="1" applyAlignment="1">
      <alignment horizontal="right"/>
    </xf>
    <xf numFmtId="3" fontId="6" fillId="35" borderId="0" xfId="0" applyNumberFormat="1" applyFont="1" applyFill="1" applyAlignment="1">
      <alignment horizontal="right"/>
    </xf>
    <xf numFmtId="0" fontId="12" fillId="35" borderId="0" xfId="0" applyFont="1" applyFill="1" applyAlignment="1" applyProtection="1">
      <alignment/>
      <protection hidden="1"/>
    </xf>
    <xf numFmtId="0" fontId="0" fillId="0" borderId="0" xfId="0" applyAlignment="1">
      <alignment/>
    </xf>
    <xf numFmtId="0" fontId="0" fillId="35" borderId="10" xfId="0" applyFont="1" applyFill="1" applyBorder="1" applyAlignment="1">
      <alignment horizontal="center"/>
    </xf>
    <xf numFmtId="0" fontId="0" fillId="35" borderId="11" xfId="0" applyFont="1" applyFill="1" applyBorder="1" applyAlignment="1">
      <alignment horizontal="center"/>
    </xf>
    <xf numFmtId="0" fontId="0" fillId="35" borderId="12" xfId="0" applyFont="1" applyFill="1" applyBorder="1" applyAlignment="1">
      <alignment horizontal="center"/>
    </xf>
    <xf numFmtId="165" fontId="0" fillId="35" borderId="21" xfId="0" applyNumberFormat="1" applyFont="1" applyFill="1" applyBorder="1" applyAlignment="1" applyProtection="1">
      <alignment horizontal="right"/>
      <protection hidden="1"/>
    </xf>
    <xf numFmtId="0" fontId="0" fillId="35" borderId="20" xfId="0" applyFont="1" applyFill="1" applyBorder="1" applyAlignment="1">
      <alignment horizontal="left"/>
    </xf>
    <xf numFmtId="0" fontId="5" fillId="35" borderId="19" xfId="0" applyFont="1" applyFill="1" applyBorder="1" applyAlignment="1">
      <alignment horizontal="center"/>
    </xf>
    <xf numFmtId="0" fontId="5" fillId="35" borderId="18" xfId="0" applyFont="1" applyFill="1" applyBorder="1" applyAlignment="1">
      <alignment horizontal="center"/>
    </xf>
    <xf numFmtId="0" fontId="5" fillId="35" borderId="20" xfId="0" applyFont="1" applyFill="1" applyBorder="1" applyAlignment="1">
      <alignment horizontal="center"/>
    </xf>
    <xf numFmtId="0" fontId="0" fillId="0" borderId="19" xfId="0" applyFont="1" applyFill="1" applyBorder="1" applyAlignment="1" applyProtection="1">
      <alignment horizontal="right"/>
      <protection hidden="1" locked="0"/>
    </xf>
    <xf numFmtId="0" fontId="0" fillId="0" borderId="18" xfId="0" applyFill="1" applyBorder="1" applyAlignment="1" applyProtection="1">
      <alignment horizontal="right"/>
      <protection hidden="1" locked="0"/>
    </xf>
    <xf numFmtId="0" fontId="0" fillId="0" borderId="20" xfId="0" applyFill="1" applyBorder="1" applyAlignment="1" applyProtection="1">
      <alignment horizontal="right"/>
      <protection hidden="1" locked="0"/>
    </xf>
    <xf numFmtId="0" fontId="0" fillId="0" borderId="19" xfId="0" applyFont="1" applyFill="1" applyBorder="1" applyAlignment="1" applyProtection="1">
      <alignment horizontal="left"/>
      <protection hidden="1" locked="0"/>
    </xf>
    <xf numFmtId="0" fontId="0" fillId="0" borderId="18" xfId="0" applyFont="1" applyFill="1" applyBorder="1" applyAlignment="1" applyProtection="1">
      <alignment horizontal="left"/>
      <protection hidden="1" locked="0"/>
    </xf>
    <xf numFmtId="0" fontId="0" fillId="0" borderId="20" xfId="0" applyFont="1" applyFill="1" applyBorder="1" applyAlignment="1" applyProtection="1">
      <alignment horizontal="left"/>
      <protection hidden="1" locked="0"/>
    </xf>
    <xf numFmtId="0" fontId="0" fillId="35" borderId="13" xfId="0" applyFont="1" applyFill="1" applyBorder="1" applyAlignment="1">
      <alignment horizontal="center"/>
    </xf>
    <xf numFmtId="0" fontId="0" fillId="35" borderId="0" xfId="0" applyFont="1" applyFill="1" applyBorder="1" applyAlignment="1">
      <alignment horizontal="center"/>
    </xf>
    <xf numFmtId="0" fontId="0" fillId="35" borderId="14" xfId="0" applyFont="1" applyFill="1" applyBorder="1" applyAlignment="1">
      <alignment horizontal="center"/>
    </xf>
    <xf numFmtId="3" fontId="0" fillId="0" borderId="10" xfId="0" applyNumberFormat="1" applyFont="1" applyFill="1" applyBorder="1" applyAlignment="1" applyProtection="1">
      <alignment horizontal="right"/>
      <protection hidden="1" locked="0"/>
    </xf>
    <xf numFmtId="3" fontId="0" fillId="0" borderId="11" xfId="0" applyNumberFormat="1" applyFont="1" applyFill="1" applyBorder="1" applyAlignment="1" applyProtection="1">
      <alignment horizontal="right"/>
      <protection hidden="1" locked="0"/>
    </xf>
    <xf numFmtId="3" fontId="0" fillId="0" borderId="12" xfId="0" applyNumberFormat="1" applyFont="1" applyFill="1" applyBorder="1" applyAlignment="1" applyProtection="1">
      <alignment horizontal="right"/>
      <protection hidden="1" locked="0"/>
    </xf>
    <xf numFmtId="164" fontId="0" fillId="35" borderId="19" xfId="0" applyNumberFormat="1" applyFont="1" applyFill="1" applyBorder="1" applyAlignment="1" applyProtection="1">
      <alignment horizontal="right"/>
      <protection hidden="1"/>
    </xf>
    <xf numFmtId="164" fontId="0" fillId="35" borderId="18" xfId="0" applyNumberFormat="1" applyFont="1" applyFill="1" applyBorder="1" applyAlignment="1" applyProtection="1">
      <alignment horizontal="right"/>
      <protection hidden="1"/>
    </xf>
    <xf numFmtId="164" fontId="0" fillId="35" borderId="20" xfId="0" applyNumberFormat="1" applyFont="1" applyFill="1" applyBorder="1" applyAlignment="1" applyProtection="1">
      <alignment horizontal="right"/>
      <protection hidden="1"/>
    </xf>
    <xf numFmtId="0" fontId="0" fillId="35" borderId="11" xfId="0" applyFont="1" applyFill="1" applyBorder="1" applyAlignment="1">
      <alignment horizontal="left"/>
    </xf>
    <xf numFmtId="0" fontId="0" fillId="0" borderId="11" xfId="0" applyBorder="1" applyAlignment="1">
      <alignment horizontal="left"/>
    </xf>
    <xf numFmtId="0" fontId="0" fillId="0" borderId="19" xfId="0" applyFont="1" applyFill="1" applyBorder="1" applyAlignment="1" applyProtection="1">
      <alignment horizontal="left"/>
      <protection locked="0"/>
    </xf>
    <xf numFmtId="0" fontId="0" fillId="0" borderId="18" xfId="0" applyBorder="1" applyAlignment="1" applyProtection="1">
      <alignment horizontal="left"/>
      <protection locked="0"/>
    </xf>
    <xf numFmtId="0" fontId="0" fillId="0" borderId="20" xfId="0" applyBorder="1" applyAlignment="1" applyProtection="1">
      <alignment horizontal="left"/>
      <protection locked="0"/>
    </xf>
    <xf numFmtId="9" fontId="11" fillId="33" borderId="21" xfId="0" applyNumberFormat="1" applyFont="1" applyFill="1" applyBorder="1" applyAlignment="1" applyProtection="1">
      <alignment horizontal="right" vertical="top" wrapText="1"/>
      <protection/>
    </xf>
    <xf numFmtId="9" fontId="11" fillId="35" borderId="0" xfId="0" applyNumberFormat="1" applyFont="1" applyFill="1" applyBorder="1" applyAlignment="1" applyProtection="1">
      <alignment horizontal="right" vertical="top" wrapText="1"/>
      <protection hidden="1"/>
    </xf>
    <xf numFmtId="0" fontId="11" fillId="35" borderId="0" xfId="0" applyFont="1" applyFill="1" applyBorder="1" applyAlignment="1" applyProtection="1">
      <alignment horizontal="right" vertical="top" wrapText="1"/>
      <protection hidden="1"/>
    </xf>
    <xf numFmtId="0" fontId="9" fillId="35" borderId="10" xfId="0" applyFont="1" applyFill="1" applyBorder="1" applyAlignment="1" applyProtection="1">
      <alignment vertical="top" wrapText="1"/>
      <protection hidden="1"/>
    </xf>
    <xf numFmtId="0" fontId="0" fillId="0" borderId="11" xfId="0" applyBorder="1" applyAlignment="1" applyProtection="1">
      <alignment vertical="top" wrapText="1"/>
      <protection hidden="1"/>
    </xf>
    <xf numFmtId="0" fontId="0" fillId="0" borderId="12" xfId="0" applyBorder="1" applyAlignment="1" applyProtection="1">
      <alignment vertical="top" wrapText="1"/>
      <protection hidden="1"/>
    </xf>
    <xf numFmtId="0" fontId="0" fillId="0" borderId="13" xfId="0" applyBorder="1" applyAlignment="1" applyProtection="1">
      <alignment vertical="top" wrapText="1"/>
      <protection hidden="1"/>
    </xf>
    <xf numFmtId="0" fontId="0" fillId="0" borderId="0" xfId="0" applyAlignment="1" applyProtection="1">
      <alignment vertical="top" wrapText="1"/>
      <protection hidden="1"/>
    </xf>
    <xf numFmtId="0" fontId="0" fillId="0" borderId="14" xfId="0" applyBorder="1" applyAlignment="1" applyProtection="1">
      <alignment vertical="top" wrapText="1"/>
      <protection hidden="1"/>
    </xf>
    <xf numFmtId="0" fontId="0" fillId="0" borderId="15" xfId="0" applyBorder="1" applyAlignment="1" applyProtection="1">
      <alignment vertical="top" wrapText="1"/>
      <protection hidden="1"/>
    </xf>
    <xf numFmtId="0" fontId="0" fillId="0" borderId="16" xfId="0" applyBorder="1" applyAlignment="1" applyProtection="1">
      <alignment vertical="top" wrapText="1"/>
      <protection hidden="1"/>
    </xf>
    <xf numFmtId="0" fontId="0" fillId="0" borderId="17" xfId="0" applyBorder="1" applyAlignment="1" applyProtection="1">
      <alignment vertical="top" wrapText="1"/>
      <protection hidden="1"/>
    </xf>
    <xf numFmtId="0" fontId="0" fillId="33" borderId="19" xfId="0" applyFont="1" applyFill="1" applyBorder="1" applyAlignment="1" applyProtection="1">
      <alignment horizontal="right"/>
      <protection hidden="1" locked="0"/>
    </xf>
    <xf numFmtId="0" fontId="0" fillId="33" borderId="18" xfId="0" applyFont="1" applyFill="1" applyBorder="1" applyAlignment="1" applyProtection="1">
      <alignment horizontal="right"/>
      <protection hidden="1" locked="0"/>
    </xf>
    <xf numFmtId="0" fontId="0" fillId="33" borderId="20" xfId="0" applyFont="1" applyFill="1" applyBorder="1" applyAlignment="1" applyProtection="1">
      <alignment horizontal="right"/>
      <protection hidden="1" locked="0"/>
    </xf>
    <xf numFmtId="0" fontId="0" fillId="35" borderId="53" xfId="0" applyFont="1" applyFill="1" applyBorder="1" applyAlignment="1" applyProtection="1">
      <alignment/>
      <protection hidden="1"/>
    </xf>
    <xf numFmtId="0" fontId="0" fillId="35" borderId="54" xfId="0" applyFont="1" applyFill="1" applyBorder="1" applyAlignment="1" applyProtection="1">
      <alignment/>
      <protection hidden="1"/>
    </xf>
    <xf numFmtId="0" fontId="0" fillId="35" borderId="55" xfId="0" applyFont="1" applyFill="1" applyBorder="1" applyAlignment="1" applyProtection="1">
      <alignment/>
      <protection hidden="1"/>
    </xf>
    <xf numFmtId="0" fontId="2" fillId="35" borderId="0" xfId="0" applyFont="1" applyFill="1" applyAlignment="1">
      <alignment horizontal="center"/>
    </xf>
    <xf numFmtId="3" fontId="0" fillId="33" borderId="19" xfId="0" applyNumberFormat="1" applyFont="1" applyFill="1" applyBorder="1" applyAlignment="1" applyProtection="1">
      <alignment horizontal="right"/>
      <protection hidden="1" locked="0"/>
    </xf>
    <xf numFmtId="3" fontId="0" fillId="33" borderId="18" xfId="0" applyNumberFormat="1" applyFont="1" applyFill="1" applyBorder="1" applyAlignment="1" applyProtection="1">
      <alignment horizontal="right"/>
      <protection hidden="1" locked="0"/>
    </xf>
    <xf numFmtId="3" fontId="0" fillId="33" borderId="20" xfId="0" applyNumberFormat="1" applyFont="1" applyFill="1" applyBorder="1" applyAlignment="1" applyProtection="1">
      <alignment horizontal="right"/>
      <protection hidden="1" locked="0"/>
    </xf>
    <xf numFmtId="0" fontId="0" fillId="35" borderId="19" xfId="0" applyFont="1" applyFill="1" applyBorder="1" applyAlignment="1" applyProtection="1">
      <alignment horizontal="right"/>
      <protection hidden="1"/>
    </xf>
    <xf numFmtId="0" fontId="0" fillId="35" borderId="18" xfId="0" applyFont="1" applyFill="1" applyBorder="1" applyAlignment="1" applyProtection="1">
      <alignment horizontal="right"/>
      <protection hidden="1"/>
    </xf>
    <xf numFmtId="0" fontId="0" fillId="35" borderId="20" xfId="0" applyFont="1" applyFill="1" applyBorder="1" applyAlignment="1" applyProtection="1">
      <alignment horizontal="right"/>
      <protection hidden="1"/>
    </xf>
    <xf numFmtId="0" fontId="0" fillId="35" borderId="56" xfId="0" applyFont="1" applyFill="1" applyBorder="1" applyAlignment="1" applyProtection="1">
      <alignment/>
      <protection hidden="1"/>
    </xf>
    <xf numFmtId="0" fontId="0" fillId="35" borderId="57" xfId="0" applyFont="1" applyFill="1" applyBorder="1" applyAlignment="1" applyProtection="1">
      <alignment/>
      <protection hidden="1"/>
    </xf>
    <xf numFmtId="0" fontId="0" fillId="35" borderId="58" xfId="0" applyFont="1" applyFill="1" applyBorder="1" applyAlignment="1" applyProtection="1">
      <alignment/>
      <protection hidden="1"/>
    </xf>
    <xf numFmtId="3" fontId="0" fillId="33" borderId="10" xfId="0" applyNumberFormat="1" applyFont="1" applyFill="1" applyBorder="1" applyAlignment="1" applyProtection="1">
      <alignment horizontal="right"/>
      <protection hidden="1" locked="0"/>
    </xf>
    <xf numFmtId="3" fontId="0" fillId="33" borderId="11" xfId="0" applyNumberFormat="1" applyFont="1" applyFill="1" applyBorder="1" applyAlignment="1" applyProtection="1">
      <alignment horizontal="right"/>
      <protection hidden="1" locked="0"/>
    </xf>
    <xf numFmtId="3" fontId="0" fillId="33" borderId="12" xfId="0" applyNumberFormat="1" applyFont="1" applyFill="1" applyBorder="1" applyAlignment="1" applyProtection="1">
      <alignment horizontal="right"/>
      <protection hidden="1" locked="0"/>
    </xf>
    <xf numFmtId="0" fontId="0" fillId="35" borderId="19" xfId="0" applyFont="1" applyFill="1" applyBorder="1" applyAlignment="1" applyProtection="1">
      <alignment/>
      <protection hidden="1"/>
    </xf>
    <xf numFmtId="0" fontId="0" fillId="35" borderId="18" xfId="0" applyFont="1" applyFill="1" applyBorder="1" applyAlignment="1" applyProtection="1">
      <alignment/>
      <protection hidden="1"/>
    </xf>
    <xf numFmtId="0" fontId="0" fillId="35" borderId="59" xfId="0" applyFont="1" applyFill="1" applyBorder="1" applyAlignment="1" applyProtection="1">
      <alignment/>
      <protection hidden="1"/>
    </xf>
    <xf numFmtId="0" fontId="2" fillId="35" borderId="19" xfId="0" applyFont="1" applyFill="1" applyBorder="1" applyAlignment="1">
      <alignment horizontal="center"/>
    </xf>
    <xf numFmtId="0" fontId="2" fillId="35" borderId="18" xfId="0" applyFont="1" applyFill="1" applyBorder="1" applyAlignment="1">
      <alignment horizontal="center"/>
    </xf>
    <xf numFmtId="0" fontId="2" fillId="35" borderId="20" xfId="0" applyFont="1" applyFill="1" applyBorder="1" applyAlignment="1">
      <alignment horizontal="center"/>
    </xf>
    <xf numFmtId="9" fontId="11" fillId="0" borderId="19" xfId="0" applyNumberFormat="1" applyFont="1" applyFill="1" applyBorder="1" applyAlignment="1">
      <alignment horizontal="right" vertical="top" wrapText="1"/>
    </xf>
    <xf numFmtId="9" fontId="11" fillId="0" borderId="18" xfId="0" applyNumberFormat="1" applyFont="1" applyFill="1" applyBorder="1" applyAlignment="1">
      <alignment horizontal="right" vertical="top" wrapText="1"/>
    </xf>
    <xf numFmtId="9" fontId="11" fillId="0" borderId="20" xfId="0" applyNumberFormat="1" applyFont="1" applyFill="1" applyBorder="1" applyAlignment="1">
      <alignment horizontal="right" vertical="top" wrapText="1"/>
    </xf>
    <xf numFmtId="0" fontId="0" fillId="35" borderId="0" xfId="0" applyFont="1" applyFill="1" applyBorder="1" applyAlignment="1">
      <alignment horizontal="left"/>
    </xf>
    <xf numFmtId="179" fontId="0" fillId="0" borderId="26" xfId="40" applyNumberFormat="1" applyFont="1" applyFill="1" applyBorder="1" applyAlignment="1" applyProtection="1">
      <alignment/>
      <protection locked="0"/>
    </xf>
    <xf numFmtId="0" fontId="0" fillId="35" borderId="19" xfId="0" applyFont="1" applyFill="1" applyBorder="1" applyAlignment="1">
      <alignment/>
    </xf>
    <xf numFmtId="0" fontId="2" fillId="0" borderId="18" xfId="0" applyFont="1" applyBorder="1" applyAlignment="1">
      <alignment/>
    </xf>
    <xf numFmtId="0" fontId="2" fillId="0" borderId="20" xfId="0" applyFont="1" applyBorder="1" applyAlignment="1">
      <alignment/>
    </xf>
    <xf numFmtId="0" fontId="2" fillId="35" borderId="60" xfId="0" applyFont="1" applyFill="1" applyBorder="1" applyAlignment="1">
      <alignment vertical="top" wrapText="1"/>
    </xf>
    <xf numFmtId="0" fontId="2" fillId="35" borderId="61" xfId="0" applyFont="1" applyFill="1" applyBorder="1" applyAlignment="1">
      <alignment vertical="top" wrapText="1"/>
    </xf>
    <xf numFmtId="0" fontId="2" fillId="35" borderId="62" xfId="0" applyFont="1" applyFill="1" applyBorder="1" applyAlignment="1">
      <alignment vertical="top" wrapText="1"/>
    </xf>
    <xf numFmtId="0" fontId="5" fillId="39" borderId="0" xfId="0" applyFont="1" applyFill="1" applyBorder="1" applyAlignment="1">
      <alignment vertical="center"/>
    </xf>
    <xf numFmtId="0" fontId="5" fillId="0" borderId="0" xfId="0" applyFont="1" applyAlignment="1">
      <alignment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5" fillId="0" borderId="0" xfId="0" applyFont="1" applyBorder="1" applyAlignment="1">
      <alignment vertical="center"/>
    </xf>
    <xf numFmtId="0" fontId="15" fillId="0" borderId="0" xfId="0" applyFont="1" applyBorder="1" applyAlignment="1">
      <alignment horizontal="left" vertical="center"/>
    </xf>
    <xf numFmtId="0" fontId="15" fillId="0" borderId="0" xfId="0" applyFont="1" applyAlignment="1">
      <alignment horizontal="left" vertical="top"/>
    </xf>
    <xf numFmtId="0" fontId="15" fillId="0" borderId="14" xfId="0" applyFont="1" applyBorder="1" applyAlignment="1">
      <alignment horizontal="left" vertical="top"/>
    </xf>
    <xf numFmtId="179" fontId="15" fillId="0" borderId="21" xfId="40" applyNumberFormat="1" applyFont="1" applyBorder="1" applyAlignment="1">
      <alignment horizontal="center" vertical="center"/>
    </xf>
    <xf numFmtId="179" fontId="15" fillId="0" borderId="19" xfId="40" applyNumberFormat="1" applyFont="1" applyBorder="1" applyAlignment="1">
      <alignment horizontal="center" vertical="center"/>
    </xf>
    <xf numFmtId="0" fontId="13" fillId="0" borderId="0" xfId="0" applyFont="1" applyAlignment="1">
      <alignment vertical="center" wrapText="1"/>
    </xf>
    <xf numFmtId="0" fontId="5" fillId="0" borderId="21" xfId="0" applyFont="1" applyBorder="1" applyAlignment="1">
      <alignment horizontal="center" vertical="center"/>
    </xf>
    <xf numFmtId="14" fontId="5" fillId="0" borderId="21" xfId="0" applyNumberFormat="1" applyFont="1" applyBorder="1" applyAlignment="1">
      <alignment horizontal="center" vertical="center"/>
    </xf>
    <xf numFmtId="0" fontId="13" fillId="39" borderId="0" xfId="0" applyFont="1" applyFill="1" applyAlignment="1">
      <alignment vertical="center"/>
    </xf>
    <xf numFmtId="0" fontId="5" fillId="0" borderId="0" xfId="0" applyFont="1" applyAlignment="1">
      <alignment vertical="center" wrapText="1"/>
    </xf>
    <xf numFmtId="49" fontId="5" fillId="0" borderId="0" xfId="0" applyNumberFormat="1"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5" fillId="0" borderId="11" xfId="0" applyFont="1" applyBorder="1" applyAlignment="1">
      <alignment horizontal="center" vertical="center"/>
    </xf>
    <xf numFmtId="0" fontId="5" fillId="0" borderId="21" xfId="0" applyFont="1" applyBorder="1" applyAlignment="1">
      <alignment vertical="center"/>
    </xf>
    <xf numFmtId="0" fontId="5" fillId="0" borderId="0" xfId="0" applyFont="1" applyAlignment="1" applyProtection="1">
      <alignment horizontal="left" vertical="center" wrapText="1"/>
      <protection/>
    </xf>
    <xf numFmtId="0" fontId="0" fillId="0" borderId="0" xfId="0" applyAlignment="1">
      <alignment vertical="center" wrapText="1"/>
    </xf>
    <xf numFmtId="0" fontId="13" fillId="39" borderId="0" xfId="0" applyFont="1" applyFill="1" applyBorder="1" applyAlignment="1">
      <alignment horizontal="left" vertical="center"/>
    </xf>
    <xf numFmtId="0" fontId="5" fillId="0" borderId="0" xfId="0" applyFont="1" applyAlignment="1">
      <alignment horizontal="left" vertical="center"/>
    </xf>
    <xf numFmtId="3" fontId="5" fillId="0" borderId="21" xfId="0" applyNumberFormat="1" applyFont="1" applyBorder="1" applyAlignment="1">
      <alignment horizontal="center" vertical="center"/>
    </xf>
    <xf numFmtId="0" fontId="13" fillId="0" borderId="0" xfId="0" applyFont="1" applyAlignment="1">
      <alignment horizontal="left" vertical="center"/>
    </xf>
    <xf numFmtId="14" fontId="15" fillId="0" borderId="0" xfId="0" applyNumberFormat="1" applyFont="1" applyBorder="1" applyAlignment="1">
      <alignment vertical="center"/>
    </xf>
    <xf numFmtId="0" fontId="15" fillId="0" borderId="0" xfId="0" applyFont="1" applyBorder="1" applyAlignment="1">
      <alignment vertical="center"/>
    </xf>
    <xf numFmtId="0" fontId="13" fillId="0" borderId="0" xfId="0" applyFont="1" applyBorder="1" applyAlignment="1">
      <alignment vertical="center"/>
    </xf>
    <xf numFmtId="0" fontId="5" fillId="39" borderId="0" xfId="0" applyFont="1" applyFill="1" applyAlignment="1">
      <alignment vertical="center"/>
    </xf>
    <xf numFmtId="0" fontId="15" fillId="0" borderId="21" xfId="0" applyFont="1" applyBorder="1" applyAlignment="1">
      <alignment horizontal="center" vertical="center"/>
    </xf>
    <xf numFmtId="0" fontId="5" fillId="0" borderId="45" xfId="0" applyFont="1" applyBorder="1" applyAlignment="1">
      <alignment vertical="center"/>
    </xf>
    <xf numFmtId="179" fontId="15" fillId="0" borderId="60" xfId="40" applyNumberFormat="1" applyFont="1" applyBorder="1" applyAlignment="1">
      <alignment vertical="center"/>
    </xf>
    <xf numFmtId="179" fontId="15" fillId="0" borderId="62" xfId="40" applyNumberFormat="1" applyFont="1" applyBorder="1" applyAlignment="1">
      <alignment vertical="center"/>
    </xf>
    <xf numFmtId="0" fontId="5" fillId="0" borderId="0" xfId="0" applyFont="1" applyAlignment="1">
      <alignment horizontal="left" vertical="top"/>
    </xf>
    <xf numFmtId="0" fontId="5" fillId="0" borderId="0" xfId="0" applyFont="1" applyAlignment="1">
      <alignment/>
    </xf>
    <xf numFmtId="0" fontId="5" fillId="0" borderId="0" xfId="0" applyFont="1" applyAlignment="1">
      <alignment horizontal="left" vertical="top" wrapText="1"/>
    </xf>
    <xf numFmtId="0" fontId="15" fillId="0" borderId="0" xfId="0" applyFont="1" applyAlignment="1">
      <alignment horizontal="left" vertical="top" shrinkToFit="1"/>
    </xf>
    <xf numFmtId="0" fontId="13" fillId="0" borderId="0" xfId="0" applyFont="1" applyAlignment="1">
      <alignment vertical="center"/>
    </xf>
    <xf numFmtId="0" fontId="5" fillId="0" borderId="60" xfId="0" applyFont="1" applyBorder="1" applyAlignment="1">
      <alignment vertical="center"/>
    </xf>
    <xf numFmtId="0" fontId="0" fillId="0" borderId="62" xfId="0" applyBorder="1" applyAlignment="1">
      <alignment/>
    </xf>
    <xf numFmtId="0" fontId="13" fillId="39" borderId="0" xfId="0" applyFont="1" applyFill="1" applyBorder="1" applyAlignment="1">
      <alignment vertical="center"/>
    </xf>
    <xf numFmtId="0" fontId="0" fillId="0" borderId="0" xfId="0" applyAlignment="1">
      <alignment/>
    </xf>
    <xf numFmtId="0" fontId="13" fillId="0" borderId="21" xfId="0" applyFont="1" applyBorder="1" applyAlignment="1">
      <alignment horizontal="center" vertical="center"/>
    </xf>
    <xf numFmtId="0" fontId="5" fillId="0" borderId="19" xfId="0" applyFont="1" applyBorder="1" applyAlignment="1">
      <alignment vertical="center"/>
    </xf>
    <xf numFmtId="179" fontId="22" fillId="0" borderId="21" xfId="40" applyNumberFormat="1" applyFont="1" applyBorder="1" applyAlignment="1">
      <alignment horizontal="center" vertical="center"/>
    </xf>
    <xf numFmtId="179" fontId="15" fillId="0" borderId="21" xfId="40" applyNumberFormat="1" applyFont="1" applyBorder="1" applyAlignment="1">
      <alignment vertical="center"/>
    </xf>
    <xf numFmtId="179" fontId="15" fillId="0" borderId="19" xfId="40" applyNumberFormat="1" applyFont="1" applyBorder="1" applyAlignment="1">
      <alignment vertical="center"/>
    </xf>
    <xf numFmtId="0" fontId="5" fillId="0" borderId="0" xfId="0" applyFont="1" applyBorder="1" applyAlignment="1">
      <alignment horizontal="left" vertical="center"/>
    </xf>
    <xf numFmtId="0" fontId="15"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23" fillId="0" borderId="0" xfId="0" applyFont="1" applyBorder="1" applyAlignment="1">
      <alignment horizontal="left" vertical="center"/>
    </xf>
    <xf numFmtId="0" fontId="5" fillId="0" borderId="0" xfId="0" applyFont="1" applyAlignment="1">
      <alignment horizontal="center" vertical="center"/>
    </xf>
    <xf numFmtId="14" fontId="5" fillId="0" borderId="16" xfId="0" applyNumberFormat="1" applyFont="1" applyBorder="1" applyAlignment="1">
      <alignment vertical="center"/>
    </xf>
    <xf numFmtId="0" fontId="5" fillId="0" borderId="21" xfId="0" applyFont="1" applyBorder="1" applyAlignment="1">
      <alignment horizontal="left" vertical="top" wrapText="1"/>
    </xf>
    <xf numFmtId="0" fontId="15" fillId="40" borderId="21" xfId="0" applyFont="1" applyFill="1" applyBorder="1" applyAlignment="1">
      <alignment horizontal="right" vertical="center"/>
    </xf>
    <xf numFmtId="3" fontId="15" fillId="0" borderId="0" xfId="0" applyNumberFormat="1" applyFont="1" applyBorder="1" applyAlignment="1">
      <alignment vertical="center"/>
    </xf>
    <xf numFmtId="3" fontId="15" fillId="0" borderId="31" xfId="0" applyNumberFormat="1" applyFont="1" applyBorder="1" applyAlignment="1">
      <alignment vertical="center"/>
    </xf>
    <xf numFmtId="3" fontId="15" fillId="0" borderId="46" xfId="0" applyNumberFormat="1" applyFont="1" applyBorder="1" applyAlignment="1">
      <alignment vertical="center"/>
    </xf>
    <xf numFmtId="0" fontId="13" fillId="0" borderId="21" xfId="0" applyFont="1" applyFill="1" applyBorder="1" applyAlignment="1">
      <alignment vertical="center"/>
    </xf>
    <xf numFmtId="0" fontId="13" fillId="0" borderId="21" xfId="0" applyFont="1" applyBorder="1" applyAlignment="1">
      <alignment vertical="center"/>
    </xf>
    <xf numFmtId="0" fontId="13" fillId="0" borderId="21" xfId="0" applyFont="1" applyFill="1" applyBorder="1" applyAlignment="1">
      <alignment horizontal="center" vertical="center"/>
    </xf>
    <xf numFmtId="0" fontId="15" fillId="0" borderId="21" xfId="0" applyFont="1" applyBorder="1" applyAlignment="1">
      <alignment horizontal="right" vertical="center"/>
    </xf>
    <xf numFmtId="0" fontId="5" fillId="0" borderId="21" xfId="0" applyFont="1" applyBorder="1" applyAlignment="1">
      <alignment horizontal="right" vertical="center"/>
    </xf>
    <xf numFmtId="1" fontId="15" fillId="0" borderId="21" xfId="0" applyNumberFormat="1" applyFont="1" applyFill="1" applyBorder="1" applyAlignment="1">
      <alignment horizontal="center" vertical="center"/>
    </xf>
    <xf numFmtId="1" fontId="15" fillId="0" borderId="21" xfId="0" applyNumberFormat="1" applyFont="1" applyBorder="1" applyAlignment="1">
      <alignment horizontal="center" vertical="center"/>
    </xf>
    <xf numFmtId="0" fontId="5" fillId="0" borderId="21" xfId="0" applyFont="1" applyFill="1" applyBorder="1" applyAlignment="1">
      <alignment horizontal="center" vertical="center"/>
    </xf>
    <xf numFmtId="0" fontId="13" fillId="0" borderId="21" xfId="0" applyFont="1" applyBorder="1" applyAlignment="1">
      <alignment horizontal="right" vertical="center"/>
    </xf>
    <xf numFmtId="164" fontId="15" fillId="0" borderId="21" xfId="0" applyNumberFormat="1" applyFont="1" applyFill="1" applyBorder="1" applyAlignment="1">
      <alignment horizontal="center" vertical="center"/>
    </xf>
    <xf numFmtId="164" fontId="15" fillId="0" borderId="21" xfId="0" applyNumberFormat="1" applyFont="1" applyBorder="1" applyAlignment="1">
      <alignment horizontal="center" vertical="center"/>
    </xf>
    <xf numFmtId="0" fontId="5" fillId="0" borderId="21" xfId="0" applyFont="1" applyFill="1" applyBorder="1" applyAlignment="1">
      <alignment/>
    </xf>
    <xf numFmtId="0" fontId="5" fillId="0" borderId="21" xfId="0" applyFont="1" applyBorder="1" applyAlignment="1">
      <alignment/>
    </xf>
    <xf numFmtId="0" fontId="15" fillId="0" borderId="21" xfId="0" applyFont="1" applyBorder="1" applyAlignment="1">
      <alignment/>
    </xf>
    <xf numFmtId="0" fontId="5" fillId="0" borderId="0" xfId="0" applyFont="1" applyFill="1" applyBorder="1" applyAlignment="1">
      <alignment horizontal="left" vertical="center"/>
    </xf>
    <xf numFmtId="0" fontId="5" fillId="0" borderId="0" xfId="0" applyFont="1" applyAlignment="1">
      <alignment horizontal="left"/>
    </xf>
    <xf numFmtId="14" fontId="15" fillId="0" borderId="21" xfId="0" applyNumberFormat="1" applyFont="1" applyBorder="1" applyAlignment="1">
      <alignment horizontal="center" vertical="center"/>
    </xf>
    <xf numFmtId="0" fontId="22" fillId="0" borderId="21" xfId="0" applyFont="1" applyBorder="1" applyAlignment="1">
      <alignment horizontal="center" vertical="center"/>
    </xf>
    <xf numFmtId="0" fontId="5" fillId="37" borderId="21" xfId="0" applyFont="1" applyFill="1" applyBorder="1" applyAlignment="1">
      <alignment horizontal="center" vertical="center"/>
    </xf>
    <xf numFmtId="0" fontId="5" fillId="37" borderId="21" xfId="0" applyFont="1" applyFill="1" applyBorder="1" applyAlignment="1">
      <alignment/>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Fill="1" applyBorder="1" applyAlignment="1">
      <alignment vertical="center"/>
    </xf>
    <xf numFmtId="0" fontId="5" fillId="0" borderId="0" xfId="57" applyFont="1" applyFill="1" applyBorder="1" applyAlignment="1">
      <alignment horizontal="left" vertical="top"/>
      <protection/>
    </xf>
    <xf numFmtId="0" fontId="5" fillId="0" borderId="0" xfId="0" applyFont="1" applyBorder="1" applyAlignment="1">
      <alignment horizontal="justify" wrapText="1"/>
    </xf>
    <xf numFmtId="0" fontId="0" fillId="0" borderId="0" xfId="0" applyBorder="1" applyAlignment="1">
      <alignment horizontal="justify" wrapText="1"/>
    </xf>
    <xf numFmtId="0" fontId="5" fillId="0" borderId="0" xfId="0" applyFont="1" applyBorder="1" applyAlignment="1">
      <alignment horizontal="justify" vertical="top" wrapText="1"/>
    </xf>
    <xf numFmtId="0" fontId="0" fillId="0" borderId="0" xfId="0" applyBorder="1" applyAlignment="1">
      <alignment vertical="top"/>
    </xf>
    <xf numFmtId="0" fontId="5" fillId="0" borderId="0" xfId="57" applyFont="1" applyFill="1" applyBorder="1" applyAlignment="1">
      <alignment horizontal="left" vertical="center"/>
      <protection/>
    </xf>
    <xf numFmtId="0" fontId="15" fillId="0" borderId="0" xfId="57" applyFont="1" applyAlignment="1">
      <alignment horizontal="left" vertical="center"/>
      <protection/>
    </xf>
    <xf numFmtId="0" fontId="13" fillId="0" borderId="0" xfId="0" applyFont="1" applyBorder="1" applyAlignment="1">
      <alignment horizontal="center" vertical="center"/>
    </xf>
    <xf numFmtId="179" fontId="17" fillId="0" borderId="0" xfId="40" applyNumberFormat="1" applyFont="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Alignment="1" applyProtection="1">
      <alignment horizontal="left"/>
      <protection locked="0"/>
    </xf>
    <xf numFmtId="0" fontId="17" fillId="0" borderId="0" xfId="0" applyFont="1" applyAlignment="1" applyProtection="1">
      <alignment/>
      <protection locked="0"/>
    </xf>
    <xf numFmtId="1" fontId="17" fillId="0" borderId="0" xfId="0" applyNumberFormat="1" applyFont="1" applyAlignment="1" applyProtection="1">
      <alignment/>
      <protection locked="0"/>
    </xf>
    <xf numFmtId="0" fontId="17" fillId="0" borderId="19" xfId="0" applyFont="1" applyBorder="1" applyAlignment="1" applyProtection="1">
      <alignment horizontal="center"/>
      <protection locked="0"/>
    </xf>
    <xf numFmtId="0" fontId="17" fillId="0" borderId="20" xfId="0" applyFont="1" applyBorder="1" applyAlignment="1" applyProtection="1">
      <alignment horizontal="center"/>
      <protection locked="0"/>
    </xf>
    <xf numFmtId="0" fontId="16" fillId="0" borderId="63" xfId="0" applyFont="1" applyBorder="1" applyAlignment="1" applyProtection="1">
      <alignment horizontal="center"/>
      <protection locked="0"/>
    </xf>
    <xf numFmtId="0" fontId="63" fillId="38" borderId="64" xfId="0" applyFont="1" applyFill="1" applyBorder="1" applyAlignment="1" applyProtection="1">
      <alignment horizontal="center" wrapText="1"/>
      <protection locked="0"/>
    </xf>
    <xf numFmtId="0" fontId="63" fillId="38" borderId="65" xfId="0" applyFont="1" applyFill="1" applyBorder="1" applyAlignment="1" applyProtection="1">
      <alignment horizontal="center" wrapText="1"/>
      <protection locked="0"/>
    </xf>
    <xf numFmtId="0" fontId="63" fillId="38" borderId="66" xfId="0" applyFont="1" applyFill="1" applyBorder="1" applyAlignment="1" applyProtection="1">
      <alignment horizontal="center" wrapText="1"/>
      <protection locked="0"/>
    </xf>
    <xf numFmtId="0" fontId="63" fillId="38" borderId="67" xfId="0" applyFont="1" applyFill="1" applyBorder="1" applyAlignment="1" applyProtection="1">
      <alignment horizontal="center" wrapText="1"/>
      <protection locked="0"/>
    </xf>
    <xf numFmtId="0" fontId="63" fillId="38" borderId="68" xfId="0" applyFont="1" applyFill="1" applyBorder="1" applyAlignment="1" applyProtection="1">
      <alignment horizontal="center" wrapText="1"/>
      <protection locked="0"/>
    </xf>
  </cellXfs>
  <cellStyles count="54">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yperlink"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Magyarázó szöveg" xfId="55"/>
    <cellStyle name="Normál 2" xfId="56"/>
    <cellStyle name="Normál 3" xfId="57"/>
    <cellStyle name="Normál 4" xfId="58"/>
    <cellStyle name="Normal_Para" xfId="59"/>
    <cellStyle name="Összesen" xfId="60"/>
    <cellStyle name="Currency" xfId="61"/>
    <cellStyle name="Currency [0]" xfId="62"/>
    <cellStyle name="Rossz" xfId="63"/>
    <cellStyle name="Semleges" xfId="64"/>
    <cellStyle name="Számítás" xfId="65"/>
    <cellStyle name="Percent" xfId="66"/>
    <cellStyle name="Százalék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8.emf" /><Relationship Id="rId7"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7.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180975</xdr:colOff>
      <xdr:row>4</xdr:row>
      <xdr:rowOff>142875</xdr:rowOff>
    </xdr:to>
    <xdr:pic>
      <xdr:nvPicPr>
        <xdr:cNvPr id="1" name="Picture 1" descr="KH logo jpg"/>
        <xdr:cNvPicPr preferRelativeResize="1">
          <a:picLocks noChangeAspect="1"/>
        </xdr:cNvPicPr>
      </xdr:nvPicPr>
      <xdr:blipFill>
        <a:blip r:embed="rId1"/>
        <a:stretch>
          <a:fillRect/>
        </a:stretch>
      </xdr:blipFill>
      <xdr:spPr>
        <a:xfrm>
          <a:off x="47625" y="47625"/>
          <a:ext cx="619125" cy="628650"/>
        </a:xfrm>
        <a:prstGeom prst="rect">
          <a:avLst/>
        </a:prstGeom>
        <a:noFill/>
        <a:ln w="9525" cmpd="sng">
          <a:noFill/>
        </a:ln>
      </xdr:spPr>
    </xdr:pic>
    <xdr:clientData/>
  </xdr:twoCellAnchor>
  <xdr:twoCellAnchor editAs="oneCell">
    <xdr:from>
      <xdr:col>12</xdr:col>
      <xdr:colOff>47625</xdr:colOff>
      <xdr:row>29</xdr:row>
      <xdr:rowOff>0</xdr:rowOff>
    </xdr:from>
    <xdr:to>
      <xdr:col>17</xdr:col>
      <xdr:colOff>0</xdr:colOff>
      <xdr:row>30</xdr:row>
      <xdr:rowOff>142875</xdr:rowOff>
    </xdr:to>
    <xdr:pic>
      <xdr:nvPicPr>
        <xdr:cNvPr id="2" name="cOthers"/>
        <xdr:cNvPicPr preferRelativeResize="1">
          <a:picLocks noChangeAspect="1"/>
        </xdr:cNvPicPr>
      </xdr:nvPicPr>
      <xdr:blipFill>
        <a:blip r:embed="rId2"/>
        <a:stretch>
          <a:fillRect/>
        </a:stretch>
      </xdr:blipFill>
      <xdr:spPr>
        <a:xfrm>
          <a:off x="2333625" y="4410075"/>
          <a:ext cx="952500" cy="304800"/>
        </a:xfrm>
        <a:prstGeom prst="rect">
          <a:avLst/>
        </a:prstGeom>
        <a:noFill/>
        <a:ln w="9525" cmpd="sng">
          <a:noFill/>
        </a:ln>
      </xdr:spPr>
    </xdr:pic>
    <xdr:clientData fPrintsWithSheet="0"/>
  </xdr:twoCellAnchor>
  <xdr:twoCellAnchor editAs="oneCell">
    <xdr:from>
      <xdr:col>20</xdr:col>
      <xdr:colOff>0</xdr:colOff>
      <xdr:row>29</xdr:row>
      <xdr:rowOff>0</xdr:rowOff>
    </xdr:from>
    <xdr:to>
      <xdr:col>23</xdr:col>
      <xdr:colOff>57150</xdr:colOff>
      <xdr:row>30</xdr:row>
      <xdr:rowOff>142875</xdr:rowOff>
    </xdr:to>
    <xdr:pic>
      <xdr:nvPicPr>
        <xdr:cNvPr id="3" name="cDelete"/>
        <xdr:cNvPicPr preferRelativeResize="1">
          <a:picLocks noChangeAspect="1"/>
        </xdr:cNvPicPr>
      </xdr:nvPicPr>
      <xdr:blipFill>
        <a:blip r:embed="rId3"/>
        <a:stretch>
          <a:fillRect/>
        </a:stretch>
      </xdr:blipFill>
      <xdr:spPr>
        <a:xfrm>
          <a:off x="4019550" y="4410075"/>
          <a:ext cx="828675" cy="304800"/>
        </a:xfrm>
        <a:prstGeom prst="rect">
          <a:avLst/>
        </a:prstGeom>
        <a:noFill/>
        <a:ln w="9525" cmpd="sng">
          <a:noFill/>
        </a:ln>
      </xdr:spPr>
    </xdr:pic>
    <xdr:clientData fPrintsWithSheet="0"/>
  </xdr:twoCellAnchor>
  <xdr:twoCellAnchor editAs="absolute">
    <xdr:from>
      <xdr:col>25</xdr:col>
      <xdr:colOff>0</xdr:colOff>
      <xdr:row>184</xdr:row>
      <xdr:rowOff>9525</xdr:rowOff>
    </xdr:from>
    <xdr:to>
      <xdr:col>27</xdr:col>
      <xdr:colOff>571500</xdr:colOff>
      <xdr:row>185</xdr:row>
      <xdr:rowOff>152400</xdr:rowOff>
    </xdr:to>
    <xdr:pic>
      <xdr:nvPicPr>
        <xdr:cNvPr id="4" name="cCheckFill"/>
        <xdr:cNvPicPr preferRelativeResize="1">
          <a:picLocks noChangeAspect="1"/>
        </xdr:cNvPicPr>
      </xdr:nvPicPr>
      <xdr:blipFill>
        <a:blip r:embed="rId4"/>
        <a:stretch>
          <a:fillRect/>
        </a:stretch>
      </xdr:blipFill>
      <xdr:spPr>
        <a:xfrm>
          <a:off x="5191125" y="29184600"/>
          <a:ext cx="971550" cy="304800"/>
        </a:xfrm>
        <a:prstGeom prst="rect">
          <a:avLst/>
        </a:prstGeom>
        <a:noFill/>
        <a:ln w="9525" cmpd="sng">
          <a:noFill/>
        </a:ln>
      </xdr:spPr>
    </xdr:pic>
    <xdr:clientData fPrintsWithSheet="0"/>
  </xdr:twoCellAnchor>
  <xdr:twoCellAnchor editAs="absolute">
    <xdr:from>
      <xdr:col>21</xdr:col>
      <xdr:colOff>142875</xdr:colOff>
      <xdr:row>91</xdr:row>
      <xdr:rowOff>19050</xdr:rowOff>
    </xdr:from>
    <xdr:to>
      <xdr:col>26</xdr:col>
      <xdr:colOff>0</xdr:colOff>
      <xdr:row>93</xdr:row>
      <xdr:rowOff>0</xdr:rowOff>
    </xdr:to>
    <xdr:pic>
      <xdr:nvPicPr>
        <xdr:cNvPr id="5" name="CB_Limit"/>
        <xdr:cNvPicPr preferRelativeResize="1">
          <a:picLocks noChangeAspect="1"/>
        </xdr:cNvPicPr>
      </xdr:nvPicPr>
      <xdr:blipFill>
        <a:blip r:embed="rId5"/>
        <a:stretch>
          <a:fillRect/>
        </a:stretch>
      </xdr:blipFill>
      <xdr:spPr>
        <a:xfrm>
          <a:off x="4533900" y="14125575"/>
          <a:ext cx="857250" cy="304800"/>
        </a:xfrm>
        <a:prstGeom prst="rect">
          <a:avLst/>
        </a:prstGeom>
        <a:noFill/>
        <a:ln w="9525" cmpd="sng">
          <a:noFill/>
        </a:ln>
      </xdr:spPr>
    </xdr:pic>
    <xdr:clientData fPrintsWithSheet="0"/>
  </xdr:twoCellAnchor>
  <xdr:twoCellAnchor editAs="oneCell">
    <xdr:from>
      <xdr:col>20</xdr:col>
      <xdr:colOff>342900</xdr:colOff>
      <xdr:row>14</xdr:row>
      <xdr:rowOff>0</xdr:rowOff>
    </xdr:from>
    <xdr:to>
      <xdr:col>25</xdr:col>
      <xdr:colOff>76200</xdr:colOff>
      <xdr:row>15</xdr:row>
      <xdr:rowOff>142875</xdr:rowOff>
    </xdr:to>
    <xdr:pic>
      <xdr:nvPicPr>
        <xdr:cNvPr id="6" name="CB_Place"/>
        <xdr:cNvPicPr preferRelativeResize="1">
          <a:picLocks noChangeAspect="1"/>
        </xdr:cNvPicPr>
      </xdr:nvPicPr>
      <xdr:blipFill>
        <a:blip r:embed="rId6"/>
        <a:stretch>
          <a:fillRect/>
        </a:stretch>
      </xdr:blipFill>
      <xdr:spPr>
        <a:xfrm>
          <a:off x="4362450" y="2152650"/>
          <a:ext cx="904875" cy="304800"/>
        </a:xfrm>
        <a:prstGeom prst="rect">
          <a:avLst/>
        </a:prstGeom>
        <a:noFill/>
        <a:ln w="9525" cmpd="sng">
          <a:noFill/>
        </a:ln>
      </xdr:spPr>
    </xdr:pic>
    <xdr:clientData fPrintsWithSheet="0"/>
  </xdr:twoCellAnchor>
  <xdr:twoCellAnchor editAs="oneCell">
    <xdr:from>
      <xdr:col>1</xdr:col>
      <xdr:colOff>123825</xdr:colOff>
      <xdr:row>6</xdr:row>
      <xdr:rowOff>0</xdr:rowOff>
    </xdr:from>
    <xdr:to>
      <xdr:col>5</xdr:col>
      <xdr:colOff>180975</xdr:colOff>
      <xdr:row>7</xdr:row>
      <xdr:rowOff>142875</xdr:rowOff>
    </xdr:to>
    <xdr:pic>
      <xdr:nvPicPr>
        <xdr:cNvPr id="7" name="cb_Reset"/>
        <xdr:cNvPicPr preferRelativeResize="1">
          <a:picLocks noChangeAspect="1"/>
        </xdr:cNvPicPr>
      </xdr:nvPicPr>
      <xdr:blipFill>
        <a:blip r:embed="rId7"/>
        <a:stretch>
          <a:fillRect/>
        </a:stretch>
      </xdr:blipFill>
      <xdr:spPr>
        <a:xfrm>
          <a:off x="171450" y="857250"/>
          <a:ext cx="895350" cy="304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228600</xdr:colOff>
      <xdr:row>4</xdr:row>
      <xdr:rowOff>0</xdr:rowOff>
    </xdr:to>
    <xdr:pic>
      <xdr:nvPicPr>
        <xdr:cNvPr id="1" name="Picture 1" descr="KH logo jpg"/>
        <xdr:cNvPicPr preferRelativeResize="1">
          <a:picLocks noChangeAspect="1"/>
        </xdr:cNvPicPr>
      </xdr:nvPicPr>
      <xdr:blipFill>
        <a:blip r:embed="rId1"/>
        <a:stretch>
          <a:fillRect/>
        </a:stretch>
      </xdr:blipFill>
      <xdr:spPr>
        <a:xfrm>
          <a:off x="47625" y="47625"/>
          <a:ext cx="5238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0</xdr:row>
      <xdr:rowOff>0</xdr:rowOff>
    </xdr:from>
    <xdr:to>
      <xdr:col>10</xdr:col>
      <xdr:colOff>790575</xdr:colOff>
      <xdr:row>2</xdr:row>
      <xdr:rowOff>152400</xdr:rowOff>
    </xdr:to>
    <xdr:pic>
      <xdr:nvPicPr>
        <xdr:cNvPr id="1" name="Picture 910"/>
        <xdr:cNvPicPr preferRelativeResize="1">
          <a:picLocks noChangeAspect="1"/>
        </xdr:cNvPicPr>
      </xdr:nvPicPr>
      <xdr:blipFill>
        <a:blip r:embed="rId1"/>
        <a:stretch>
          <a:fillRect/>
        </a:stretch>
      </xdr:blipFill>
      <xdr:spPr>
        <a:xfrm>
          <a:off x="3152775" y="0"/>
          <a:ext cx="2724150" cy="495300"/>
        </a:xfrm>
        <a:prstGeom prst="rect">
          <a:avLst/>
        </a:prstGeom>
        <a:noFill/>
        <a:ln w="9525" cmpd="sng">
          <a:noFill/>
        </a:ln>
      </xdr:spPr>
    </xdr:pic>
    <xdr:clientData/>
  </xdr:twoCellAnchor>
  <xdr:twoCellAnchor editAs="oneCell">
    <xdr:from>
      <xdr:col>13</xdr:col>
      <xdr:colOff>942975</xdr:colOff>
      <xdr:row>0</xdr:row>
      <xdr:rowOff>0</xdr:rowOff>
    </xdr:from>
    <xdr:to>
      <xdr:col>18</xdr:col>
      <xdr:colOff>819150</xdr:colOff>
      <xdr:row>2</xdr:row>
      <xdr:rowOff>152400</xdr:rowOff>
    </xdr:to>
    <xdr:pic>
      <xdr:nvPicPr>
        <xdr:cNvPr id="2" name="Picture 910"/>
        <xdr:cNvPicPr preferRelativeResize="1">
          <a:picLocks noChangeAspect="1"/>
        </xdr:cNvPicPr>
      </xdr:nvPicPr>
      <xdr:blipFill>
        <a:blip r:embed="rId1"/>
        <a:stretch>
          <a:fillRect/>
        </a:stretch>
      </xdr:blipFill>
      <xdr:spPr>
        <a:xfrm>
          <a:off x="9067800" y="0"/>
          <a:ext cx="2714625" cy="495300"/>
        </a:xfrm>
        <a:prstGeom prst="rect">
          <a:avLst/>
        </a:prstGeom>
        <a:noFill/>
        <a:ln w="9525" cmpd="sng">
          <a:noFill/>
        </a:ln>
      </xdr:spPr>
    </xdr:pic>
    <xdr:clientData/>
  </xdr:twoCellAnchor>
  <xdr:twoCellAnchor editAs="oneCell">
    <xdr:from>
      <xdr:col>23</xdr:col>
      <xdr:colOff>314325</xdr:colOff>
      <xdr:row>0</xdr:row>
      <xdr:rowOff>0</xdr:rowOff>
    </xdr:from>
    <xdr:to>
      <xdr:col>29</xdr:col>
      <xdr:colOff>219075</xdr:colOff>
      <xdr:row>2</xdr:row>
      <xdr:rowOff>161925</xdr:rowOff>
    </xdr:to>
    <xdr:pic>
      <xdr:nvPicPr>
        <xdr:cNvPr id="3" name="Picture 910"/>
        <xdr:cNvPicPr preferRelativeResize="1">
          <a:picLocks noChangeAspect="1"/>
        </xdr:cNvPicPr>
      </xdr:nvPicPr>
      <xdr:blipFill>
        <a:blip r:embed="rId1"/>
        <a:stretch>
          <a:fillRect/>
        </a:stretch>
      </xdr:blipFill>
      <xdr:spPr>
        <a:xfrm>
          <a:off x="14992350" y="0"/>
          <a:ext cx="2705100" cy="504825"/>
        </a:xfrm>
        <a:prstGeom prst="rect">
          <a:avLst/>
        </a:prstGeom>
        <a:noFill/>
        <a:ln w="9525" cmpd="sng">
          <a:noFill/>
        </a:ln>
      </xdr:spPr>
    </xdr:pic>
    <xdr:clientData/>
  </xdr:twoCellAnchor>
  <xdr:twoCellAnchor editAs="oneCell">
    <xdr:from>
      <xdr:col>36</xdr:col>
      <xdr:colOff>95250</xdr:colOff>
      <xdr:row>0</xdr:row>
      <xdr:rowOff>0</xdr:rowOff>
    </xdr:from>
    <xdr:to>
      <xdr:col>39</xdr:col>
      <xdr:colOff>1095375</xdr:colOff>
      <xdr:row>2</xdr:row>
      <xdr:rowOff>152400</xdr:rowOff>
    </xdr:to>
    <xdr:pic>
      <xdr:nvPicPr>
        <xdr:cNvPr id="4" name="Picture 910"/>
        <xdr:cNvPicPr preferRelativeResize="1">
          <a:picLocks noChangeAspect="1"/>
        </xdr:cNvPicPr>
      </xdr:nvPicPr>
      <xdr:blipFill>
        <a:blip r:embed="rId1"/>
        <a:stretch>
          <a:fillRect/>
        </a:stretch>
      </xdr:blipFill>
      <xdr:spPr>
        <a:xfrm>
          <a:off x="20983575" y="0"/>
          <a:ext cx="2714625" cy="495300"/>
        </a:xfrm>
        <a:prstGeom prst="rect">
          <a:avLst/>
        </a:prstGeom>
        <a:noFill/>
        <a:ln w="9525" cmpd="sng">
          <a:noFill/>
        </a:ln>
      </xdr:spPr>
    </xdr:pic>
    <xdr:clientData/>
  </xdr:twoCellAnchor>
  <xdr:twoCellAnchor editAs="oneCell">
    <xdr:from>
      <xdr:col>0</xdr:col>
      <xdr:colOff>28575</xdr:colOff>
      <xdr:row>54</xdr:row>
      <xdr:rowOff>0</xdr:rowOff>
    </xdr:from>
    <xdr:to>
      <xdr:col>2</xdr:col>
      <xdr:colOff>152400</xdr:colOff>
      <xdr:row>56</xdr:row>
      <xdr:rowOff>0</xdr:rowOff>
    </xdr:to>
    <xdr:pic>
      <xdr:nvPicPr>
        <xdr:cNvPr id="5" name="Picture 1780"/>
        <xdr:cNvPicPr preferRelativeResize="1">
          <a:picLocks noChangeAspect="1"/>
        </xdr:cNvPicPr>
      </xdr:nvPicPr>
      <xdr:blipFill>
        <a:blip r:embed="rId2"/>
        <a:stretch>
          <a:fillRect/>
        </a:stretch>
      </xdr:blipFill>
      <xdr:spPr>
        <a:xfrm>
          <a:off x="28575" y="9058275"/>
          <a:ext cx="1428750" cy="342900"/>
        </a:xfrm>
        <a:prstGeom prst="rect">
          <a:avLst/>
        </a:prstGeom>
        <a:noFill/>
        <a:ln w="9525" cmpd="sng">
          <a:noFill/>
        </a:ln>
      </xdr:spPr>
    </xdr:pic>
    <xdr:clientData/>
  </xdr:twoCellAnchor>
  <xdr:twoCellAnchor editAs="oneCell">
    <xdr:from>
      <xdr:col>11</xdr:col>
      <xdr:colOff>19050</xdr:colOff>
      <xdr:row>54</xdr:row>
      <xdr:rowOff>9525</xdr:rowOff>
    </xdr:from>
    <xdr:to>
      <xdr:col>12</xdr:col>
      <xdr:colOff>171450</xdr:colOff>
      <xdr:row>56</xdr:row>
      <xdr:rowOff>9525</xdr:rowOff>
    </xdr:to>
    <xdr:pic>
      <xdr:nvPicPr>
        <xdr:cNvPr id="6" name="Picture 1780"/>
        <xdr:cNvPicPr preferRelativeResize="1">
          <a:picLocks noChangeAspect="1"/>
        </xdr:cNvPicPr>
      </xdr:nvPicPr>
      <xdr:blipFill>
        <a:blip r:embed="rId2"/>
        <a:stretch>
          <a:fillRect/>
        </a:stretch>
      </xdr:blipFill>
      <xdr:spPr>
        <a:xfrm>
          <a:off x="5972175" y="9067800"/>
          <a:ext cx="1428750" cy="342900"/>
        </a:xfrm>
        <a:prstGeom prst="rect">
          <a:avLst/>
        </a:prstGeom>
        <a:noFill/>
        <a:ln w="9525" cmpd="sng">
          <a:noFill/>
        </a:ln>
      </xdr:spPr>
    </xdr:pic>
    <xdr:clientData/>
  </xdr:twoCellAnchor>
  <xdr:twoCellAnchor editAs="oneCell">
    <xdr:from>
      <xdr:col>19</xdr:col>
      <xdr:colOff>28575</xdr:colOff>
      <xdr:row>54</xdr:row>
      <xdr:rowOff>47625</xdr:rowOff>
    </xdr:from>
    <xdr:to>
      <xdr:col>21</xdr:col>
      <xdr:colOff>276225</xdr:colOff>
      <xdr:row>56</xdr:row>
      <xdr:rowOff>47625</xdr:rowOff>
    </xdr:to>
    <xdr:pic>
      <xdr:nvPicPr>
        <xdr:cNvPr id="7" name="Picture 1780"/>
        <xdr:cNvPicPr preferRelativeResize="1">
          <a:picLocks noChangeAspect="1"/>
        </xdr:cNvPicPr>
      </xdr:nvPicPr>
      <xdr:blipFill>
        <a:blip r:embed="rId2"/>
        <a:stretch>
          <a:fillRect/>
        </a:stretch>
      </xdr:blipFill>
      <xdr:spPr>
        <a:xfrm>
          <a:off x="11925300" y="9105900"/>
          <a:ext cx="1428750" cy="342900"/>
        </a:xfrm>
        <a:prstGeom prst="rect">
          <a:avLst/>
        </a:prstGeom>
        <a:noFill/>
        <a:ln w="9525" cmpd="sng">
          <a:noFill/>
        </a:ln>
      </xdr:spPr>
    </xdr:pic>
    <xdr:clientData/>
  </xdr:twoCellAnchor>
  <xdr:twoCellAnchor editAs="oneCell">
    <xdr:from>
      <xdr:col>30</xdr:col>
      <xdr:colOff>47625</xdr:colOff>
      <xdr:row>54</xdr:row>
      <xdr:rowOff>9525</xdr:rowOff>
    </xdr:from>
    <xdr:to>
      <xdr:col>32</xdr:col>
      <xdr:colOff>295275</xdr:colOff>
      <xdr:row>56</xdr:row>
      <xdr:rowOff>9525</xdr:rowOff>
    </xdr:to>
    <xdr:pic>
      <xdr:nvPicPr>
        <xdr:cNvPr id="8" name="Picture 1780"/>
        <xdr:cNvPicPr preferRelativeResize="1">
          <a:picLocks noChangeAspect="1"/>
        </xdr:cNvPicPr>
      </xdr:nvPicPr>
      <xdr:blipFill>
        <a:blip r:embed="rId2"/>
        <a:stretch>
          <a:fillRect/>
        </a:stretch>
      </xdr:blipFill>
      <xdr:spPr>
        <a:xfrm>
          <a:off x="17859375" y="9067800"/>
          <a:ext cx="1428750" cy="342900"/>
        </a:xfrm>
        <a:prstGeom prst="rect">
          <a:avLst/>
        </a:prstGeom>
        <a:noFill/>
        <a:ln w="9525" cmpd="sng">
          <a:noFill/>
        </a:ln>
      </xdr:spPr>
    </xdr:pic>
    <xdr:clientData/>
  </xdr:twoCellAnchor>
  <xdr:twoCellAnchor editAs="oneCell">
    <xdr:from>
      <xdr:col>9</xdr:col>
      <xdr:colOff>371475</xdr:colOff>
      <xdr:row>52</xdr:row>
      <xdr:rowOff>152400</xdr:rowOff>
    </xdr:from>
    <xdr:to>
      <xdr:col>10</xdr:col>
      <xdr:colOff>752475</xdr:colOff>
      <xdr:row>56</xdr:row>
      <xdr:rowOff>95250</xdr:rowOff>
    </xdr:to>
    <xdr:pic>
      <xdr:nvPicPr>
        <xdr:cNvPr id="9" name="Picture 1295"/>
        <xdr:cNvPicPr preferRelativeResize="1">
          <a:picLocks noChangeAspect="1"/>
        </xdr:cNvPicPr>
      </xdr:nvPicPr>
      <xdr:blipFill>
        <a:blip r:embed="rId3"/>
        <a:stretch>
          <a:fillRect/>
        </a:stretch>
      </xdr:blipFill>
      <xdr:spPr>
        <a:xfrm>
          <a:off x="4848225" y="8867775"/>
          <a:ext cx="990600" cy="628650"/>
        </a:xfrm>
        <a:prstGeom prst="rect">
          <a:avLst/>
        </a:prstGeom>
        <a:noFill/>
        <a:ln w="9525" cmpd="sng">
          <a:noFill/>
        </a:ln>
      </xdr:spPr>
    </xdr:pic>
    <xdr:clientData/>
  </xdr:twoCellAnchor>
  <xdr:twoCellAnchor editAs="oneCell">
    <xdr:from>
      <xdr:col>17</xdr:col>
      <xdr:colOff>133350</xdr:colOff>
      <xdr:row>52</xdr:row>
      <xdr:rowOff>152400</xdr:rowOff>
    </xdr:from>
    <xdr:to>
      <xdr:col>18</xdr:col>
      <xdr:colOff>819150</xdr:colOff>
      <xdr:row>56</xdr:row>
      <xdr:rowOff>95250</xdr:rowOff>
    </xdr:to>
    <xdr:pic>
      <xdr:nvPicPr>
        <xdr:cNvPr id="10" name="Picture 1295"/>
        <xdr:cNvPicPr preferRelativeResize="1">
          <a:picLocks noChangeAspect="1"/>
        </xdr:cNvPicPr>
      </xdr:nvPicPr>
      <xdr:blipFill>
        <a:blip r:embed="rId3"/>
        <a:stretch>
          <a:fillRect/>
        </a:stretch>
      </xdr:blipFill>
      <xdr:spPr>
        <a:xfrm>
          <a:off x="10791825" y="8867775"/>
          <a:ext cx="990600" cy="628650"/>
        </a:xfrm>
        <a:prstGeom prst="rect">
          <a:avLst/>
        </a:prstGeom>
        <a:noFill/>
        <a:ln w="9525" cmpd="sng">
          <a:noFill/>
        </a:ln>
      </xdr:spPr>
    </xdr:pic>
    <xdr:clientData/>
  </xdr:twoCellAnchor>
  <xdr:twoCellAnchor editAs="oneCell">
    <xdr:from>
      <xdr:col>27</xdr:col>
      <xdr:colOff>295275</xdr:colOff>
      <xdr:row>53</xdr:row>
      <xdr:rowOff>9525</xdr:rowOff>
    </xdr:from>
    <xdr:to>
      <xdr:col>29</xdr:col>
      <xdr:colOff>276225</xdr:colOff>
      <xdr:row>56</xdr:row>
      <xdr:rowOff>123825</xdr:rowOff>
    </xdr:to>
    <xdr:pic>
      <xdr:nvPicPr>
        <xdr:cNvPr id="11" name="Picture 1295"/>
        <xdr:cNvPicPr preferRelativeResize="1">
          <a:picLocks noChangeAspect="1"/>
        </xdr:cNvPicPr>
      </xdr:nvPicPr>
      <xdr:blipFill>
        <a:blip r:embed="rId3"/>
        <a:stretch>
          <a:fillRect/>
        </a:stretch>
      </xdr:blipFill>
      <xdr:spPr>
        <a:xfrm>
          <a:off x="16764000" y="8896350"/>
          <a:ext cx="990600" cy="628650"/>
        </a:xfrm>
        <a:prstGeom prst="rect">
          <a:avLst/>
        </a:prstGeom>
        <a:noFill/>
        <a:ln w="9525" cmpd="sng">
          <a:noFill/>
        </a:ln>
      </xdr:spPr>
    </xdr:pic>
    <xdr:clientData/>
  </xdr:twoCellAnchor>
  <xdr:twoCellAnchor editAs="oneCell">
    <xdr:from>
      <xdr:col>39</xdr:col>
      <xdr:colOff>76200</xdr:colOff>
      <xdr:row>53</xdr:row>
      <xdr:rowOff>0</xdr:rowOff>
    </xdr:from>
    <xdr:to>
      <xdr:col>39</xdr:col>
      <xdr:colOff>1066800</xdr:colOff>
      <xdr:row>56</xdr:row>
      <xdr:rowOff>114300</xdr:rowOff>
    </xdr:to>
    <xdr:pic>
      <xdr:nvPicPr>
        <xdr:cNvPr id="12" name="Picture 1295"/>
        <xdr:cNvPicPr preferRelativeResize="1">
          <a:picLocks noChangeAspect="1"/>
        </xdr:cNvPicPr>
      </xdr:nvPicPr>
      <xdr:blipFill>
        <a:blip r:embed="rId3"/>
        <a:stretch>
          <a:fillRect/>
        </a:stretch>
      </xdr:blipFill>
      <xdr:spPr>
        <a:xfrm>
          <a:off x="22679025" y="8886825"/>
          <a:ext cx="9906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Dash"/>
  <dimension ref="A1:BP193"/>
  <sheetViews>
    <sheetView tabSelected="1" view="pageBreakPreview" zoomScaleSheetLayoutView="100" zoomScalePageLayoutView="0" workbookViewId="0" topLeftCell="A1">
      <selection activeCell="AJ13" sqref="AJ13"/>
    </sheetView>
  </sheetViews>
  <sheetFormatPr defaultColWidth="3.00390625" defaultRowHeight="12.75" customHeight="1"/>
  <cols>
    <col min="1" max="1" width="0.71875" style="1" customWidth="1"/>
    <col min="2" max="2" width="3.57421875" style="1" customWidth="1"/>
    <col min="3" max="17" width="3.00390625" style="1" customWidth="1"/>
    <col min="18" max="18" width="5.00390625" style="1" bestFit="1" customWidth="1"/>
    <col min="19" max="20" width="3.00390625" style="1" customWidth="1"/>
    <col min="21" max="21" width="5.57421875" style="1" bestFit="1" customWidth="1"/>
    <col min="22" max="27" width="3.00390625" style="1" customWidth="1"/>
    <col min="28" max="28" width="11.00390625" style="1" customWidth="1"/>
    <col min="29" max="29" width="6.00390625" style="1" customWidth="1"/>
    <col min="30" max="30" width="3.28125" style="1" customWidth="1"/>
    <col min="31" max="32" width="3.00390625" style="1" customWidth="1"/>
    <col min="33" max="33" width="6.00390625" style="1" bestFit="1" customWidth="1"/>
    <col min="34" max="34" width="5.00390625" style="1" bestFit="1" customWidth="1"/>
    <col min="35" max="35" width="7.00390625" style="1" bestFit="1" customWidth="1"/>
    <col min="36" max="36" width="5.00390625" style="1" bestFit="1" customWidth="1"/>
    <col min="37" max="37" width="3.00390625" style="1" customWidth="1"/>
    <col min="38" max="38" width="11.00390625" style="1" customWidth="1"/>
    <col min="39" max="40" width="3.00390625" style="1" customWidth="1"/>
    <col min="41" max="41" width="2.421875" style="1" customWidth="1"/>
    <col min="42" max="42" width="4.8515625" style="1" customWidth="1"/>
    <col min="43" max="43" width="3.00390625" style="139" customWidth="1"/>
    <col min="44" max="44" width="0.71875" style="139" customWidth="1"/>
    <col min="45" max="45" width="3.00390625" style="139" customWidth="1"/>
    <col min="46" max="16384" width="3.00390625" style="1" customWidth="1"/>
  </cols>
  <sheetData>
    <row r="1" spans="1:68" ht="3.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2"/>
      <c r="AT1" s="2"/>
      <c r="AU1" s="2"/>
      <c r="AV1" s="2"/>
      <c r="AW1" s="2"/>
      <c r="AX1" s="2"/>
      <c r="AY1" s="2"/>
      <c r="AZ1" s="2"/>
      <c r="BA1" s="2"/>
      <c r="BB1" s="2"/>
      <c r="BC1" s="2"/>
      <c r="BD1" s="2"/>
      <c r="BE1" s="2"/>
      <c r="BF1" s="2"/>
      <c r="BG1" s="2"/>
      <c r="BH1" s="2"/>
      <c r="BI1" s="2"/>
      <c r="BJ1" s="2"/>
      <c r="BK1" s="2"/>
      <c r="BL1" s="2"/>
      <c r="BM1" s="2"/>
      <c r="BN1" s="2"/>
      <c r="BO1" s="2"/>
      <c r="BP1" s="2"/>
    </row>
    <row r="2" spans="1:68" ht="12.75" customHeight="1">
      <c r="A2" s="3"/>
      <c r="B2" s="3"/>
      <c r="C2" s="3"/>
      <c r="D2" s="3"/>
      <c r="E2" s="5"/>
      <c r="F2" s="5" t="s">
        <v>122</v>
      </c>
      <c r="G2" s="6"/>
      <c r="H2" s="5"/>
      <c r="I2" s="5"/>
      <c r="J2" s="5"/>
      <c r="K2" s="5"/>
      <c r="L2" s="5"/>
      <c r="M2" s="5"/>
      <c r="N2" s="5"/>
      <c r="O2" s="5"/>
      <c r="P2" s="5"/>
      <c r="Q2" s="5"/>
      <c r="R2" s="5"/>
      <c r="S2" s="3"/>
      <c r="T2" s="3"/>
      <c r="U2" s="3"/>
      <c r="V2" s="3"/>
      <c r="W2" s="3"/>
      <c r="X2" s="3"/>
      <c r="Y2" s="3"/>
      <c r="Z2" s="3"/>
      <c r="AA2" s="3"/>
      <c r="AB2" s="3"/>
      <c r="AC2" s="3"/>
      <c r="AD2" s="3"/>
      <c r="AE2" s="3"/>
      <c r="AF2" s="3"/>
      <c r="AG2" s="3"/>
      <c r="AH2" s="3"/>
      <c r="AI2" s="3"/>
      <c r="AJ2" s="3"/>
      <c r="AK2" s="3"/>
      <c r="AL2" s="3"/>
      <c r="AM2" s="3"/>
      <c r="AN2" s="3"/>
      <c r="AO2" s="3"/>
      <c r="AP2" s="3"/>
      <c r="AQ2" s="3"/>
      <c r="AR2" s="3"/>
      <c r="AS2" s="2"/>
      <c r="AT2" s="2"/>
      <c r="AU2" s="2"/>
      <c r="AV2" s="2"/>
      <c r="AW2" s="2"/>
      <c r="AX2" s="2"/>
      <c r="AY2" s="2"/>
      <c r="AZ2" s="2"/>
      <c r="BA2" s="2"/>
      <c r="BB2" s="2"/>
      <c r="BC2" s="2"/>
      <c r="BD2" s="2"/>
      <c r="BE2" s="2"/>
      <c r="BF2" s="2"/>
      <c r="BG2" s="2"/>
      <c r="BH2" s="2"/>
      <c r="BI2" s="2"/>
      <c r="BJ2" s="2"/>
      <c r="BK2" s="2"/>
      <c r="BL2" s="2"/>
      <c r="BM2" s="2"/>
      <c r="BN2" s="2"/>
      <c r="BO2" s="2"/>
      <c r="BP2" s="2"/>
    </row>
    <row r="3" spans="1:68" ht="12.75" customHeight="1">
      <c r="A3" s="3"/>
      <c r="B3" s="3"/>
      <c r="C3" s="3"/>
      <c r="D3" s="3"/>
      <c r="E3" s="5"/>
      <c r="F3" s="5" t="s">
        <v>123</v>
      </c>
      <c r="G3" s="6"/>
      <c r="H3" s="5"/>
      <c r="I3" s="5"/>
      <c r="J3" s="5"/>
      <c r="K3" s="5"/>
      <c r="L3" s="5"/>
      <c r="M3" s="5"/>
      <c r="N3" s="5"/>
      <c r="O3" s="5"/>
      <c r="P3" s="5"/>
      <c r="Q3" s="5"/>
      <c r="R3" s="5"/>
      <c r="S3" s="3"/>
      <c r="T3" s="3"/>
      <c r="U3" s="3"/>
      <c r="V3" s="3"/>
      <c r="W3" s="3"/>
      <c r="X3" s="3"/>
      <c r="Y3" s="3"/>
      <c r="Z3" s="3"/>
      <c r="AA3" s="3"/>
      <c r="AB3" s="3"/>
      <c r="AC3" s="3"/>
      <c r="AD3" s="3"/>
      <c r="AE3" s="3"/>
      <c r="AF3" s="3"/>
      <c r="AG3" s="3"/>
      <c r="AH3" s="3"/>
      <c r="AI3" s="3"/>
      <c r="AJ3" s="3"/>
      <c r="AK3" s="3"/>
      <c r="AL3" s="3"/>
      <c r="AM3" s="3"/>
      <c r="AN3" s="3"/>
      <c r="AO3" s="3"/>
      <c r="AP3" s="3"/>
      <c r="AQ3" s="3"/>
      <c r="AR3" s="3"/>
      <c r="AS3" s="2"/>
      <c r="AT3" s="2"/>
      <c r="AU3" s="2"/>
      <c r="AV3" s="2"/>
      <c r="AW3" s="2"/>
      <c r="AX3" s="2"/>
      <c r="AY3" s="2"/>
      <c r="AZ3" s="2"/>
      <c r="BA3" s="2"/>
      <c r="BB3" s="2"/>
      <c r="BC3" s="2"/>
      <c r="BD3" s="2"/>
      <c r="BE3" s="2"/>
      <c r="BF3" s="2"/>
      <c r="BG3" s="2"/>
      <c r="BH3" s="2"/>
      <c r="BI3" s="2"/>
      <c r="BJ3" s="2"/>
      <c r="BK3" s="2"/>
      <c r="BL3" s="2"/>
      <c r="BM3" s="2"/>
      <c r="BN3" s="2"/>
      <c r="BO3" s="2"/>
      <c r="BP3" s="2"/>
    </row>
    <row r="4" spans="1:68" ht="12.75" customHeight="1">
      <c r="A4" s="3"/>
      <c r="B4" s="3"/>
      <c r="C4" s="3"/>
      <c r="D4" s="3"/>
      <c r="E4" s="3"/>
      <c r="F4" s="4"/>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2"/>
      <c r="AT4" s="2"/>
      <c r="AU4" s="2"/>
      <c r="AV4" s="2"/>
      <c r="AW4" s="2"/>
      <c r="AX4" s="2"/>
      <c r="AY4" s="2"/>
      <c r="AZ4" s="2"/>
      <c r="BA4" s="2"/>
      <c r="BB4" s="2"/>
      <c r="BC4" s="2"/>
      <c r="BD4" s="2"/>
      <c r="BE4" s="2"/>
      <c r="BF4" s="2"/>
      <c r="BG4" s="2"/>
      <c r="BH4" s="2"/>
      <c r="BI4" s="2"/>
      <c r="BJ4" s="2"/>
      <c r="BK4" s="2"/>
      <c r="BL4" s="2"/>
      <c r="BM4" s="2"/>
      <c r="BN4" s="2"/>
      <c r="BO4" s="2"/>
      <c r="BP4" s="2"/>
    </row>
    <row r="5" spans="1:68" ht="12.75" customHeight="1">
      <c r="A5" s="3"/>
      <c r="B5" s="3"/>
      <c r="C5" s="3"/>
      <c r="D5" s="3"/>
      <c r="E5" s="3"/>
      <c r="F5" s="4"/>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
      <c r="AT5" s="2"/>
      <c r="AU5" s="2"/>
      <c r="AV5" s="2"/>
      <c r="AW5" s="2"/>
      <c r="AX5" s="2"/>
      <c r="AY5" s="2"/>
      <c r="AZ5" s="2"/>
      <c r="BA5" s="2"/>
      <c r="BB5" s="2"/>
      <c r="BC5" s="2"/>
      <c r="BD5" s="2"/>
      <c r="BE5" s="2"/>
      <c r="BF5" s="2"/>
      <c r="BG5" s="2"/>
      <c r="BH5" s="2"/>
      <c r="BI5" s="2"/>
      <c r="BJ5" s="2"/>
      <c r="BK5" s="2"/>
      <c r="BL5" s="2"/>
      <c r="BM5" s="2"/>
      <c r="BN5" s="2"/>
      <c r="BO5" s="2"/>
      <c r="BP5" s="2"/>
    </row>
    <row r="6" spans="1:68" ht="12.75">
      <c r="A6" s="3"/>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3"/>
      <c r="AS6" s="2"/>
      <c r="AT6" s="2"/>
      <c r="AU6" s="2"/>
      <c r="AV6" s="2"/>
      <c r="AW6" s="2"/>
      <c r="AX6" s="2"/>
      <c r="AY6" s="2"/>
      <c r="AZ6" s="2"/>
      <c r="BA6" s="2"/>
      <c r="BB6" s="2"/>
      <c r="BC6" s="2"/>
      <c r="BD6" s="2"/>
      <c r="BE6" s="2"/>
      <c r="BF6" s="2"/>
      <c r="BG6" s="2"/>
      <c r="BH6" s="2"/>
      <c r="BI6" s="2"/>
      <c r="BJ6" s="2"/>
      <c r="BK6" s="2"/>
      <c r="BL6" s="2"/>
      <c r="BM6" s="2"/>
      <c r="BN6" s="2"/>
      <c r="BO6" s="2"/>
      <c r="BP6" s="2"/>
    </row>
    <row r="7" spans="1:68" ht="12.75" customHeight="1">
      <c r="A7" s="3"/>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t="s">
        <v>1238</v>
      </c>
      <c r="AH7" s="7"/>
      <c r="AI7" s="7"/>
      <c r="AJ7" s="7"/>
      <c r="AK7" s="7"/>
      <c r="AL7" s="7"/>
      <c r="AM7" s="7"/>
      <c r="AN7" s="7"/>
      <c r="AO7" s="7"/>
      <c r="AP7" s="7"/>
      <c r="AQ7" s="7"/>
      <c r="AR7" s="3"/>
      <c r="AS7" s="2"/>
      <c r="AT7" s="2"/>
      <c r="AU7" s="2"/>
      <c r="AV7" s="2"/>
      <c r="AW7" s="2"/>
      <c r="AX7" s="2"/>
      <c r="AY7" s="2"/>
      <c r="AZ7" s="2"/>
      <c r="BA7" s="2"/>
      <c r="BB7" s="2"/>
      <c r="BC7" s="2"/>
      <c r="BD7" s="2"/>
      <c r="BE7" s="2"/>
      <c r="BF7" s="2"/>
      <c r="BG7" s="2"/>
      <c r="BH7" s="2"/>
      <c r="BI7" s="2"/>
      <c r="BJ7" s="2"/>
      <c r="BK7" s="2"/>
      <c r="BL7" s="2"/>
      <c r="BM7" s="2"/>
      <c r="BN7" s="2"/>
      <c r="BO7" s="2"/>
      <c r="BP7" s="2"/>
    </row>
    <row r="8" spans="1:68" ht="12.75" customHeight="1">
      <c r="A8" s="3"/>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3"/>
      <c r="AS8" s="2"/>
      <c r="AT8" s="2"/>
      <c r="AU8" s="2"/>
      <c r="AV8" s="2"/>
      <c r="AW8" s="2"/>
      <c r="AX8" s="2"/>
      <c r="AY8" s="2"/>
      <c r="AZ8" s="2"/>
      <c r="BA8" s="2"/>
      <c r="BB8" s="2"/>
      <c r="BC8" s="2"/>
      <c r="BD8" s="2"/>
      <c r="BE8" s="2"/>
      <c r="BF8" s="2"/>
      <c r="BG8" s="2"/>
      <c r="BH8" s="2"/>
      <c r="BI8" s="2"/>
      <c r="BJ8" s="2"/>
      <c r="BK8" s="2"/>
      <c r="BL8" s="2"/>
      <c r="BM8" s="2"/>
      <c r="BN8" s="2"/>
      <c r="BO8" s="2"/>
      <c r="BP8" s="2"/>
    </row>
    <row r="9" spans="1:68" ht="12.75" customHeight="1">
      <c r="A9" s="3"/>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3"/>
      <c r="AS9" s="2"/>
      <c r="AT9" s="2"/>
      <c r="AU9" s="2"/>
      <c r="AV9" s="2"/>
      <c r="AW9" s="2"/>
      <c r="AX9" s="2"/>
      <c r="AY9" s="2"/>
      <c r="AZ9" s="2"/>
      <c r="BA9" s="2"/>
      <c r="BB9" s="2"/>
      <c r="BC9" s="2"/>
      <c r="BD9" s="2"/>
      <c r="BE9" s="2"/>
      <c r="BF9" s="2"/>
      <c r="BG9" s="2"/>
      <c r="BH9" s="2"/>
      <c r="BI9" s="2"/>
      <c r="BJ9" s="2"/>
      <c r="BK9" s="2"/>
      <c r="BL9" s="2"/>
      <c r="BM9" s="2"/>
      <c r="BN9" s="2"/>
      <c r="BO9" s="2"/>
      <c r="BP9" s="2"/>
    </row>
    <row r="10" spans="1:68" ht="12.75" customHeight="1">
      <c r="A10" s="3"/>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t="s">
        <v>777</v>
      </c>
      <c r="AH10" s="7"/>
      <c r="AI10" s="7"/>
      <c r="AJ10" s="7"/>
      <c r="AK10" s="7"/>
      <c r="AL10" s="7"/>
      <c r="AM10" s="7"/>
      <c r="AN10" s="7"/>
      <c r="AO10" s="7"/>
      <c r="AP10" s="7"/>
      <c r="AQ10" s="7"/>
      <c r="AR10" s="3"/>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1:68" ht="12.75" customHeight="1">
      <c r="A11" s="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302" t="s">
        <v>1549</v>
      </c>
      <c r="AH11" s="303"/>
      <c r="AI11" s="7"/>
      <c r="AJ11" s="7"/>
      <c r="AK11" s="7"/>
      <c r="AL11" s="7"/>
      <c r="AM11" s="7"/>
      <c r="AN11" s="7"/>
      <c r="AO11" s="7"/>
      <c r="AP11" s="7"/>
      <c r="AQ11" s="7"/>
      <c r="AR11" s="3"/>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1:68" ht="12.75" customHeight="1">
      <c r="A12" s="3"/>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3"/>
      <c r="AS12" s="2"/>
      <c r="AT12" s="2"/>
      <c r="AU12" s="2"/>
      <c r="AV12" s="2"/>
      <c r="AW12" s="2"/>
      <c r="AX12" s="2"/>
      <c r="AY12" s="2"/>
      <c r="AZ12" s="2"/>
      <c r="BA12" s="2"/>
      <c r="BB12" s="2"/>
      <c r="BC12" s="2"/>
      <c r="BD12" s="2"/>
      <c r="BE12" s="2"/>
      <c r="BF12" s="2"/>
      <c r="BG12" s="2"/>
      <c r="BH12" s="2"/>
      <c r="BI12" s="2"/>
      <c r="BJ12" s="2"/>
      <c r="BK12" s="2"/>
      <c r="BL12" s="2"/>
      <c r="BM12" s="2"/>
      <c r="BN12" s="2"/>
      <c r="BO12" s="2"/>
      <c r="BP12" s="2"/>
    </row>
    <row r="13" spans="1:68" ht="12.75" customHeight="1">
      <c r="A13" s="3"/>
      <c r="B13" s="7" t="s">
        <v>11</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3"/>
      <c r="AS13" s="2"/>
      <c r="AT13" s="2"/>
      <c r="AU13" s="2"/>
      <c r="AV13" s="2"/>
      <c r="AW13" s="2"/>
      <c r="AX13" s="2"/>
      <c r="AY13" s="2"/>
      <c r="AZ13" s="2"/>
      <c r="BA13" s="2"/>
      <c r="BB13" s="2"/>
      <c r="BC13" s="2"/>
      <c r="BD13" s="2"/>
      <c r="BE13" s="2"/>
      <c r="BF13" s="2"/>
      <c r="BG13" s="2"/>
      <c r="BH13" s="2"/>
      <c r="BI13" s="2"/>
      <c r="BJ13" s="2"/>
      <c r="BK13" s="2"/>
      <c r="BL13" s="2"/>
      <c r="BM13" s="2"/>
      <c r="BN13" s="2"/>
      <c r="BO13" s="2"/>
      <c r="BP13" s="2"/>
    </row>
    <row r="14" spans="1:68" ht="12.75" customHeight="1">
      <c r="A14" s="3"/>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3"/>
      <c r="AS14" s="2"/>
      <c r="AT14" s="2"/>
      <c r="AU14" s="2"/>
      <c r="AV14" s="2"/>
      <c r="AW14" s="2"/>
      <c r="AX14" s="2"/>
      <c r="AY14" s="2"/>
      <c r="AZ14" s="2"/>
      <c r="BA14" s="2"/>
      <c r="BB14" s="2"/>
      <c r="BC14" s="2"/>
      <c r="BD14" s="2"/>
      <c r="BE14" s="2"/>
      <c r="BF14" s="2"/>
      <c r="BG14" s="2"/>
      <c r="BH14" s="2"/>
      <c r="BI14" s="2"/>
      <c r="BJ14" s="2"/>
      <c r="BK14" s="2"/>
      <c r="BL14" s="2"/>
      <c r="BM14" s="2"/>
      <c r="BN14" s="2"/>
      <c r="BO14" s="2"/>
      <c r="BP14" s="2"/>
    </row>
    <row r="15" spans="1:68" ht="12.75" customHeight="1">
      <c r="A15" s="3"/>
      <c r="B15" s="7" t="s">
        <v>79</v>
      </c>
      <c r="C15" s="7"/>
      <c r="D15" s="7"/>
      <c r="E15" s="7"/>
      <c r="F15" s="7"/>
      <c r="G15" s="7"/>
      <c r="H15" s="199"/>
      <c r="I15" s="196"/>
      <c r="J15" s="196"/>
      <c r="K15" s="196"/>
      <c r="L15" s="196"/>
      <c r="M15" s="196"/>
      <c r="N15" s="196"/>
      <c r="O15" s="196"/>
      <c r="P15" s="196"/>
      <c r="Q15" s="196"/>
      <c r="R15" s="196"/>
      <c r="S15" s="196"/>
      <c r="T15" s="197"/>
      <c r="U15" s="7"/>
      <c r="V15" s="7"/>
      <c r="W15" s="7"/>
      <c r="X15" s="7"/>
      <c r="Y15" s="7"/>
      <c r="Z15" s="7"/>
      <c r="AA15" s="55"/>
      <c r="AB15" s="7"/>
      <c r="AC15" s="7"/>
      <c r="AD15" s="7"/>
      <c r="AE15" s="7"/>
      <c r="AF15" s="7"/>
      <c r="AG15" s="7"/>
      <c r="AH15" s="7"/>
      <c r="AI15" s="7"/>
      <c r="AJ15" s="7"/>
      <c r="AK15" s="7"/>
      <c r="AL15" s="7"/>
      <c r="AM15" s="7"/>
      <c r="AN15" s="7"/>
      <c r="AO15" s="7"/>
      <c r="AP15" s="7"/>
      <c r="AQ15" s="7"/>
      <c r="AR15" s="3"/>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ht="12.75" customHeight="1">
      <c r="A16" s="3"/>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3"/>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ht="12.75" customHeight="1">
      <c r="A17" s="3"/>
      <c r="B17" s="7" t="s">
        <v>125</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3"/>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12.75" customHeight="1">
      <c r="A18" s="3"/>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3"/>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12.75" customHeight="1">
      <c r="A19" s="3"/>
      <c r="B19" s="8" t="s">
        <v>126</v>
      </c>
      <c r="C19" s="7"/>
      <c r="D19" s="7"/>
      <c r="E19" s="7"/>
      <c r="F19" s="7"/>
      <c r="G19" s="7"/>
      <c r="H19" s="7"/>
      <c r="I19" s="7"/>
      <c r="J19" s="7"/>
      <c r="K19" s="7" t="s">
        <v>136</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3"/>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4.5" customHeight="1">
      <c r="A20" s="3"/>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3"/>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ht="12.75" customHeight="1">
      <c r="A21" s="3"/>
      <c r="B21" s="7" t="s">
        <v>34</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3"/>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2.75" customHeight="1">
      <c r="A22" s="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3"/>
      <c r="AS22" s="2"/>
      <c r="AT22" s="2"/>
      <c r="AU22" s="2"/>
      <c r="AV22" s="2"/>
      <c r="AW22" s="2"/>
      <c r="AX22" s="2"/>
      <c r="AY22" s="2"/>
      <c r="AZ22" s="2"/>
      <c r="BA22" s="2"/>
      <c r="BB22" s="2"/>
      <c r="BC22" s="2"/>
      <c r="BD22" s="2"/>
      <c r="BE22" s="2"/>
      <c r="BF22" s="2"/>
      <c r="BG22" s="2"/>
      <c r="BH22" s="2"/>
      <c r="BI22" s="2"/>
      <c r="BJ22" s="2"/>
      <c r="BK22" s="2"/>
      <c r="BL22" s="2"/>
      <c r="BM22" s="2"/>
      <c r="BN22" s="2"/>
      <c r="BO22" s="2"/>
      <c r="BP22" s="2"/>
    </row>
    <row r="23" spans="1:68" ht="12.75" customHeight="1">
      <c r="A23" s="3"/>
      <c r="B23" s="7"/>
      <c r="C23" s="7"/>
      <c r="D23" s="7"/>
      <c r="E23" s="7"/>
      <c r="F23" s="7"/>
      <c r="G23" s="7"/>
      <c r="H23" s="7" t="s">
        <v>259</v>
      </c>
      <c r="I23" s="7"/>
      <c r="J23" s="7"/>
      <c r="K23" s="7"/>
      <c r="L23" s="7"/>
      <c r="M23" s="7"/>
      <c r="N23" s="7"/>
      <c r="O23" s="7"/>
      <c r="P23" s="368"/>
      <c r="Q23" s="369"/>
      <c r="R23" s="370"/>
      <c r="S23" s="7"/>
      <c r="T23" s="7" t="s">
        <v>132</v>
      </c>
      <c r="U23" s="7"/>
      <c r="V23" s="274" t="str">
        <f>IF(P23=0,"!!! KÖTELEZŐ ADAT ÖNÁLLÓ INGÓSÁGBIZTOSÍTÁS ESETÉBEN IS","")</f>
        <v>!!! KÖTELEZŐ ADAT ÖNÁLLÓ INGÓSÁGBIZTOSÍTÁS ESETÉBEN IS</v>
      </c>
      <c r="W23" s="7"/>
      <c r="X23" s="7"/>
      <c r="Y23" s="7"/>
      <c r="Z23" s="7"/>
      <c r="AA23" s="7"/>
      <c r="AB23" s="7"/>
      <c r="AC23" s="7"/>
      <c r="AD23" s="7"/>
      <c r="AE23" s="7"/>
      <c r="AF23" s="7"/>
      <c r="AG23" s="7"/>
      <c r="AH23" s="7"/>
      <c r="AI23" s="7"/>
      <c r="AJ23" s="7"/>
      <c r="AK23" s="7"/>
      <c r="AL23" s="7"/>
      <c r="AM23" s="7"/>
      <c r="AN23" s="7"/>
      <c r="AO23" s="7"/>
      <c r="AP23" s="7"/>
      <c r="AQ23" s="7"/>
      <c r="AR23" s="3"/>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1:68" ht="7.5" customHeight="1">
      <c r="A24" s="3"/>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3"/>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1:68" ht="12.75" customHeight="1">
      <c r="A25" s="3"/>
      <c r="B25" s="7"/>
      <c r="C25" s="7"/>
      <c r="D25" s="7"/>
      <c r="E25" s="7"/>
      <c r="F25" s="7"/>
      <c r="G25" s="7"/>
      <c r="H25" s="9"/>
      <c r="I25" s="10"/>
      <c r="J25" s="10"/>
      <c r="K25" s="10"/>
      <c r="L25" s="10"/>
      <c r="M25" s="10"/>
      <c r="N25" s="10"/>
      <c r="O25" s="10"/>
      <c r="P25" s="10"/>
      <c r="Q25" s="11"/>
      <c r="R25" s="360" t="s">
        <v>128</v>
      </c>
      <c r="S25" s="361"/>
      <c r="T25" s="362"/>
      <c r="U25" s="360" t="s">
        <v>130</v>
      </c>
      <c r="V25" s="361"/>
      <c r="W25" s="362"/>
      <c r="X25" s="360" t="s">
        <v>131</v>
      </c>
      <c r="Y25" s="361"/>
      <c r="Z25" s="361"/>
      <c r="AA25" s="362"/>
      <c r="AB25" s="360" t="s">
        <v>133</v>
      </c>
      <c r="AC25" s="361"/>
      <c r="AD25" s="361"/>
      <c r="AE25" s="361"/>
      <c r="AF25" s="361"/>
      <c r="AG25" s="362"/>
      <c r="AH25" s="7"/>
      <c r="AI25" s="7"/>
      <c r="AJ25" s="7"/>
      <c r="AK25" s="7"/>
      <c r="AL25" s="7"/>
      <c r="AM25" s="7"/>
      <c r="AN25" s="7"/>
      <c r="AO25" s="7"/>
      <c r="AP25" s="7"/>
      <c r="AQ25" s="7"/>
      <c r="AR25" s="3"/>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1:68" ht="12.75" customHeight="1">
      <c r="A26" s="3"/>
      <c r="B26" s="7"/>
      <c r="C26" s="7"/>
      <c r="D26" s="7"/>
      <c r="E26" s="7"/>
      <c r="F26" s="7"/>
      <c r="G26" s="7"/>
      <c r="H26" s="12" t="s">
        <v>127</v>
      </c>
      <c r="I26" s="13"/>
      <c r="J26" s="13"/>
      <c r="K26" s="13"/>
      <c r="L26" s="13"/>
      <c r="M26" s="13"/>
      <c r="N26" s="13"/>
      <c r="O26" s="13"/>
      <c r="P26" s="13"/>
      <c r="Q26" s="14"/>
      <c r="R26" s="374" t="s">
        <v>129</v>
      </c>
      <c r="S26" s="375"/>
      <c r="T26" s="376"/>
      <c r="U26" s="374" t="s">
        <v>129</v>
      </c>
      <c r="V26" s="375"/>
      <c r="W26" s="376"/>
      <c r="X26" s="15"/>
      <c r="Y26" s="16"/>
      <c r="Z26" s="13"/>
      <c r="AA26" s="14"/>
      <c r="AB26" s="12"/>
      <c r="AC26" s="13"/>
      <c r="AD26" s="16"/>
      <c r="AE26" s="16"/>
      <c r="AF26" s="16"/>
      <c r="AG26" s="14"/>
      <c r="AH26" s="7"/>
      <c r="AI26" s="7"/>
      <c r="AJ26" s="7"/>
      <c r="AK26" s="7"/>
      <c r="AL26" s="7"/>
      <c r="AM26" s="7"/>
      <c r="AN26" s="7"/>
      <c r="AO26" s="7"/>
      <c r="AP26" s="7"/>
      <c r="AQ26" s="7"/>
      <c r="AR26" s="3"/>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1:68" ht="12.75" customHeight="1">
      <c r="A27" s="3"/>
      <c r="B27" s="7"/>
      <c r="C27" s="7"/>
      <c r="D27" s="7"/>
      <c r="E27" s="7"/>
      <c r="F27" s="7"/>
      <c r="G27" s="7"/>
      <c r="H27" s="17"/>
      <c r="I27" s="18"/>
      <c r="J27" s="18"/>
      <c r="K27" s="18"/>
      <c r="L27" s="18"/>
      <c r="M27" s="18"/>
      <c r="N27" s="18"/>
      <c r="O27" s="18"/>
      <c r="P27" s="18"/>
      <c r="Q27" s="19"/>
      <c r="R27" s="304" t="s">
        <v>135</v>
      </c>
      <c r="S27" s="305"/>
      <c r="T27" s="324"/>
      <c r="U27" s="304" t="s">
        <v>135</v>
      </c>
      <c r="V27" s="305"/>
      <c r="W27" s="324"/>
      <c r="X27" s="304" t="s">
        <v>132</v>
      </c>
      <c r="Y27" s="305"/>
      <c r="Z27" s="305"/>
      <c r="AA27" s="324"/>
      <c r="AB27" s="304" t="s">
        <v>134</v>
      </c>
      <c r="AC27" s="305"/>
      <c r="AD27" s="305"/>
      <c r="AE27" s="305"/>
      <c r="AF27" s="305"/>
      <c r="AG27" s="324"/>
      <c r="AH27" s="7"/>
      <c r="AI27" s="7"/>
      <c r="AJ27" s="7"/>
      <c r="AK27" s="7"/>
      <c r="AL27" s="7"/>
      <c r="AM27" s="7"/>
      <c r="AN27" s="7"/>
      <c r="AO27" s="7"/>
      <c r="AP27" s="7"/>
      <c r="AQ27" s="7"/>
      <c r="AR27" s="3"/>
      <c r="AS27" s="2"/>
      <c r="AT27" s="2"/>
      <c r="AU27" s="2"/>
      <c r="AV27" s="2"/>
      <c r="AW27" s="2"/>
      <c r="AX27" s="2"/>
      <c r="AY27" s="2"/>
      <c r="AZ27" s="2"/>
      <c r="BA27" s="2"/>
      <c r="BB27" s="2"/>
      <c r="BC27" s="2"/>
      <c r="BD27" s="2"/>
      <c r="BE27" s="2"/>
      <c r="BF27" s="2"/>
      <c r="BG27" s="2"/>
      <c r="BH27" s="2"/>
      <c r="BI27" s="2"/>
      <c r="BJ27" s="2"/>
      <c r="BK27" s="2"/>
      <c r="BL27" s="2"/>
      <c r="BM27" s="2"/>
      <c r="BN27" s="2"/>
      <c r="BO27" s="2"/>
      <c r="BP27" s="2"/>
    </row>
    <row r="28" spans="1:68" ht="12.75" customHeight="1">
      <c r="A28" s="3"/>
      <c r="B28" s="7"/>
      <c r="C28" s="7"/>
      <c r="D28" s="7"/>
      <c r="E28" s="7"/>
      <c r="F28" s="7"/>
      <c r="G28" s="7"/>
      <c r="H28" s="371"/>
      <c r="I28" s="372"/>
      <c r="J28" s="372"/>
      <c r="K28" s="372"/>
      <c r="L28" s="372"/>
      <c r="M28" s="372"/>
      <c r="N28" s="372"/>
      <c r="O28" s="372"/>
      <c r="P28" s="372"/>
      <c r="Q28" s="373"/>
      <c r="R28" s="410">
        <f>Számolótábla!AN39</f>
        <v>195</v>
      </c>
      <c r="S28" s="411"/>
      <c r="T28" s="412"/>
      <c r="U28" s="400"/>
      <c r="V28" s="401"/>
      <c r="W28" s="402"/>
      <c r="X28" s="410">
        <f>P23</f>
        <v>0</v>
      </c>
      <c r="Y28" s="411"/>
      <c r="Z28" s="411"/>
      <c r="AA28" s="412"/>
      <c r="AB28" s="311">
        <f>IF(Számolótábla!A6=1,0,U28*P23)</f>
        <v>0</v>
      </c>
      <c r="AC28" s="312"/>
      <c r="AD28" s="312"/>
      <c r="AE28" s="312"/>
      <c r="AF28" s="312"/>
      <c r="AG28" s="313"/>
      <c r="AH28" s="7"/>
      <c r="AI28" s="7"/>
      <c r="AJ28" s="7"/>
      <c r="AK28" s="7"/>
      <c r="AL28" s="7"/>
      <c r="AM28" s="7"/>
      <c r="AN28" s="7"/>
      <c r="AO28" s="7"/>
      <c r="AP28" s="7"/>
      <c r="AQ28" s="7"/>
      <c r="AR28" s="3"/>
      <c r="AS28" s="2"/>
      <c r="AT28" s="2"/>
      <c r="AU28" s="2"/>
      <c r="AV28" s="2"/>
      <c r="AW28" s="2"/>
      <c r="AX28" s="2"/>
      <c r="AY28" s="2"/>
      <c r="AZ28" s="2"/>
      <c r="BA28" s="2"/>
      <c r="BB28" s="2"/>
      <c r="BC28" s="2"/>
      <c r="BD28" s="2"/>
      <c r="BE28" s="2"/>
      <c r="BF28" s="2"/>
      <c r="BG28" s="2"/>
      <c r="BH28" s="2"/>
      <c r="BI28" s="2"/>
      <c r="BJ28" s="2"/>
      <c r="BK28" s="2"/>
      <c r="BL28" s="2"/>
      <c r="BM28" s="2"/>
      <c r="BN28" s="2"/>
      <c r="BO28" s="2"/>
      <c r="BP28" s="2"/>
    </row>
    <row r="29" spans="1:68" ht="12.75" customHeight="1">
      <c r="A29" s="3"/>
      <c r="B29" s="7"/>
      <c r="C29" s="7"/>
      <c r="D29" s="7"/>
      <c r="E29" s="7"/>
      <c r="F29" s="7"/>
      <c r="G29" s="7"/>
      <c r="H29" s="7"/>
      <c r="I29" s="7"/>
      <c r="J29" s="7"/>
      <c r="K29" s="7"/>
      <c r="L29" s="7"/>
      <c r="M29" s="7"/>
      <c r="N29" s="7"/>
      <c r="O29" s="7"/>
      <c r="P29" s="7"/>
      <c r="Q29" s="7"/>
      <c r="R29" s="7"/>
      <c r="S29" s="7"/>
      <c r="T29" s="7"/>
      <c r="U29" s="21"/>
      <c r="V29" s="7"/>
      <c r="W29" s="7"/>
      <c r="X29" s="7"/>
      <c r="Y29" s="7"/>
      <c r="Z29" s="7"/>
      <c r="AA29" s="7"/>
      <c r="AB29" s="7"/>
      <c r="AC29" s="7"/>
      <c r="AD29" s="7"/>
      <c r="AE29" s="7"/>
      <c r="AF29" s="7"/>
      <c r="AG29" s="7"/>
      <c r="AH29" s="7"/>
      <c r="AI29" s="7"/>
      <c r="AJ29" s="7"/>
      <c r="AK29" s="7"/>
      <c r="AL29" s="7"/>
      <c r="AM29" s="7"/>
      <c r="AN29" s="7"/>
      <c r="AO29" s="7"/>
      <c r="AP29" s="7"/>
      <c r="AQ29" s="7"/>
      <c r="AR29" s="3"/>
      <c r="AS29" s="2"/>
      <c r="AT29" s="2"/>
      <c r="AU29" s="2"/>
      <c r="AV29" s="2"/>
      <c r="AW29" s="2"/>
      <c r="AX29" s="2"/>
      <c r="AY29" s="2"/>
      <c r="AZ29" s="2"/>
      <c r="BA29" s="2"/>
      <c r="BB29" s="2"/>
      <c r="BC29" s="2"/>
      <c r="BD29" s="2"/>
      <c r="BE29" s="2"/>
      <c r="BF29" s="2"/>
      <c r="BG29" s="2"/>
      <c r="BH29" s="2"/>
      <c r="BI29" s="2"/>
      <c r="BJ29" s="2"/>
      <c r="BK29" s="2"/>
      <c r="BL29" s="2"/>
      <c r="BM29" s="2"/>
      <c r="BN29" s="2"/>
      <c r="BO29" s="2"/>
      <c r="BP29" s="2"/>
    </row>
    <row r="30" spans="1:68" ht="12.75" customHeight="1">
      <c r="A30" s="3"/>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3"/>
      <c r="AS30" s="2"/>
      <c r="AT30" s="2"/>
      <c r="AU30" s="2"/>
      <c r="AV30" s="2"/>
      <c r="AW30" s="2"/>
      <c r="AX30" s="2"/>
      <c r="AY30" s="2"/>
      <c r="AZ30" s="2"/>
      <c r="BA30" s="2"/>
      <c r="BB30" s="2"/>
      <c r="BC30" s="2"/>
      <c r="BD30" s="2"/>
      <c r="BE30" s="2"/>
      <c r="BF30" s="2"/>
      <c r="BG30" s="2"/>
      <c r="BH30" s="2"/>
      <c r="BI30" s="2"/>
      <c r="BJ30" s="2"/>
      <c r="BK30" s="2"/>
      <c r="BL30" s="2"/>
      <c r="BM30" s="2"/>
      <c r="BN30" s="2"/>
      <c r="BO30" s="2"/>
      <c r="BP30" s="2"/>
    </row>
    <row r="31" spans="1:68" ht="12.75" customHeight="1">
      <c r="A31" s="3"/>
      <c r="B31" s="8" t="s">
        <v>541</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3"/>
      <c r="AS31" s="2"/>
      <c r="AT31" s="2"/>
      <c r="AU31" s="2"/>
      <c r="AV31" s="2"/>
      <c r="AW31" s="2"/>
      <c r="AX31" s="2"/>
      <c r="AY31" s="2"/>
      <c r="AZ31" s="2"/>
      <c r="BA31" s="2"/>
      <c r="BB31" s="2"/>
      <c r="BC31" s="2"/>
      <c r="BD31" s="2"/>
      <c r="BE31" s="2"/>
      <c r="BF31" s="2"/>
      <c r="BG31" s="2"/>
      <c r="BH31" s="2"/>
      <c r="BI31" s="2"/>
      <c r="BJ31" s="2"/>
      <c r="BK31" s="2"/>
      <c r="BL31" s="2"/>
      <c r="BM31" s="2"/>
      <c r="BN31" s="2"/>
      <c r="BO31" s="2"/>
      <c r="BP31" s="2"/>
    </row>
    <row r="32" spans="1:68" ht="12.75" customHeight="1">
      <c r="A32" s="3"/>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3"/>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ht="12.75" customHeight="1">
      <c r="A33" s="3"/>
      <c r="B33" s="7"/>
      <c r="C33" s="67"/>
      <c r="D33" s="68"/>
      <c r="E33" s="68"/>
      <c r="F33" s="69"/>
      <c r="G33" s="76"/>
      <c r="H33" s="9"/>
      <c r="I33" s="10"/>
      <c r="J33" s="10"/>
      <c r="K33" s="10"/>
      <c r="L33" s="10"/>
      <c r="M33" s="10"/>
      <c r="N33" s="10"/>
      <c r="O33" s="10"/>
      <c r="P33" s="10"/>
      <c r="Q33" s="10"/>
      <c r="R33" s="168"/>
      <c r="S33" s="141" t="s">
        <v>128</v>
      </c>
      <c r="T33" s="145"/>
      <c r="U33" s="171"/>
      <c r="V33" s="141" t="s">
        <v>130</v>
      </c>
      <c r="W33" s="145"/>
      <c r="X33" s="171"/>
      <c r="Y33" s="141" t="s">
        <v>622</v>
      </c>
      <c r="Z33" s="142"/>
      <c r="AA33" s="145"/>
      <c r="AB33" s="141"/>
      <c r="AC33" s="141" t="s">
        <v>133</v>
      </c>
      <c r="AD33" s="142"/>
      <c r="AE33" s="142"/>
      <c r="AF33" s="142"/>
      <c r="AG33" s="145"/>
      <c r="AH33" s="7"/>
      <c r="AI33" s="7"/>
      <c r="AJ33" s="7"/>
      <c r="AK33" s="7"/>
      <c r="AL33" s="7"/>
      <c r="AM33" s="7"/>
      <c r="AN33" s="7"/>
      <c r="AO33" s="7"/>
      <c r="AP33" s="7"/>
      <c r="AQ33" s="7"/>
      <c r="AR33" s="3"/>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ht="12.75" customHeight="1">
      <c r="A34" s="3"/>
      <c r="B34" s="7"/>
      <c r="C34" s="70" t="s">
        <v>35</v>
      </c>
      <c r="D34" s="71"/>
      <c r="E34" s="71"/>
      <c r="F34" s="72"/>
      <c r="G34" s="75"/>
      <c r="H34" s="12"/>
      <c r="I34" s="13"/>
      <c r="J34" s="13"/>
      <c r="K34" s="13"/>
      <c r="L34" s="13"/>
      <c r="M34" s="13"/>
      <c r="N34" s="13"/>
      <c r="O34" s="13"/>
      <c r="P34" s="13"/>
      <c r="Q34" s="13"/>
      <c r="R34" s="169"/>
      <c r="S34" s="15" t="s">
        <v>129</v>
      </c>
      <c r="T34" s="148"/>
      <c r="U34" s="172"/>
      <c r="V34" s="15" t="s">
        <v>129</v>
      </c>
      <c r="W34" s="148"/>
      <c r="X34" s="15"/>
      <c r="Y34" s="147"/>
      <c r="Z34" s="16"/>
      <c r="AA34" s="14"/>
      <c r="AB34" s="12"/>
      <c r="AC34" s="13"/>
      <c r="AD34" s="13"/>
      <c r="AE34" s="16"/>
      <c r="AF34" s="16"/>
      <c r="AG34" s="174"/>
      <c r="AH34" s="13"/>
      <c r="AI34" s="13"/>
      <c r="AJ34" s="7"/>
      <c r="AK34" s="7"/>
      <c r="AL34" s="7"/>
      <c r="AM34" s="7"/>
      <c r="AN34" s="7"/>
      <c r="AO34" s="7"/>
      <c r="AP34" s="7"/>
      <c r="AQ34" s="7"/>
      <c r="AR34" s="3"/>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ht="12.75" customHeight="1">
      <c r="A35" s="3"/>
      <c r="B35" s="7"/>
      <c r="C35" s="70" t="s">
        <v>343</v>
      </c>
      <c r="D35" s="73"/>
      <c r="E35" s="73"/>
      <c r="F35" s="74"/>
      <c r="G35" s="15" t="s">
        <v>344</v>
      </c>
      <c r="H35" s="12" t="s">
        <v>127</v>
      </c>
      <c r="I35" s="18"/>
      <c r="J35" s="18"/>
      <c r="K35" s="18"/>
      <c r="L35" s="18"/>
      <c r="M35" s="18"/>
      <c r="N35" s="18"/>
      <c r="O35" s="18"/>
      <c r="P35" s="18"/>
      <c r="Q35" s="18"/>
      <c r="R35" s="170"/>
      <c r="S35" s="143" t="s">
        <v>135</v>
      </c>
      <c r="T35" s="146"/>
      <c r="U35" s="173"/>
      <c r="V35" s="143" t="s">
        <v>135</v>
      </c>
      <c r="W35" s="146"/>
      <c r="X35" s="143"/>
      <c r="Y35" s="144" t="s">
        <v>132</v>
      </c>
      <c r="Z35" s="144"/>
      <c r="AA35" s="146"/>
      <c r="AB35" s="143"/>
      <c r="AC35" s="143" t="s">
        <v>134</v>
      </c>
      <c r="AD35" s="144"/>
      <c r="AE35" s="144"/>
      <c r="AF35" s="144"/>
      <c r="AG35" s="146"/>
      <c r="AH35" s="147"/>
      <c r="AI35" s="13"/>
      <c r="AJ35" s="7"/>
      <c r="AK35" s="7"/>
      <c r="AL35" s="7"/>
      <c r="AM35" s="7"/>
      <c r="AN35" s="7"/>
      <c r="AO35" s="7"/>
      <c r="AP35" s="7"/>
      <c r="AQ35" s="7"/>
      <c r="AR35" s="3"/>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ht="12.75" customHeight="1">
      <c r="A36" s="3"/>
      <c r="B36" s="7"/>
      <c r="C36" s="153"/>
      <c r="D36" s="154"/>
      <c r="E36" s="154"/>
      <c r="F36" s="155"/>
      <c r="G36" s="156"/>
      <c r="H36" s="264"/>
      <c r="I36" s="265"/>
      <c r="J36" s="265"/>
      <c r="K36" s="265"/>
      <c r="L36" s="265"/>
      <c r="M36" s="265"/>
      <c r="N36" s="265"/>
      <c r="O36" s="265"/>
      <c r="P36" s="265"/>
      <c r="Q36" s="269"/>
      <c r="R36" s="27"/>
      <c r="S36" s="28"/>
      <c r="T36" s="29"/>
      <c r="U36" s="264"/>
      <c r="V36" s="265"/>
      <c r="W36" s="269"/>
      <c r="X36" s="263"/>
      <c r="Y36" s="267"/>
      <c r="Z36" s="267"/>
      <c r="AA36" s="268"/>
      <c r="AB36" s="157"/>
      <c r="AC36" s="154"/>
      <c r="AD36" s="154"/>
      <c r="AE36" s="154"/>
      <c r="AF36" s="154"/>
      <c r="AG36" s="158"/>
      <c r="AH36" s="7"/>
      <c r="AI36" s="7"/>
      <c r="AJ36" s="7"/>
      <c r="AK36" s="7"/>
      <c r="AL36" s="7"/>
      <c r="AM36" s="7"/>
      <c r="AN36" s="7"/>
      <c r="AO36" s="7"/>
      <c r="AP36" s="7"/>
      <c r="AQ36" s="7"/>
      <c r="AR36" s="3"/>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ht="12.75" customHeight="1">
      <c r="A37" s="3"/>
      <c r="B37" s="7"/>
      <c r="C37" s="153"/>
      <c r="D37" s="154"/>
      <c r="E37" s="154"/>
      <c r="F37" s="155"/>
      <c r="G37" s="156"/>
      <c r="H37" s="264"/>
      <c r="I37" s="266"/>
      <c r="J37" s="266"/>
      <c r="K37" s="266"/>
      <c r="L37" s="266"/>
      <c r="M37" s="266"/>
      <c r="N37" s="266"/>
      <c r="O37" s="266"/>
      <c r="P37" s="266"/>
      <c r="Q37" s="270"/>
      <c r="R37" s="27"/>
      <c r="S37" s="28"/>
      <c r="T37" s="29"/>
      <c r="U37" s="264"/>
      <c r="V37" s="266"/>
      <c r="W37" s="270"/>
      <c r="X37" s="264"/>
      <c r="Y37" s="266"/>
      <c r="Z37" s="266"/>
      <c r="AA37" s="266"/>
      <c r="AB37" s="157"/>
      <c r="AC37" s="159"/>
      <c r="AD37" s="159"/>
      <c r="AE37" s="159"/>
      <c r="AF37" s="159"/>
      <c r="AG37" s="160"/>
      <c r="AH37" s="7"/>
      <c r="AI37" s="7"/>
      <c r="AJ37" s="7"/>
      <c r="AK37" s="7"/>
      <c r="AL37" s="7"/>
      <c r="AM37" s="7"/>
      <c r="AN37" s="7"/>
      <c r="AO37" s="7"/>
      <c r="AP37" s="7"/>
      <c r="AQ37" s="7"/>
      <c r="AR37" s="3"/>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ht="12.75" customHeight="1">
      <c r="A38" s="3"/>
      <c r="B38" s="7"/>
      <c r="C38" s="153"/>
      <c r="D38" s="154"/>
      <c r="E38" s="154"/>
      <c r="F38" s="155"/>
      <c r="G38" s="156"/>
      <c r="H38" s="264"/>
      <c r="I38" s="265"/>
      <c r="J38" s="265"/>
      <c r="K38" s="265"/>
      <c r="L38" s="265"/>
      <c r="M38" s="265"/>
      <c r="N38" s="265"/>
      <c r="O38" s="265"/>
      <c r="P38" s="265"/>
      <c r="Q38" s="269"/>
      <c r="R38" s="27"/>
      <c r="S38" s="28"/>
      <c r="T38" s="29"/>
      <c r="U38" s="264"/>
      <c r="V38" s="265"/>
      <c r="W38" s="269"/>
      <c r="X38" s="264"/>
      <c r="Y38" s="265"/>
      <c r="Z38" s="265"/>
      <c r="AA38" s="265"/>
      <c r="AB38" s="157"/>
      <c r="AC38" s="159"/>
      <c r="AD38" s="159"/>
      <c r="AE38" s="159"/>
      <c r="AF38" s="159"/>
      <c r="AG38" s="160"/>
      <c r="AH38" s="7"/>
      <c r="AI38" s="7"/>
      <c r="AJ38" s="7"/>
      <c r="AK38" s="7"/>
      <c r="AL38" s="7"/>
      <c r="AM38" s="7"/>
      <c r="AN38" s="7"/>
      <c r="AO38" s="7"/>
      <c r="AP38" s="7"/>
      <c r="AQ38" s="7"/>
      <c r="AR38" s="3"/>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12.75" customHeight="1">
      <c r="A39" s="3"/>
      <c r="B39" s="7"/>
      <c r="C39" s="153"/>
      <c r="D39" s="154"/>
      <c r="E39" s="154"/>
      <c r="F39" s="155"/>
      <c r="G39" s="156"/>
      <c r="H39" s="264"/>
      <c r="I39" s="265"/>
      <c r="J39" s="265"/>
      <c r="K39" s="265"/>
      <c r="L39" s="265"/>
      <c r="M39" s="265"/>
      <c r="N39" s="265"/>
      <c r="O39" s="265"/>
      <c r="P39" s="265"/>
      <c r="Q39" s="269"/>
      <c r="R39" s="27"/>
      <c r="S39" s="28"/>
      <c r="T39" s="29"/>
      <c r="U39" s="264"/>
      <c r="V39" s="265"/>
      <c r="W39" s="269"/>
      <c r="X39" s="264"/>
      <c r="Y39" s="265"/>
      <c r="Z39" s="265"/>
      <c r="AA39" s="265"/>
      <c r="AB39" s="157"/>
      <c r="AC39" s="159"/>
      <c r="AD39" s="159"/>
      <c r="AE39" s="159"/>
      <c r="AF39" s="159"/>
      <c r="AG39" s="160"/>
      <c r="AH39" s="7"/>
      <c r="AI39" s="7"/>
      <c r="AJ39" s="7"/>
      <c r="AK39" s="7"/>
      <c r="AL39" s="7"/>
      <c r="AM39" s="7"/>
      <c r="AN39" s="7"/>
      <c r="AO39" s="7"/>
      <c r="AP39" s="7"/>
      <c r="AQ39" s="7"/>
      <c r="AR39" s="3"/>
      <c r="AS39" s="2"/>
      <c r="AT39" s="2"/>
      <c r="AU39" s="2"/>
      <c r="AV39" s="2"/>
      <c r="AW39" s="2"/>
      <c r="AX39" s="2"/>
      <c r="AY39" s="2"/>
      <c r="AZ39" s="2"/>
      <c r="BA39" s="2"/>
      <c r="BB39" s="2"/>
      <c r="BC39" s="2"/>
      <c r="BD39" s="2"/>
      <c r="BE39" s="2"/>
      <c r="BF39" s="2"/>
      <c r="BG39" s="2"/>
      <c r="BH39" s="2"/>
      <c r="BI39" s="2"/>
      <c r="BJ39" s="2"/>
      <c r="BK39" s="2"/>
      <c r="BL39" s="2"/>
      <c r="BM39" s="2"/>
      <c r="BN39" s="2"/>
      <c r="BO39" s="2"/>
      <c r="BP39" s="2"/>
    </row>
    <row r="40" spans="1:68" ht="12.75" customHeight="1">
      <c r="A40" s="3"/>
      <c r="B40" s="7"/>
      <c r="C40" s="153"/>
      <c r="D40" s="154"/>
      <c r="E40" s="154"/>
      <c r="F40" s="155"/>
      <c r="G40" s="156"/>
      <c r="H40" s="264"/>
      <c r="I40" s="265"/>
      <c r="J40" s="265"/>
      <c r="K40" s="265"/>
      <c r="L40" s="265"/>
      <c r="M40" s="265"/>
      <c r="N40" s="265"/>
      <c r="O40" s="265"/>
      <c r="P40" s="265"/>
      <c r="Q40" s="269"/>
      <c r="R40" s="27"/>
      <c r="S40" s="28"/>
      <c r="T40" s="29"/>
      <c r="U40" s="264"/>
      <c r="V40" s="265"/>
      <c r="W40" s="269"/>
      <c r="X40" s="264"/>
      <c r="Y40" s="265"/>
      <c r="Z40" s="265"/>
      <c r="AA40" s="265"/>
      <c r="AB40" s="157"/>
      <c r="AC40" s="159"/>
      <c r="AD40" s="159"/>
      <c r="AE40" s="159"/>
      <c r="AF40" s="159"/>
      <c r="AG40" s="160"/>
      <c r="AH40" s="7"/>
      <c r="AI40" s="7"/>
      <c r="AJ40" s="7"/>
      <c r="AK40" s="7"/>
      <c r="AL40" s="7"/>
      <c r="AM40" s="7"/>
      <c r="AN40" s="7"/>
      <c r="AO40" s="7"/>
      <c r="AP40" s="7"/>
      <c r="AQ40" s="7"/>
      <c r="AR40" s="3"/>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12.75" customHeight="1" thickBot="1">
      <c r="A41" s="3"/>
      <c r="B41" s="7"/>
      <c r="C41" s="7"/>
      <c r="D41" s="7"/>
      <c r="E41" s="7"/>
      <c r="F41" s="7"/>
      <c r="G41" s="7"/>
      <c r="H41" s="7"/>
      <c r="I41" s="7"/>
      <c r="J41" s="7"/>
      <c r="K41" s="7"/>
      <c r="L41" s="7"/>
      <c r="M41" s="7"/>
      <c r="N41" s="7"/>
      <c r="O41" s="7"/>
      <c r="P41" s="7"/>
      <c r="Q41" s="7"/>
      <c r="R41" s="7"/>
      <c r="S41" s="7"/>
      <c r="T41" s="7"/>
      <c r="U41" s="7"/>
      <c r="V41" s="7"/>
      <c r="W41" s="7"/>
      <c r="X41" s="85"/>
      <c r="Y41" s="84"/>
      <c r="Z41" s="84"/>
      <c r="AA41" s="84"/>
      <c r="AB41" s="84"/>
      <c r="AC41" s="84"/>
      <c r="AD41" s="84"/>
      <c r="AE41" s="84"/>
      <c r="AF41" s="84"/>
      <c r="AG41" s="84"/>
      <c r="AH41" s="7"/>
      <c r="AI41" s="7"/>
      <c r="AJ41" s="7"/>
      <c r="AK41" s="7"/>
      <c r="AL41" s="7"/>
      <c r="AM41" s="7"/>
      <c r="AN41" s="7"/>
      <c r="AO41" s="7"/>
      <c r="AP41" s="7"/>
      <c r="AQ41" s="7"/>
      <c r="AR41" s="3"/>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12.75" customHeight="1">
      <c r="A42" s="3"/>
      <c r="B42" s="7"/>
      <c r="C42" s="7"/>
      <c r="D42" s="7"/>
      <c r="E42" s="7"/>
      <c r="F42" s="7"/>
      <c r="G42" s="7"/>
      <c r="H42" s="7"/>
      <c r="I42" s="7"/>
      <c r="J42" s="7"/>
      <c r="K42" s="7"/>
      <c r="L42" s="7"/>
      <c r="M42" s="7"/>
      <c r="N42" s="7"/>
      <c r="O42" s="7"/>
      <c r="P42" s="7"/>
      <c r="Q42" s="7"/>
      <c r="R42" s="7"/>
      <c r="S42" s="7"/>
      <c r="T42" s="7"/>
      <c r="U42" s="7"/>
      <c r="V42" s="7"/>
      <c r="W42" s="7"/>
      <c r="X42" s="81" t="s">
        <v>35</v>
      </c>
      <c r="Y42" s="82"/>
      <c r="Z42" s="82"/>
      <c r="AA42" s="83"/>
      <c r="AB42" s="413">
        <f>SUMIF($C$36:$C$40,"="&amp;X42,$AB$36:$AB$40)</f>
        <v>0</v>
      </c>
      <c r="AC42" s="414"/>
      <c r="AD42" s="414"/>
      <c r="AE42" s="414"/>
      <c r="AF42" s="414"/>
      <c r="AG42" s="415"/>
      <c r="AH42" s="7"/>
      <c r="AI42" s="7"/>
      <c r="AJ42" s="7"/>
      <c r="AK42" s="7"/>
      <c r="AL42" s="7"/>
      <c r="AM42" s="7"/>
      <c r="AN42" s="7"/>
      <c r="AO42" s="7"/>
      <c r="AP42" s="7"/>
      <c r="AQ42" s="7"/>
      <c r="AR42" s="3"/>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12.75" customHeight="1">
      <c r="A43" s="3"/>
      <c r="B43" s="7"/>
      <c r="C43" s="7"/>
      <c r="D43" s="7"/>
      <c r="E43" s="7"/>
      <c r="F43" s="7"/>
      <c r="G43" s="7"/>
      <c r="H43" s="7"/>
      <c r="I43" s="7"/>
      <c r="J43" s="7"/>
      <c r="K43" s="7"/>
      <c r="L43" s="7"/>
      <c r="M43" s="7"/>
      <c r="N43" s="7"/>
      <c r="O43" s="7"/>
      <c r="P43" s="7"/>
      <c r="Q43" s="7"/>
      <c r="R43" s="7"/>
      <c r="S43" s="7"/>
      <c r="T43" s="7"/>
      <c r="U43" s="7"/>
      <c r="V43" s="7"/>
      <c r="W43" s="7"/>
      <c r="X43" s="152" t="s">
        <v>350</v>
      </c>
      <c r="Y43" s="28"/>
      <c r="Z43" s="28"/>
      <c r="AA43" s="29"/>
      <c r="AB43" s="419">
        <f>SUMIF($C$36:$C$40,"="&amp;X43,$AB$36:$AB$40)</f>
        <v>0</v>
      </c>
      <c r="AC43" s="420"/>
      <c r="AD43" s="420"/>
      <c r="AE43" s="420"/>
      <c r="AF43" s="420"/>
      <c r="AG43" s="421"/>
      <c r="AH43" s="7"/>
      <c r="AI43" s="7"/>
      <c r="AJ43" s="7"/>
      <c r="AK43" s="7"/>
      <c r="AL43" s="7"/>
      <c r="AM43" s="7"/>
      <c r="AN43" s="7"/>
      <c r="AO43" s="7"/>
      <c r="AP43" s="7"/>
      <c r="AQ43" s="7"/>
      <c r="AR43" s="3"/>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1:68" ht="12.75" customHeight="1" thickBot="1">
      <c r="A44" s="3"/>
      <c r="B44" s="7"/>
      <c r="C44" s="7"/>
      <c r="D44" s="7"/>
      <c r="E44" s="7"/>
      <c r="F44" s="7"/>
      <c r="G44" s="7"/>
      <c r="H44" s="7"/>
      <c r="I44" s="7"/>
      <c r="J44" s="7"/>
      <c r="K44" s="7"/>
      <c r="L44" s="7"/>
      <c r="M44" s="7"/>
      <c r="N44" s="7"/>
      <c r="O44" s="7"/>
      <c r="P44" s="7"/>
      <c r="Q44" s="7"/>
      <c r="R44" s="7"/>
      <c r="S44" s="7"/>
      <c r="T44" s="7"/>
      <c r="U44" s="7"/>
      <c r="V44" s="7"/>
      <c r="W44" s="7"/>
      <c r="X44" s="149" t="s">
        <v>244</v>
      </c>
      <c r="Y44" s="150"/>
      <c r="Z44" s="150"/>
      <c r="AA44" s="151"/>
      <c r="AB44" s="403">
        <f>SUMIF($C$36:$C$40,"="&amp;X44,$AB$36:$AB$40)</f>
        <v>0</v>
      </c>
      <c r="AC44" s="404"/>
      <c r="AD44" s="404"/>
      <c r="AE44" s="404"/>
      <c r="AF44" s="404"/>
      <c r="AG44" s="405"/>
      <c r="AH44" s="7"/>
      <c r="AI44" s="7"/>
      <c r="AJ44" s="7"/>
      <c r="AK44" s="7"/>
      <c r="AL44" s="7"/>
      <c r="AM44" s="7"/>
      <c r="AN44" s="7"/>
      <c r="AO44" s="7"/>
      <c r="AP44" s="7"/>
      <c r="AQ44" s="7"/>
      <c r="AR44" s="3"/>
      <c r="AS44" s="2"/>
      <c r="AT44" s="2"/>
      <c r="AU44" s="2"/>
      <c r="AV44" s="2"/>
      <c r="AW44" s="2"/>
      <c r="AX44" s="2"/>
      <c r="AY44" s="2"/>
      <c r="AZ44" s="2"/>
      <c r="BA44" s="2"/>
      <c r="BB44" s="2"/>
      <c r="BC44" s="2"/>
      <c r="BD44" s="2"/>
      <c r="BE44" s="2"/>
      <c r="BF44" s="2"/>
      <c r="BG44" s="2"/>
      <c r="BH44" s="2"/>
      <c r="BI44" s="2"/>
      <c r="BJ44" s="2"/>
      <c r="BK44" s="2"/>
      <c r="BL44" s="2"/>
      <c r="BM44" s="2"/>
      <c r="BN44" s="2"/>
      <c r="BO44" s="2"/>
      <c r="BP44" s="2"/>
    </row>
    <row r="45" spans="1:68" ht="12.75" customHeight="1">
      <c r="A45" s="3"/>
      <c r="B45" s="8" t="s">
        <v>12</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3"/>
      <c r="AS45" s="2"/>
      <c r="AT45" s="2"/>
      <c r="AU45" s="2"/>
      <c r="AV45" s="2"/>
      <c r="AW45" s="2"/>
      <c r="AX45" s="2"/>
      <c r="AY45" s="2"/>
      <c r="AZ45" s="2"/>
      <c r="BA45" s="2"/>
      <c r="BB45" s="2"/>
      <c r="BC45" s="2"/>
      <c r="BD45" s="2"/>
      <c r="BE45" s="2"/>
      <c r="BF45" s="2"/>
      <c r="BG45" s="2"/>
      <c r="BH45" s="2"/>
      <c r="BI45" s="2"/>
      <c r="BJ45" s="2"/>
      <c r="BK45" s="2"/>
      <c r="BL45" s="2"/>
      <c r="BM45" s="2"/>
      <c r="BN45" s="2"/>
      <c r="BO45" s="2"/>
      <c r="BP45" s="2"/>
    </row>
    <row r="46" spans="1:68" ht="12.75" customHeight="1">
      <c r="A46" s="3"/>
      <c r="B46" s="8" t="s">
        <v>147</v>
      </c>
      <c r="C46" s="22" t="s">
        <v>137</v>
      </c>
      <c r="D46" s="10"/>
      <c r="E46" s="10"/>
      <c r="F46" s="10"/>
      <c r="G46" s="10"/>
      <c r="H46" s="10"/>
      <c r="I46" s="10"/>
      <c r="J46" s="10"/>
      <c r="K46" s="10"/>
      <c r="L46" s="10"/>
      <c r="M46" s="10"/>
      <c r="N46" s="10"/>
      <c r="O46" s="10"/>
      <c r="P46" s="10"/>
      <c r="Q46" s="10"/>
      <c r="R46" s="10"/>
      <c r="S46" s="10"/>
      <c r="T46" s="10"/>
      <c r="U46" s="10"/>
      <c r="V46" s="10"/>
      <c r="W46" s="10"/>
      <c r="X46" s="10"/>
      <c r="Y46" s="10"/>
      <c r="Z46" s="10"/>
      <c r="AA46" s="10"/>
      <c r="AB46" s="360" t="s">
        <v>133</v>
      </c>
      <c r="AC46" s="361"/>
      <c r="AD46" s="361"/>
      <c r="AE46" s="361"/>
      <c r="AF46" s="361"/>
      <c r="AG46" s="362"/>
      <c r="AH46" s="7"/>
      <c r="AI46" s="7"/>
      <c r="AJ46" s="7"/>
      <c r="AK46" s="7"/>
      <c r="AL46" s="7"/>
      <c r="AM46" s="7"/>
      <c r="AN46" s="7"/>
      <c r="AO46" s="7"/>
      <c r="AP46" s="7"/>
      <c r="AQ46" s="7"/>
      <c r="AR46" s="3"/>
      <c r="AS46" s="2"/>
      <c r="AT46" s="2"/>
      <c r="AU46" s="2"/>
      <c r="AV46" s="2"/>
      <c r="AW46" s="2"/>
      <c r="AX46" s="2"/>
      <c r="AY46" s="2"/>
      <c r="AZ46" s="2"/>
      <c r="BA46" s="2"/>
      <c r="BB46" s="2"/>
      <c r="BC46" s="2"/>
      <c r="BD46" s="2"/>
      <c r="BE46" s="2"/>
      <c r="BF46" s="2"/>
      <c r="BG46" s="2"/>
      <c r="BH46" s="2"/>
      <c r="BI46" s="2"/>
      <c r="BJ46" s="2"/>
      <c r="BK46" s="2"/>
      <c r="BL46" s="2"/>
      <c r="BM46" s="2"/>
      <c r="BN46" s="2"/>
      <c r="BO46" s="2"/>
      <c r="BP46" s="2"/>
    </row>
    <row r="47" spans="1:68" ht="12.75" customHeight="1">
      <c r="A47" s="3"/>
      <c r="B47" s="7"/>
      <c r="C47" s="12"/>
      <c r="D47" s="13" t="s">
        <v>138</v>
      </c>
      <c r="E47" s="13"/>
      <c r="F47" s="13"/>
      <c r="G47" s="13"/>
      <c r="H47" s="13"/>
      <c r="I47" s="13"/>
      <c r="J47" s="13"/>
      <c r="K47" s="13"/>
      <c r="L47" s="13"/>
      <c r="M47" s="13"/>
      <c r="N47" s="13"/>
      <c r="O47" s="13"/>
      <c r="P47" s="13"/>
      <c r="Q47" s="13"/>
      <c r="R47" s="13"/>
      <c r="S47" s="13"/>
      <c r="T47" s="13"/>
      <c r="U47" s="13"/>
      <c r="V47" s="13"/>
      <c r="W47" s="13"/>
      <c r="X47" s="13"/>
      <c r="Y47" s="13"/>
      <c r="Z47" s="13"/>
      <c r="AA47" s="13"/>
      <c r="AB47" s="374" t="s">
        <v>134</v>
      </c>
      <c r="AC47" s="375"/>
      <c r="AD47" s="375"/>
      <c r="AE47" s="375"/>
      <c r="AF47" s="375"/>
      <c r="AG47" s="376"/>
      <c r="AH47" s="7"/>
      <c r="AI47" s="7"/>
      <c r="AJ47" s="7"/>
      <c r="AK47" s="7"/>
      <c r="AL47" s="7"/>
      <c r="AM47" s="7"/>
      <c r="AN47" s="7"/>
      <c r="AO47" s="7"/>
      <c r="AP47" s="7"/>
      <c r="AQ47" s="7"/>
      <c r="AR47" s="3"/>
      <c r="AS47" s="2"/>
      <c r="AT47" s="2"/>
      <c r="AU47" s="2"/>
      <c r="AV47" s="2"/>
      <c r="AW47" s="2"/>
      <c r="AX47" s="2"/>
      <c r="AY47" s="2"/>
      <c r="AZ47" s="2"/>
      <c r="BA47" s="2"/>
      <c r="BB47" s="2"/>
      <c r="BC47" s="2"/>
      <c r="BD47" s="2"/>
      <c r="BE47" s="2"/>
      <c r="BF47" s="2"/>
      <c r="BG47" s="2"/>
      <c r="BH47" s="2"/>
      <c r="BI47" s="2"/>
      <c r="BJ47" s="2"/>
      <c r="BK47" s="2"/>
      <c r="BL47" s="2"/>
      <c r="BM47" s="2"/>
      <c r="BN47" s="2"/>
      <c r="BO47" s="2"/>
      <c r="BP47" s="2"/>
    </row>
    <row r="48" spans="1:68" ht="12.75" customHeight="1">
      <c r="A48" s="3"/>
      <c r="B48" s="7"/>
      <c r="C48" s="12"/>
      <c r="D48" s="13" t="s">
        <v>139</v>
      </c>
      <c r="E48" s="13"/>
      <c r="F48" s="13"/>
      <c r="G48" s="13"/>
      <c r="H48" s="13"/>
      <c r="I48" s="13"/>
      <c r="J48" s="13"/>
      <c r="K48" s="13"/>
      <c r="L48" s="13"/>
      <c r="M48" s="13"/>
      <c r="N48" s="13"/>
      <c r="O48" s="13"/>
      <c r="P48" s="13"/>
      <c r="Q48" s="13"/>
      <c r="R48" s="13"/>
      <c r="S48" s="13"/>
      <c r="T48" s="13"/>
      <c r="U48" s="13"/>
      <c r="V48" s="13"/>
      <c r="W48" s="13"/>
      <c r="X48" s="13"/>
      <c r="Y48" s="13"/>
      <c r="Z48" s="13"/>
      <c r="AA48" s="13"/>
      <c r="AB48" s="17"/>
      <c r="AC48" s="18"/>
      <c r="AD48" s="18"/>
      <c r="AE48" s="18"/>
      <c r="AF48" s="18"/>
      <c r="AG48" s="19"/>
      <c r="AH48" s="7"/>
      <c r="AI48" s="7"/>
      <c r="AJ48" s="7"/>
      <c r="AK48" s="7"/>
      <c r="AL48" s="7"/>
      <c r="AM48" s="7"/>
      <c r="AN48" s="7"/>
      <c r="AO48" s="7"/>
      <c r="AP48" s="7"/>
      <c r="AQ48" s="7"/>
      <c r="AR48" s="3"/>
      <c r="AS48" s="2"/>
      <c r="AT48" s="2"/>
      <c r="AU48" s="2"/>
      <c r="AV48" s="2"/>
      <c r="AW48" s="2"/>
      <c r="AX48" s="2"/>
      <c r="AY48" s="2"/>
      <c r="AZ48" s="2"/>
      <c r="BA48" s="2"/>
      <c r="BB48" s="2"/>
      <c r="BC48" s="2"/>
      <c r="BD48" s="2"/>
      <c r="BE48" s="2"/>
      <c r="BF48" s="2"/>
      <c r="BG48" s="2"/>
      <c r="BH48" s="2"/>
      <c r="BI48" s="2"/>
      <c r="BJ48" s="2"/>
      <c r="BK48" s="2"/>
      <c r="BL48" s="2"/>
      <c r="BM48" s="2"/>
      <c r="BN48" s="2"/>
      <c r="BO48" s="2"/>
      <c r="BP48" s="2"/>
    </row>
    <row r="49" spans="1:68" ht="12.75" customHeight="1">
      <c r="A49" s="3"/>
      <c r="B49" s="7"/>
      <c r="C49" s="17"/>
      <c r="D49" s="18" t="s">
        <v>140</v>
      </c>
      <c r="E49" s="18"/>
      <c r="F49" s="18"/>
      <c r="G49" s="18"/>
      <c r="H49" s="18"/>
      <c r="I49" s="18"/>
      <c r="J49" s="18"/>
      <c r="K49" s="18"/>
      <c r="L49" s="18"/>
      <c r="M49" s="18"/>
      <c r="N49" s="18"/>
      <c r="O49" s="18"/>
      <c r="P49" s="18"/>
      <c r="Q49" s="18"/>
      <c r="R49" s="18"/>
      <c r="S49" s="18"/>
      <c r="T49" s="18"/>
      <c r="U49" s="18"/>
      <c r="V49" s="18"/>
      <c r="W49" s="18"/>
      <c r="X49" s="18"/>
      <c r="Y49" s="23" t="s">
        <v>141</v>
      </c>
      <c r="Z49" s="23"/>
      <c r="AA49" s="23"/>
      <c r="AB49" s="377"/>
      <c r="AC49" s="378"/>
      <c r="AD49" s="378"/>
      <c r="AE49" s="378"/>
      <c r="AF49" s="378"/>
      <c r="AG49" s="379"/>
      <c r="AH49" s="7"/>
      <c r="AI49" s="7"/>
      <c r="AJ49" s="7"/>
      <c r="AK49" s="7"/>
      <c r="AL49" s="7"/>
      <c r="AM49" s="7"/>
      <c r="AN49" s="7"/>
      <c r="AO49" s="7"/>
      <c r="AP49" s="7"/>
      <c r="AQ49" s="7"/>
      <c r="AR49" s="3"/>
      <c r="AS49" s="2"/>
      <c r="AT49" s="2"/>
      <c r="AU49" s="2"/>
      <c r="AV49" s="2"/>
      <c r="AW49" s="2"/>
      <c r="AX49" s="2"/>
      <c r="AY49" s="2"/>
      <c r="AZ49" s="2"/>
      <c r="BA49" s="2"/>
      <c r="BB49" s="2"/>
      <c r="BC49" s="2"/>
      <c r="BD49" s="2"/>
      <c r="BE49" s="2"/>
      <c r="BF49" s="2"/>
      <c r="BG49" s="2"/>
      <c r="BH49" s="2"/>
      <c r="BI49" s="2"/>
      <c r="BJ49" s="2"/>
      <c r="BK49" s="2"/>
      <c r="BL49" s="2"/>
      <c r="BM49" s="2"/>
      <c r="BN49" s="2"/>
      <c r="BO49" s="2"/>
      <c r="BP49" s="2"/>
    </row>
    <row r="50" spans="1:68" ht="12.75" customHeight="1">
      <c r="A50" s="3"/>
      <c r="B50" s="8" t="s">
        <v>148</v>
      </c>
      <c r="C50" s="22" t="s">
        <v>149</v>
      </c>
      <c r="D50" s="10"/>
      <c r="E50" s="10"/>
      <c r="F50" s="10"/>
      <c r="G50" s="10"/>
      <c r="H50" s="10"/>
      <c r="I50" s="10"/>
      <c r="J50" s="10"/>
      <c r="K50" s="10"/>
      <c r="L50" s="10"/>
      <c r="M50" s="10"/>
      <c r="N50" s="10"/>
      <c r="O50" s="10"/>
      <c r="P50" s="10"/>
      <c r="Q50" s="10"/>
      <c r="R50" s="10"/>
      <c r="S50" s="10"/>
      <c r="T50" s="10"/>
      <c r="U50" s="10"/>
      <c r="V50" s="10"/>
      <c r="W50" s="10"/>
      <c r="X50" s="10"/>
      <c r="Y50" s="10"/>
      <c r="Z50" s="10"/>
      <c r="AA50" s="10"/>
      <c r="AB50" s="360" t="s">
        <v>133</v>
      </c>
      <c r="AC50" s="361"/>
      <c r="AD50" s="361"/>
      <c r="AE50" s="361"/>
      <c r="AF50" s="361"/>
      <c r="AG50" s="362"/>
      <c r="AH50" s="7"/>
      <c r="AI50" s="7"/>
      <c r="AJ50" s="7"/>
      <c r="AK50" s="7"/>
      <c r="AL50" s="7"/>
      <c r="AM50" s="7"/>
      <c r="AN50" s="7"/>
      <c r="AO50" s="7"/>
      <c r="AP50" s="7"/>
      <c r="AQ50" s="7"/>
      <c r="AR50" s="3"/>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1:68" ht="12.75" customHeight="1">
      <c r="A51" s="3"/>
      <c r="B51" s="7"/>
      <c r="C51" s="12"/>
      <c r="D51" s="13" t="s">
        <v>142</v>
      </c>
      <c r="E51" s="13"/>
      <c r="F51" s="13"/>
      <c r="G51" s="13"/>
      <c r="H51" s="13"/>
      <c r="I51" s="13"/>
      <c r="J51" s="13"/>
      <c r="K51" s="13"/>
      <c r="L51" s="13"/>
      <c r="M51" s="13"/>
      <c r="N51" s="13"/>
      <c r="O51" s="13"/>
      <c r="P51" s="13"/>
      <c r="Q51" s="13"/>
      <c r="R51" s="13"/>
      <c r="S51" s="13"/>
      <c r="T51" s="13"/>
      <c r="U51" s="13"/>
      <c r="V51" s="13"/>
      <c r="W51" s="13"/>
      <c r="X51" s="13"/>
      <c r="Y51" s="13"/>
      <c r="Z51" s="13"/>
      <c r="AA51" s="13"/>
      <c r="AB51" s="374" t="s">
        <v>134</v>
      </c>
      <c r="AC51" s="375"/>
      <c r="AD51" s="375"/>
      <c r="AE51" s="375"/>
      <c r="AF51" s="375"/>
      <c r="AG51" s="376"/>
      <c r="AH51" s="7"/>
      <c r="AI51" s="7"/>
      <c r="AJ51" s="7"/>
      <c r="AK51" s="7"/>
      <c r="AL51" s="7"/>
      <c r="AM51" s="7"/>
      <c r="AN51" s="7"/>
      <c r="AO51" s="7"/>
      <c r="AP51" s="7"/>
      <c r="AQ51" s="7"/>
      <c r="AR51" s="3"/>
      <c r="AS51" s="2"/>
      <c r="AT51" s="2"/>
      <c r="AU51" s="2"/>
      <c r="AV51" s="2"/>
      <c r="AW51" s="2"/>
      <c r="AX51" s="2"/>
      <c r="AY51" s="2"/>
      <c r="AZ51" s="2"/>
      <c r="BA51" s="2"/>
      <c r="BB51" s="2"/>
      <c r="BC51" s="2"/>
      <c r="BD51" s="2"/>
      <c r="BE51" s="2"/>
      <c r="BF51" s="2"/>
      <c r="BG51" s="2"/>
      <c r="BH51" s="2"/>
      <c r="BI51" s="2"/>
      <c r="BJ51" s="2"/>
      <c r="BK51" s="2"/>
      <c r="BL51" s="2"/>
      <c r="BM51" s="2"/>
      <c r="BN51" s="2"/>
      <c r="BO51" s="2"/>
      <c r="BP51" s="2"/>
    </row>
    <row r="52" spans="1:68" ht="12.75" customHeight="1">
      <c r="A52" s="3"/>
      <c r="B52" s="7"/>
      <c r="C52" s="12"/>
      <c r="D52" s="13" t="s">
        <v>143</v>
      </c>
      <c r="E52" s="13"/>
      <c r="F52" s="13"/>
      <c r="G52" s="13"/>
      <c r="H52" s="13"/>
      <c r="I52" s="13"/>
      <c r="J52" s="13"/>
      <c r="K52" s="13"/>
      <c r="L52" s="13"/>
      <c r="M52" s="13"/>
      <c r="N52" s="13"/>
      <c r="O52" s="13"/>
      <c r="P52" s="13"/>
      <c r="Q52" s="13"/>
      <c r="R52" s="13"/>
      <c r="S52" s="13"/>
      <c r="T52" s="13"/>
      <c r="U52" s="13"/>
      <c r="V52" s="13"/>
      <c r="W52" s="13"/>
      <c r="X52" s="13"/>
      <c r="Y52" s="13"/>
      <c r="Z52" s="13"/>
      <c r="AA52" s="13"/>
      <c r="AB52" s="12"/>
      <c r="AC52" s="13"/>
      <c r="AD52" s="13"/>
      <c r="AE52" s="13"/>
      <c r="AF52" s="13"/>
      <c r="AG52" s="14"/>
      <c r="AH52" s="7"/>
      <c r="AI52" s="7"/>
      <c r="AJ52" s="7"/>
      <c r="AK52" s="7"/>
      <c r="AL52" s="7"/>
      <c r="AM52" s="7"/>
      <c r="AN52" s="7"/>
      <c r="AO52" s="7"/>
      <c r="AP52" s="7"/>
      <c r="AQ52" s="7"/>
      <c r="AR52" s="3"/>
      <c r="AS52" s="2"/>
      <c r="AT52" s="2"/>
      <c r="AU52" s="2"/>
      <c r="AV52" s="2"/>
      <c r="AW52" s="2"/>
      <c r="AX52" s="2"/>
      <c r="AY52" s="2"/>
      <c r="AZ52" s="2"/>
      <c r="BA52" s="2"/>
      <c r="BB52" s="2"/>
      <c r="BC52" s="2"/>
      <c r="BD52" s="2"/>
      <c r="BE52" s="2"/>
      <c r="BF52" s="2"/>
      <c r="BG52" s="2"/>
      <c r="BH52" s="2"/>
      <c r="BI52" s="2"/>
      <c r="BJ52" s="2"/>
      <c r="BK52" s="2"/>
      <c r="BL52" s="2"/>
      <c r="BM52" s="2"/>
      <c r="BN52" s="2"/>
      <c r="BO52" s="2"/>
      <c r="BP52" s="2"/>
    </row>
    <row r="53" spans="1:68" ht="12.75" customHeight="1">
      <c r="A53" s="3"/>
      <c r="B53" s="7"/>
      <c r="C53" s="12"/>
      <c r="D53" s="13" t="s">
        <v>144</v>
      </c>
      <c r="E53" s="13"/>
      <c r="F53" s="13"/>
      <c r="G53" s="13"/>
      <c r="H53" s="13"/>
      <c r="I53" s="13"/>
      <c r="J53" s="13"/>
      <c r="K53" s="13"/>
      <c r="L53" s="13"/>
      <c r="M53" s="13"/>
      <c r="N53" s="13"/>
      <c r="O53" s="13"/>
      <c r="P53" s="13"/>
      <c r="Q53" s="13"/>
      <c r="R53" s="13"/>
      <c r="S53" s="13"/>
      <c r="T53" s="13"/>
      <c r="U53" s="13"/>
      <c r="V53" s="13"/>
      <c r="W53" s="13"/>
      <c r="X53" s="13"/>
      <c r="Y53" s="13"/>
      <c r="Z53" s="13"/>
      <c r="AA53" s="13"/>
      <c r="AB53" s="12"/>
      <c r="AC53" s="13"/>
      <c r="AD53" s="13"/>
      <c r="AE53" s="13"/>
      <c r="AF53" s="13"/>
      <c r="AG53" s="14"/>
      <c r="AH53" s="7"/>
      <c r="AI53" s="7"/>
      <c r="AJ53" s="7"/>
      <c r="AK53" s="7"/>
      <c r="AL53" s="7"/>
      <c r="AM53" s="7"/>
      <c r="AN53" s="7"/>
      <c r="AO53" s="7"/>
      <c r="AP53" s="7"/>
      <c r="AQ53" s="7"/>
      <c r="AR53" s="3"/>
      <c r="AS53" s="2"/>
      <c r="AT53" s="2"/>
      <c r="AU53" s="2"/>
      <c r="AV53" s="2"/>
      <c r="AW53" s="2"/>
      <c r="AX53" s="2"/>
      <c r="AY53" s="2"/>
      <c r="AZ53" s="2"/>
      <c r="BA53" s="2"/>
      <c r="BB53" s="2"/>
      <c r="BC53" s="2"/>
      <c r="BD53" s="2"/>
      <c r="BE53" s="2"/>
      <c r="BF53" s="2"/>
      <c r="BG53" s="2"/>
      <c r="BH53" s="2"/>
      <c r="BI53" s="2"/>
      <c r="BJ53" s="2"/>
      <c r="BK53" s="2"/>
      <c r="BL53" s="2"/>
      <c r="BM53" s="2"/>
      <c r="BN53" s="2"/>
      <c r="BO53" s="2"/>
      <c r="BP53" s="2"/>
    </row>
    <row r="54" spans="1:68" ht="12.75" customHeight="1">
      <c r="A54" s="3"/>
      <c r="B54" s="7"/>
      <c r="C54" s="12"/>
      <c r="D54" s="13" t="s">
        <v>145</v>
      </c>
      <c r="E54" s="13"/>
      <c r="F54" s="13"/>
      <c r="G54" s="13"/>
      <c r="H54" s="13"/>
      <c r="I54" s="13"/>
      <c r="J54" s="13"/>
      <c r="K54" s="13"/>
      <c r="L54" s="13"/>
      <c r="M54" s="13"/>
      <c r="N54" s="13"/>
      <c r="O54" s="13"/>
      <c r="P54" s="13"/>
      <c r="Q54" s="13"/>
      <c r="R54" s="13"/>
      <c r="S54" s="13"/>
      <c r="T54" s="13"/>
      <c r="U54" s="13"/>
      <c r="V54" s="13"/>
      <c r="W54" s="13"/>
      <c r="X54" s="13"/>
      <c r="Y54" s="13"/>
      <c r="Z54" s="13"/>
      <c r="AA54" s="13"/>
      <c r="AB54" s="12"/>
      <c r="AC54" s="13"/>
      <c r="AD54" s="13"/>
      <c r="AE54" s="13"/>
      <c r="AF54" s="13"/>
      <c r="AG54" s="14"/>
      <c r="AH54" s="7"/>
      <c r="AI54" s="7"/>
      <c r="AJ54" s="7"/>
      <c r="AK54" s="7"/>
      <c r="AL54" s="7"/>
      <c r="AM54" s="7"/>
      <c r="AN54" s="7"/>
      <c r="AO54" s="7"/>
      <c r="AP54" s="7"/>
      <c r="AQ54" s="7"/>
      <c r="AR54" s="3"/>
      <c r="AS54" s="2"/>
      <c r="AT54" s="2"/>
      <c r="AU54" s="2"/>
      <c r="AV54" s="2"/>
      <c r="AW54" s="2"/>
      <c r="AX54" s="2"/>
      <c r="AY54" s="2"/>
      <c r="AZ54" s="2"/>
      <c r="BA54" s="2"/>
      <c r="BB54" s="2"/>
      <c r="BC54" s="2"/>
      <c r="BD54" s="2"/>
      <c r="BE54" s="2"/>
      <c r="BF54" s="2"/>
      <c r="BG54" s="2"/>
      <c r="BH54" s="2"/>
      <c r="BI54" s="2"/>
      <c r="BJ54" s="2"/>
      <c r="BK54" s="2"/>
      <c r="BL54" s="2"/>
      <c r="BM54" s="2"/>
      <c r="BN54" s="2"/>
      <c r="BO54" s="2"/>
      <c r="BP54" s="2"/>
    </row>
    <row r="55" spans="1:68" ht="12.75" customHeight="1">
      <c r="A55" s="3"/>
      <c r="B55" s="7"/>
      <c r="C55" s="12"/>
      <c r="D55" s="13" t="s">
        <v>146</v>
      </c>
      <c r="E55" s="13"/>
      <c r="F55" s="13"/>
      <c r="G55" s="13"/>
      <c r="H55" s="13"/>
      <c r="I55" s="13"/>
      <c r="J55" s="13"/>
      <c r="K55" s="13"/>
      <c r="L55" s="13"/>
      <c r="M55" s="13"/>
      <c r="N55" s="13"/>
      <c r="O55" s="13"/>
      <c r="P55" s="13"/>
      <c r="Q55" s="13"/>
      <c r="R55" s="13"/>
      <c r="S55" s="13"/>
      <c r="T55" s="13"/>
      <c r="U55" s="13"/>
      <c r="V55" s="13"/>
      <c r="W55" s="13"/>
      <c r="X55" s="13"/>
      <c r="Y55" s="13"/>
      <c r="Z55" s="13"/>
      <c r="AA55" s="13"/>
      <c r="AB55" s="17"/>
      <c r="AC55" s="18"/>
      <c r="AD55" s="18"/>
      <c r="AE55" s="18"/>
      <c r="AF55" s="18"/>
      <c r="AG55" s="19"/>
      <c r="AH55" s="7"/>
      <c r="AI55" s="7"/>
      <c r="AJ55" s="7"/>
      <c r="AK55" s="7"/>
      <c r="AL55" s="7"/>
      <c r="AM55" s="7"/>
      <c r="AN55" s="7"/>
      <c r="AO55" s="7"/>
      <c r="AP55" s="7"/>
      <c r="AQ55" s="7"/>
      <c r="AR55" s="3"/>
      <c r="AS55" s="2"/>
      <c r="AT55" s="2"/>
      <c r="AU55" s="2"/>
      <c r="AV55" s="2"/>
      <c r="AW55" s="2"/>
      <c r="AX55" s="2"/>
      <c r="AY55" s="2"/>
      <c r="AZ55" s="2"/>
      <c r="BA55" s="2"/>
      <c r="BB55" s="2"/>
      <c r="BC55" s="2"/>
      <c r="BD55" s="2"/>
      <c r="BE55" s="2"/>
      <c r="BF55" s="2"/>
      <c r="BG55" s="2"/>
      <c r="BH55" s="2"/>
      <c r="BI55" s="2"/>
      <c r="BJ55" s="2"/>
      <c r="BK55" s="2"/>
      <c r="BL55" s="2"/>
      <c r="BM55" s="2"/>
      <c r="BN55" s="2"/>
      <c r="BO55" s="2"/>
      <c r="BP55" s="2"/>
    </row>
    <row r="56" spans="1:68" ht="12.75" customHeight="1">
      <c r="A56" s="3"/>
      <c r="B56" s="7"/>
      <c r="C56" s="17"/>
      <c r="D56" s="18" t="s">
        <v>167</v>
      </c>
      <c r="E56" s="18"/>
      <c r="F56" s="18"/>
      <c r="G56" s="18"/>
      <c r="H56" s="18"/>
      <c r="I56" s="18"/>
      <c r="J56" s="18"/>
      <c r="K56" s="18"/>
      <c r="L56" s="18"/>
      <c r="M56" s="18"/>
      <c r="N56" s="18"/>
      <c r="O56" s="18"/>
      <c r="P56" s="18"/>
      <c r="Q56" s="18"/>
      <c r="R56" s="18"/>
      <c r="S56" s="18"/>
      <c r="T56" s="18"/>
      <c r="U56" s="18"/>
      <c r="V56" s="18"/>
      <c r="W56" s="18"/>
      <c r="X56" s="18"/>
      <c r="Y56" s="23" t="s">
        <v>141</v>
      </c>
      <c r="Z56" s="18"/>
      <c r="AA56" s="18"/>
      <c r="AB56" s="416"/>
      <c r="AC56" s="417"/>
      <c r="AD56" s="417"/>
      <c r="AE56" s="417"/>
      <c r="AF56" s="417"/>
      <c r="AG56" s="418"/>
      <c r="AH56" s="7"/>
      <c r="AI56" s="7"/>
      <c r="AJ56" s="7"/>
      <c r="AK56" s="7"/>
      <c r="AL56" s="7"/>
      <c r="AM56" s="7"/>
      <c r="AN56" s="7"/>
      <c r="AO56" s="7"/>
      <c r="AP56" s="7"/>
      <c r="AQ56" s="7"/>
      <c r="AR56" s="3"/>
      <c r="AS56" s="2"/>
      <c r="AT56" s="2"/>
      <c r="AU56" s="2"/>
      <c r="AV56" s="2"/>
      <c r="AW56" s="2"/>
      <c r="AX56" s="2"/>
      <c r="AY56" s="2"/>
      <c r="AZ56" s="2"/>
      <c r="BA56" s="2"/>
      <c r="BB56" s="2"/>
      <c r="BC56" s="2"/>
      <c r="BD56" s="2"/>
      <c r="BE56" s="2"/>
      <c r="BF56" s="2"/>
      <c r="BG56" s="2"/>
      <c r="BH56" s="2"/>
      <c r="BI56" s="2"/>
      <c r="BJ56" s="2"/>
      <c r="BK56" s="2"/>
      <c r="BL56" s="2"/>
      <c r="BM56" s="2"/>
      <c r="BN56" s="2"/>
      <c r="BO56" s="2"/>
      <c r="BP56" s="2"/>
    </row>
    <row r="57" spans="1:68" ht="12.75" customHeight="1">
      <c r="A57" s="3"/>
      <c r="B57" s="8" t="s">
        <v>155</v>
      </c>
      <c r="C57" s="22" t="s">
        <v>150</v>
      </c>
      <c r="D57" s="10"/>
      <c r="E57" s="10"/>
      <c r="F57" s="10"/>
      <c r="G57" s="10"/>
      <c r="H57" s="10"/>
      <c r="I57" s="10"/>
      <c r="J57" s="10"/>
      <c r="K57" s="10"/>
      <c r="L57" s="10"/>
      <c r="M57" s="10"/>
      <c r="N57" s="10"/>
      <c r="O57" s="10"/>
      <c r="P57" s="10"/>
      <c r="Q57" s="10"/>
      <c r="R57" s="10"/>
      <c r="S57" s="10"/>
      <c r="T57" s="10"/>
      <c r="U57" s="10"/>
      <c r="V57" s="10"/>
      <c r="W57" s="10"/>
      <c r="X57" s="10"/>
      <c r="Y57" s="10"/>
      <c r="Z57" s="10"/>
      <c r="AA57" s="10"/>
      <c r="AB57" s="360" t="s">
        <v>133</v>
      </c>
      <c r="AC57" s="361"/>
      <c r="AD57" s="361"/>
      <c r="AE57" s="361"/>
      <c r="AF57" s="361"/>
      <c r="AG57" s="362"/>
      <c r="AH57" s="7"/>
      <c r="AI57" s="7"/>
      <c r="AJ57" s="7"/>
      <c r="AK57" s="7"/>
      <c r="AL57" s="7"/>
      <c r="AM57" s="7"/>
      <c r="AN57" s="7"/>
      <c r="AO57" s="7"/>
      <c r="AP57" s="7"/>
      <c r="AQ57" s="7"/>
      <c r="AR57" s="3"/>
      <c r="AS57" s="2"/>
      <c r="AT57" s="2"/>
      <c r="AU57" s="2"/>
      <c r="AV57" s="2"/>
      <c r="AW57" s="2"/>
      <c r="AX57" s="2"/>
      <c r="AY57" s="2"/>
      <c r="AZ57" s="2"/>
      <c r="BA57" s="2"/>
      <c r="BB57" s="2"/>
      <c r="BC57" s="2"/>
      <c r="BD57" s="2"/>
      <c r="BE57" s="2"/>
      <c r="BF57" s="2"/>
      <c r="BG57" s="2"/>
      <c r="BH57" s="2"/>
      <c r="BI57" s="2"/>
      <c r="BJ57" s="2"/>
      <c r="BK57" s="2"/>
      <c r="BL57" s="2"/>
      <c r="BM57" s="2"/>
      <c r="BN57" s="2"/>
      <c r="BO57" s="2"/>
      <c r="BP57" s="2"/>
    </row>
    <row r="58" spans="1:68" ht="12.75" customHeight="1">
      <c r="A58" s="3"/>
      <c r="B58" s="7"/>
      <c r="C58" s="12"/>
      <c r="D58" s="13" t="s">
        <v>151</v>
      </c>
      <c r="E58" s="13"/>
      <c r="F58" s="13"/>
      <c r="G58" s="13"/>
      <c r="H58" s="13"/>
      <c r="I58" s="13"/>
      <c r="J58" s="13"/>
      <c r="K58" s="13"/>
      <c r="L58" s="13"/>
      <c r="M58" s="13"/>
      <c r="N58" s="13"/>
      <c r="O58" s="13"/>
      <c r="P58" s="13"/>
      <c r="Q58" s="13"/>
      <c r="R58" s="13"/>
      <c r="S58" s="13"/>
      <c r="T58" s="13"/>
      <c r="U58" s="13"/>
      <c r="V58" s="13"/>
      <c r="W58" s="13"/>
      <c r="X58" s="13"/>
      <c r="Y58" s="13"/>
      <c r="Z58" s="13"/>
      <c r="AA58" s="13"/>
      <c r="AB58" s="374" t="s">
        <v>134</v>
      </c>
      <c r="AC58" s="375"/>
      <c r="AD58" s="375"/>
      <c r="AE58" s="375"/>
      <c r="AF58" s="375"/>
      <c r="AG58" s="376"/>
      <c r="AH58" s="7"/>
      <c r="AI58" s="7"/>
      <c r="AJ58" s="7"/>
      <c r="AK58" s="7"/>
      <c r="AL58" s="7"/>
      <c r="AM58" s="7"/>
      <c r="AN58" s="7"/>
      <c r="AO58" s="7"/>
      <c r="AP58" s="7"/>
      <c r="AQ58" s="7"/>
      <c r="AR58" s="3"/>
      <c r="AS58" s="2"/>
      <c r="AT58" s="2"/>
      <c r="AU58" s="2"/>
      <c r="AV58" s="2"/>
      <c r="AW58" s="2"/>
      <c r="AX58" s="2"/>
      <c r="AY58" s="2"/>
      <c r="AZ58" s="2"/>
      <c r="BA58" s="2"/>
      <c r="BB58" s="2"/>
      <c r="BC58" s="2"/>
      <c r="BD58" s="2"/>
      <c r="BE58" s="2"/>
      <c r="BF58" s="2"/>
      <c r="BG58" s="2"/>
      <c r="BH58" s="2"/>
      <c r="BI58" s="2"/>
      <c r="BJ58" s="2"/>
      <c r="BK58" s="2"/>
      <c r="BL58" s="2"/>
      <c r="BM58" s="2"/>
      <c r="BN58" s="2"/>
      <c r="BO58" s="2"/>
      <c r="BP58" s="2"/>
    </row>
    <row r="59" spans="1:68" ht="12.75" customHeight="1">
      <c r="A59" s="3"/>
      <c r="B59" s="7"/>
      <c r="C59" s="12"/>
      <c r="D59" s="13" t="s">
        <v>152</v>
      </c>
      <c r="E59" s="13"/>
      <c r="F59" s="13"/>
      <c r="G59" s="13"/>
      <c r="H59" s="13"/>
      <c r="I59" s="13"/>
      <c r="J59" s="13"/>
      <c r="K59" s="13"/>
      <c r="L59" s="13"/>
      <c r="M59" s="13"/>
      <c r="N59" s="13"/>
      <c r="O59" s="13"/>
      <c r="P59" s="13"/>
      <c r="Q59" s="13"/>
      <c r="R59" s="13"/>
      <c r="S59" s="13"/>
      <c r="T59" s="13"/>
      <c r="U59" s="13"/>
      <c r="V59" s="13"/>
      <c r="W59" s="13"/>
      <c r="X59" s="13"/>
      <c r="Y59" s="13"/>
      <c r="Z59" s="13"/>
      <c r="AA59" s="13"/>
      <c r="AB59" s="12"/>
      <c r="AC59" s="13"/>
      <c r="AD59" s="13"/>
      <c r="AE59" s="13"/>
      <c r="AF59" s="13"/>
      <c r="AG59" s="14"/>
      <c r="AH59" s="7"/>
      <c r="AI59" s="7"/>
      <c r="AJ59" s="7"/>
      <c r="AK59" s="7"/>
      <c r="AL59" s="7"/>
      <c r="AM59" s="7"/>
      <c r="AN59" s="7"/>
      <c r="AO59" s="7"/>
      <c r="AP59" s="7"/>
      <c r="AQ59" s="7"/>
      <c r="AR59" s="3"/>
      <c r="AS59" s="2"/>
      <c r="AT59" s="2"/>
      <c r="AU59" s="2"/>
      <c r="AV59" s="2"/>
      <c r="AW59" s="2"/>
      <c r="AX59" s="2"/>
      <c r="AY59" s="2"/>
      <c r="AZ59" s="2"/>
      <c r="BA59" s="2"/>
      <c r="BB59" s="2"/>
      <c r="BC59" s="2"/>
      <c r="BD59" s="2"/>
      <c r="BE59" s="2"/>
      <c r="BF59" s="2"/>
      <c r="BG59" s="2"/>
      <c r="BH59" s="2"/>
      <c r="BI59" s="2"/>
      <c r="BJ59" s="2"/>
      <c r="BK59" s="2"/>
      <c r="BL59" s="2"/>
      <c r="BM59" s="2"/>
      <c r="BN59" s="2"/>
      <c r="BO59" s="2"/>
      <c r="BP59" s="2"/>
    </row>
    <row r="60" spans="1:68" ht="12.75" customHeight="1">
      <c r="A60" s="3"/>
      <c r="B60" s="7"/>
      <c r="C60" s="12"/>
      <c r="D60" s="13" t="s">
        <v>153</v>
      </c>
      <c r="E60" s="13"/>
      <c r="F60" s="13"/>
      <c r="G60" s="13"/>
      <c r="H60" s="13"/>
      <c r="I60" s="13"/>
      <c r="J60" s="13"/>
      <c r="K60" s="13"/>
      <c r="L60" s="13"/>
      <c r="M60" s="13"/>
      <c r="N60" s="13"/>
      <c r="O60" s="13"/>
      <c r="P60" s="13"/>
      <c r="Q60" s="13"/>
      <c r="R60" s="13"/>
      <c r="S60" s="13"/>
      <c r="T60" s="13"/>
      <c r="U60" s="13"/>
      <c r="V60" s="13"/>
      <c r="W60" s="13"/>
      <c r="X60" s="13"/>
      <c r="Y60" s="13"/>
      <c r="Z60" s="13"/>
      <c r="AA60" s="13"/>
      <c r="AB60" s="17"/>
      <c r="AC60" s="18"/>
      <c r="AD60" s="18"/>
      <c r="AE60" s="18"/>
      <c r="AF60" s="18"/>
      <c r="AG60" s="19"/>
      <c r="AH60" s="7"/>
      <c r="AI60" s="7"/>
      <c r="AJ60" s="7"/>
      <c r="AK60" s="7"/>
      <c r="AL60" s="7"/>
      <c r="AM60" s="7"/>
      <c r="AN60" s="7"/>
      <c r="AO60" s="7"/>
      <c r="AP60" s="7"/>
      <c r="AQ60" s="7"/>
      <c r="AR60" s="3"/>
      <c r="AS60" s="2"/>
      <c r="AT60" s="2"/>
      <c r="AU60" s="2"/>
      <c r="AV60" s="2"/>
      <c r="AW60" s="2"/>
      <c r="AX60" s="2"/>
      <c r="AY60" s="2"/>
      <c r="AZ60" s="2"/>
      <c r="BA60" s="2"/>
      <c r="BB60" s="2"/>
      <c r="BC60" s="2"/>
      <c r="BD60" s="2"/>
      <c r="BE60" s="2"/>
      <c r="BF60" s="2"/>
      <c r="BG60" s="2"/>
      <c r="BH60" s="2"/>
      <c r="BI60" s="2"/>
      <c r="BJ60" s="2"/>
      <c r="BK60" s="2"/>
      <c r="BL60" s="2"/>
      <c r="BM60" s="2"/>
      <c r="BN60" s="2"/>
      <c r="BO60" s="2"/>
      <c r="BP60" s="2"/>
    </row>
    <row r="61" spans="1:68" ht="12.75" customHeight="1">
      <c r="A61" s="3"/>
      <c r="B61" s="7"/>
      <c r="C61" s="17"/>
      <c r="D61" s="18" t="s">
        <v>154</v>
      </c>
      <c r="E61" s="18"/>
      <c r="F61" s="18"/>
      <c r="G61" s="18"/>
      <c r="H61" s="18"/>
      <c r="I61" s="18"/>
      <c r="J61" s="18"/>
      <c r="K61" s="18"/>
      <c r="L61" s="18"/>
      <c r="M61" s="18"/>
      <c r="N61" s="18"/>
      <c r="O61" s="18"/>
      <c r="P61" s="18"/>
      <c r="Q61" s="18"/>
      <c r="R61" s="18"/>
      <c r="S61" s="18"/>
      <c r="T61" s="18"/>
      <c r="U61" s="18"/>
      <c r="V61" s="18"/>
      <c r="W61" s="18"/>
      <c r="X61" s="18"/>
      <c r="Y61" s="23" t="s">
        <v>141</v>
      </c>
      <c r="Z61" s="18"/>
      <c r="AA61" s="18"/>
      <c r="AB61" s="308"/>
      <c r="AC61" s="309"/>
      <c r="AD61" s="309"/>
      <c r="AE61" s="309"/>
      <c r="AF61" s="309"/>
      <c r="AG61" s="310"/>
      <c r="AH61" s="7"/>
      <c r="AI61" s="7"/>
      <c r="AJ61" s="7"/>
      <c r="AK61" s="7"/>
      <c r="AL61" s="7"/>
      <c r="AM61" s="7"/>
      <c r="AN61" s="7"/>
      <c r="AO61" s="7"/>
      <c r="AP61" s="7"/>
      <c r="AQ61" s="7"/>
      <c r="AR61" s="3"/>
      <c r="AS61" s="2"/>
      <c r="AT61" s="2"/>
      <c r="AU61" s="2"/>
      <c r="AV61" s="2"/>
      <c r="AW61" s="2"/>
      <c r="AX61" s="2"/>
      <c r="AY61" s="2"/>
      <c r="AZ61" s="2"/>
      <c r="BA61" s="2"/>
      <c r="BB61" s="2"/>
      <c r="BC61" s="2"/>
      <c r="BD61" s="2"/>
      <c r="BE61" s="2"/>
      <c r="BF61" s="2"/>
      <c r="BG61" s="2"/>
      <c r="BH61" s="2"/>
      <c r="BI61" s="2"/>
      <c r="BJ61" s="2"/>
      <c r="BK61" s="2"/>
      <c r="BL61" s="2"/>
      <c r="BM61" s="2"/>
      <c r="BN61" s="2"/>
      <c r="BO61" s="2"/>
      <c r="BP61" s="2"/>
    </row>
    <row r="62" spans="1:68" ht="12.75" customHeight="1">
      <c r="A62" s="3"/>
      <c r="B62" s="8" t="s">
        <v>162</v>
      </c>
      <c r="C62" s="22" t="s">
        <v>156</v>
      </c>
      <c r="D62" s="10"/>
      <c r="E62" s="10"/>
      <c r="F62" s="10"/>
      <c r="G62" s="10"/>
      <c r="H62" s="10"/>
      <c r="I62" s="10"/>
      <c r="J62" s="10"/>
      <c r="K62" s="10"/>
      <c r="L62" s="10"/>
      <c r="M62" s="10"/>
      <c r="N62" s="10"/>
      <c r="O62" s="10"/>
      <c r="P62" s="10"/>
      <c r="Q62" s="10"/>
      <c r="R62" s="10"/>
      <c r="S62" s="10"/>
      <c r="T62" s="10"/>
      <c r="U62" s="10"/>
      <c r="V62" s="10"/>
      <c r="W62" s="10"/>
      <c r="X62" s="10"/>
      <c r="Y62" s="10"/>
      <c r="Z62" s="10"/>
      <c r="AA62" s="11"/>
      <c r="AB62" s="361" t="s">
        <v>133</v>
      </c>
      <c r="AC62" s="361"/>
      <c r="AD62" s="361"/>
      <c r="AE62" s="361"/>
      <c r="AF62" s="361"/>
      <c r="AG62" s="362"/>
      <c r="AH62" s="7"/>
      <c r="AI62" s="7"/>
      <c r="AJ62" s="7"/>
      <c r="AK62" s="7"/>
      <c r="AL62" s="7"/>
      <c r="AM62" s="7"/>
      <c r="AN62" s="7"/>
      <c r="AO62" s="7"/>
      <c r="AP62" s="7"/>
      <c r="AQ62" s="7"/>
      <c r="AR62" s="3"/>
      <c r="AS62" s="2"/>
      <c r="AT62" s="2"/>
      <c r="AU62" s="2"/>
      <c r="AV62" s="2"/>
      <c r="AW62" s="2"/>
      <c r="AX62" s="2"/>
      <c r="AY62" s="2"/>
      <c r="AZ62" s="2"/>
      <c r="BA62" s="2"/>
      <c r="BB62" s="2"/>
      <c r="BC62" s="2"/>
      <c r="BD62" s="2"/>
      <c r="BE62" s="2"/>
      <c r="BF62" s="2"/>
      <c r="BG62" s="2"/>
      <c r="BH62" s="2"/>
      <c r="BI62" s="2"/>
      <c r="BJ62" s="2"/>
      <c r="BK62" s="2"/>
      <c r="BL62" s="2"/>
      <c r="BM62" s="2"/>
      <c r="BN62" s="2"/>
      <c r="BO62" s="2"/>
      <c r="BP62" s="2"/>
    </row>
    <row r="63" spans="1:68" ht="12.75" customHeight="1">
      <c r="A63" s="3"/>
      <c r="B63" s="7"/>
      <c r="C63" s="12"/>
      <c r="D63" s="13" t="s">
        <v>157</v>
      </c>
      <c r="E63" s="13"/>
      <c r="F63" s="13"/>
      <c r="G63" s="13"/>
      <c r="H63" s="13"/>
      <c r="I63" s="13"/>
      <c r="J63" s="13"/>
      <c r="K63" s="13"/>
      <c r="L63" s="13"/>
      <c r="M63" s="13"/>
      <c r="N63" s="13"/>
      <c r="O63" s="13"/>
      <c r="P63" s="13"/>
      <c r="Q63" s="13"/>
      <c r="R63" s="13"/>
      <c r="S63" s="13"/>
      <c r="T63" s="13"/>
      <c r="U63" s="13"/>
      <c r="V63" s="13"/>
      <c r="W63" s="13"/>
      <c r="X63" s="13"/>
      <c r="Y63" s="13"/>
      <c r="Z63" s="13"/>
      <c r="AA63" s="14"/>
      <c r="AB63" s="375" t="s">
        <v>134</v>
      </c>
      <c r="AC63" s="375"/>
      <c r="AD63" s="375"/>
      <c r="AE63" s="375"/>
      <c r="AF63" s="375"/>
      <c r="AG63" s="376"/>
      <c r="AH63" s="7"/>
      <c r="AI63" s="7"/>
      <c r="AJ63" s="7"/>
      <c r="AK63" s="7"/>
      <c r="AL63" s="7"/>
      <c r="AM63" s="7"/>
      <c r="AN63" s="7"/>
      <c r="AO63" s="7"/>
      <c r="AP63" s="7"/>
      <c r="AQ63" s="7"/>
      <c r="AR63" s="3"/>
      <c r="AS63" s="2"/>
      <c r="AT63" s="2"/>
      <c r="AU63" s="2"/>
      <c r="AV63" s="2"/>
      <c r="AW63" s="2"/>
      <c r="AX63" s="2"/>
      <c r="AY63" s="2"/>
      <c r="AZ63" s="2"/>
      <c r="BA63" s="2"/>
      <c r="BB63" s="2"/>
      <c r="BC63" s="2"/>
      <c r="BD63" s="2"/>
      <c r="BE63" s="2"/>
      <c r="BF63" s="2"/>
      <c r="BG63" s="2"/>
      <c r="BH63" s="2"/>
      <c r="BI63" s="2"/>
      <c r="BJ63" s="2"/>
      <c r="BK63" s="2"/>
      <c r="BL63" s="2"/>
      <c r="BM63" s="2"/>
      <c r="BN63" s="2"/>
      <c r="BO63" s="2"/>
      <c r="BP63" s="2"/>
    </row>
    <row r="64" spans="1:68" ht="12.75" customHeight="1">
      <c r="A64" s="3"/>
      <c r="B64" s="7"/>
      <c r="C64" s="12"/>
      <c r="D64" s="13" t="s">
        <v>158</v>
      </c>
      <c r="E64" s="13"/>
      <c r="F64" s="13"/>
      <c r="G64" s="13"/>
      <c r="H64" s="13"/>
      <c r="I64" s="13"/>
      <c r="J64" s="13"/>
      <c r="K64" s="13"/>
      <c r="L64" s="13"/>
      <c r="M64" s="13"/>
      <c r="N64" s="13"/>
      <c r="O64" s="13"/>
      <c r="P64" s="13"/>
      <c r="Q64" s="13"/>
      <c r="R64" s="13"/>
      <c r="S64" s="13"/>
      <c r="T64" s="13"/>
      <c r="U64" s="13"/>
      <c r="V64" s="13"/>
      <c r="W64" s="13"/>
      <c r="X64" s="13"/>
      <c r="Y64" s="13"/>
      <c r="Z64" s="13"/>
      <c r="AA64" s="14"/>
      <c r="AB64" s="13"/>
      <c r="AC64" s="13"/>
      <c r="AD64" s="13"/>
      <c r="AE64" s="13"/>
      <c r="AF64" s="13"/>
      <c r="AG64" s="14"/>
      <c r="AH64" s="7"/>
      <c r="AI64" s="7"/>
      <c r="AJ64" s="7"/>
      <c r="AK64" s="7"/>
      <c r="AL64" s="7"/>
      <c r="AM64" s="7"/>
      <c r="AN64" s="7"/>
      <c r="AO64" s="7"/>
      <c r="AP64" s="7"/>
      <c r="AQ64" s="7"/>
      <c r="AR64" s="3"/>
      <c r="AS64" s="2"/>
      <c r="AT64" s="2"/>
      <c r="AU64" s="2"/>
      <c r="AV64" s="2"/>
      <c r="AW64" s="2"/>
      <c r="AX64" s="2"/>
      <c r="AY64" s="2"/>
      <c r="AZ64" s="2"/>
      <c r="BA64" s="2"/>
      <c r="BB64" s="2"/>
      <c r="BC64" s="2"/>
      <c r="BD64" s="2"/>
      <c r="BE64" s="2"/>
      <c r="BF64" s="2"/>
      <c r="BG64" s="2"/>
      <c r="BH64" s="2"/>
      <c r="BI64" s="2"/>
      <c r="BJ64" s="2"/>
      <c r="BK64" s="2"/>
      <c r="BL64" s="2"/>
      <c r="BM64" s="2"/>
      <c r="BN64" s="2"/>
      <c r="BO64" s="2"/>
      <c r="BP64" s="2"/>
    </row>
    <row r="65" spans="1:68" ht="12.75" customHeight="1">
      <c r="A65" s="3"/>
      <c r="B65" s="7"/>
      <c r="C65" s="12"/>
      <c r="D65" s="13" t="s">
        <v>159</v>
      </c>
      <c r="E65" s="13"/>
      <c r="F65" s="13"/>
      <c r="G65" s="13"/>
      <c r="H65" s="13"/>
      <c r="I65" s="13"/>
      <c r="J65" s="13"/>
      <c r="K65" s="13"/>
      <c r="L65" s="13"/>
      <c r="M65" s="13"/>
      <c r="N65" s="13"/>
      <c r="O65" s="13"/>
      <c r="P65" s="13"/>
      <c r="Q65" s="13"/>
      <c r="R65" s="13"/>
      <c r="S65" s="13"/>
      <c r="T65" s="13"/>
      <c r="U65" s="13"/>
      <c r="V65" s="13"/>
      <c r="W65" s="13"/>
      <c r="X65" s="13"/>
      <c r="Y65" s="13"/>
      <c r="Z65" s="13"/>
      <c r="AA65" s="14"/>
      <c r="AB65" s="13"/>
      <c r="AC65" s="13"/>
      <c r="AD65" s="13"/>
      <c r="AE65" s="13"/>
      <c r="AF65" s="13"/>
      <c r="AG65" s="14"/>
      <c r="AH65" s="7"/>
      <c r="AI65" s="7"/>
      <c r="AJ65" s="7"/>
      <c r="AK65" s="7"/>
      <c r="AL65" s="7"/>
      <c r="AM65" s="7"/>
      <c r="AN65" s="7"/>
      <c r="AO65" s="7"/>
      <c r="AP65" s="7"/>
      <c r="AQ65" s="7"/>
      <c r="AR65" s="3"/>
      <c r="AS65" s="2"/>
      <c r="AT65" s="2"/>
      <c r="AU65" s="2"/>
      <c r="AV65" s="2"/>
      <c r="AW65" s="2"/>
      <c r="AX65" s="2"/>
      <c r="AY65" s="2"/>
      <c r="AZ65" s="2"/>
      <c r="BA65" s="2"/>
      <c r="BB65" s="2"/>
      <c r="BC65" s="2"/>
      <c r="BD65" s="2"/>
      <c r="BE65" s="2"/>
      <c r="BF65" s="2"/>
      <c r="BG65" s="2"/>
      <c r="BH65" s="2"/>
      <c r="BI65" s="2"/>
      <c r="BJ65" s="2"/>
      <c r="BK65" s="2"/>
      <c r="BL65" s="2"/>
      <c r="BM65" s="2"/>
      <c r="BN65" s="2"/>
      <c r="BO65" s="2"/>
      <c r="BP65" s="2"/>
    </row>
    <row r="66" spans="1:68" ht="12.75" customHeight="1">
      <c r="A66" s="3"/>
      <c r="B66" s="7"/>
      <c r="C66" s="12"/>
      <c r="D66" s="13" t="s">
        <v>160</v>
      </c>
      <c r="E66" s="13"/>
      <c r="F66" s="13"/>
      <c r="G66" s="13"/>
      <c r="H66" s="13"/>
      <c r="I66" s="13"/>
      <c r="J66" s="13"/>
      <c r="K66" s="13"/>
      <c r="L66" s="13"/>
      <c r="M66" s="13"/>
      <c r="N66" s="13"/>
      <c r="O66" s="13"/>
      <c r="P66" s="13"/>
      <c r="Q66" s="13"/>
      <c r="R66" s="13"/>
      <c r="S66" s="13"/>
      <c r="T66" s="13"/>
      <c r="U66" s="13"/>
      <c r="V66" s="13"/>
      <c r="W66" s="13"/>
      <c r="X66" s="13"/>
      <c r="Y66" s="13"/>
      <c r="Z66" s="13"/>
      <c r="AA66" s="14"/>
      <c r="AB66" s="13"/>
      <c r="AC66" s="13"/>
      <c r="AD66" s="13"/>
      <c r="AE66" s="13"/>
      <c r="AF66" s="13"/>
      <c r="AG66" s="14"/>
      <c r="AH66" s="7"/>
      <c r="AI66" s="7"/>
      <c r="AJ66" s="7"/>
      <c r="AK66" s="7"/>
      <c r="AL66" s="7"/>
      <c r="AM66" s="7"/>
      <c r="AN66" s="7"/>
      <c r="AO66" s="7"/>
      <c r="AP66" s="7"/>
      <c r="AQ66" s="7"/>
      <c r="AR66" s="3"/>
      <c r="AS66" s="2"/>
      <c r="AT66" s="2"/>
      <c r="AU66" s="2"/>
      <c r="AV66" s="2"/>
      <c r="AW66" s="2"/>
      <c r="AX66" s="2"/>
      <c r="AY66" s="2"/>
      <c r="AZ66" s="2"/>
      <c r="BA66" s="2"/>
      <c r="BB66" s="2"/>
      <c r="BC66" s="2"/>
      <c r="BD66" s="2"/>
      <c r="BE66" s="2"/>
      <c r="BF66" s="2"/>
      <c r="BG66" s="2"/>
      <c r="BH66" s="2"/>
      <c r="BI66" s="2"/>
      <c r="BJ66" s="2"/>
      <c r="BK66" s="2"/>
      <c r="BL66" s="2"/>
      <c r="BM66" s="2"/>
      <c r="BN66" s="2"/>
      <c r="BO66" s="2"/>
      <c r="BP66" s="2"/>
    </row>
    <row r="67" spans="1:68" ht="12.75" customHeight="1">
      <c r="A67" s="3"/>
      <c r="B67" s="7"/>
      <c r="C67" s="17"/>
      <c r="D67" s="18" t="s">
        <v>161</v>
      </c>
      <c r="E67" s="18"/>
      <c r="F67" s="18"/>
      <c r="G67" s="18"/>
      <c r="H67" s="18"/>
      <c r="I67" s="18"/>
      <c r="J67" s="18"/>
      <c r="K67" s="18"/>
      <c r="L67" s="18"/>
      <c r="M67" s="18"/>
      <c r="N67" s="18"/>
      <c r="O67" s="18"/>
      <c r="P67" s="18"/>
      <c r="Q67" s="18"/>
      <c r="R67" s="18"/>
      <c r="S67" s="18"/>
      <c r="T67" s="18"/>
      <c r="U67" s="18"/>
      <c r="V67" s="18"/>
      <c r="W67" s="18"/>
      <c r="X67" s="18"/>
      <c r="Y67" s="23" t="s">
        <v>141</v>
      </c>
      <c r="Z67" s="18"/>
      <c r="AA67" s="18"/>
      <c r="AB67" s="308"/>
      <c r="AC67" s="309"/>
      <c r="AD67" s="309"/>
      <c r="AE67" s="309"/>
      <c r="AF67" s="309"/>
      <c r="AG67" s="310"/>
      <c r="AH67" s="7"/>
      <c r="AI67" s="7"/>
      <c r="AJ67" s="7"/>
      <c r="AK67" s="7"/>
      <c r="AL67" s="7"/>
      <c r="AM67" s="7"/>
      <c r="AN67" s="7"/>
      <c r="AO67" s="7"/>
      <c r="AP67" s="7"/>
      <c r="AQ67" s="7"/>
      <c r="AR67" s="3"/>
      <c r="AS67" s="2"/>
      <c r="AT67" s="2"/>
      <c r="AU67" s="2"/>
      <c r="AV67" s="2"/>
      <c r="AW67" s="2"/>
      <c r="AX67" s="2"/>
      <c r="AY67" s="2"/>
      <c r="AZ67" s="2"/>
      <c r="BA67" s="2"/>
      <c r="BB67" s="2"/>
      <c r="BC67" s="2"/>
      <c r="BD67" s="2"/>
      <c r="BE67" s="2"/>
      <c r="BF67" s="2"/>
      <c r="BG67" s="2"/>
      <c r="BH67" s="2"/>
      <c r="BI67" s="2"/>
      <c r="BJ67" s="2"/>
      <c r="BK67" s="2"/>
      <c r="BL67" s="2"/>
      <c r="BM67" s="2"/>
      <c r="BN67" s="2"/>
      <c r="BO67" s="2"/>
      <c r="BP67" s="2"/>
    </row>
    <row r="68" spans="1:68" ht="12.75" customHeight="1">
      <c r="A68" s="3"/>
      <c r="B68" s="8" t="s">
        <v>165</v>
      </c>
      <c r="C68" s="22" t="s">
        <v>163</v>
      </c>
      <c r="D68" s="10"/>
      <c r="E68" s="10"/>
      <c r="F68" s="10"/>
      <c r="G68" s="10"/>
      <c r="H68" s="10"/>
      <c r="I68" s="10"/>
      <c r="J68" s="10"/>
      <c r="K68" s="10"/>
      <c r="L68" s="10"/>
      <c r="M68" s="10"/>
      <c r="N68" s="10"/>
      <c r="O68" s="10"/>
      <c r="P68" s="10"/>
      <c r="Q68" s="10"/>
      <c r="R68" s="10"/>
      <c r="S68" s="10"/>
      <c r="T68" s="10"/>
      <c r="U68" s="10"/>
      <c r="V68" s="10"/>
      <c r="W68" s="10"/>
      <c r="X68" s="10"/>
      <c r="Y68" s="10"/>
      <c r="Z68" s="10"/>
      <c r="AA68" s="11"/>
      <c r="AB68" s="360" t="s">
        <v>133</v>
      </c>
      <c r="AC68" s="361"/>
      <c r="AD68" s="361"/>
      <c r="AE68" s="361"/>
      <c r="AF68" s="361"/>
      <c r="AG68" s="362"/>
      <c r="AH68" s="7"/>
      <c r="AI68" s="7"/>
      <c r="AJ68" s="55">
        <f>IF(AH70&lt;&gt;";Az ingóságbiztosítás minimális","")</f>
      </c>
      <c r="AK68" s="7"/>
      <c r="AL68" s="7"/>
      <c r="AM68" s="7"/>
      <c r="AN68" s="7"/>
      <c r="AO68" s="7"/>
      <c r="AP68" s="7"/>
      <c r="AQ68" s="7"/>
      <c r="AR68" s="3"/>
      <c r="AS68" s="2"/>
      <c r="AT68" s="2"/>
      <c r="AU68" s="2"/>
      <c r="AV68" s="2"/>
      <c r="AW68" s="2"/>
      <c r="AX68" s="2"/>
      <c r="AY68" s="2"/>
      <c r="AZ68" s="2"/>
      <c r="BA68" s="2"/>
      <c r="BB68" s="2"/>
      <c r="BC68" s="2"/>
      <c r="BD68" s="2"/>
      <c r="BE68" s="2"/>
      <c r="BF68" s="2"/>
      <c r="BG68" s="2"/>
      <c r="BH68" s="2"/>
      <c r="BI68" s="2"/>
      <c r="BJ68" s="2"/>
      <c r="BK68" s="2"/>
      <c r="BL68" s="2"/>
      <c r="BM68" s="2"/>
      <c r="BN68" s="2"/>
      <c r="BO68" s="2"/>
      <c r="BP68" s="2"/>
    </row>
    <row r="69" spans="1:68" ht="12.75" customHeight="1">
      <c r="A69" s="3"/>
      <c r="B69" s="7"/>
      <c r="C69" s="12"/>
      <c r="D69" s="13" t="s">
        <v>164</v>
      </c>
      <c r="E69" s="13"/>
      <c r="F69" s="13"/>
      <c r="G69" s="13"/>
      <c r="H69" s="13"/>
      <c r="I69" s="13"/>
      <c r="J69" s="13"/>
      <c r="K69" s="13"/>
      <c r="L69" s="13"/>
      <c r="M69" s="13"/>
      <c r="N69" s="13"/>
      <c r="O69" s="13"/>
      <c r="P69" s="13"/>
      <c r="Q69" s="13"/>
      <c r="R69" s="13"/>
      <c r="S69" s="13"/>
      <c r="T69" s="13"/>
      <c r="U69" s="13"/>
      <c r="V69" s="13"/>
      <c r="W69" s="13"/>
      <c r="X69" s="13"/>
      <c r="Y69" s="13"/>
      <c r="Z69" s="13"/>
      <c r="AA69" s="14"/>
      <c r="AB69" s="374" t="s">
        <v>134</v>
      </c>
      <c r="AC69" s="375"/>
      <c r="AD69" s="375"/>
      <c r="AE69" s="375"/>
      <c r="AF69" s="375"/>
      <c r="AG69" s="376"/>
      <c r="AH69" s="7"/>
      <c r="AI69" s="21"/>
      <c r="AJ69" s="21"/>
      <c r="AK69" s="21"/>
      <c r="AL69" s="21"/>
      <c r="AM69" s="21"/>
      <c r="AN69" s="21"/>
      <c r="AO69" s="21"/>
      <c r="AP69" s="21"/>
      <c r="AQ69" s="21"/>
      <c r="AR69" s="3"/>
      <c r="AS69" s="2"/>
      <c r="AT69" s="2"/>
      <c r="AU69" s="2"/>
      <c r="AV69" s="2"/>
      <c r="AW69" s="2"/>
      <c r="AX69" s="2"/>
      <c r="AY69" s="2"/>
      <c r="AZ69" s="2"/>
      <c r="BA69" s="2"/>
      <c r="BB69" s="2"/>
      <c r="BC69" s="2"/>
      <c r="BD69" s="2"/>
      <c r="BE69" s="2"/>
      <c r="BF69" s="2"/>
      <c r="BG69" s="2"/>
      <c r="BH69" s="2"/>
      <c r="BI69" s="2"/>
      <c r="BJ69" s="2"/>
      <c r="BK69" s="2"/>
      <c r="BL69" s="2"/>
      <c r="BM69" s="2"/>
      <c r="BN69" s="2"/>
      <c r="BO69" s="2"/>
      <c r="BP69" s="2"/>
    </row>
    <row r="70" spans="1:68" ht="12.75" customHeight="1">
      <c r="A70" s="3"/>
      <c r="B70" s="7"/>
      <c r="C70" s="17"/>
      <c r="D70" s="18"/>
      <c r="E70" s="18"/>
      <c r="F70" s="18"/>
      <c r="G70" s="18"/>
      <c r="H70" s="18"/>
      <c r="I70" s="18"/>
      <c r="J70" s="18"/>
      <c r="K70" s="18"/>
      <c r="L70" s="18"/>
      <c r="M70" s="18"/>
      <c r="N70" s="18" t="s">
        <v>184</v>
      </c>
      <c r="O70" s="18"/>
      <c r="P70" s="18"/>
      <c r="Q70" s="18"/>
      <c r="R70" s="18"/>
      <c r="S70" s="18"/>
      <c r="T70" s="18"/>
      <c r="U70" s="18"/>
      <c r="V70" s="311">
        <f>IF(Számolótábla!A2=1,P23*U28*0.3,Számolótábla!AA9*Díjkalkuláció!P23*0.3)</f>
        <v>0</v>
      </c>
      <c r="W70" s="312"/>
      <c r="X70" s="312"/>
      <c r="Y70" s="312"/>
      <c r="Z70" s="312"/>
      <c r="AA70" s="313"/>
      <c r="AB70" s="308"/>
      <c r="AC70" s="309"/>
      <c r="AD70" s="309"/>
      <c r="AE70" s="309"/>
      <c r="AF70" s="309"/>
      <c r="AG70" s="310"/>
      <c r="AH70" s="86"/>
      <c r="AI70" s="78" t="s">
        <v>352</v>
      </c>
      <c r="AJ70" s="358">
        <f>min_Ingo</f>
        <v>0</v>
      </c>
      <c r="AK70" s="359"/>
      <c r="AL70" s="21"/>
      <c r="AM70" s="21"/>
      <c r="AN70" s="21"/>
      <c r="AO70" s="357"/>
      <c r="AP70" s="357"/>
      <c r="AQ70" s="21"/>
      <c r="AR70" s="3"/>
      <c r="AS70" s="2"/>
      <c r="AT70" s="2"/>
      <c r="AU70" s="2"/>
      <c r="AV70" s="2"/>
      <c r="AW70" s="2"/>
      <c r="AX70" s="2"/>
      <c r="AY70" s="2"/>
      <c r="AZ70" s="2"/>
      <c r="BA70" s="2"/>
      <c r="BB70" s="2"/>
      <c r="BC70" s="2"/>
      <c r="BD70" s="2"/>
      <c r="BE70" s="2"/>
      <c r="BF70" s="2"/>
      <c r="BG70" s="2"/>
      <c r="BH70" s="2"/>
      <c r="BI70" s="2"/>
      <c r="BJ70" s="2"/>
      <c r="BK70" s="2"/>
      <c r="BL70" s="2"/>
      <c r="BM70" s="2"/>
      <c r="BN70" s="2"/>
      <c r="BO70" s="2"/>
      <c r="BP70" s="2"/>
    </row>
    <row r="71" spans="1:68" ht="12.75" customHeight="1">
      <c r="A71" s="3"/>
      <c r="B71" s="8" t="s">
        <v>166</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
      <c r="AS71" s="2"/>
      <c r="AT71" s="2"/>
      <c r="AU71" s="2"/>
      <c r="AV71" s="2"/>
      <c r="AW71" s="2"/>
      <c r="AX71" s="2"/>
      <c r="AY71" s="2"/>
      <c r="AZ71" s="2"/>
      <c r="BA71" s="2"/>
      <c r="BB71" s="2"/>
      <c r="BC71" s="2"/>
      <c r="BD71" s="2"/>
      <c r="BE71" s="2"/>
      <c r="BF71" s="2"/>
      <c r="BG71" s="2"/>
      <c r="BH71" s="2"/>
      <c r="BI71" s="2"/>
      <c r="BJ71" s="2"/>
      <c r="BK71" s="2"/>
      <c r="BL71" s="2"/>
      <c r="BM71" s="2"/>
      <c r="BN71" s="2"/>
      <c r="BO71" s="2"/>
      <c r="BP71" s="2"/>
    </row>
    <row r="72" spans="1:68" ht="12.75" customHeight="1">
      <c r="A72" s="3"/>
      <c r="B72" s="8" t="s">
        <v>50</v>
      </c>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275">
        <f>IF(Számolótábla!A34=1,"RÉV engedély szükséges!","")</f>
      </c>
      <c r="AJ72" s="7"/>
      <c r="AK72" s="7"/>
      <c r="AL72" s="7"/>
      <c r="AM72" s="7"/>
      <c r="AN72" s="7"/>
      <c r="AO72" s="7"/>
      <c r="AP72" s="7"/>
      <c r="AQ72" s="7"/>
      <c r="AR72" s="3"/>
      <c r="AS72" s="2"/>
      <c r="AT72" s="2"/>
      <c r="AU72" s="2"/>
      <c r="AV72" s="2"/>
      <c r="AW72" s="2"/>
      <c r="AX72" s="2"/>
      <c r="AY72" s="2"/>
      <c r="AZ72" s="2"/>
      <c r="BA72" s="2"/>
      <c r="BB72" s="2"/>
      <c r="BC72" s="2"/>
      <c r="BD72" s="2"/>
      <c r="BE72" s="2"/>
      <c r="BF72" s="2"/>
      <c r="BG72" s="2"/>
      <c r="BH72" s="2"/>
      <c r="BI72" s="2"/>
      <c r="BJ72" s="2"/>
      <c r="BK72" s="2"/>
      <c r="BL72" s="2"/>
      <c r="BM72" s="2"/>
      <c r="BN72" s="2"/>
      <c r="BO72" s="2"/>
      <c r="BP72" s="2"/>
    </row>
    <row r="73" spans="1:68" ht="8.25" customHeight="1">
      <c r="A73" s="3"/>
      <c r="B73" s="13"/>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
      <c r="AS73" s="2"/>
      <c r="AT73" s="2"/>
      <c r="AU73" s="2"/>
      <c r="AV73" s="2"/>
      <c r="AW73" s="2"/>
      <c r="AX73" s="2"/>
      <c r="AY73" s="2"/>
      <c r="AZ73" s="2"/>
      <c r="BA73" s="2"/>
      <c r="BB73" s="2"/>
      <c r="BC73" s="2"/>
      <c r="BD73" s="2"/>
      <c r="BE73" s="2"/>
      <c r="BF73" s="2"/>
      <c r="BG73" s="2"/>
      <c r="BH73" s="2"/>
      <c r="BI73" s="2"/>
      <c r="BJ73" s="2"/>
      <c r="BK73" s="2"/>
      <c r="BL73" s="2"/>
      <c r="BM73" s="2"/>
      <c r="BN73" s="2"/>
      <c r="BO73" s="2"/>
      <c r="BP73" s="2"/>
    </row>
    <row r="74" spans="1:68" ht="12.75" customHeight="1">
      <c r="A74" s="3"/>
      <c r="B74" s="8" t="s">
        <v>60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275">
        <f>IF(Számolótábla!A45=1,"RÉV engedély szükséges!","")</f>
      </c>
      <c r="AJ74" s="7"/>
      <c r="AK74" s="7"/>
      <c r="AL74" s="7"/>
      <c r="AM74" s="7"/>
      <c r="AN74" s="7"/>
      <c r="AO74" s="7"/>
      <c r="AP74" s="7"/>
      <c r="AQ74" s="7"/>
      <c r="AR74" s="3"/>
      <c r="AS74" s="2"/>
      <c r="AT74" s="2"/>
      <c r="AU74" s="2"/>
      <c r="AV74" s="2"/>
      <c r="AW74" s="2"/>
      <c r="AX74" s="2"/>
      <c r="AY74" s="2"/>
      <c r="AZ74" s="2"/>
      <c r="BA74" s="2"/>
      <c r="BB74" s="2"/>
      <c r="BC74" s="2"/>
      <c r="BD74" s="2"/>
      <c r="BE74" s="2"/>
      <c r="BF74" s="2"/>
      <c r="BG74" s="2"/>
      <c r="BH74" s="2"/>
      <c r="BI74" s="2"/>
      <c r="BJ74" s="2"/>
      <c r="BK74" s="2"/>
      <c r="BL74" s="2"/>
      <c r="BM74" s="2"/>
      <c r="BN74" s="2"/>
      <c r="BO74" s="2"/>
      <c r="BP74" s="2"/>
    </row>
    <row r="75" spans="1:68" ht="8.25" customHeight="1">
      <c r="A75" s="3"/>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56"/>
      <c r="AR75" s="3"/>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1:68" ht="12.75" customHeight="1">
      <c r="A76" s="3"/>
      <c r="B76" s="8" t="s">
        <v>168</v>
      </c>
      <c r="C76" s="7"/>
      <c r="D76" s="7"/>
      <c r="E76" s="7"/>
      <c r="F76" s="7"/>
      <c r="G76" s="7"/>
      <c r="H76" s="78" t="s">
        <v>345</v>
      </c>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56"/>
      <c r="AR76" s="3"/>
      <c r="AS76" s="2"/>
      <c r="AT76" s="2"/>
      <c r="AU76" s="2"/>
      <c r="AV76" s="2"/>
      <c r="AW76" s="2"/>
      <c r="AX76" s="2"/>
      <c r="AY76" s="2"/>
      <c r="AZ76" s="2"/>
      <c r="BA76" s="2"/>
      <c r="BB76" s="2"/>
      <c r="BC76" s="2"/>
      <c r="BD76" s="2"/>
      <c r="BE76" s="2"/>
      <c r="BF76" s="2"/>
      <c r="BG76" s="2"/>
      <c r="BH76" s="2"/>
      <c r="BI76" s="2"/>
      <c r="BJ76" s="2"/>
      <c r="BK76" s="2"/>
      <c r="BL76" s="2"/>
      <c r="BM76" s="2"/>
      <c r="BN76" s="2"/>
      <c r="BO76" s="2"/>
      <c r="BP76" s="2"/>
    </row>
    <row r="77" spans="1:68" ht="8.25" customHeight="1">
      <c r="A77" s="3"/>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56"/>
      <c r="AR77" s="3"/>
      <c r="AS77" s="2"/>
      <c r="AT77" s="2"/>
      <c r="AU77" s="2"/>
      <c r="AV77" s="2"/>
      <c r="AW77" s="2"/>
      <c r="AX77" s="2"/>
      <c r="AY77" s="2"/>
      <c r="AZ77" s="2"/>
      <c r="BA77" s="2"/>
      <c r="BB77" s="2"/>
      <c r="BC77" s="2"/>
      <c r="BD77" s="2"/>
      <c r="BE77" s="2"/>
      <c r="BF77" s="2"/>
      <c r="BG77" s="2"/>
      <c r="BH77" s="2"/>
      <c r="BI77" s="2"/>
      <c r="BJ77" s="2"/>
      <c r="BK77" s="2"/>
      <c r="BL77" s="2"/>
      <c r="BM77" s="2"/>
      <c r="BN77" s="2"/>
      <c r="BO77" s="2"/>
      <c r="BP77" s="2"/>
    </row>
    <row r="78" spans="1:68" ht="12.75" customHeight="1">
      <c r="A78" s="3"/>
      <c r="B78" s="7"/>
      <c r="C78" s="7"/>
      <c r="D78" s="7"/>
      <c r="E78" s="7"/>
      <c r="F78" s="7"/>
      <c r="G78" s="7"/>
      <c r="H78" s="422" t="s">
        <v>169</v>
      </c>
      <c r="I78" s="423"/>
      <c r="J78" s="423"/>
      <c r="K78" s="423"/>
      <c r="L78" s="423"/>
      <c r="M78" s="423"/>
      <c r="N78" s="423"/>
      <c r="O78" s="423"/>
      <c r="P78" s="423"/>
      <c r="Q78" s="423"/>
      <c r="R78" s="423"/>
      <c r="S78" s="423"/>
      <c r="T78" s="423"/>
      <c r="U78" s="423"/>
      <c r="V78" s="423"/>
      <c r="W78" s="423"/>
      <c r="X78" s="423"/>
      <c r="Y78" s="424"/>
      <c r="Z78" s="24" t="s">
        <v>177</v>
      </c>
      <c r="AA78" s="25"/>
      <c r="AB78" s="25"/>
      <c r="AC78" s="25"/>
      <c r="AD78" s="25"/>
      <c r="AE78" s="25"/>
      <c r="AF78" s="25"/>
      <c r="AG78" s="25"/>
      <c r="AH78" s="26"/>
      <c r="AI78" s="7"/>
      <c r="AJ78" s="7"/>
      <c r="AK78" s="7"/>
      <c r="AL78" s="7"/>
      <c r="AM78" s="7"/>
      <c r="AN78" s="7"/>
      <c r="AO78" s="7"/>
      <c r="AP78" s="7"/>
      <c r="AQ78" s="7"/>
      <c r="AR78" s="3"/>
      <c r="AS78" s="2"/>
      <c r="AT78" s="2"/>
      <c r="AU78" s="2"/>
      <c r="AV78" s="2"/>
      <c r="AW78" s="2"/>
      <c r="AX78" s="2"/>
      <c r="AY78" s="2"/>
      <c r="AZ78" s="2"/>
      <c r="BA78" s="2"/>
      <c r="BB78" s="2"/>
      <c r="BC78" s="2"/>
      <c r="BD78" s="2"/>
      <c r="BE78" s="2"/>
      <c r="BF78" s="2"/>
      <c r="BG78" s="2"/>
      <c r="BH78" s="2"/>
      <c r="BI78" s="2"/>
      <c r="BJ78" s="2"/>
      <c r="BK78" s="2"/>
      <c r="BL78" s="2"/>
      <c r="BM78" s="2"/>
      <c r="BN78" s="2"/>
      <c r="BO78" s="2"/>
      <c r="BP78" s="2"/>
    </row>
    <row r="79" spans="1:68" ht="12.75" customHeight="1">
      <c r="A79" s="3"/>
      <c r="B79" s="7"/>
      <c r="C79" s="7"/>
      <c r="D79" s="7"/>
      <c r="E79" s="7"/>
      <c r="F79" s="7"/>
      <c r="G79" s="7"/>
      <c r="H79" s="27" t="s">
        <v>170</v>
      </c>
      <c r="I79" s="28"/>
      <c r="J79" s="28"/>
      <c r="K79" s="28"/>
      <c r="L79" s="28"/>
      <c r="M79" s="28"/>
      <c r="N79" s="28"/>
      <c r="O79" s="28"/>
      <c r="P79" s="29"/>
      <c r="Q79" s="318" t="s">
        <v>171</v>
      </c>
      <c r="R79" s="319"/>
      <c r="S79" s="320"/>
      <c r="T79" s="318" t="s">
        <v>172</v>
      </c>
      <c r="U79" s="319"/>
      <c r="V79" s="320"/>
      <c r="W79" s="318" t="s">
        <v>174</v>
      </c>
      <c r="X79" s="319"/>
      <c r="Y79" s="319"/>
      <c r="Z79" s="391">
        <f>IF(AND(Számolótábla!A55=2,SUM(Q80:Y80)=0),"Legalább az egyik üvegfelület megadása kötelező! ","")</f>
      </c>
      <c r="AA79" s="392"/>
      <c r="AB79" s="392"/>
      <c r="AC79" s="392"/>
      <c r="AD79" s="392"/>
      <c r="AE79" s="392"/>
      <c r="AF79" s="392"/>
      <c r="AG79" s="392"/>
      <c r="AH79" s="393"/>
      <c r="AI79" s="7"/>
      <c r="AJ79" s="7"/>
      <c r="AK79" s="7"/>
      <c r="AL79" s="7"/>
      <c r="AM79" s="7"/>
      <c r="AN79" s="7"/>
      <c r="AO79" s="7"/>
      <c r="AP79" s="7"/>
      <c r="AQ79" s="7"/>
      <c r="AR79" s="3"/>
      <c r="AS79" s="2"/>
      <c r="AT79" s="2"/>
      <c r="AU79" s="2"/>
      <c r="AV79" s="2"/>
      <c r="AW79" s="2"/>
      <c r="AX79" s="2"/>
      <c r="AY79" s="2"/>
      <c r="AZ79" s="2"/>
      <c r="BA79" s="2"/>
      <c r="BB79" s="2"/>
      <c r="BC79" s="2"/>
      <c r="BD79" s="2"/>
      <c r="BE79" s="2"/>
      <c r="BF79" s="2"/>
      <c r="BG79" s="2"/>
      <c r="BH79" s="2"/>
      <c r="BI79" s="2"/>
      <c r="BJ79" s="2"/>
      <c r="BK79" s="2"/>
      <c r="BL79" s="2"/>
      <c r="BM79" s="2"/>
      <c r="BN79" s="2"/>
      <c r="BO79" s="2"/>
      <c r="BP79" s="2"/>
    </row>
    <row r="80" spans="1:68" ht="12.75" customHeight="1">
      <c r="A80" s="3"/>
      <c r="B80" s="7"/>
      <c r="C80" s="7"/>
      <c r="D80" s="7"/>
      <c r="E80" s="7"/>
      <c r="F80" s="7"/>
      <c r="G80" s="7"/>
      <c r="H80" s="27" t="s">
        <v>173</v>
      </c>
      <c r="I80" s="28"/>
      <c r="J80" s="28"/>
      <c r="K80" s="28"/>
      <c r="L80" s="28"/>
      <c r="M80" s="28"/>
      <c r="N80" s="28"/>
      <c r="O80" s="28"/>
      <c r="P80" s="29"/>
      <c r="Q80" s="321">
        <v>0</v>
      </c>
      <c r="R80" s="322"/>
      <c r="S80" s="323"/>
      <c r="T80" s="321">
        <v>0</v>
      </c>
      <c r="U80" s="322"/>
      <c r="V80" s="323"/>
      <c r="W80" s="321">
        <v>0</v>
      </c>
      <c r="X80" s="322"/>
      <c r="Y80" s="322"/>
      <c r="Z80" s="394"/>
      <c r="AA80" s="395"/>
      <c r="AB80" s="395"/>
      <c r="AC80" s="395"/>
      <c r="AD80" s="395"/>
      <c r="AE80" s="395"/>
      <c r="AF80" s="395"/>
      <c r="AG80" s="395"/>
      <c r="AH80" s="396"/>
      <c r="AI80" s="7"/>
      <c r="AJ80" s="7"/>
      <c r="AK80" s="7"/>
      <c r="AL80" s="7"/>
      <c r="AM80" s="7"/>
      <c r="AN80" s="7"/>
      <c r="AO80" s="7"/>
      <c r="AP80" s="7"/>
      <c r="AQ80" s="7"/>
      <c r="AR80" s="3"/>
      <c r="AS80" s="2"/>
      <c r="AT80" s="2"/>
      <c r="AU80" s="2"/>
      <c r="AV80" s="2"/>
      <c r="AW80" s="2"/>
      <c r="AX80" s="2"/>
      <c r="AY80" s="2"/>
      <c r="AZ80" s="2"/>
      <c r="BA80" s="2"/>
      <c r="BB80" s="2"/>
      <c r="BC80" s="2"/>
      <c r="BD80" s="2"/>
      <c r="BE80" s="2"/>
      <c r="BF80" s="2"/>
      <c r="BG80" s="2"/>
      <c r="BH80" s="2"/>
      <c r="BI80" s="2"/>
      <c r="BJ80" s="2"/>
      <c r="BK80" s="2"/>
      <c r="BL80" s="2"/>
      <c r="BM80" s="2"/>
      <c r="BN80" s="2"/>
      <c r="BO80" s="2"/>
      <c r="BP80" s="2"/>
    </row>
    <row r="81" spans="1:68" ht="12.75" customHeight="1">
      <c r="A81" s="3"/>
      <c r="B81" s="7"/>
      <c r="C81" s="7"/>
      <c r="D81" s="7"/>
      <c r="E81" s="7"/>
      <c r="F81" s="7"/>
      <c r="G81" s="7"/>
      <c r="H81" s="27" t="s">
        <v>175</v>
      </c>
      <c r="I81" s="28"/>
      <c r="J81" s="28"/>
      <c r="K81" s="28"/>
      <c r="L81" s="28"/>
      <c r="M81" s="28"/>
      <c r="N81" s="28"/>
      <c r="O81" s="28"/>
      <c r="P81" s="29"/>
      <c r="Q81" s="380">
        <f>IF(Számolótábla!A55=2,Számolótábla!S61/1000,0)</f>
        <v>0</v>
      </c>
      <c r="R81" s="381"/>
      <c r="S81" s="382"/>
      <c r="T81" s="380">
        <f>IF(Számolótábla!A55=2,Számolótábla!S62/1000,0)</f>
        <v>0</v>
      </c>
      <c r="U81" s="381"/>
      <c r="V81" s="382"/>
      <c r="W81" s="380">
        <f>IF(Számolótábla!A55=2,Számolótábla!S63/1000,0)</f>
        <v>0</v>
      </c>
      <c r="X81" s="381"/>
      <c r="Y81" s="381"/>
      <c r="Z81" s="397"/>
      <c r="AA81" s="398"/>
      <c r="AB81" s="398"/>
      <c r="AC81" s="398"/>
      <c r="AD81" s="398"/>
      <c r="AE81" s="398"/>
      <c r="AF81" s="398"/>
      <c r="AG81" s="398"/>
      <c r="AH81" s="399"/>
      <c r="AI81" s="7"/>
      <c r="AJ81" s="7"/>
      <c r="AK81" s="7"/>
      <c r="AL81" s="7"/>
      <c r="AM81" s="7"/>
      <c r="AN81" s="7"/>
      <c r="AO81" s="7"/>
      <c r="AP81" s="7"/>
      <c r="AQ81" s="7"/>
      <c r="AR81" s="3"/>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1:68" ht="12.75" customHeight="1">
      <c r="A82" s="3"/>
      <c r="B82" s="7"/>
      <c r="C82" s="7"/>
      <c r="D82" s="7"/>
      <c r="E82" s="7"/>
      <c r="F82" s="7"/>
      <c r="G82" s="7"/>
      <c r="H82" s="17" t="s">
        <v>176</v>
      </c>
      <c r="I82" s="18"/>
      <c r="J82" s="18"/>
      <c r="K82" s="18"/>
      <c r="L82" s="18"/>
      <c r="M82" s="18"/>
      <c r="N82" s="18"/>
      <c r="O82" s="18"/>
      <c r="P82" s="19"/>
      <c r="Q82" s="315">
        <v>0</v>
      </c>
      <c r="R82" s="316"/>
      <c r="S82" s="317"/>
      <c r="T82" s="315">
        <v>0</v>
      </c>
      <c r="U82" s="316"/>
      <c r="V82" s="317"/>
      <c r="W82" s="315">
        <v>0</v>
      </c>
      <c r="X82" s="316"/>
      <c r="Y82" s="317"/>
      <c r="Z82" s="311">
        <f>IF(Számolótábla!A55&gt;2,Számolótábla!O61,0)</f>
        <v>0</v>
      </c>
      <c r="AA82" s="312"/>
      <c r="AB82" s="312"/>
      <c r="AC82" s="312"/>
      <c r="AD82" s="312"/>
      <c r="AE82" s="312"/>
      <c r="AF82" s="312"/>
      <c r="AG82" s="312"/>
      <c r="AH82" s="313"/>
      <c r="AI82" s="7"/>
      <c r="AJ82" s="7"/>
      <c r="AK82" s="7"/>
      <c r="AL82" s="7"/>
      <c r="AM82" s="7"/>
      <c r="AN82" s="7"/>
      <c r="AO82" s="7"/>
      <c r="AP82" s="7"/>
      <c r="AQ82" s="7"/>
      <c r="AR82" s="3"/>
      <c r="AS82" s="2"/>
      <c r="AT82" s="2"/>
      <c r="AU82" s="2"/>
      <c r="AV82" s="2"/>
      <c r="AW82" s="2"/>
      <c r="AX82" s="2"/>
      <c r="AY82" s="2"/>
      <c r="AZ82" s="2"/>
      <c r="BA82" s="2"/>
      <c r="BB82" s="2"/>
      <c r="BC82" s="2"/>
      <c r="BD82" s="2"/>
      <c r="BE82" s="2"/>
      <c r="BF82" s="2"/>
      <c r="BG82" s="2"/>
      <c r="BH82" s="2"/>
      <c r="BI82" s="2"/>
      <c r="BJ82" s="2"/>
      <c r="BK82" s="2"/>
      <c r="BL82" s="2"/>
      <c r="BM82" s="2"/>
      <c r="BN82" s="2"/>
      <c r="BO82" s="2"/>
      <c r="BP82" s="2"/>
    </row>
    <row r="83" spans="1:68" ht="8.25" customHeight="1">
      <c r="A83" s="3"/>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3"/>
      <c r="AS83" s="2"/>
      <c r="AT83" s="2"/>
      <c r="AU83" s="2"/>
      <c r="AV83" s="2"/>
      <c r="AW83" s="2"/>
      <c r="AX83" s="2"/>
      <c r="AY83" s="2"/>
      <c r="AZ83" s="2"/>
      <c r="BA83" s="2"/>
      <c r="BB83" s="2"/>
      <c r="BC83" s="2"/>
      <c r="BD83" s="2"/>
      <c r="BE83" s="2"/>
      <c r="BF83" s="2"/>
      <c r="BG83" s="2"/>
      <c r="BH83" s="2"/>
      <c r="BI83" s="2"/>
      <c r="BJ83" s="2"/>
      <c r="BK83" s="2"/>
      <c r="BL83" s="2"/>
      <c r="BM83" s="2"/>
      <c r="BN83" s="2"/>
      <c r="BO83" s="2"/>
      <c r="BP83" s="2"/>
    </row>
    <row r="84" spans="1:68" ht="12.75" customHeight="1">
      <c r="A84" s="3"/>
      <c r="B84" s="8" t="s">
        <v>179</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3"/>
      <c r="AS84" s="2"/>
      <c r="AT84" s="2"/>
      <c r="AU84" s="2"/>
      <c r="AV84" s="2"/>
      <c r="AW84" s="2"/>
      <c r="AX84" s="2"/>
      <c r="AY84" s="2"/>
      <c r="AZ84" s="2"/>
      <c r="BA84" s="2"/>
      <c r="BB84" s="2"/>
      <c r="BC84" s="2"/>
      <c r="BD84" s="2"/>
      <c r="BE84" s="2"/>
      <c r="BF84" s="2"/>
      <c r="BG84" s="2"/>
      <c r="BH84" s="2"/>
      <c r="BI84" s="2"/>
      <c r="BJ84" s="2"/>
      <c r="BK84" s="2"/>
      <c r="BL84" s="2"/>
      <c r="BM84" s="2"/>
      <c r="BN84" s="2"/>
      <c r="BO84" s="2"/>
      <c r="BP84" s="2"/>
    </row>
    <row r="85" spans="1:68" ht="8.25" customHeight="1">
      <c r="A85" s="3"/>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3"/>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1:68" ht="12.75" customHeight="1">
      <c r="A86" s="3"/>
      <c r="B86" s="7"/>
      <c r="C86" s="7" t="s">
        <v>77</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3"/>
      <c r="AS86" s="2"/>
      <c r="AT86" s="2"/>
      <c r="AU86" s="2"/>
      <c r="AV86" s="2"/>
      <c r="AW86" s="2"/>
      <c r="AX86" s="2"/>
      <c r="AY86" s="2"/>
      <c r="AZ86" s="2"/>
      <c r="BA86" s="2"/>
      <c r="BB86" s="2"/>
      <c r="BC86" s="2"/>
      <c r="BD86" s="2"/>
      <c r="BE86" s="2"/>
      <c r="BF86" s="2"/>
      <c r="BG86" s="2"/>
      <c r="BH86" s="2"/>
      <c r="BI86" s="2"/>
      <c r="BJ86" s="2"/>
      <c r="BK86" s="2"/>
      <c r="BL86" s="2"/>
      <c r="BM86" s="2"/>
      <c r="BN86" s="2"/>
      <c r="BO86" s="2"/>
      <c r="BP86" s="2"/>
    </row>
    <row r="87" spans="1:68" ht="8.25" customHeight="1">
      <c r="A87" s="3"/>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3"/>
      <c r="AS87" s="2"/>
      <c r="AT87" s="2"/>
      <c r="AU87" s="2"/>
      <c r="AV87" s="2"/>
      <c r="AW87" s="2"/>
      <c r="AX87" s="2"/>
      <c r="AY87" s="2"/>
      <c r="AZ87" s="2"/>
      <c r="BA87" s="2"/>
      <c r="BB87" s="2"/>
      <c r="BC87" s="2"/>
      <c r="BD87" s="2"/>
      <c r="BE87" s="2"/>
      <c r="BF87" s="2"/>
      <c r="BG87" s="2"/>
      <c r="BH87" s="2"/>
      <c r="BI87" s="2"/>
      <c r="BJ87" s="2"/>
      <c r="BK87" s="2"/>
      <c r="BL87" s="2"/>
      <c r="BM87" s="2"/>
      <c r="BN87" s="2"/>
      <c r="BO87" s="2"/>
      <c r="BP87" s="2"/>
    </row>
    <row r="88" spans="1:68" ht="12.75" customHeight="1">
      <c r="A88" s="3"/>
      <c r="B88" s="7"/>
      <c r="C88" s="7" t="s">
        <v>183</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3"/>
      <c r="AS88" s="2"/>
      <c r="AT88" s="2"/>
      <c r="AU88" s="2"/>
      <c r="AV88" s="2"/>
      <c r="AW88" s="2"/>
      <c r="AX88" s="2"/>
      <c r="AY88" s="2"/>
      <c r="AZ88" s="2"/>
      <c r="BA88" s="2"/>
      <c r="BB88" s="2"/>
      <c r="BC88" s="2"/>
      <c r="BD88" s="2"/>
      <c r="BE88" s="2"/>
      <c r="BF88" s="2"/>
      <c r="BG88" s="2"/>
      <c r="BH88" s="2"/>
      <c r="BI88" s="2"/>
      <c r="BJ88" s="2"/>
      <c r="BK88" s="2"/>
      <c r="BL88" s="2"/>
      <c r="BM88" s="2"/>
      <c r="BN88" s="2"/>
      <c r="BO88" s="2"/>
      <c r="BP88" s="2"/>
    </row>
    <row r="89" spans="1:68" ht="12.75" customHeight="1">
      <c r="A89" s="3"/>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3"/>
      <c r="AS89" s="2"/>
      <c r="AT89" s="2"/>
      <c r="AU89" s="2"/>
      <c r="AV89" s="2"/>
      <c r="AW89" s="2"/>
      <c r="AX89" s="2"/>
      <c r="AY89" s="2"/>
      <c r="AZ89" s="2"/>
      <c r="BA89" s="2"/>
      <c r="BB89" s="2"/>
      <c r="BC89" s="2"/>
      <c r="BD89" s="2"/>
      <c r="BE89" s="2"/>
      <c r="BF89" s="2"/>
      <c r="BG89" s="2"/>
      <c r="BH89" s="2"/>
      <c r="BI89" s="2"/>
      <c r="BJ89" s="2"/>
      <c r="BK89" s="2"/>
      <c r="BL89" s="2"/>
      <c r="BM89" s="2"/>
      <c r="BN89" s="2"/>
      <c r="BO89" s="2"/>
      <c r="BP89" s="2"/>
    </row>
    <row r="90" spans="1:68" ht="12.75" customHeight="1">
      <c r="A90" s="3"/>
      <c r="B90" s="7"/>
      <c r="C90" s="7"/>
      <c r="D90" s="7"/>
      <c r="E90" s="7"/>
      <c r="F90" s="7"/>
      <c r="G90" s="7"/>
      <c r="H90" s="360" t="s">
        <v>276</v>
      </c>
      <c r="I90" s="361"/>
      <c r="J90" s="361"/>
      <c r="K90" s="360" t="s">
        <v>275</v>
      </c>
      <c r="L90" s="361"/>
      <c r="M90" s="361"/>
      <c r="N90" s="361"/>
      <c r="O90" s="362"/>
      <c r="P90" s="361" t="s">
        <v>278</v>
      </c>
      <c r="Q90" s="361"/>
      <c r="R90" s="361"/>
      <c r="S90" s="361"/>
      <c r="T90" s="362"/>
      <c r="U90" s="7"/>
      <c r="V90" s="7"/>
      <c r="W90" s="7"/>
      <c r="X90" s="7"/>
      <c r="Y90" s="7"/>
      <c r="Z90" s="7"/>
      <c r="AA90" s="7"/>
      <c r="AB90" s="7"/>
      <c r="AC90" s="7"/>
      <c r="AD90" s="7"/>
      <c r="AE90" s="7"/>
      <c r="AF90" s="7"/>
      <c r="AG90" s="7"/>
      <c r="AH90" s="7"/>
      <c r="AI90" s="7"/>
      <c r="AJ90" s="7"/>
      <c r="AK90" s="7"/>
      <c r="AL90" s="7"/>
      <c r="AM90" s="7"/>
      <c r="AN90" s="7"/>
      <c r="AO90" s="7"/>
      <c r="AP90" s="7"/>
      <c r="AQ90" s="7"/>
      <c r="AR90" s="3"/>
      <c r="AS90" s="2"/>
      <c r="AT90" s="2"/>
      <c r="AU90" s="2"/>
      <c r="AV90" s="2"/>
      <c r="AW90" s="2"/>
      <c r="AX90" s="2"/>
      <c r="AY90" s="2"/>
      <c r="AZ90" s="2"/>
      <c r="BA90" s="2"/>
      <c r="BB90" s="2"/>
      <c r="BC90" s="2"/>
      <c r="BD90" s="2"/>
      <c r="BE90" s="2"/>
      <c r="BF90" s="2"/>
      <c r="BG90" s="2"/>
      <c r="BH90" s="2"/>
      <c r="BI90" s="2"/>
      <c r="BJ90" s="2"/>
      <c r="BK90" s="2"/>
      <c r="BL90" s="2"/>
      <c r="BM90" s="2"/>
      <c r="BN90" s="2"/>
      <c r="BO90" s="2"/>
      <c r="BP90" s="2"/>
    </row>
    <row r="91" spans="1:68" ht="12.75" customHeight="1">
      <c r="A91" s="3"/>
      <c r="B91" s="7"/>
      <c r="C91" s="7"/>
      <c r="D91" s="7"/>
      <c r="E91" s="7"/>
      <c r="F91" s="7"/>
      <c r="G91" s="7"/>
      <c r="H91" s="304" t="s">
        <v>277</v>
      </c>
      <c r="I91" s="305"/>
      <c r="J91" s="305"/>
      <c r="K91" s="304" t="s">
        <v>134</v>
      </c>
      <c r="L91" s="305"/>
      <c r="M91" s="305"/>
      <c r="N91" s="305"/>
      <c r="O91" s="324"/>
      <c r="P91" s="305" t="s">
        <v>134</v>
      </c>
      <c r="Q91" s="305"/>
      <c r="R91" s="305"/>
      <c r="S91" s="305"/>
      <c r="T91" s="324"/>
      <c r="U91" s="7"/>
      <c r="V91" s="7"/>
      <c r="W91" s="7"/>
      <c r="X91" s="7"/>
      <c r="Y91" s="7"/>
      <c r="Z91" s="7"/>
      <c r="AA91" s="7"/>
      <c r="AB91" s="7"/>
      <c r="AC91" s="7"/>
      <c r="AD91" s="7"/>
      <c r="AE91" s="7"/>
      <c r="AF91" s="7"/>
      <c r="AG91" s="7"/>
      <c r="AH91" s="7"/>
      <c r="AI91" s="7"/>
      <c r="AJ91" s="7"/>
      <c r="AK91" s="7"/>
      <c r="AL91" s="7"/>
      <c r="AM91" s="7"/>
      <c r="AN91" s="7"/>
      <c r="AO91" s="7"/>
      <c r="AP91" s="7"/>
      <c r="AQ91" s="7"/>
      <c r="AR91" s="3"/>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1:68" ht="12.75" customHeight="1">
      <c r="A92" s="3"/>
      <c r="B92" s="7"/>
      <c r="C92" s="7"/>
      <c r="D92" s="7"/>
      <c r="E92" s="7"/>
      <c r="F92" s="7"/>
      <c r="G92" s="7"/>
      <c r="H92" s="27"/>
      <c r="I92" s="28" t="s">
        <v>1</v>
      </c>
      <c r="J92" s="28"/>
      <c r="K92" s="311">
        <v>200</v>
      </c>
      <c r="L92" s="312"/>
      <c r="M92" s="312"/>
      <c r="N92" s="312"/>
      <c r="O92" s="313"/>
      <c r="P92" s="311">
        <v>0</v>
      </c>
      <c r="Q92" s="312"/>
      <c r="R92" s="312"/>
      <c r="S92" s="312"/>
      <c r="T92" s="313"/>
      <c r="U92" s="7"/>
      <c r="V92" s="7"/>
      <c r="W92" s="7"/>
      <c r="X92" s="7"/>
      <c r="Y92" s="7"/>
      <c r="Z92" s="7"/>
      <c r="AA92" s="7"/>
      <c r="AB92" s="7"/>
      <c r="AC92" s="7"/>
      <c r="AD92" s="7"/>
      <c r="AE92" s="7"/>
      <c r="AF92" s="7"/>
      <c r="AG92" s="7"/>
      <c r="AH92" s="7"/>
      <c r="AI92" s="7"/>
      <c r="AJ92" s="7"/>
      <c r="AK92" s="7"/>
      <c r="AL92" s="7"/>
      <c r="AM92" s="7"/>
      <c r="AN92" s="7"/>
      <c r="AO92" s="7"/>
      <c r="AP92" s="7"/>
      <c r="AQ92" s="7"/>
      <c r="AR92" s="3"/>
      <c r="AS92" s="2"/>
      <c r="AT92" s="2"/>
      <c r="AU92" s="2"/>
      <c r="AV92" s="2"/>
      <c r="AW92" s="2"/>
      <c r="AX92" s="2"/>
      <c r="AY92" s="2"/>
      <c r="AZ92" s="2"/>
      <c r="BA92" s="2"/>
      <c r="BB92" s="2"/>
      <c r="BC92" s="2"/>
      <c r="BD92" s="2"/>
      <c r="BE92" s="2"/>
      <c r="BF92" s="2"/>
      <c r="BG92" s="2"/>
      <c r="BH92" s="2"/>
      <c r="BI92" s="2"/>
      <c r="BJ92" s="2"/>
      <c r="BK92" s="2"/>
      <c r="BL92" s="2"/>
      <c r="BM92" s="2"/>
      <c r="BN92" s="2"/>
      <c r="BO92" s="2"/>
      <c r="BP92" s="2"/>
    </row>
    <row r="93" spans="1:68" ht="12.75" customHeight="1">
      <c r="A93" s="3"/>
      <c r="B93" s="7"/>
      <c r="C93" s="7"/>
      <c r="D93" s="7"/>
      <c r="E93" s="7"/>
      <c r="F93" s="7"/>
      <c r="G93" s="7"/>
      <c r="H93" s="12"/>
      <c r="I93" s="13" t="s">
        <v>2</v>
      </c>
      <c r="J93" s="13"/>
      <c r="K93" s="328">
        <v>1000</v>
      </c>
      <c r="L93" s="329"/>
      <c r="M93" s="329"/>
      <c r="N93" s="329"/>
      <c r="O93" s="330"/>
      <c r="P93" s="311">
        <v>0</v>
      </c>
      <c r="Q93" s="312"/>
      <c r="R93" s="312"/>
      <c r="S93" s="312"/>
      <c r="T93" s="313"/>
      <c r="U93" s="7"/>
      <c r="V93" s="7"/>
      <c r="W93" s="7"/>
      <c r="X93" s="7"/>
      <c r="Y93" s="7"/>
      <c r="Z93" s="7"/>
      <c r="AA93" s="7"/>
      <c r="AB93" s="7"/>
      <c r="AC93" s="7"/>
      <c r="AD93" s="7"/>
      <c r="AE93" s="7"/>
      <c r="AF93" s="7"/>
      <c r="AG93" s="7"/>
      <c r="AH93" s="7"/>
      <c r="AI93" s="7"/>
      <c r="AJ93" s="7"/>
      <c r="AK93" s="7"/>
      <c r="AL93" s="7"/>
      <c r="AM93" s="7"/>
      <c r="AN93" s="7"/>
      <c r="AO93" s="7"/>
      <c r="AP93" s="7"/>
      <c r="AQ93" s="7"/>
      <c r="AR93" s="3"/>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1:68" ht="12.75" customHeight="1">
      <c r="A94" s="3"/>
      <c r="B94" s="7"/>
      <c r="C94" s="7"/>
      <c r="D94" s="7"/>
      <c r="E94" s="7"/>
      <c r="F94" s="7"/>
      <c r="G94" s="7"/>
      <c r="H94" s="27"/>
      <c r="I94" s="28" t="s">
        <v>3</v>
      </c>
      <c r="J94" s="28"/>
      <c r="K94" s="331" t="s">
        <v>246</v>
      </c>
      <c r="L94" s="332"/>
      <c r="M94" s="332"/>
      <c r="N94" s="332"/>
      <c r="O94" s="333"/>
      <c r="P94" s="311">
        <v>0</v>
      </c>
      <c r="Q94" s="312"/>
      <c r="R94" s="312"/>
      <c r="S94" s="312"/>
      <c r="T94" s="313"/>
      <c r="U94" s="7"/>
      <c r="V94" s="7"/>
      <c r="W94" s="298"/>
      <c r="X94" s="298"/>
      <c r="Y94" s="298"/>
      <c r="Z94" s="7"/>
      <c r="AA94" s="21"/>
      <c r="AB94" s="21"/>
      <c r="AC94" s="21"/>
      <c r="AD94" s="30"/>
      <c r="AE94" s="30"/>
      <c r="AF94" s="30"/>
      <c r="AG94" s="30"/>
      <c r="AH94" s="7"/>
      <c r="AI94" s="7"/>
      <c r="AJ94" s="7"/>
      <c r="AK94" s="7"/>
      <c r="AL94" s="7"/>
      <c r="AM94" s="7"/>
      <c r="AN94" s="7"/>
      <c r="AO94" s="7"/>
      <c r="AP94" s="7"/>
      <c r="AQ94" s="7"/>
      <c r="AR94" s="3"/>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1:68" ht="12.75" customHeight="1">
      <c r="A95" s="3"/>
      <c r="B95" s="7"/>
      <c r="C95" s="7"/>
      <c r="D95" s="7"/>
      <c r="E95" s="7"/>
      <c r="F95" s="7"/>
      <c r="G95" s="7"/>
      <c r="H95" s="12"/>
      <c r="I95" s="13" t="s">
        <v>4</v>
      </c>
      <c r="J95" s="13"/>
      <c r="K95" s="325" t="s">
        <v>351</v>
      </c>
      <c r="L95" s="326"/>
      <c r="M95" s="326"/>
      <c r="N95" s="326"/>
      <c r="O95" s="327"/>
      <c r="P95" s="311">
        <v>0</v>
      </c>
      <c r="Q95" s="312"/>
      <c r="R95" s="312"/>
      <c r="S95" s="312"/>
      <c r="T95" s="313"/>
      <c r="U95" s="7"/>
      <c r="V95" s="7"/>
      <c r="W95" s="298"/>
      <c r="X95" s="298"/>
      <c r="Y95" s="298"/>
      <c r="Z95" s="7"/>
      <c r="AA95" s="21"/>
      <c r="AB95" s="21"/>
      <c r="AC95" s="21"/>
      <c r="AD95" s="30"/>
      <c r="AE95" s="30"/>
      <c r="AF95" s="30"/>
      <c r="AG95" s="30"/>
      <c r="AH95" s="7"/>
      <c r="AI95" s="7"/>
      <c r="AJ95" s="7"/>
      <c r="AK95" s="7"/>
      <c r="AL95" s="7"/>
      <c r="AM95" s="7"/>
      <c r="AN95" s="7"/>
      <c r="AO95" s="7"/>
      <c r="AP95" s="7"/>
      <c r="AQ95" s="7"/>
      <c r="AR95" s="3"/>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1:68" ht="12.75" customHeight="1">
      <c r="A96" s="3"/>
      <c r="B96" s="7"/>
      <c r="C96" s="7"/>
      <c r="D96" s="7"/>
      <c r="E96" s="7"/>
      <c r="F96" s="7"/>
      <c r="G96" s="7"/>
      <c r="H96" s="27"/>
      <c r="I96" s="28" t="s">
        <v>5</v>
      </c>
      <c r="J96" s="28"/>
      <c r="K96" s="299">
        <v>4800</v>
      </c>
      <c r="L96" s="300"/>
      <c r="M96" s="300"/>
      <c r="N96" s="300"/>
      <c r="O96" s="301"/>
      <c r="P96" s="311">
        <v>0</v>
      </c>
      <c r="Q96" s="312"/>
      <c r="R96" s="312"/>
      <c r="S96" s="312"/>
      <c r="T96" s="313"/>
      <c r="U96" s="205"/>
      <c r="V96" s="84"/>
      <c r="W96" s="298"/>
      <c r="X96" s="298"/>
      <c r="Y96" s="298"/>
      <c r="Z96" s="7"/>
      <c r="AA96" s="21"/>
      <c r="AB96" s="21"/>
      <c r="AC96" s="21"/>
      <c r="AD96" s="30"/>
      <c r="AE96" s="30"/>
      <c r="AF96" s="30"/>
      <c r="AG96" s="30"/>
      <c r="AH96" s="7"/>
      <c r="AI96" s="7"/>
      <c r="AJ96" s="7"/>
      <c r="AK96" s="7"/>
      <c r="AL96" s="7"/>
      <c r="AM96" s="7"/>
      <c r="AN96" s="7"/>
      <c r="AO96" s="7"/>
      <c r="AP96" s="7"/>
      <c r="AQ96" s="7"/>
      <c r="AR96" s="3"/>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1:68" ht="8.25" customHeight="1">
      <c r="A97" s="3"/>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3"/>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1:68" ht="12.75" customHeight="1">
      <c r="A98" s="3"/>
      <c r="B98" s="8" t="s">
        <v>178</v>
      </c>
      <c r="C98" s="7"/>
      <c r="D98" s="7"/>
      <c r="E98" s="7"/>
      <c r="F98" s="7"/>
      <c r="G98" s="7"/>
      <c r="H98" s="7"/>
      <c r="I98" s="7"/>
      <c r="J98" s="7"/>
      <c r="K98" s="7"/>
      <c r="L98" s="7"/>
      <c r="M98" s="7"/>
      <c r="N98" s="7"/>
      <c r="O98" s="7"/>
      <c r="P98" s="7"/>
      <c r="Q98" s="7"/>
      <c r="R98" s="7"/>
      <c r="S98" s="24" t="s">
        <v>176</v>
      </c>
      <c r="T98" s="28"/>
      <c r="U98" s="28"/>
      <c r="V98" s="28"/>
      <c r="W98" s="28"/>
      <c r="X98" s="28"/>
      <c r="Y98" s="28"/>
      <c r="Z98" s="20"/>
      <c r="AA98" s="335">
        <v>0</v>
      </c>
      <c r="AB98" s="336"/>
      <c r="AC98" s="337"/>
      <c r="AD98" s="34"/>
      <c r="AE98" s="34"/>
      <c r="AF98" s="34"/>
      <c r="AG98" s="34"/>
      <c r="AH98" s="34"/>
      <c r="AI98" s="21"/>
      <c r="AJ98" s="21"/>
      <c r="AK98" s="21"/>
      <c r="AL98" s="21"/>
      <c r="AM98" s="21"/>
      <c r="AN98" s="21"/>
      <c r="AO98" s="21"/>
      <c r="AP98" s="21"/>
      <c r="AQ98" s="7"/>
      <c r="AR98" s="3"/>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1:68" ht="12.75" customHeight="1">
      <c r="A99" s="3"/>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21"/>
      <c r="AE99" s="21"/>
      <c r="AF99" s="21"/>
      <c r="AG99" s="21"/>
      <c r="AH99" s="21"/>
      <c r="AI99" s="21"/>
      <c r="AJ99" s="21"/>
      <c r="AK99" s="21"/>
      <c r="AL99" s="21"/>
      <c r="AM99" s="21"/>
      <c r="AN99" s="21"/>
      <c r="AO99" s="21"/>
      <c r="AP99" s="21"/>
      <c r="AQ99" s="7"/>
      <c r="AR99" s="3"/>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1:68" ht="12.75" customHeight="1">
      <c r="A100" s="3"/>
      <c r="B100" s="8" t="s">
        <v>56</v>
      </c>
      <c r="C100" s="7"/>
      <c r="D100" s="7"/>
      <c r="E100" s="7"/>
      <c r="F100" s="7"/>
      <c r="G100" s="7"/>
      <c r="H100" s="7"/>
      <c r="I100" s="7"/>
      <c r="J100" s="7"/>
      <c r="K100" s="7"/>
      <c r="L100" s="7"/>
      <c r="M100" s="7"/>
      <c r="N100" s="7"/>
      <c r="O100" s="7"/>
      <c r="P100" s="7"/>
      <c r="Q100" s="7"/>
      <c r="R100" s="7"/>
      <c r="S100" s="79"/>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3"/>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1:68" ht="12.75" customHeight="1">
      <c r="A101" s="3"/>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3"/>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1:68" ht="12.75" customHeight="1">
      <c r="A102" s="3"/>
      <c r="B102" s="8" t="s">
        <v>82</v>
      </c>
      <c r="C102" s="7"/>
      <c r="D102" s="7"/>
      <c r="E102" s="7"/>
      <c r="F102" s="7"/>
      <c r="G102" s="7"/>
      <c r="H102" s="7"/>
      <c r="I102" s="7"/>
      <c r="J102" s="7"/>
      <c r="K102" s="7"/>
      <c r="L102" s="7"/>
      <c r="M102" s="7"/>
      <c r="N102" s="7"/>
      <c r="O102" s="7"/>
      <c r="P102" s="7"/>
      <c r="Q102" s="7"/>
      <c r="R102" s="21"/>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3"/>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1:68" ht="12.75" customHeight="1">
      <c r="A103" s="3"/>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3"/>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1:68" ht="12.75" customHeight="1">
      <c r="A104" s="3"/>
      <c r="B104" s="8" t="s">
        <v>185</v>
      </c>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3"/>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1:68" ht="12.75" customHeight="1">
      <c r="A105" s="3"/>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33"/>
      <c r="AE105" s="7"/>
      <c r="AF105" s="7"/>
      <c r="AG105" s="7"/>
      <c r="AH105" s="7"/>
      <c r="AI105" s="7"/>
      <c r="AJ105" s="7"/>
      <c r="AK105" s="7"/>
      <c r="AL105" s="7"/>
      <c r="AM105" s="7"/>
      <c r="AN105" s="7"/>
      <c r="AO105" s="7"/>
      <c r="AP105" s="7"/>
      <c r="AQ105" s="7"/>
      <c r="AR105" s="3"/>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1:68" ht="12.75" customHeight="1">
      <c r="A106" s="3"/>
      <c r="B106" s="8" t="s">
        <v>186</v>
      </c>
      <c r="C106" s="7"/>
      <c r="D106" s="7"/>
      <c r="E106" s="7"/>
      <c r="F106" s="7"/>
      <c r="G106" s="7"/>
      <c r="H106" s="7"/>
      <c r="I106" s="7"/>
      <c r="J106" s="7"/>
      <c r="K106" s="7"/>
      <c r="L106" s="7"/>
      <c r="M106" s="7"/>
      <c r="N106" s="7"/>
      <c r="O106" s="7"/>
      <c r="P106" s="7"/>
      <c r="Q106" s="7"/>
      <c r="R106" s="7"/>
      <c r="S106" s="24" t="s">
        <v>176</v>
      </c>
      <c r="T106" s="28"/>
      <c r="U106" s="28"/>
      <c r="V106" s="28"/>
      <c r="W106" s="28"/>
      <c r="X106" s="28"/>
      <c r="Y106" s="28"/>
      <c r="Z106" s="20"/>
      <c r="AA106" s="335">
        <v>0</v>
      </c>
      <c r="AB106" s="336"/>
      <c r="AC106" s="337"/>
      <c r="AD106" s="21"/>
      <c r="AE106" s="314"/>
      <c r="AF106" s="314"/>
      <c r="AG106" s="314"/>
      <c r="AH106" s="314"/>
      <c r="AI106" s="314"/>
      <c r="AJ106" s="314"/>
      <c r="AK106" s="314"/>
      <c r="AL106" s="314"/>
      <c r="AM106" s="314"/>
      <c r="AN106" s="314"/>
      <c r="AO106" s="314"/>
      <c r="AP106" s="314"/>
      <c r="AQ106" s="7"/>
      <c r="AR106" s="3"/>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1:68" ht="12.75" customHeight="1">
      <c r="A107" s="3"/>
      <c r="B107" s="8" t="s">
        <v>187</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314"/>
      <c r="AF107" s="314"/>
      <c r="AG107" s="314"/>
      <c r="AH107" s="314"/>
      <c r="AI107" s="314"/>
      <c r="AJ107" s="314"/>
      <c r="AK107" s="314"/>
      <c r="AL107" s="314"/>
      <c r="AM107" s="314"/>
      <c r="AN107" s="314"/>
      <c r="AO107" s="314"/>
      <c r="AP107" s="314"/>
      <c r="AQ107" s="7"/>
      <c r="AR107" s="3"/>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1:68" ht="12.75">
      <c r="A108" s="3"/>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3"/>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1:68" ht="12.75" customHeight="1">
      <c r="A109" s="3"/>
      <c r="B109" s="8" t="s">
        <v>24</v>
      </c>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3"/>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1:68" ht="12.75" customHeight="1">
      <c r="A110" s="3"/>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3"/>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1:68" ht="12.75" customHeight="1">
      <c r="A111" s="3"/>
      <c r="B111" s="8" t="s">
        <v>188</v>
      </c>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3"/>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1:68" ht="12.75" customHeight="1">
      <c r="A112" s="3"/>
      <c r="B112" s="8" t="s">
        <v>189</v>
      </c>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3"/>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1:68" ht="12.75">
      <c r="A113" s="3"/>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3"/>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1:68" ht="12.75" customHeight="1">
      <c r="A114" s="3"/>
      <c r="B114" s="8" t="s">
        <v>190</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3"/>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1:68" ht="12.75" customHeight="1">
      <c r="A115" s="3"/>
      <c r="B115" s="7"/>
      <c r="C115" s="7" t="s">
        <v>191</v>
      </c>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3"/>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1:68" ht="6" customHeight="1">
      <c r="A116" s="3"/>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3"/>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1:68" ht="12.75" customHeight="1">
      <c r="A117" s="3"/>
      <c r="B117" s="7"/>
      <c r="C117" s="7" t="s">
        <v>771</v>
      </c>
      <c r="D117" s="7"/>
      <c r="E117" s="7"/>
      <c r="F117" s="7"/>
      <c r="G117" s="7"/>
      <c r="H117" s="7"/>
      <c r="I117" s="7"/>
      <c r="J117" s="7"/>
      <c r="K117" s="7"/>
      <c r="L117" s="7"/>
      <c r="M117" s="321">
        <v>0</v>
      </c>
      <c r="N117" s="322"/>
      <c r="O117" s="323"/>
      <c r="P117" s="37" t="s">
        <v>204</v>
      </c>
      <c r="Q117" s="276">
        <f>IF(Számolótábla!A149=TRUE,"!!!  Minimum 1 fő","")</f>
      </c>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3"/>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1:68" ht="12.75" customHeight="1">
      <c r="A118" s="3"/>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3"/>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1:68" ht="12.75" customHeight="1">
      <c r="A119" s="3"/>
      <c r="B119" s="7"/>
      <c r="C119" s="7" t="s">
        <v>192</v>
      </c>
      <c r="D119" s="7"/>
      <c r="E119" s="7"/>
      <c r="F119" s="7"/>
      <c r="G119" s="7"/>
      <c r="H119" s="7"/>
      <c r="I119" s="7"/>
      <c r="J119" s="7"/>
      <c r="K119" s="7"/>
      <c r="L119" s="7"/>
      <c r="M119" s="7"/>
      <c r="N119" s="7"/>
      <c r="O119" s="7"/>
      <c r="P119" s="7"/>
      <c r="Q119" s="7"/>
      <c r="R119" s="7"/>
      <c r="S119" s="7"/>
      <c r="T119" s="7"/>
      <c r="U119" s="276">
        <f>IF(Számolótábla!L151=TRUE,"!!! Általános felelősségbiztosítás nélkül nem választható.","")</f>
      </c>
      <c r="V119" s="7"/>
      <c r="W119" s="7"/>
      <c r="X119" s="7"/>
      <c r="Y119" s="7"/>
      <c r="Z119" s="7"/>
      <c r="AA119" s="7"/>
      <c r="AB119" s="7"/>
      <c r="AC119" s="7"/>
      <c r="AD119" s="7"/>
      <c r="AE119" s="7"/>
      <c r="AF119" s="7"/>
      <c r="AG119" s="7"/>
      <c r="AH119" s="7"/>
      <c r="AI119" s="7"/>
      <c r="AJ119" s="7"/>
      <c r="AK119" s="7"/>
      <c r="AL119" s="7"/>
      <c r="AM119" s="7"/>
      <c r="AN119" s="7"/>
      <c r="AO119" s="7"/>
      <c r="AP119" s="7"/>
      <c r="AQ119" s="7"/>
      <c r="AR119" s="3"/>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1:68" ht="12.75" customHeight="1">
      <c r="A120" s="3"/>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3"/>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1:68" ht="12.75" customHeight="1">
      <c r="A121" s="3"/>
      <c r="B121" s="7"/>
      <c r="C121" s="7" t="s">
        <v>98</v>
      </c>
      <c r="D121" s="7"/>
      <c r="E121" s="7"/>
      <c r="F121" s="7"/>
      <c r="G121" s="7"/>
      <c r="H121" s="7"/>
      <c r="I121" s="7"/>
      <c r="J121" s="7"/>
      <c r="K121" s="7"/>
      <c r="L121" s="7"/>
      <c r="M121" s="7"/>
      <c r="N121" s="7"/>
      <c r="O121" s="7"/>
      <c r="P121" s="7"/>
      <c r="Q121" s="7"/>
      <c r="R121" s="7"/>
      <c r="S121" s="7"/>
      <c r="T121" s="7"/>
      <c r="U121" s="276">
        <f>IF(Számolótábla!L155=TRUE,"!!! Általános felelősségbiztosítás nélkül nem választható. ","")</f>
      </c>
      <c r="V121" s="7"/>
      <c r="W121" s="7"/>
      <c r="X121" s="7"/>
      <c r="Y121" s="7"/>
      <c r="Z121" s="7"/>
      <c r="AA121" s="7"/>
      <c r="AB121" s="7"/>
      <c r="AC121" s="7"/>
      <c r="AD121" s="7"/>
      <c r="AE121" s="7"/>
      <c r="AF121" s="7"/>
      <c r="AG121" s="7"/>
      <c r="AH121" s="7"/>
      <c r="AI121" s="7"/>
      <c r="AJ121" s="7"/>
      <c r="AK121" s="7"/>
      <c r="AL121" s="7"/>
      <c r="AM121" s="7"/>
      <c r="AN121" s="7"/>
      <c r="AO121" s="7"/>
      <c r="AP121" s="7"/>
      <c r="AQ121" s="7"/>
      <c r="AR121" s="3"/>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1:68" ht="9.75" customHeight="1">
      <c r="A122" s="3"/>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3"/>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1:68" ht="12.75" customHeight="1">
      <c r="A123" s="3"/>
      <c r="B123" s="406" t="s">
        <v>193</v>
      </c>
      <c r="C123" s="406"/>
      <c r="D123" s="406"/>
      <c r="E123" s="406"/>
      <c r="F123" s="406"/>
      <c r="G123" s="7"/>
      <c r="H123" s="7"/>
      <c r="I123" s="7"/>
      <c r="J123" s="7"/>
      <c r="K123" s="7"/>
      <c r="L123" s="7"/>
      <c r="M123" s="7"/>
      <c r="N123" s="7"/>
      <c r="O123" s="7"/>
      <c r="P123" s="7"/>
      <c r="Q123" s="7"/>
      <c r="R123" s="7"/>
      <c r="S123" s="7"/>
      <c r="T123" s="7"/>
      <c r="U123" s="7"/>
      <c r="V123" s="7"/>
      <c r="W123" s="7"/>
      <c r="X123" s="7"/>
      <c r="Y123" s="7"/>
      <c r="Z123" s="7"/>
      <c r="AA123" s="7"/>
      <c r="AB123" s="7"/>
      <c r="AC123" s="7"/>
      <c r="AD123" s="21"/>
      <c r="AE123" s="21"/>
      <c r="AF123" s="21"/>
      <c r="AG123" s="21"/>
      <c r="AH123" s="21"/>
      <c r="AI123" s="21"/>
      <c r="AJ123" s="21"/>
      <c r="AK123" s="21"/>
      <c r="AL123" s="21"/>
      <c r="AM123" s="21"/>
      <c r="AN123" s="21"/>
      <c r="AO123" s="21"/>
      <c r="AP123" s="7"/>
      <c r="AQ123" s="7"/>
      <c r="AR123" s="3"/>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1:68" ht="12.75" customHeight="1">
      <c r="A124" s="3"/>
      <c r="B124" s="7"/>
      <c r="C124" s="7" t="s">
        <v>194</v>
      </c>
      <c r="D124" s="7"/>
      <c r="E124" s="7"/>
      <c r="F124" s="7"/>
      <c r="G124" s="7"/>
      <c r="H124" s="7"/>
      <c r="I124" s="7"/>
      <c r="J124" s="7"/>
      <c r="K124" s="7"/>
      <c r="L124" s="7"/>
      <c r="M124" s="7"/>
      <c r="N124" s="7"/>
      <c r="O124" s="7"/>
      <c r="P124" s="7"/>
      <c r="Q124" s="7"/>
      <c r="R124" s="7"/>
      <c r="S124" s="13" t="s">
        <v>203</v>
      </c>
      <c r="T124" s="13"/>
      <c r="U124" s="13"/>
      <c r="V124" s="13"/>
      <c r="W124" s="13"/>
      <c r="X124" s="13"/>
      <c r="Y124" s="13"/>
      <c r="Z124" s="13"/>
      <c r="AA124" s="13"/>
      <c r="AB124" s="55">
        <f>COUNTIF(Adatfelvétel!G52:G60,"*")</f>
        <v>0</v>
      </c>
      <c r="AC124" s="38" t="s">
        <v>204</v>
      </c>
      <c r="AD124" s="21"/>
      <c r="AE124" s="21"/>
      <c r="AF124" s="21"/>
      <c r="AG124" s="21"/>
      <c r="AH124" s="21"/>
      <c r="AI124" s="21"/>
      <c r="AJ124" s="21"/>
      <c r="AK124" s="21"/>
      <c r="AL124" s="21"/>
      <c r="AM124" s="21"/>
      <c r="AN124" s="21"/>
      <c r="AO124" s="21"/>
      <c r="AP124" s="7"/>
      <c r="AQ124" s="7"/>
      <c r="AR124" s="3"/>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1:68" ht="8.25" customHeight="1">
      <c r="A125" s="3"/>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3"/>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1:68" ht="12.75" customHeight="1">
      <c r="A126" s="3"/>
      <c r="B126" s="8" t="s">
        <v>206</v>
      </c>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3"/>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1:68" ht="12.75" customHeight="1">
      <c r="A127" s="3"/>
      <c r="B127" s="8" t="s">
        <v>205</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3"/>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1:68" ht="12.75" customHeight="1">
      <c r="A128" s="3"/>
      <c r="B128" s="7"/>
      <c r="C128" s="55" t="str">
        <f>IF(Számolótábla!K109=TRUE,"Védelem típusa ","Bet.lop. fedezetet nem kér")</f>
        <v>Bet.lop. fedezetet nem kér</v>
      </c>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3"/>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1:68" ht="8.25" customHeight="1">
      <c r="A129" s="3"/>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3"/>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1:68" ht="8.25" customHeight="1">
      <c r="A130" s="3"/>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3"/>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1:68" ht="12.75" customHeight="1">
      <c r="A131" s="3"/>
      <c r="B131" s="360" t="s">
        <v>207</v>
      </c>
      <c r="C131" s="361"/>
      <c r="D131" s="361"/>
      <c r="E131" s="361"/>
      <c r="F131" s="361"/>
      <c r="G131" s="361"/>
      <c r="H131" s="361"/>
      <c r="I131" s="361"/>
      <c r="J131" s="361"/>
      <c r="K131" s="361"/>
      <c r="L131" s="361"/>
      <c r="M131" s="362"/>
      <c r="N131" s="318" t="s">
        <v>208</v>
      </c>
      <c r="O131" s="319"/>
      <c r="P131" s="319"/>
      <c r="Q131" s="319"/>
      <c r="R131" s="319"/>
      <c r="S131" s="319"/>
      <c r="T131" s="319"/>
      <c r="U131" s="319"/>
      <c r="V131" s="319"/>
      <c r="W131" s="320"/>
      <c r="X131" s="7"/>
      <c r="Y131" s="341" t="s">
        <v>1010</v>
      </c>
      <c r="Z131" s="342"/>
      <c r="AA131" s="342"/>
      <c r="AB131" s="342"/>
      <c r="AC131" s="342"/>
      <c r="AD131" s="342"/>
      <c r="AE131" s="342"/>
      <c r="AF131" s="342"/>
      <c r="AG131" s="342"/>
      <c r="AH131" s="342"/>
      <c r="AI131" s="342"/>
      <c r="AJ131" s="303"/>
      <c r="AK131" s="7"/>
      <c r="AL131" s="7"/>
      <c r="AM131" s="7"/>
      <c r="AN131" s="7"/>
      <c r="AO131" s="7"/>
      <c r="AP131" s="7"/>
      <c r="AQ131" s="7"/>
      <c r="AR131" s="3"/>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1:68" ht="12.75" customHeight="1">
      <c r="A132" s="3"/>
      <c r="B132" s="12"/>
      <c r="C132" s="13"/>
      <c r="D132" s="13"/>
      <c r="E132" s="13"/>
      <c r="F132" s="13"/>
      <c r="G132" s="13"/>
      <c r="H132" s="13"/>
      <c r="I132" s="13"/>
      <c r="J132" s="13"/>
      <c r="K132" s="13"/>
      <c r="L132" s="13"/>
      <c r="M132" s="14"/>
      <c r="N132" s="365" t="s">
        <v>67</v>
      </c>
      <c r="O132" s="366"/>
      <c r="P132" s="366"/>
      <c r="Q132" s="366"/>
      <c r="R132" s="367"/>
      <c r="S132" s="365" t="s">
        <v>81</v>
      </c>
      <c r="T132" s="366"/>
      <c r="U132" s="366"/>
      <c r="V132" s="366"/>
      <c r="W132" s="367"/>
      <c r="X132" s="7"/>
      <c r="Y132" s="306" t="s">
        <v>327</v>
      </c>
      <c r="Z132" s="307"/>
      <c r="AA132" s="307"/>
      <c r="AB132" s="307"/>
      <c r="AC132" s="307"/>
      <c r="AD132" s="385"/>
      <c r="AE132" s="386"/>
      <c r="AF132" s="386"/>
      <c r="AG132" s="386"/>
      <c r="AH132" s="386"/>
      <c r="AI132" s="386"/>
      <c r="AJ132" s="387"/>
      <c r="AK132" s="7"/>
      <c r="AL132" s="7"/>
      <c r="AM132" s="7"/>
      <c r="AN132" s="7"/>
      <c r="AO132" s="7"/>
      <c r="AP132" s="7"/>
      <c r="AQ132" s="7"/>
      <c r="AR132" s="3"/>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1:68" ht="12.75" customHeight="1">
      <c r="A133" s="3"/>
      <c r="B133" s="9" t="s">
        <v>209</v>
      </c>
      <c r="C133" s="10"/>
      <c r="D133" s="10"/>
      <c r="E133" s="10"/>
      <c r="F133" s="10"/>
      <c r="G133" s="31"/>
      <c r="H133" s="32"/>
      <c r="I133" s="308"/>
      <c r="J133" s="309"/>
      <c r="K133" s="309"/>
      <c r="L133" s="309"/>
      <c r="M133" s="310"/>
      <c r="N133" s="311">
        <f>IF(Számolótábla!A104=3,I133,0)</f>
        <v>0</v>
      </c>
      <c r="O133" s="312"/>
      <c r="P133" s="312"/>
      <c r="Q133" s="312"/>
      <c r="R133" s="313"/>
      <c r="S133" s="311">
        <f>IF(Számolótábla!A104=4,I133,0)</f>
        <v>0</v>
      </c>
      <c r="T133" s="312"/>
      <c r="U133" s="312"/>
      <c r="V133" s="312"/>
      <c r="W133" s="313"/>
      <c r="X133" s="7"/>
      <c r="Y133" s="306" t="s">
        <v>321</v>
      </c>
      <c r="Z133" s="307"/>
      <c r="AA133" s="307"/>
      <c r="AB133" s="307"/>
      <c r="AC133" s="307"/>
      <c r="AD133" s="385"/>
      <c r="AE133" s="386"/>
      <c r="AF133" s="386"/>
      <c r="AG133" s="386"/>
      <c r="AH133" s="386"/>
      <c r="AI133" s="386"/>
      <c r="AJ133" s="387"/>
      <c r="AK133" s="7"/>
      <c r="AL133" s="7"/>
      <c r="AM133" s="7"/>
      <c r="AN133" s="7"/>
      <c r="AO133" s="7"/>
      <c r="AP133" s="7"/>
      <c r="AQ133" s="7"/>
      <c r="AR133" s="3"/>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1:68" ht="12.75" customHeight="1">
      <c r="A134" s="3"/>
      <c r="B134" s="12" t="s">
        <v>210</v>
      </c>
      <c r="C134" s="13"/>
      <c r="D134" s="13"/>
      <c r="E134" s="13"/>
      <c r="F134" s="13"/>
      <c r="G134" s="39"/>
      <c r="H134" s="40"/>
      <c r="I134" s="308"/>
      <c r="J134" s="309"/>
      <c r="K134" s="309"/>
      <c r="L134" s="309"/>
      <c r="M134" s="310"/>
      <c r="N134" s="311">
        <f>IF(Számolótábla!A104=3,I134,0)</f>
        <v>0</v>
      </c>
      <c r="O134" s="312"/>
      <c r="P134" s="312"/>
      <c r="Q134" s="312"/>
      <c r="R134" s="313"/>
      <c r="S134" s="277">
        <f>IF(Számolótábla!N104=TRUE,"!!!  A munkaeszközök és készletek együttes értéke Max: 4000","")</f>
      </c>
      <c r="T134" s="13"/>
      <c r="U134" s="13"/>
      <c r="V134" s="13"/>
      <c r="W134" s="13"/>
      <c r="X134" s="7"/>
      <c r="Y134" s="306" t="s">
        <v>322</v>
      </c>
      <c r="Z134" s="307"/>
      <c r="AA134" s="307"/>
      <c r="AB134" s="307"/>
      <c r="AC134" s="307"/>
      <c r="AD134" s="385"/>
      <c r="AE134" s="386"/>
      <c r="AF134" s="386"/>
      <c r="AG134" s="386"/>
      <c r="AH134" s="386"/>
      <c r="AI134" s="386"/>
      <c r="AJ134" s="387"/>
      <c r="AK134" s="7"/>
      <c r="AL134" s="7"/>
      <c r="AM134" s="7"/>
      <c r="AN134" s="7"/>
      <c r="AO134" s="7"/>
      <c r="AP134" s="7"/>
      <c r="AQ134" s="7"/>
      <c r="AR134" s="3"/>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1:68" ht="12.75" customHeight="1">
      <c r="A135" s="3"/>
      <c r="B135" s="17" t="s">
        <v>211</v>
      </c>
      <c r="C135" s="18"/>
      <c r="D135" s="18"/>
      <c r="E135" s="18"/>
      <c r="F135" s="18"/>
      <c r="G135" s="35"/>
      <c r="H135" s="36"/>
      <c r="I135" s="308"/>
      <c r="J135" s="309"/>
      <c r="K135" s="309"/>
      <c r="L135" s="309"/>
      <c r="M135" s="310"/>
      <c r="N135" s="311">
        <f>IF(Számolótábla!S110=TRUE,4800-N134-N133,IF(Számolótábla!A104&lt;&gt;3,0,I135))</f>
        <v>0</v>
      </c>
      <c r="O135" s="312"/>
      <c r="P135" s="312"/>
      <c r="Q135" s="312"/>
      <c r="R135" s="313"/>
      <c r="S135" s="277">
        <f>IF(Számolótábla!N105=TRUE,"!!! Az állatok együttes értéke Max:1.000, egy állat értéke Max:300","")</f>
      </c>
      <c r="T135" s="13"/>
      <c r="U135" s="13"/>
      <c r="V135" s="13"/>
      <c r="W135" s="13"/>
      <c r="X135" s="7"/>
      <c r="Y135" s="306" t="s">
        <v>1223</v>
      </c>
      <c r="Z135" s="307"/>
      <c r="AA135" s="307"/>
      <c r="AB135" s="307"/>
      <c r="AC135" s="307"/>
      <c r="AD135" s="385"/>
      <c r="AE135" s="386"/>
      <c r="AF135" s="386"/>
      <c r="AG135" s="386"/>
      <c r="AH135" s="386"/>
      <c r="AI135" s="386"/>
      <c r="AJ135" s="387"/>
      <c r="AK135" s="7"/>
      <c r="AL135" s="7"/>
      <c r="AM135" s="7"/>
      <c r="AN135" s="7"/>
      <c r="AO135" s="7"/>
      <c r="AP135" s="7"/>
      <c r="AQ135" s="7"/>
      <c r="AR135" s="3"/>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1:68" ht="8.25" customHeight="1">
      <c r="A136" s="3"/>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3"/>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1:68" ht="12.75" customHeight="1">
      <c r="A137" s="3"/>
      <c r="B137" s="41" t="s">
        <v>212</v>
      </c>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3"/>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1:68" ht="12.75" customHeight="1">
      <c r="A138" s="3"/>
      <c r="B138" s="41" t="s">
        <v>213</v>
      </c>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3"/>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1:68" ht="6" customHeight="1">
      <c r="A139" s="3"/>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3"/>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1:68" ht="12.75" customHeight="1">
      <c r="A140" s="3"/>
      <c r="B140" s="7" t="s">
        <v>215</v>
      </c>
      <c r="C140" s="7"/>
      <c r="D140" s="7"/>
      <c r="E140" s="7"/>
      <c r="F140" s="7"/>
      <c r="G140" s="7"/>
      <c r="H140" s="7"/>
      <c r="I140" s="7"/>
      <c r="J140" s="371"/>
      <c r="K140" s="372"/>
      <c r="L140" s="372"/>
      <c r="M140" s="372"/>
      <c r="N140" s="372"/>
      <c r="O140" s="372"/>
      <c r="P140" s="372"/>
      <c r="Q140" s="372"/>
      <c r="R140" s="372"/>
      <c r="S140" s="372"/>
      <c r="T140" s="372"/>
      <c r="U140" s="372"/>
      <c r="V140" s="372"/>
      <c r="W140" s="372"/>
      <c r="X140" s="372"/>
      <c r="Y140" s="372"/>
      <c r="Z140" s="372"/>
      <c r="AA140" s="373"/>
      <c r="AB140" s="7"/>
      <c r="AC140" s="7"/>
      <c r="AD140" s="7"/>
      <c r="AE140" s="7"/>
      <c r="AF140" s="7"/>
      <c r="AG140" s="7"/>
      <c r="AH140" s="7"/>
      <c r="AI140" s="7"/>
      <c r="AJ140" s="7"/>
      <c r="AK140" s="7"/>
      <c r="AL140" s="7"/>
      <c r="AM140" s="7"/>
      <c r="AN140" s="7"/>
      <c r="AO140" s="7"/>
      <c r="AP140" s="7"/>
      <c r="AQ140" s="7"/>
      <c r="AR140" s="3"/>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1:68" ht="6" customHeight="1">
      <c r="A141" s="3"/>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3"/>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1:68" ht="12.75" customHeight="1">
      <c r="A142" s="3"/>
      <c r="B142" s="27" t="s">
        <v>214</v>
      </c>
      <c r="C142" s="28"/>
      <c r="D142" s="28"/>
      <c r="E142" s="28"/>
      <c r="F142" s="28"/>
      <c r="G142" s="28"/>
      <c r="H142" s="29"/>
      <c r="I142" s="407">
        <v>0</v>
      </c>
      <c r="J142" s="408"/>
      <c r="K142" s="408"/>
      <c r="L142" s="408"/>
      <c r="M142" s="409"/>
      <c r="N142" s="42"/>
      <c r="O142" s="55">
        <f>IF(Számolótábla!J120=TRUE,"Betöréses lopás kártérítési limit vagyoncsoportonként:","")</f>
      </c>
      <c r="P142" s="42"/>
      <c r="Q142" s="42"/>
      <c r="R142" s="42"/>
      <c r="S142" s="42"/>
      <c r="T142" s="42"/>
      <c r="U142" s="42"/>
      <c r="V142" s="42"/>
      <c r="W142" s="43"/>
      <c r="X142" s="43"/>
      <c r="Y142" s="43"/>
      <c r="Z142" s="7"/>
      <c r="AA142" s="44"/>
      <c r="AB142" s="44"/>
      <c r="AC142" s="44"/>
      <c r="AD142" s="44"/>
      <c r="AE142" s="338">
        <f>IF(Számolótábla!J120=TRUE,Számolótábla!R120,"")</f>
      </c>
      <c r="AF142" s="338"/>
      <c r="AG142" s="338"/>
      <c r="AH142" s="55">
        <f>IF(Számolótábla!J120=TRUE,"Eft.","")</f>
      </c>
      <c r="AI142" s="7"/>
      <c r="AJ142" s="7"/>
      <c r="AK142" s="7"/>
      <c r="AL142" s="7"/>
      <c r="AM142" s="7"/>
      <c r="AN142" s="7"/>
      <c r="AO142" s="7"/>
      <c r="AP142" s="7"/>
      <c r="AQ142" s="7"/>
      <c r="AR142" s="3"/>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1:68" ht="12.75" customHeight="1">
      <c r="A143" s="3"/>
      <c r="B143" s="17" t="s">
        <v>210</v>
      </c>
      <c r="C143" s="18"/>
      <c r="D143" s="18"/>
      <c r="E143" s="18"/>
      <c r="F143" s="18"/>
      <c r="G143" s="18"/>
      <c r="H143" s="19"/>
      <c r="I143" s="407">
        <v>0</v>
      </c>
      <c r="J143" s="408"/>
      <c r="K143" s="408"/>
      <c r="L143" s="408"/>
      <c r="M143" s="409"/>
      <c r="N143" s="276">
        <f>IF(Számolótábla!J122=TRUE,"!!!   Az összevont biztosítási összeg Max. 2.000 Ft.","")</f>
      </c>
      <c r="O143" s="42"/>
      <c r="P143" s="42"/>
      <c r="Q143" s="42"/>
      <c r="R143" s="42"/>
      <c r="S143" s="42"/>
      <c r="T143" s="339"/>
      <c r="U143" s="339"/>
      <c r="V143" s="339"/>
      <c r="W143" s="339"/>
      <c r="X143" s="339"/>
      <c r="Y143" s="339"/>
      <c r="Z143" s="339"/>
      <c r="AA143" s="339"/>
      <c r="AB143" s="339"/>
      <c r="AC143" s="339"/>
      <c r="AD143" s="339"/>
      <c r="AE143" s="339"/>
      <c r="AF143" s="339"/>
      <c r="AG143" s="339"/>
      <c r="AH143" s="339"/>
      <c r="AI143" s="339"/>
      <c r="AJ143" s="339"/>
      <c r="AK143" s="339"/>
      <c r="AL143" s="339"/>
      <c r="AM143" s="339"/>
      <c r="AN143" s="339"/>
      <c r="AO143" s="339"/>
      <c r="AP143" s="339"/>
      <c r="AQ143" s="339"/>
      <c r="AR143" s="3"/>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1:68" ht="8.25" customHeight="1">
      <c r="A144" s="3"/>
      <c r="B144" s="7"/>
      <c r="C144" s="7"/>
      <c r="D144" s="7"/>
      <c r="E144" s="7"/>
      <c r="F144" s="7"/>
      <c r="G144" s="7"/>
      <c r="H144" s="7"/>
      <c r="I144" s="7"/>
      <c r="J144" s="7"/>
      <c r="K144" s="7"/>
      <c r="L144" s="7"/>
      <c r="M144" s="7"/>
      <c r="N144" s="7"/>
      <c r="O144" s="7"/>
      <c r="P144" s="7"/>
      <c r="Q144" s="7"/>
      <c r="R144" s="7"/>
      <c r="S144" s="7"/>
      <c r="T144" s="339"/>
      <c r="U144" s="339"/>
      <c r="V144" s="339"/>
      <c r="W144" s="339"/>
      <c r="X144" s="339"/>
      <c r="Y144" s="339"/>
      <c r="Z144" s="339"/>
      <c r="AA144" s="339"/>
      <c r="AB144" s="339"/>
      <c r="AC144" s="339"/>
      <c r="AD144" s="339"/>
      <c r="AE144" s="339"/>
      <c r="AF144" s="339"/>
      <c r="AG144" s="339"/>
      <c r="AH144" s="339"/>
      <c r="AI144" s="339"/>
      <c r="AJ144" s="339"/>
      <c r="AK144" s="339"/>
      <c r="AL144" s="339"/>
      <c r="AM144" s="339"/>
      <c r="AN144" s="339"/>
      <c r="AO144" s="339"/>
      <c r="AP144" s="339"/>
      <c r="AQ144" s="339"/>
      <c r="AR144" s="3"/>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1:68" ht="12.75" customHeight="1">
      <c r="A145" s="3"/>
      <c r="B145" s="13" t="s">
        <v>111</v>
      </c>
      <c r="C145" s="7"/>
      <c r="D145" s="7"/>
      <c r="E145" s="7"/>
      <c r="F145" s="7"/>
      <c r="G145" s="7"/>
      <c r="H145" s="7"/>
      <c r="I145" s="7"/>
      <c r="J145" s="7"/>
      <c r="K145" s="7"/>
      <c r="L145" s="7"/>
      <c r="M145" s="7"/>
      <c r="N145" s="7"/>
      <c r="O145" s="7"/>
      <c r="P145" s="7"/>
      <c r="Q145" s="7"/>
      <c r="R145" s="7"/>
      <c r="S145" s="7"/>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339"/>
      <c r="AQ145" s="339"/>
      <c r="AR145" s="3"/>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1:68" ht="8.25" customHeight="1">
      <c r="A146" s="3"/>
      <c r="B146" s="7"/>
      <c r="C146" s="7"/>
      <c r="D146" s="7"/>
      <c r="E146" s="7"/>
      <c r="F146" s="7"/>
      <c r="G146" s="7"/>
      <c r="H146" s="7"/>
      <c r="I146" s="7"/>
      <c r="J146" s="7"/>
      <c r="K146" s="7"/>
      <c r="L146" s="7"/>
      <c r="M146" s="7"/>
      <c r="N146" s="7"/>
      <c r="O146" s="7"/>
      <c r="P146" s="7"/>
      <c r="Q146" s="7"/>
      <c r="R146" s="7"/>
      <c r="S146" s="7"/>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1:68" ht="12.75" customHeight="1">
      <c r="A147" s="3"/>
      <c r="B147" s="7" t="s">
        <v>117</v>
      </c>
      <c r="C147" s="7"/>
      <c r="D147" s="7"/>
      <c r="E147" s="7"/>
      <c r="F147" s="7"/>
      <c r="G147" s="7"/>
      <c r="H147" s="7"/>
      <c r="I147" s="7"/>
      <c r="J147" s="7"/>
      <c r="K147" s="7"/>
      <c r="L147" s="7"/>
      <c r="M147" s="7"/>
      <c r="N147" s="7"/>
      <c r="O147" s="7"/>
      <c r="P147" s="7"/>
      <c r="Q147" s="7"/>
      <c r="R147" s="7"/>
      <c r="S147" s="7"/>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39"/>
      <c r="AQ147" s="339"/>
      <c r="AR147" s="3"/>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1:68" ht="12.75">
      <c r="A148" s="3"/>
      <c r="B148" s="7"/>
      <c r="C148" s="7"/>
      <c r="D148" s="7"/>
      <c r="E148" s="7"/>
      <c r="F148" s="7"/>
      <c r="G148" s="7"/>
      <c r="H148" s="7"/>
      <c r="I148" s="7"/>
      <c r="J148" s="7"/>
      <c r="K148" s="7"/>
      <c r="L148" s="7"/>
      <c r="M148" s="7"/>
      <c r="N148" s="7"/>
      <c r="O148" s="7"/>
      <c r="P148" s="7"/>
      <c r="Q148" s="7"/>
      <c r="R148" s="7"/>
      <c r="S148" s="7"/>
      <c r="T148" s="339"/>
      <c r="U148" s="339"/>
      <c r="V148" s="339"/>
      <c r="W148" s="339"/>
      <c r="X148" s="339"/>
      <c r="Y148" s="339"/>
      <c r="Z148" s="339"/>
      <c r="AA148" s="339"/>
      <c r="AB148" s="339"/>
      <c r="AC148" s="339"/>
      <c r="AD148" s="339"/>
      <c r="AE148" s="339"/>
      <c r="AF148" s="339"/>
      <c r="AG148" s="339"/>
      <c r="AH148" s="339"/>
      <c r="AI148" s="339"/>
      <c r="AJ148" s="339"/>
      <c r="AK148" s="339"/>
      <c r="AL148" s="339"/>
      <c r="AM148" s="339"/>
      <c r="AN148" s="339"/>
      <c r="AO148" s="339"/>
      <c r="AP148" s="339"/>
      <c r="AQ148" s="339"/>
      <c r="AR148" s="3"/>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1:68" ht="12.75" customHeight="1">
      <c r="A149" s="3"/>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3"/>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1:68" ht="12.75" customHeight="1">
      <c r="A150" s="3"/>
      <c r="B150" s="428"/>
      <c r="C150" s="428"/>
      <c r="D150" s="428"/>
      <c r="E150" s="428"/>
      <c r="F150" s="428"/>
      <c r="G150" s="428"/>
      <c r="H150" s="428"/>
      <c r="I150" s="428"/>
      <c r="J150" s="428"/>
      <c r="K150" s="428"/>
      <c r="L150" s="428"/>
      <c r="M150" s="428"/>
      <c r="N150" s="7"/>
      <c r="O150" s="7"/>
      <c r="P150" s="7"/>
      <c r="Q150" s="7"/>
      <c r="R150" s="7"/>
      <c r="S150" s="7"/>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3"/>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1:68" ht="12.75" customHeight="1">
      <c r="A151" s="3"/>
      <c r="B151" s="60" t="s">
        <v>332</v>
      </c>
      <c r="C151" s="60"/>
      <c r="D151" s="60"/>
      <c r="E151" s="60"/>
      <c r="F151" s="60"/>
      <c r="G151" s="60"/>
      <c r="H151" s="60"/>
      <c r="I151" s="60"/>
      <c r="J151" s="343" t="s">
        <v>872</v>
      </c>
      <c r="K151" s="344"/>
      <c r="L151" s="344"/>
      <c r="M151" s="344"/>
      <c r="N151" s="344"/>
      <c r="O151" s="344"/>
      <c r="P151" s="344"/>
      <c r="Q151" s="344"/>
      <c r="R151" s="344"/>
      <c r="S151" s="344"/>
      <c r="T151" s="344"/>
      <c r="U151" s="344"/>
      <c r="V151" s="345"/>
      <c r="W151" s="345"/>
      <c r="X151" s="346"/>
      <c r="Y151" s="425">
        <v>0</v>
      </c>
      <c r="Z151" s="426"/>
      <c r="AA151" s="427"/>
      <c r="AB151" s="272"/>
      <c r="AC151" s="273"/>
      <c r="AD151" s="273"/>
      <c r="AE151" s="273"/>
      <c r="AF151" s="273"/>
      <c r="AG151" s="273"/>
      <c r="AH151" s="273"/>
      <c r="AI151" s="273"/>
      <c r="AJ151" s="273"/>
      <c r="AK151" s="58"/>
      <c r="AL151" s="58"/>
      <c r="AM151" s="58"/>
      <c r="AN151" s="58"/>
      <c r="AO151" s="58"/>
      <c r="AP151" s="58"/>
      <c r="AQ151" s="58"/>
      <c r="AR151" s="3"/>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1:68" ht="12.75" customHeight="1">
      <c r="A152" s="3"/>
      <c r="B152" s="7"/>
      <c r="C152" s="7"/>
      <c r="D152" s="7"/>
      <c r="E152" s="7"/>
      <c r="F152" s="7"/>
      <c r="G152" s="57"/>
      <c r="H152" s="57"/>
      <c r="I152" s="57"/>
      <c r="J152" s="343" t="s">
        <v>1027</v>
      </c>
      <c r="K152" s="344"/>
      <c r="L152" s="344"/>
      <c r="M152" s="344"/>
      <c r="N152" s="344"/>
      <c r="O152" s="344"/>
      <c r="P152" s="344"/>
      <c r="Q152" s="344"/>
      <c r="R152" s="344"/>
      <c r="S152" s="344"/>
      <c r="T152" s="344"/>
      <c r="U152" s="344"/>
      <c r="V152" s="345"/>
      <c r="W152" s="345"/>
      <c r="X152" s="346"/>
      <c r="Y152" s="388">
        <v>0</v>
      </c>
      <c r="Z152" s="388"/>
      <c r="AA152" s="388"/>
      <c r="AB152" s="278">
        <f>IF(offerType&gt;1,"CSAK ÚJ AJÁNLAT ESETÉN VÁLASZTHATÓ KI","")</f>
      </c>
      <c r="AC152" s="273"/>
      <c r="AD152" s="273"/>
      <c r="AE152" s="273"/>
      <c r="AF152" s="273"/>
      <c r="AG152" s="273"/>
      <c r="AH152" s="273"/>
      <c r="AI152" s="273"/>
      <c r="AJ152" s="273"/>
      <c r="AK152" s="58"/>
      <c r="AL152" s="184" t="s">
        <v>871</v>
      </c>
      <c r="AM152" s="59"/>
      <c r="AN152" s="59"/>
      <c r="AO152" s="59"/>
      <c r="AP152" s="59"/>
      <c r="AQ152" s="59"/>
      <c r="AR152" s="3"/>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1:68" ht="12.75" customHeight="1">
      <c r="A153" s="3"/>
      <c r="B153" s="7"/>
      <c r="C153" s="7"/>
      <c r="D153" s="7"/>
      <c r="E153" s="7"/>
      <c r="F153" s="7"/>
      <c r="G153" s="57"/>
      <c r="H153" s="57"/>
      <c r="I153" s="57"/>
      <c r="J153" s="343" t="s">
        <v>858</v>
      </c>
      <c r="K153" s="344"/>
      <c r="L153" s="344"/>
      <c r="M153" s="344"/>
      <c r="N153" s="344"/>
      <c r="O153" s="344"/>
      <c r="P153" s="344"/>
      <c r="Q153" s="344"/>
      <c r="R153" s="344"/>
      <c r="S153" s="344"/>
      <c r="T153" s="344"/>
      <c r="U153" s="344"/>
      <c r="V153" s="345"/>
      <c r="W153" s="345"/>
      <c r="X153" s="346"/>
      <c r="Y153" s="388">
        <v>0</v>
      </c>
      <c r="Z153" s="388"/>
      <c r="AA153" s="388"/>
      <c r="AB153" s="167"/>
      <c r="AC153" s="167"/>
      <c r="AD153" s="167"/>
      <c r="AE153" s="167"/>
      <c r="AF153" s="167"/>
      <c r="AG153" s="167"/>
      <c r="AH153" s="167"/>
      <c r="AI153" s="167"/>
      <c r="AJ153" s="167"/>
      <c r="AK153" s="167"/>
      <c r="AL153" s="200"/>
      <c r="AM153" s="167"/>
      <c r="AN153" s="167"/>
      <c r="AO153" s="167"/>
      <c r="AP153" s="167"/>
      <c r="AQ153" s="167"/>
      <c r="AR153" s="3"/>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1:68" ht="12.75" customHeight="1">
      <c r="A154" s="3"/>
      <c r="B154" s="7"/>
      <c r="C154" s="7"/>
      <c r="D154" s="7"/>
      <c r="E154" s="7"/>
      <c r="F154" s="7"/>
      <c r="G154" s="57"/>
      <c r="H154" s="57"/>
      <c r="I154" s="57"/>
      <c r="J154" s="343" t="s">
        <v>1561</v>
      </c>
      <c r="K154" s="344"/>
      <c r="L154" s="344"/>
      <c r="M154" s="344"/>
      <c r="N154" s="344"/>
      <c r="O154" s="344"/>
      <c r="P154" s="344"/>
      <c r="Q154" s="344"/>
      <c r="R154" s="344"/>
      <c r="S154" s="344"/>
      <c r="T154" s="344"/>
      <c r="U154" s="344"/>
      <c r="V154" s="345"/>
      <c r="W154" s="345"/>
      <c r="X154" s="346"/>
      <c r="Y154" s="340">
        <v>0</v>
      </c>
      <c r="Z154" s="340"/>
      <c r="AA154" s="340"/>
      <c r="AB154" s="278">
        <f>IF(offerType&gt;1,"CSAK ÚJ AJÁNLAT ESETÉN ADHATÓ MEG","")</f>
      </c>
      <c r="AC154" s="271"/>
      <c r="AD154" s="271"/>
      <c r="AE154" s="271"/>
      <c r="AF154" s="271"/>
      <c r="AG154" s="271"/>
      <c r="AH154" s="271"/>
      <c r="AI154" s="271"/>
      <c r="AJ154" s="271"/>
      <c r="AK154" s="59"/>
      <c r="AL154" s="59"/>
      <c r="AM154" s="59"/>
      <c r="AN154" s="59"/>
      <c r="AO154" s="59"/>
      <c r="AP154" s="59"/>
      <c r="AQ154" s="59"/>
      <c r="AR154" s="3"/>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1:68" ht="12.75" customHeight="1">
      <c r="A155" s="3"/>
      <c r="B155" s="7"/>
      <c r="C155" s="7"/>
      <c r="D155" s="7"/>
      <c r="E155" s="7"/>
      <c r="F155" s="7"/>
      <c r="G155" s="57"/>
      <c r="H155" s="57"/>
      <c r="I155" s="57"/>
      <c r="J155" s="383" t="s">
        <v>141</v>
      </c>
      <c r="K155" s="383"/>
      <c r="L155" s="383"/>
      <c r="M155" s="383"/>
      <c r="N155" s="383"/>
      <c r="O155" s="383"/>
      <c r="P155" s="383"/>
      <c r="Q155" s="383"/>
      <c r="R155" s="383"/>
      <c r="S155" s="383"/>
      <c r="T155" s="383"/>
      <c r="U155" s="383"/>
      <c r="V155" s="384"/>
      <c r="W155" s="384"/>
      <c r="X155" s="384"/>
      <c r="Y155" s="389">
        <f>SUM(Y151:AA154)</f>
        <v>0</v>
      </c>
      <c r="Z155" s="390"/>
      <c r="AA155" s="390"/>
      <c r="AB155" s="58"/>
      <c r="AC155" s="58"/>
      <c r="AD155" s="58"/>
      <c r="AE155" s="58"/>
      <c r="AF155" s="58"/>
      <c r="AG155" s="58"/>
      <c r="AH155" s="58"/>
      <c r="AI155" s="58"/>
      <c r="AJ155" s="58"/>
      <c r="AK155" s="58"/>
      <c r="AL155" s="58"/>
      <c r="AM155" s="58"/>
      <c r="AN155" s="58"/>
      <c r="AO155" s="58"/>
      <c r="AP155" s="58"/>
      <c r="AQ155" s="58"/>
      <c r="AR155" s="3"/>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1:68" ht="12.75" customHeight="1">
      <c r="A156" s="3"/>
      <c r="B156" s="7"/>
      <c r="C156" s="7"/>
      <c r="D156" s="7"/>
      <c r="E156" s="7"/>
      <c r="F156" s="7"/>
      <c r="G156" s="57"/>
      <c r="H156" s="57"/>
      <c r="I156" s="57"/>
      <c r="J156" s="60"/>
      <c r="K156" s="60"/>
      <c r="L156" s="60"/>
      <c r="M156" s="60"/>
      <c r="N156" s="60"/>
      <c r="O156" s="60"/>
      <c r="P156" s="60"/>
      <c r="Q156" s="60"/>
      <c r="R156" s="60"/>
      <c r="S156" s="60"/>
      <c r="T156" s="60"/>
      <c r="U156" s="60"/>
      <c r="V156" s="61"/>
      <c r="W156" s="62"/>
      <c r="X156" s="62"/>
      <c r="Y156" s="58"/>
      <c r="Z156" s="58"/>
      <c r="AA156" s="58"/>
      <c r="AB156" s="58"/>
      <c r="AC156" s="58"/>
      <c r="AD156" s="58"/>
      <c r="AE156" s="58"/>
      <c r="AF156" s="58"/>
      <c r="AG156" s="58"/>
      <c r="AH156" s="58"/>
      <c r="AI156" s="58"/>
      <c r="AJ156" s="58"/>
      <c r="AK156" s="58"/>
      <c r="AL156" s="58"/>
      <c r="AM156" s="58"/>
      <c r="AN156" s="58"/>
      <c r="AO156" s="58"/>
      <c r="AP156" s="58"/>
      <c r="AQ156" s="58"/>
      <c r="AR156" s="3"/>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1:68" ht="78.75" customHeight="1">
      <c r="A157" s="3"/>
      <c r="B157" s="334" t="s">
        <v>367</v>
      </c>
      <c r="C157" s="334"/>
      <c r="D157" s="334"/>
      <c r="E157" s="334"/>
      <c r="F157" s="334"/>
      <c r="G157" s="334"/>
      <c r="H157" s="334"/>
      <c r="I157" s="334"/>
      <c r="J157" s="340">
        <v>0</v>
      </c>
      <c r="K157" s="340"/>
      <c r="L157" s="340"/>
      <c r="M157" s="16"/>
      <c r="N157" s="16"/>
      <c r="O157" s="16"/>
      <c r="P157" s="16"/>
      <c r="Q157" s="16"/>
      <c r="R157" s="16"/>
      <c r="S157" s="16"/>
      <c r="T157" s="16"/>
      <c r="U157" s="16"/>
      <c r="V157" s="63"/>
      <c r="W157" s="63"/>
      <c r="X157" s="63"/>
      <c r="Y157" s="64"/>
      <c r="Z157" s="59"/>
      <c r="AA157" s="59"/>
      <c r="AB157" s="59"/>
      <c r="AC157" s="59"/>
      <c r="AD157" s="59"/>
      <c r="AE157" s="59"/>
      <c r="AF157" s="59"/>
      <c r="AG157" s="59"/>
      <c r="AH157" s="59"/>
      <c r="AI157" s="59"/>
      <c r="AJ157" s="59"/>
      <c r="AK157" s="59"/>
      <c r="AL157" s="59"/>
      <c r="AM157" s="59"/>
      <c r="AN157" s="59"/>
      <c r="AO157" s="59"/>
      <c r="AP157" s="59"/>
      <c r="AQ157" s="59"/>
      <c r="AR157" s="3"/>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1:68" ht="12.75" customHeight="1">
      <c r="A158" s="3"/>
      <c r="B158" s="7"/>
      <c r="C158" s="7"/>
      <c r="D158" s="7"/>
      <c r="E158" s="7"/>
      <c r="F158" s="7"/>
      <c r="G158" s="57"/>
      <c r="H158" s="57"/>
      <c r="I158" s="57"/>
      <c r="J158" s="65"/>
      <c r="K158" s="65"/>
      <c r="L158" s="65"/>
      <c r="M158" s="16"/>
      <c r="N158" s="16"/>
      <c r="O158" s="16"/>
      <c r="P158" s="16"/>
      <c r="Q158" s="16"/>
      <c r="R158" s="16"/>
      <c r="S158" s="16"/>
      <c r="T158" s="16"/>
      <c r="U158" s="16"/>
      <c r="V158" s="63"/>
      <c r="W158" s="63"/>
      <c r="X158" s="63"/>
      <c r="Y158" s="64"/>
      <c r="Z158" s="59"/>
      <c r="AA158" s="59"/>
      <c r="AB158" s="59"/>
      <c r="AC158" s="59"/>
      <c r="AD158" s="59"/>
      <c r="AE158" s="59"/>
      <c r="AF158" s="59"/>
      <c r="AG158" s="59"/>
      <c r="AH158" s="59"/>
      <c r="AI158" s="59"/>
      <c r="AJ158" s="59"/>
      <c r="AK158" s="59"/>
      <c r="AL158" s="59"/>
      <c r="AM158" s="59"/>
      <c r="AN158" s="59"/>
      <c r="AO158" s="59"/>
      <c r="AP158" s="59"/>
      <c r="AQ158" s="59"/>
      <c r="AR158" s="3"/>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1:68" ht="12.75" customHeight="1">
      <c r="A159" s="3"/>
      <c r="B159" s="343" t="s">
        <v>333</v>
      </c>
      <c r="C159" s="344"/>
      <c r="D159" s="344"/>
      <c r="E159" s="344"/>
      <c r="F159" s="344"/>
      <c r="G159" s="344"/>
      <c r="H159" s="344"/>
      <c r="I159" s="364"/>
      <c r="J159" s="363">
        <f>(1-Számolótábla!D249)</f>
        <v>0</v>
      </c>
      <c r="K159" s="363"/>
      <c r="L159" s="363"/>
      <c r="M159" s="7"/>
      <c r="N159" s="7"/>
      <c r="O159" s="7"/>
      <c r="P159" s="7"/>
      <c r="Q159" s="7"/>
      <c r="R159" s="7"/>
      <c r="S159" s="7"/>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3"/>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1:68" ht="12.75" customHeight="1">
      <c r="A160" s="3"/>
      <c r="B160" s="7"/>
      <c r="C160" s="7"/>
      <c r="D160" s="7"/>
      <c r="E160" s="7"/>
      <c r="F160" s="7"/>
      <c r="G160" s="57"/>
      <c r="H160" s="57"/>
      <c r="I160" s="57"/>
      <c r="J160" s="65"/>
      <c r="K160" s="65"/>
      <c r="L160" s="65"/>
      <c r="M160" s="16"/>
      <c r="N160" s="16"/>
      <c r="O160" s="16"/>
      <c r="P160" s="16"/>
      <c r="Q160" s="16"/>
      <c r="R160" s="16"/>
      <c r="S160" s="16"/>
      <c r="T160" s="16"/>
      <c r="U160" s="16"/>
      <c r="V160" s="63"/>
      <c r="W160" s="63"/>
      <c r="X160" s="63"/>
      <c r="Y160" s="64"/>
      <c r="Z160" s="59"/>
      <c r="AA160" s="59"/>
      <c r="AB160" s="59"/>
      <c r="AC160" s="59"/>
      <c r="AD160" s="59"/>
      <c r="AE160" s="59"/>
      <c r="AF160" s="59"/>
      <c r="AG160" s="59"/>
      <c r="AH160" s="59"/>
      <c r="AI160" s="59"/>
      <c r="AJ160" s="59"/>
      <c r="AK160" s="59"/>
      <c r="AL160" s="59"/>
      <c r="AM160" s="59"/>
      <c r="AN160" s="59"/>
      <c r="AO160" s="59"/>
      <c r="AP160" s="59"/>
      <c r="AQ160" s="59"/>
      <c r="AR160" s="3"/>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68" ht="3"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68" ht="12" customHeight="1">
      <c r="A162" s="3"/>
      <c r="B162" s="7"/>
      <c r="C162" s="7"/>
      <c r="D162" s="7"/>
      <c r="E162" s="7"/>
      <c r="F162" s="7"/>
      <c r="G162" s="194" t="s">
        <v>310</v>
      </c>
      <c r="H162" s="194"/>
      <c r="I162" s="194"/>
      <c r="J162" s="194"/>
      <c r="K162" s="194"/>
      <c r="L162" s="194"/>
      <c r="M162" s="194"/>
      <c r="N162" s="194"/>
      <c r="O162" s="194"/>
      <c r="P162" s="194"/>
      <c r="Q162" s="194"/>
      <c r="R162" s="194"/>
      <c r="S162" s="194"/>
      <c r="T162" s="194"/>
      <c r="U162" s="194"/>
      <c r="V162" s="194"/>
      <c r="W162" s="7"/>
      <c r="X162" s="7"/>
      <c r="Y162" s="7"/>
      <c r="Z162" s="7"/>
      <c r="AA162" s="7"/>
      <c r="AB162" s="7"/>
      <c r="AC162" s="7"/>
      <c r="AD162" s="7"/>
      <c r="AE162" s="7"/>
      <c r="AF162" s="7"/>
      <c r="AG162" s="7"/>
      <c r="AH162" s="7"/>
      <c r="AI162" s="7"/>
      <c r="AJ162" s="7"/>
      <c r="AK162" s="7"/>
      <c r="AL162" s="7"/>
      <c r="AM162" s="7"/>
      <c r="AN162" s="7"/>
      <c r="AO162" s="7"/>
      <c r="AP162" s="7"/>
      <c r="AQ162" s="7"/>
      <c r="AR162" s="3"/>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68" ht="12.75" customHeight="1">
      <c r="A163" s="3"/>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3"/>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68" ht="12.75" customHeight="1">
      <c r="A164" s="3"/>
      <c r="B164" s="7"/>
      <c r="C164" s="7"/>
      <c r="D164" s="7"/>
      <c r="E164" s="7"/>
      <c r="F164" s="7"/>
      <c r="G164" s="45" t="s">
        <v>308</v>
      </c>
      <c r="H164" s="46"/>
      <c r="I164" s="46"/>
      <c r="J164" s="46"/>
      <c r="K164" s="46"/>
      <c r="L164" s="46"/>
      <c r="M164" s="46"/>
      <c r="N164" s="46"/>
      <c r="O164" s="46"/>
      <c r="P164" s="46"/>
      <c r="Q164" s="46"/>
      <c r="R164" s="47"/>
      <c r="S164" s="349" t="s">
        <v>309</v>
      </c>
      <c r="T164" s="349"/>
      <c r="U164" s="349"/>
      <c r="V164" s="350"/>
      <c r="W164" s="7"/>
      <c r="X164" s="7"/>
      <c r="Y164" s="7"/>
      <c r="Z164" s="7"/>
      <c r="AA164" s="7"/>
      <c r="AB164" s="7"/>
      <c r="AC164" s="7"/>
      <c r="AD164" s="7"/>
      <c r="AE164" s="7"/>
      <c r="AF164" s="7"/>
      <c r="AG164" s="7"/>
      <c r="AH164" s="7"/>
      <c r="AI164" s="7"/>
      <c r="AJ164" s="7"/>
      <c r="AK164" s="7"/>
      <c r="AL164" s="7"/>
      <c r="AM164" s="7"/>
      <c r="AN164" s="7"/>
      <c r="AO164" s="7"/>
      <c r="AP164" s="7"/>
      <c r="AQ164" s="7"/>
      <c r="AR164" s="3"/>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68" ht="12.75" customHeight="1">
      <c r="A165" s="3"/>
      <c r="B165" s="7"/>
      <c r="C165" s="7"/>
      <c r="D165" s="7"/>
      <c r="E165" s="7"/>
      <c r="F165" s="7"/>
      <c r="G165" s="48" t="s">
        <v>301</v>
      </c>
      <c r="H165" s="49"/>
      <c r="I165" s="13"/>
      <c r="J165" s="13"/>
      <c r="K165" s="13"/>
      <c r="L165" s="13"/>
      <c r="M165" s="13"/>
      <c r="N165" s="13"/>
      <c r="O165" s="13"/>
      <c r="P165" s="13"/>
      <c r="Q165" s="13"/>
      <c r="R165" s="14"/>
      <c r="S165" s="353">
        <f>Számolótábla!O255</f>
        <v>0</v>
      </c>
      <c r="T165" s="353"/>
      <c r="U165" s="353"/>
      <c r="V165" s="354"/>
      <c r="W165" s="7"/>
      <c r="X165" s="7"/>
      <c r="Y165" s="7"/>
      <c r="Z165" s="7"/>
      <c r="AA165" s="7"/>
      <c r="AB165" s="7"/>
      <c r="AC165" s="7"/>
      <c r="AD165" s="7"/>
      <c r="AE165" s="7"/>
      <c r="AF165" s="7"/>
      <c r="AG165" s="7"/>
      <c r="AH165" s="7"/>
      <c r="AI165" s="7"/>
      <c r="AJ165" s="7"/>
      <c r="AK165" s="7"/>
      <c r="AL165" s="7"/>
      <c r="AM165" s="7"/>
      <c r="AN165" s="7"/>
      <c r="AO165" s="7"/>
      <c r="AP165" s="7"/>
      <c r="AQ165" s="7"/>
      <c r="AR165" s="3"/>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68" ht="12.75" customHeight="1">
      <c r="A166" s="3"/>
      <c r="B166" s="7"/>
      <c r="C166" s="7"/>
      <c r="D166" s="7"/>
      <c r="E166" s="7"/>
      <c r="F166" s="7"/>
      <c r="G166" s="50" t="s">
        <v>50</v>
      </c>
      <c r="H166" s="51"/>
      <c r="I166" s="28"/>
      <c r="J166" s="28"/>
      <c r="K166" s="28"/>
      <c r="L166" s="28"/>
      <c r="M166" s="28"/>
      <c r="N166" s="28"/>
      <c r="O166" s="28"/>
      <c r="P166" s="28"/>
      <c r="Q166" s="28"/>
      <c r="R166" s="29"/>
      <c r="S166" s="351">
        <f>Számolótábla!O256</f>
        <v>0</v>
      </c>
      <c r="T166" s="351"/>
      <c r="U166" s="351"/>
      <c r="V166" s="352"/>
      <c r="W166" s="7"/>
      <c r="X166" s="7"/>
      <c r="Y166" s="7"/>
      <c r="Z166" s="7"/>
      <c r="AA166" s="7"/>
      <c r="AB166" s="7"/>
      <c r="AC166" s="7"/>
      <c r="AD166" s="7"/>
      <c r="AE166" s="7"/>
      <c r="AF166" s="7"/>
      <c r="AG166" s="7"/>
      <c r="AH166" s="7"/>
      <c r="AI166" s="7"/>
      <c r="AJ166" s="7"/>
      <c r="AK166" s="7"/>
      <c r="AL166" s="7"/>
      <c r="AM166" s="7"/>
      <c r="AN166" s="7"/>
      <c r="AO166" s="7"/>
      <c r="AP166" s="7"/>
      <c r="AQ166" s="7"/>
      <c r="AR166" s="3"/>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68" ht="12.75" customHeight="1">
      <c r="A167" s="3"/>
      <c r="B167" s="7"/>
      <c r="C167" s="7"/>
      <c r="D167" s="7"/>
      <c r="E167" s="7"/>
      <c r="F167" s="7"/>
      <c r="G167" s="48" t="s">
        <v>56</v>
      </c>
      <c r="H167" s="49"/>
      <c r="I167" s="13"/>
      <c r="J167" s="13"/>
      <c r="K167" s="13"/>
      <c r="L167" s="13"/>
      <c r="M167" s="13"/>
      <c r="N167" s="13"/>
      <c r="O167" s="13"/>
      <c r="P167" s="13"/>
      <c r="Q167" s="13"/>
      <c r="R167" s="14"/>
      <c r="S167" s="353">
        <f>Számolótábla!O257</f>
        <v>0</v>
      </c>
      <c r="T167" s="353"/>
      <c r="U167" s="353"/>
      <c r="V167" s="354"/>
      <c r="W167" s="7"/>
      <c r="X167" s="7"/>
      <c r="Y167" s="7"/>
      <c r="Z167" s="7"/>
      <c r="AA167" s="7"/>
      <c r="AB167" s="7"/>
      <c r="AC167" s="7"/>
      <c r="AD167" s="7"/>
      <c r="AE167" s="7"/>
      <c r="AF167" s="7"/>
      <c r="AG167" s="7"/>
      <c r="AH167" s="7"/>
      <c r="AI167" s="7"/>
      <c r="AJ167" s="7"/>
      <c r="AK167" s="7"/>
      <c r="AL167" s="7"/>
      <c r="AM167" s="7"/>
      <c r="AN167" s="7"/>
      <c r="AO167" s="7"/>
      <c r="AP167" s="7"/>
      <c r="AQ167" s="7"/>
      <c r="AR167" s="3"/>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68" ht="12.75" customHeight="1">
      <c r="A168" s="3"/>
      <c r="B168" s="7"/>
      <c r="C168" s="7"/>
      <c r="D168" s="7"/>
      <c r="E168" s="7"/>
      <c r="F168" s="7"/>
      <c r="G168" s="50" t="s">
        <v>268</v>
      </c>
      <c r="H168" s="51"/>
      <c r="I168" s="28"/>
      <c r="J168" s="28"/>
      <c r="K168" s="28"/>
      <c r="L168" s="28"/>
      <c r="M168" s="28"/>
      <c r="N168" s="28"/>
      <c r="O168" s="28"/>
      <c r="P168" s="28"/>
      <c r="Q168" s="28"/>
      <c r="R168" s="29"/>
      <c r="S168" s="351">
        <f>Számolótábla!O258</f>
        <v>0</v>
      </c>
      <c r="T168" s="351"/>
      <c r="U168" s="351"/>
      <c r="V168" s="352"/>
      <c r="W168" s="7"/>
      <c r="X168" s="7"/>
      <c r="Y168" s="7"/>
      <c r="Z168" s="7"/>
      <c r="AA168" s="7"/>
      <c r="AB168" s="7"/>
      <c r="AC168" s="7"/>
      <c r="AD168" s="7"/>
      <c r="AE168" s="7"/>
      <c r="AF168" s="7"/>
      <c r="AG168" s="7"/>
      <c r="AH168" s="7"/>
      <c r="AI168" s="7"/>
      <c r="AJ168" s="7"/>
      <c r="AK168" s="7"/>
      <c r="AL168" s="7"/>
      <c r="AM168" s="7"/>
      <c r="AN168" s="7"/>
      <c r="AO168" s="7"/>
      <c r="AP168" s="7"/>
      <c r="AQ168" s="7"/>
      <c r="AR168" s="3"/>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68" ht="12.75" customHeight="1">
      <c r="A169" s="3"/>
      <c r="B169" s="7"/>
      <c r="C169" s="7"/>
      <c r="D169" s="7"/>
      <c r="E169" s="7"/>
      <c r="F169" s="7"/>
      <c r="G169" s="48" t="s">
        <v>302</v>
      </c>
      <c r="H169" s="49"/>
      <c r="I169" s="13"/>
      <c r="J169" s="13"/>
      <c r="K169" s="13"/>
      <c r="L169" s="13"/>
      <c r="M169" s="13"/>
      <c r="N169" s="13"/>
      <c r="O169" s="13"/>
      <c r="P169" s="13"/>
      <c r="Q169" s="13"/>
      <c r="R169" s="14"/>
      <c r="S169" s="353">
        <f>Számolótábla!O259</f>
        <v>0</v>
      </c>
      <c r="T169" s="353"/>
      <c r="U169" s="353"/>
      <c r="V169" s="354"/>
      <c r="W169" s="7"/>
      <c r="X169" s="7"/>
      <c r="Y169" s="7"/>
      <c r="Z169" s="7"/>
      <c r="AA169" s="7"/>
      <c r="AB169" s="7"/>
      <c r="AC169" s="7"/>
      <c r="AD169" s="7"/>
      <c r="AE169" s="7"/>
      <c r="AF169" s="7"/>
      <c r="AG169" s="7"/>
      <c r="AH169" s="7"/>
      <c r="AI169" s="7"/>
      <c r="AJ169" s="7"/>
      <c r="AK169" s="7"/>
      <c r="AL169" s="7"/>
      <c r="AM169" s="7"/>
      <c r="AN169" s="7"/>
      <c r="AO169" s="7"/>
      <c r="AP169" s="7"/>
      <c r="AQ169" s="7"/>
      <c r="AR169" s="3"/>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68" ht="12.75" customHeight="1">
      <c r="A170" s="3"/>
      <c r="B170" s="7"/>
      <c r="C170" s="7"/>
      <c r="D170" s="7"/>
      <c r="E170" s="7"/>
      <c r="F170" s="7"/>
      <c r="G170" s="50" t="s">
        <v>178</v>
      </c>
      <c r="H170" s="51"/>
      <c r="I170" s="28"/>
      <c r="J170" s="28"/>
      <c r="K170" s="28"/>
      <c r="L170" s="28"/>
      <c r="M170" s="28"/>
      <c r="N170" s="28"/>
      <c r="O170" s="28"/>
      <c r="P170" s="28"/>
      <c r="Q170" s="28"/>
      <c r="R170" s="29"/>
      <c r="S170" s="351">
        <f>Számolótábla!O260</f>
        <v>0</v>
      </c>
      <c r="T170" s="351"/>
      <c r="U170" s="351"/>
      <c r="V170" s="352"/>
      <c r="W170" s="7"/>
      <c r="X170" s="7"/>
      <c r="Y170" s="7"/>
      <c r="Z170" s="7"/>
      <c r="AA170" s="7"/>
      <c r="AB170" s="7"/>
      <c r="AC170" s="7"/>
      <c r="AD170" s="7"/>
      <c r="AE170" s="7"/>
      <c r="AF170" s="7"/>
      <c r="AG170" s="7"/>
      <c r="AH170" s="7"/>
      <c r="AI170" s="7"/>
      <c r="AJ170" s="7"/>
      <c r="AK170" s="7"/>
      <c r="AL170" s="7"/>
      <c r="AM170" s="7"/>
      <c r="AN170" s="7"/>
      <c r="AO170" s="7"/>
      <c r="AP170" s="7"/>
      <c r="AQ170" s="7"/>
      <c r="AR170" s="3"/>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68" ht="12.75" customHeight="1">
      <c r="A171" s="3"/>
      <c r="B171" s="7"/>
      <c r="C171" s="7"/>
      <c r="D171" s="7"/>
      <c r="E171" s="7"/>
      <c r="F171" s="7"/>
      <c r="G171" s="48" t="s">
        <v>179</v>
      </c>
      <c r="H171" s="49"/>
      <c r="I171" s="13"/>
      <c r="J171" s="13"/>
      <c r="K171" s="13"/>
      <c r="L171" s="13"/>
      <c r="M171" s="13"/>
      <c r="N171" s="13"/>
      <c r="O171" s="335">
        <f>SUM(S172:V176)</f>
        <v>0</v>
      </c>
      <c r="P171" s="336"/>
      <c r="Q171" s="336"/>
      <c r="R171" s="337"/>
      <c r="S171" s="355"/>
      <c r="T171" s="355"/>
      <c r="U171" s="355"/>
      <c r="V171" s="356"/>
      <c r="W171" s="7"/>
      <c r="X171" s="7"/>
      <c r="Y171" s="7"/>
      <c r="Z171" s="7"/>
      <c r="AA171" s="7"/>
      <c r="AB171" s="7"/>
      <c r="AC171" s="7"/>
      <c r="AD171" s="7"/>
      <c r="AE171" s="7"/>
      <c r="AF171" s="7"/>
      <c r="AG171" s="7"/>
      <c r="AH171" s="7"/>
      <c r="AI171" s="7"/>
      <c r="AJ171" s="7"/>
      <c r="AK171" s="7"/>
      <c r="AL171" s="7"/>
      <c r="AM171" s="7"/>
      <c r="AN171" s="7"/>
      <c r="AO171" s="7"/>
      <c r="AP171" s="7"/>
      <c r="AQ171" s="7"/>
      <c r="AR171" s="3"/>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68" ht="12.75" customHeight="1">
      <c r="A172" s="3"/>
      <c r="B172" s="7"/>
      <c r="C172" s="7"/>
      <c r="D172" s="7"/>
      <c r="E172" s="7"/>
      <c r="F172" s="7"/>
      <c r="G172" s="50"/>
      <c r="H172" s="51" t="s">
        <v>1</v>
      </c>
      <c r="I172" s="28"/>
      <c r="J172" s="28"/>
      <c r="K172" s="28"/>
      <c r="L172" s="28"/>
      <c r="M172" s="28"/>
      <c r="N172" s="28"/>
      <c r="O172" s="28"/>
      <c r="P172" s="28"/>
      <c r="Q172" s="28"/>
      <c r="R172" s="29"/>
      <c r="S172" s="351">
        <f>Számolótábla!O262</f>
        <v>0</v>
      </c>
      <c r="T172" s="351"/>
      <c r="U172" s="351"/>
      <c r="V172" s="352"/>
      <c r="W172" s="7"/>
      <c r="X172" s="7"/>
      <c r="Y172" s="7"/>
      <c r="Z172" s="7"/>
      <c r="AA172" s="7"/>
      <c r="AB172" s="7"/>
      <c r="AC172" s="7"/>
      <c r="AD172" s="7"/>
      <c r="AE172" s="7"/>
      <c r="AF172" s="7"/>
      <c r="AG172" s="7"/>
      <c r="AH172" s="7"/>
      <c r="AI172" s="7"/>
      <c r="AJ172" s="7"/>
      <c r="AK172" s="7"/>
      <c r="AL172" s="7"/>
      <c r="AM172" s="7"/>
      <c r="AN172" s="7"/>
      <c r="AO172" s="7"/>
      <c r="AP172" s="7"/>
      <c r="AQ172" s="7"/>
      <c r="AR172" s="3"/>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68" ht="12.75" customHeight="1">
      <c r="A173" s="3"/>
      <c r="B173" s="7"/>
      <c r="C173" s="7"/>
      <c r="D173" s="7"/>
      <c r="E173" s="7"/>
      <c r="F173" s="7"/>
      <c r="G173" s="50"/>
      <c r="H173" s="51" t="s">
        <v>2</v>
      </c>
      <c r="I173" s="28"/>
      <c r="J173" s="28"/>
      <c r="K173" s="28"/>
      <c r="L173" s="28"/>
      <c r="M173" s="28"/>
      <c r="N173" s="28"/>
      <c r="O173" s="28"/>
      <c r="P173" s="28"/>
      <c r="Q173" s="28"/>
      <c r="R173" s="29"/>
      <c r="S173" s="351">
        <f>Számolótábla!O263</f>
        <v>0</v>
      </c>
      <c r="T173" s="351"/>
      <c r="U173" s="351"/>
      <c r="V173" s="352"/>
      <c r="W173" s="7"/>
      <c r="X173" s="7"/>
      <c r="Y173" s="7"/>
      <c r="Z173" s="7"/>
      <c r="AA173" s="7"/>
      <c r="AB173" s="7"/>
      <c r="AC173" s="7"/>
      <c r="AD173" s="7"/>
      <c r="AE173" s="7"/>
      <c r="AF173" s="7"/>
      <c r="AG173" s="7"/>
      <c r="AH173" s="7"/>
      <c r="AI173" s="7"/>
      <c r="AJ173" s="7"/>
      <c r="AK173" s="7"/>
      <c r="AL173" s="7"/>
      <c r="AM173" s="7"/>
      <c r="AN173" s="7"/>
      <c r="AO173" s="7"/>
      <c r="AP173" s="7"/>
      <c r="AQ173" s="7"/>
      <c r="AR173" s="3"/>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68" ht="12.75" customHeight="1">
      <c r="A174" s="3"/>
      <c r="B174" s="7"/>
      <c r="C174" s="7"/>
      <c r="D174" s="7"/>
      <c r="E174" s="7"/>
      <c r="F174" s="7"/>
      <c r="G174" s="50"/>
      <c r="H174" s="51" t="s">
        <v>3</v>
      </c>
      <c r="I174" s="28"/>
      <c r="J174" s="28"/>
      <c r="K174" s="28"/>
      <c r="L174" s="28"/>
      <c r="M174" s="28"/>
      <c r="N174" s="28"/>
      <c r="O174" s="28"/>
      <c r="P174" s="28"/>
      <c r="Q174" s="28"/>
      <c r="R174" s="29"/>
      <c r="S174" s="351">
        <f>Számolótábla!O264</f>
        <v>0</v>
      </c>
      <c r="T174" s="351"/>
      <c r="U174" s="351"/>
      <c r="V174" s="352"/>
      <c r="W174" s="7"/>
      <c r="X174" s="7"/>
      <c r="Y174" s="7"/>
      <c r="Z174" s="7"/>
      <c r="AA174" s="7"/>
      <c r="AB174" s="7"/>
      <c r="AC174" s="7"/>
      <c r="AD174" s="7"/>
      <c r="AE174" s="7"/>
      <c r="AF174" s="7"/>
      <c r="AG174" s="7"/>
      <c r="AH174" s="7"/>
      <c r="AI174" s="7"/>
      <c r="AJ174" s="7"/>
      <c r="AK174" s="7"/>
      <c r="AL174" s="7"/>
      <c r="AM174" s="7"/>
      <c r="AN174" s="7"/>
      <c r="AO174" s="7"/>
      <c r="AP174" s="7"/>
      <c r="AQ174" s="7"/>
      <c r="AR174" s="3"/>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68" ht="12.75" customHeight="1">
      <c r="A175" s="3"/>
      <c r="B175" s="7"/>
      <c r="C175" s="7"/>
      <c r="D175" s="7"/>
      <c r="E175" s="7"/>
      <c r="F175" s="7"/>
      <c r="G175" s="50"/>
      <c r="H175" s="51" t="s">
        <v>4</v>
      </c>
      <c r="I175" s="28"/>
      <c r="J175" s="28"/>
      <c r="K175" s="28"/>
      <c r="L175" s="28"/>
      <c r="M175" s="28"/>
      <c r="N175" s="28"/>
      <c r="O175" s="28"/>
      <c r="P175" s="28"/>
      <c r="Q175" s="28"/>
      <c r="R175" s="29"/>
      <c r="S175" s="351">
        <f>Számolótábla!O265</f>
        <v>0</v>
      </c>
      <c r="T175" s="351"/>
      <c r="U175" s="351"/>
      <c r="V175" s="352"/>
      <c r="W175" s="7"/>
      <c r="X175" s="7"/>
      <c r="Y175" s="7"/>
      <c r="Z175" s="7"/>
      <c r="AA175" s="7"/>
      <c r="AB175" s="7"/>
      <c r="AC175" s="7"/>
      <c r="AD175" s="7"/>
      <c r="AE175" s="7"/>
      <c r="AF175" s="7"/>
      <c r="AG175" s="7"/>
      <c r="AH175" s="7"/>
      <c r="AI175" s="7"/>
      <c r="AJ175" s="7"/>
      <c r="AK175" s="7"/>
      <c r="AL175" s="7"/>
      <c r="AM175" s="7"/>
      <c r="AN175" s="7"/>
      <c r="AO175" s="7"/>
      <c r="AP175" s="7"/>
      <c r="AQ175" s="7"/>
      <c r="AR175" s="3"/>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68" ht="12.75" customHeight="1">
      <c r="A176" s="3"/>
      <c r="B176" s="7"/>
      <c r="C176" s="7"/>
      <c r="D176" s="7"/>
      <c r="E176" s="7"/>
      <c r="F176" s="7"/>
      <c r="G176" s="48"/>
      <c r="H176" s="49" t="s">
        <v>5</v>
      </c>
      <c r="I176" s="13"/>
      <c r="J176" s="13"/>
      <c r="K176" s="13"/>
      <c r="L176" s="13"/>
      <c r="M176" s="13"/>
      <c r="N176" s="13"/>
      <c r="O176" s="13"/>
      <c r="P176" s="13"/>
      <c r="Q176" s="13"/>
      <c r="R176" s="14"/>
      <c r="S176" s="353">
        <f>Számolótábla!O266</f>
        <v>0</v>
      </c>
      <c r="T176" s="353"/>
      <c r="U176" s="353"/>
      <c r="V176" s="354"/>
      <c r="W176" s="7"/>
      <c r="X176" s="7"/>
      <c r="Y176" s="7"/>
      <c r="Z176" s="7"/>
      <c r="AA176" s="7"/>
      <c r="AB176" s="7"/>
      <c r="AC176" s="7"/>
      <c r="AD176" s="7"/>
      <c r="AE176" s="7"/>
      <c r="AF176" s="7"/>
      <c r="AG176" s="7"/>
      <c r="AH176" s="7"/>
      <c r="AI176" s="7"/>
      <c r="AJ176" s="7"/>
      <c r="AK176" s="7"/>
      <c r="AL176" s="7"/>
      <c r="AM176" s="7"/>
      <c r="AN176" s="7"/>
      <c r="AO176" s="7"/>
      <c r="AP176" s="7"/>
      <c r="AQ176" s="7"/>
      <c r="AR176" s="3"/>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68" ht="12.75" customHeight="1">
      <c r="A177" s="3"/>
      <c r="B177" s="7"/>
      <c r="C177" s="7"/>
      <c r="D177" s="7"/>
      <c r="E177" s="7"/>
      <c r="F177" s="7"/>
      <c r="G177" s="50" t="s">
        <v>82</v>
      </c>
      <c r="H177" s="51"/>
      <c r="I177" s="28"/>
      <c r="J177" s="28"/>
      <c r="K177" s="28"/>
      <c r="L177" s="28"/>
      <c r="M177" s="28"/>
      <c r="N177" s="28"/>
      <c r="O177" s="28"/>
      <c r="P177" s="28"/>
      <c r="Q177" s="28"/>
      <c r="R177" s="29"/>
      <c r="S177" s="351">
        <f>Számolótábla!O267</f>
        <v>0</v>
      </c>
      <c r="T177" s="351"/>
      <c r="U177" s="351"/>
      <c r="V177" s="352"/>
      <c r="W177" s="7"/>
      <c r="X177" s="7"/>
      <c r="Y177" s="7"/>
      <c r="Z177" s="7"/>
      <c r="AA177" s="7"/>
      <c r="AB177" s="7"/>
      <c r="AC177" s="7"/>
      <c r="AD177" s="7"/>
      <c r="AE177" s="7"/>
      <c r="AF177" s="7"/>
      <c r="AG177" s="7"/>
      <c r="AH177" s="7"/>
      <c r="AI177" s="7"/>
      <c r="AJ177" s="7"/>
      <c r="AK177" s="7"/>
      <c r="AL177" s="7"/>
      <c r="AM177" s="7"/>
      <c r="AN177" s="7"/>
      <c r="AO177" s="7"/>
      <c r="AP177" s="7"/>
      <c r="AQ177" s="7"/>
      <c r="AR177" s="3"/>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68" ht="12.75" customHeight="1">
      <c r="A178" s="3"/>
      <c r="B178" s="7"/>
      <c r="C178" s="7"/>
      <c r="D178" s="7"/>
      <c r="E178" s="7"/>
      <c r="F178" s="7"/>
      <c r="G178" s="48" t="s">
        <v>185</v>
      </c>
      <c r="H178" s="49"/>
      <c r="I178" s="13"/>
      <c r="J178" s="13"/>
      <c r="K178" s="13"/>
      <c r="L178" s="13"/>
      <c r="M178" s="13"/>
      <c r="N178" s="13"/>
      <c r="O178" s="13"/>
      <c r="P178" s="13"/>
      <c r="Q178" s="13"/>
      <c r="R178" s="14"/>
      <c r="S178" s="353">
        <f>Számolótábla!O268</f>
        <v>0</v>
      </c>
      <c r="T178" s="353"/>
      <c r="U178" s="353"/>
      <c r="V178" s="354"/>
      <c r="W178" s="7"/>
      <c r="X178" s="7"/>
      <c r="Y178" s="7"/>
      <c r="Z178" s="7"/>
      <c r="AA178" s="7"/>
      <c r="AB178" s="7"/>
      <c r="AC178" s="7"/>
      <c r="AD178" s="7"/>
      <c r="AE178" s="7"/>
      <c r="AF178" s="7"/>
      <c r="AG178" s="7"/>
      <c r="AH178" s="7"/>
      <c r="AI178" s="7"/>
      <c r="AJ178" s="7"/>
      <c r="AK178" s="7"/>
      <c r="AL178" s="7"/>
      <c r="AM178" s="7"/>
      <c r="AN178" s="7"/>
      <c r="AO178" s="7"/>
      <c r="AP178" s="7"/>
      <c r="AQ178" s="7"/>
      <c r="AR178" s="3"/>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68" ht="12.75" customHeight="1">
      <c r="A179" s="3"/>
      <c r="B179" s="7"/>
      <c r="C179" s="7"/>
      <c r="D179" s="7"/>
      <c r="E179" s="7"/>
      <c r="F179" s="7"/>
      <c r="G179" s="50" t="s">
        <v>312</v>
      </c>
      <c r="H179" s="51"/>
      <c r="I179" s="28"/>
      <c r="J179" s="28"/>
      <c r="K179" s="28"/>
      <c r="L179" s="28"/>
      <c r="M179" s="28"/>
      <c r="N179" s="28"/>
      <c r="O179" s="28"/>
      <c r="P179" s="28"/>
      <c r="Q179" s="28"/>
      <c r="R179" s="29"/>
      <c r="S179" s="351">
        <f>Számolótábla!O269</f>
        <v>0</v>
      </c>
      <c r="T179" s="351"/>
      <c r="U179" s="351"/>
      <c r="V179" s="352"/>
      <c r="W179" s="7"/>
      <c r="X179" s="7"/>
      <c r="Y179" s="7"/>
      <c r="Z179" s="7"/>
      <c r="AA179" s="7"/>
      <c r="AB179" s="7"/>
      <c r="AC179" s="7"/>
      <c r="AD179" s="7"/>
      <c r="AE179" s="7"/>
      <c r="AF179" s="7"/>
      <c r="AG179" s="7"/>
      <c r="AH179" s="7"/>
      <c r="AI179" s="7"/>
      <c r="AJ179" s="7"/>
      <c r="AK179" s="7"/>
      <c r="AL179" s="7"/>
      <c r="AM179" s="7"/>
      <c r="AN179" s="7"/>
      <c r="AO179" s="7"/>
      <c r="AP179" s="7"/>
      <c r="AQ179" s="7"/>
      <c r="AR179" s="3"/>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68" ht="12.75" customHeight="1">
      <c r="A180" s="3"/>
      <c r="B180" s="7"/>
      <c r="C180" s="7"/>
      <c r="D180" s="7"/>
      <c r="E180" s="7"/>
      <c r="F180" s="7"/>
      <c r="G180" s="48" t="s">
        <v>24</v>
      </c>
      <c r="H180" s="49"/>
      <c r="I180" s="13"/>
      <c r="J180" s="13"/>
      <c r="K180" s="13"/>
      <c r="L180" s="13"/>
      <c r="M180" s="13"/>
      <c r="N180" s="13"/>
      <c r="O180" s="13"/>
      <c r="P180" s="13"/>
      <c r="Q180" s="13"/>
      <c r="R180" s="14"/>
      <c r="S180" s="353">
        <f>Számolótábla!O270</f>
        <v>0</v>
      </c>
      <c r="T180" s="353"/>
      <c r="U180" s="353"/>
      <c r="V180" s="354"/>
      <c r="W180" s="7"/>
      <c r="X180" s="7"/>
      <c r="Y180" s="7"/>
      <c r="Z180" s="7"/>
      <c r="AA180" s="7"/>
      <c r="AB180" s="7"/>
      <c r="AC180" s="7"/>
      <c r="AD180" s="7"/>
      <c r="AE180" s="7"/>
      <c r="AF180" s="7"/>
      <c r="AG180" s="7"/>
      <c r="AH180" s="7"/>
      <c r="AI180" s="7"/>
      <c r="AJ180" s="7"/>
      <c r="AK180" s="7"/>
      <c r="AL180" s="7"/>
      <c r="AM180" s="7"/>
      <c r="AN180" s="7"/>
      <c r="AO180" s="7"/>
      <c r="AP180" s="7"/>
      <c r="AQ180" s="7"/>
      <c r="AR180" s="3"/>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68" ht="12.75" customHeight="1">
      <c r="A181" s="3"/>
      <c r="B181" s="7"/>
      <c r="C181" s="7"/>
      <c r="D181" s="7"/>
      <c r="E181" s="7"/>
      <c r="F181" s="7"/>
      <c r="G181" s="50" t="s">
        <v>280</v>
      </c>
      <c r="H181" s="51"/>
      <c r="I181" s="28"/>
      <c r="J181" s="28"/>
      <c r="K181" s="28"/>
      <c r="L181" s="28"/>
      <c r="M181" s="28"/>
      <c r="N181" s="28"/>
      <c r="O181" s="28"/>
      <c r="P181" s="28"/>
      <c r="Q181" s="28"/>
      <c r="R181" s="29"/>
      <c r="S181" s="351">
        <f>Számolótábla!O271</f>
        <v>0</v>
      </c>
      <c r="T181" s="351"/>
      <c r="U181" s="351"/>
      <c r="V181" s="352"/>
      <c r="W181" s="7"/>
      <c r="X181" s="7"/>
      <c r="Y181" s="7"/>
      <c r="Z181" s="7"/>
      <c r="AA181" s="7"/>
      <c r="AB181" s="7"/>
      <c r="AC181" s="7"/>
      <c r="AD181" s="7"/>
      <c r="AE181" s="7"/>
      <c r="AF181" s="7"/>
      <c r="AG181" s="7"/>
      <c r="AH181" s="7"/>
      <c r="AI181" s="7"/>
      <c r="AJ181" s="7"/>
      <c r="AK181" s="7"/>
      <c r="AL181" s="7"/>
      <c r="AM181" s="7"/>
      <c r="AN181" s="7"/>
      <c r="AO181" s="7"/>
      <c r="AP181" s="7"/>
      <c r="AQ181" s="7"/>
      <c r="AR181" s="3"/>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68" ht="12.75" customHeight="1">
      <c r="A182" s="3"/>
      <c r="B182" s="7"/>
      <c r="C182" s="7"/>
      <c r="D182" s="7"/>
      <c r="E182" s="7"/>
      <c r="F182" s="7"/>
      <c r="G182" s="48" t="s">
        <v>281</v>
      </c>
      <c r="H182" s="49"/>
      <c r="I182" s="13"/>
      <c r="J182" s="13"/>
      <c r="K182" s="13"/>
      <c r="L182" s="13"/>
      <c r="M182" s="13"/>
      <c r="N182" s="13"/>
      <c r="O182" s="335">
        <f>SUM(S183:V185)</f>
        <v>0</v>
      </c>
      <c r="P182" s="336"/>
      <c r="Q182" s="336"/>
      <c r="R182" s="337"/>
      <c r="S182" s="355"/>
      <c r="T182" s="355"/>
      <c r="U182" s="355"/>
      <c r="V182" s="356"/>
      <c r="W182" s="7"/>
      <c r="X182" s="7"/>
      <c r="Y182" s="7"/>
      <c r="Z182" s="7"/>
      <c r="AA182" s="7"/>
      <c r="AB182" s="7"/>
      <c r="AC182" s="7"/>
      <c r="AD182" s="7"/>
      <c r="AE182" s="7"/>
      <c r="AF182" s="7"/>
      <c r="AG182" s="7"/>
      <c r="AH182" s="7"/>
      <c r="AI182" s="7"/>
      <c r="AJ182" s="7"/>
      <c r="AK182" s="7"/>
      <c r="AL182" s="7"/>
      <c r="AM182" s="7"/>
      <c r="AN182" s="7"/>
      <c r="AO182" s="7"/>
      <c r="AP182" s="7"/>
      <c r="AQ182" s="7"/>
      <c r="AR182" s="3"/>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68" ht="12.75" customHeight="1">
      <c r="A183" s="3"/>
      <c r="B183" s="7"/>
      <c r="C183" s="7"/>
      <c r="D183" s="7"/>
      <c r="E183" s="7"/>
      <c r="F183" s="7"/>
      <c r="G183" s="50"/>
      <c r="H183" s="51" t="s">
        <v>304</v>
      </c>
      <c r="I183" s="28"/>
      <c r="J183" s="28"/>
      <c r="K183" s="28"/>
      <c r="L183" s="28"/>
      <c r="M183" s="28"/>
      <c r="N183" s="28"/>
      <c r="O183" s="28"/>
      <c r="P183" s="28"/>
      <c r="Q183" s="28"/>
      <c r="R183" s="29"/>
      <c r="S183" s="351">
        <f>Számolótábla!O273</f>
        <v>0</v>
      </c>
      <c r="T183" s="351"/>
      <c r="U183" s="351"/>
      <c r="V183" s="352"/>
      <c r="W183" s="7"/>
      <c r="X183" s="7"/>
      <c r="Y183" s="7"/>
      <c r="Z183" s="7"/>
      <c r="AA183" s="7"/>
      <c r="AB183" s="7"/>
      <c r="AC183" s="7"/>
      <c r="AD183" s="7"/>
      <c r="AE183" s="7"/>
      <c r="AF183" s="7"/>
      <c r="AG183" s="7"/>
      <c r="AH183" s="7"/>
      <c r="AI183" s="7"/>
      <c r="AJ183" s="7"/>
      <c r="AK183" s="7"/>
      <c r="AL183" s="7"/>
      <c r="AM183" s="7"/>
      <c r="AN183" s="7"/>
      <c r="AO183" s="7"/>
      <c r="AP183" s="7"/>
      <c r="AQ183" s="7"/>
      <c r="AR183" s="3"/>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68" ht="12.75" customHeight="1">
      <c r="A184" s="3"/>
      <c r="B184" s="7"/>
      <c r="C184" s="7"/>
      <c r="D184" s="7"/>
      <c r="E184" s="7"/>
      <c r="F184" s="7"/>
      <c r="G184" s="48"/>
      <c r="H184" s="49" t="s">
        <v>192</v>
      </c>
      <c r="I184" s="13"/>
      <c r="J184" s="13"/>
      <c r="K184" s="13"/>
      <c r="L184" s="13"/>
      <c r="M184" s="13"/>
      <c r="N184" s="13"/>
      <c r="O184" s="13"/>
      <c r="P184" s="13"/>
      <c r="Q184" s="13"/>
      <c r="R184" s="14"/>
      <c r="S184" s="353">
        <f>Számolótábla!O274</f>
        <v>0</v>
      </c>
      <c r="T184" s="353"/>
      <c r="U184" s="353"/>
      <c r="V184" s="354"/>
      <c r="W184" s="7"/>
      <c r="X184" s="7"/>
      <c r="Y184" s="7"/>
      <c r="Z184" s="7"/>
      <c r="AA184" s="7"/>
      <c r="AB184" s="7"/>
      <c r="AC184" s="7"/>
      <c r="AD184" s="7"/>
      <c r="AE184" s="7"/>
      <c r="AF184" s="7"/>
      <c r="AG184" s="7"/>
      <c r="AH184" s="7"/>
      <c r="AI184" s="7"/>
      <c r="AJ184" s="7"/>
      <c r="AK184" s="7"/>
      <c r="AL184" s="7"/>
      <c r="AM184" s="7"/>
      <c r="AN184" s="7"/>
      <c r="AO184" s="7"/>
      <c r="AP184" s="7"/>
      <c r="AQ184" s="7"/>
      <c r="AR184" s="3"/>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68" ht="12.75" customHeight="1">
      <c r="A185" s="3"/>
      <c r="B185" s="7"/>
      <c r="C185" s="7"/>
      <c r="D185" s="7"/>
      <c r="E185" s="7"/>
      <c r="F185" s="7"/>
      <c r="G185" s="50"/>
      <c r="H185" s="51" t="s">
        <v>98</v>
      </c>
      <c r="I185" s="28"/>
      <c r="J185" s="28"/>
      <c r="K185" s="28"/>
      <c r="L185" s="28"/>
      <c r="M185" s="28"/>
      <c r="N185" s="28"/>
      <c r="O185" s="28"/>
      <c r="P185" s="28"/>
      <c r="Q185" s="28"/>
      <c r="R185" s="29"/>
      <c r="S185" s="351">
        <f>Számolótábla!O275</f>
        <v>0</v>
      </c>
      <c r="T185" s="351"/>
      <c r="U185" s="351"/>
      <c r="V185" s="352"/>
      <c r="W185" s="7"/>
      <c r="X185" s="7"/>
      <c r="Y185" s="7"/>
      <c r="Z185" s="7"/>
      <c r="AA185" s="7"/>
      <c r="AB185" s="7"/>
      <c r="AC185" s="7"/>
      <c r="AD185" s="7"/>
      <c r="AE185" s="7"/>
      <c r="AF185" s="7"/>
      <c r="AG185" s="7"/>
      <c r="AH185" s="7"/>
      <c r="AI185" s="7"/>
      <c r="AJ185" s="7"/>
      <c r="AK185" s="7"/>
      <c r="AL185" s="7"/>
      <c r="AM185" s="7"/>
      <c r="AN185" s="7"/>
      <c r="AO185" s="7"/>
      <c r="AP185" s="7"/>
      <c r="AQ185" s="7"/>
      <c r="AR185" s="3"/>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68" ht="12.75" customHeight="1">
      <c r="A186" s="3"/>
      <c r="B186" s="7"/>
      <c r="C186" s="7"/>
      <c r="D186" s="7"/>
      <c r="E186" s="7"/>
      <c r="F186" s="7"/>
      <c r="G186" s="48" t="s">
        <v>286</v>
      </c>
      <c r="H186" s="49"/>
      <c r="I186" s="13"/>
      <c r="J186" s="13"/>
      <c r="K186" s="13"/>
      <c r="L186" s="13"/>
      <c r="M186" s="13"/>
      <c r="N186" s="13"/>
      <c r="O186" s="13"/>
      <c r="P186" s="13"/>
      <c r="Q186" s="13"/>
      <c r="R186" s="14"/>
      <c r="S186" s="353">
        <f>Számolótábla!O276</f>
        <v>0</v>
      </c>
      <c r="T186" s="353"/>
      <c r="U186" s="353"/>
      <c r="V186" s="354"/>
      <c r="W186" s="7"/>
      <c r="X186" s="7"/>
      <c r="Y186" s="7"/>
      <c r="Z186" s="7"/>
      <c r="AA186" s="7"/>
      <c r="AB186" s="7"/>
      <c r="AC186" s="7"/>
      <c r="AD186" s="7"/>
      <c r="AE186" s="7"/>
      <c r="AF186" s="7"/>
      <c r="AG186" s="7"/>
      <c r="AH186" s="7"/>
      <c r="AI186" s="7"/>
      <c r="AJ186" s="7"/>
      <c r="AK186" s="7"/>
      <c r="AL186" s="7"/>
      <c r="AM186" s="7"/>
      <c r="AN186" s="7"/>
      <c r="AO186" s="7"/>
      <c r="AP186" s="7"/>
      <c r="AQ186" s="7"/>
      <c r="AR186" s="3"/>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68" ht="12.75" customHeight="1">
      <c r="A187" s="3"/>
      <c r="B187" s="7"/>
      <c r="C187" s="7"/>
      <c r="D187" s="7"/>
      <c r="E187" s="7"/>
      <c r="F187" s="7"/>
      <c r="G187" s="50" t="s">
        <v>305</v>
      </c>
      <c r="H187" s="51"/>
      <c r="I187" s="28"/>
      <c r="J187" s="28"/>
      <c r="K187" s="28"/>
      <c r="L187" s="28"/>
      <c r="M187" s="28"/>
      <c r="N187" s="28"/>
      <c r="O187" s="28"/>
      <c r="P187" s="28"/>
      <c r="Q187" s="28"/>
      <c r="R187" s="29"/>
      <c r="S187" s="351">
        <f>Számolótábla!O277</f>
        <v>0</v>
      </c>
      <c r="T187" s="351"/>
      <c r="U187" s="351"/>
      <c r="V187" s="352"/>
      <c r="W187" s="7"/>
      <c r="X187" s="7"/>
      <c r="Y187" s="7"/>
      <c r="Z187" s="7"/>
      <c r="AA187" s="7"/>
      <c r="AB187" s="7"/>
      <c r="AC187" s="7"/>
      <c r="AD187" s="7"/>
      <c r="AE187" s="7"/>
      <c r="AF187" s="7"/>
      <c r="AG187" s="7"/>
      <c r="AH187" s="7"/>
      <c r="AI187" s="7"/>
      <c r="AJ187" s="7"/>
      <c r="AK187" s="7"/>
      <c r="AL187" s="7"/>
      <c r="AM187" s="7"/>
      <c r="AN187" s="7"/>
      <c r="AO187" s="7"/>
      <c r="AP187" s="7"/>
      <c r="AQ187" s="7"/>
      <c r="AR187" s="3"/>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68" ht="12.75" customHeight="1">
      <c r="A188" s="3"/>
      <c r="B188" s="7"/>
      <c r="C188" s="7"/>
      <c r="D188" s="7"/>
      <c r="E188" s="7"/>
      <c r="F188" s="7"/>
      <c r="G188" s="48" t="s">
        <v>88</v>
      </c>
      <c r="H188" s="49"/>
      <c r="I188" s="13"/>
      <c r="J188" s="13"/>
      <c r="K188" s="13"/>
      <c r="L188" s="13"/>
      <c r="M188" s="13"/>
      <c r="N188" s="13"/>
      <c r="O188" s="13"/>
      <c r="P188" s="13"/>
      <c r="Q188" s="13"/>
      <c r="R188" s="14"/>
      <c r="S188" s="353">
        <f>Számolótábla!O278</f>
        <v>0</v>
      </c>
      <c r="T188" s="353"/>
      <c r="U188" s="353"/>
      <c r="V188" s="354"/>
      <c r="W188" s="7"/>
      <c r="X188" s="297" t="s">
        <v>1560</v>
      </c>
      <c r="Y188" s="7"/>
      <c r="Z188" s="7"/>
      <c r="AA188" s="7"/>
      <c r="AB188" s="7"/>
      <c r="AC188" s="7"/>
      <c r="AD188" s="7"/>
      <c r="AE188" s="7"/>
      <c r="AF188" s="7"/>
      <c r="AG188" s="7"/>
      <c r="AH188" s="7"/>
      <c r="AI188" s="7"/>
      <c r="AJ188" s="7"/>
      <c r="AK188" s="7"/>
      <c r="AL188" s="7"/>
      <c r="AM188" s="7"/>
      <c r="AN188" s="7"/>
      <c r="AO188" s="7"/>
      <c r="AP188" s="7"/>
      <c r="AQ188" s="7"/>
      <c r="AR188" s="3"/>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68" ht="12.75" customHeight="1">
      <c r="A189" s="3"/>
      <c r="B189" s="7"/>
      <c r="C189" s="7"/>
      <c r="D189" s="7"/>
      <c r="E189" s="7"/>
      <c r="F189" s="7"/>
      <c r="G189" s="45" t="s">
        <v>297</v>
      </c>
      <c r="H189" s="46"/>
      <c r="I189" s="46"/>
      <c r="J189" s="46"/>
      <c r="K189" s="46"/>
      <c r="L189" s="46"/>
      <c r="M189" s="46"/>
      <c r="N189" s="46"/>
      <c r="O189" s="46"/>
      <c r="P189" s="46"/>
      <c r="Q189" s="46"/>
      <c r="R189" s="47"/>
      <c r="S189" s="347">
        <f>SUM(S165:S188)</f>
        <v>0</v>
      </c>
      <c r="T189" s="347"/>
      <c r="U189" s="347"/>
      <c r="V189" s="348"/>
      <c r="W189" s="7"/>
      <c r="X189" s="274" t="str">
        <f>+IF(S189&lt;6000,"A BIZTOSÍTÁS MINIMÁLIS ÉVES DÍJA 6000 FORINT!","")</f>
        <v>A BIZTOSÍTÁS MINIMÁLIS ÉVES DÍJA 6000 FORINT!</v>
      </c>
      <c r="Y189" s="7"/>
      <c r="Z189" s="7"/>
      <c r="AA189" s="7"/>
      <c r="AB189" s="7"/>
      <c r="AC189" s="7"/>
      <c r="AD189" s="7"/>
      <c r="AE189" s="7"/>
      <c r="AF189" s="7"/>
      <c r="AG189" s="7"/>
      <c r="AH189" s="7"/>
      <c r="AI189" s="7"/>
      <c r="AJ189" s="7"/>
      <c r="AK189" s="7"/>
      <c r="AL189" s="7"/>
      <c r="AM189" s="7"/>
      <c r="AN189" s="7"/>
      <c r="AO189" s="7"/>
      <c r="AP189" s="7"/>
      <c r="AQ189" s="7"/>
      <c r="AR189" s="3"/>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68" ht="3.75" customHeight="1">
      <c r="A190" s="3"/>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3"/>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68" ht="3.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68"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1:68"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140"/>
      <c r="AR193" s="140"/>
      <c r="AS193" s="140"/>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sheetData>
  <sheetProtection password="E94F" sheet="1" objects="1" scenarios="1"/>
  <mergeCells count="146">
    <mergeCell ref="AD134:AJ134"/>
    <mergeCell ref="Y153:AA153"/>
    <mergeCell ref="Y151:AA151"/>
    <mergeCell ref="T143:AQ145"/>
    <mergeCell ref="Y132:AC132"/>
    <mergeCell ref="AD133:AJ133"/>
    <mergeCell ref="J140:AA140"/>
    <mergeCell ref="B150:M150"/>
    <mergeCell ref="N133:R133"/>
    <mergeCell ref="S133:W133"/>
    <mergeCell ref="U26:W26"/>
    <mergeCell ref="AB51:AG51"/>
    <mergeCell ref="AB56:AG56"/>
    <mergeCell ref="P92:T92"/>
    <mergeCell ref="AB43:AG43"/>
    <mergeCell ref="R28:T28"/>
    <mergeCell ref="R27:T27"/>
    <mergeCell ref="H78:Y78"/>
    <mergeCell ref="T79:V79"/>
    <mergeCell ref="W81:Y81"/>
    <mergeCell ref="B123:F123"/>
    <mergeCell ref="I142:M142"/>
    <mergeCell ref="I143:M143"/>
    <mergeCell ref="Y134:AC134"/>
    <mergeCell ref="X28:AA28"/>
    <mergeCell ref="AB42:AG42"/>
    <mergeCell ref="AB28:AG28"/>
    <mergeCell ref="AB62:AG62"/>
    <mergeCell ref="T82:V82"/>
    <mergeCell ref="K90:O90"/>
    <mergeCell ref="X27:AA27"/>
    <mergeCell ref="AB68:AG68"/>
    <mergeCell ref="AB67:AG67"/>
    <mergeCell ref="AB63:AG63"/>
    <mergeCell ref="AB44:AG44"/>
    <mergeCell ref="AB50:AG50"/>
    <mergeCell ref="AB46:AG46"/>
    <mergeCell ref="U25:W25"/>
    <mergeCell ref="AB57:AG57"/>
    <mergeCell ref="AB58:AG58"/>
    <mergeCell ref="AB61:AG61"/>
    <mergeCell ref="U27:W27"/>
    <mergeCell ref="H90:J90"/>
    <mergeCell ref="U28:W28"/>
    <mergeCell ref="AB25:AG25"/>
    <mergeCell ref="AB27:AG27"/>
    <mergeCell ref="X25:AA25"/>
    <mergeCell ref="J155:X155"/>
    <mergeCell ref="Y154:AA154"/>
    <mergeCell ref="AD135:AJ135"/>
    <mergeCell ref="Y152:AA152"/>
    <mergeCell ref="Y155:AA155"/>
    <mergeCell ref="V70:AA70"/>
    <mergeCell ref="AD132:AJ132"/>
    <mergeCell ref="W80:Y80"/>
    <mergeCell ref="Z79:AH81"/>
    <mergeCell ref="Q81:S81"/>
    <mergeCell ref="Q80:S80"/>
    <mergeCell ref="AB47:AG47"/>
    <mergeCell ref="AB49:AG49"/>
    <mergeCell ref="AB69:AG69"/>
    <mergeCell ref="T81:V81"/>
    <mergeCell ref="AB70:AG70"/>
    <mergeCell ref="W79:Y79"/>
    <mergeCell ref="P90:T90"/>
    <mergeCell ref="S132:W132"/>
    <mergeCell ref="N131:W131"/>
    <mergeCell ref="AA98:AC98"/>
    <mergeCell ref="P23:R23"/>
    <mergeCell ref="H28:Q28"/>
    <mergeCell ref="R25:T25"/>
    <mergeCell ref="R26:T26"/>
    <mergeCell ref="P93:T93"/>
    <mergeCell ref="W82:Y82"/>
    <mergeCell ref="S168:V168"/>
    <mergeCell ref="J152:X152"/>
    <mergeCell ref="J153:X153"/>
    <mergeCell ref="B131:M131"/>
    <mergeCell ref="Y135:AC135"/>
    <mergeCell ref="J159:L159"/>
    <mergeCell ref="B159:I159"/>
    <mergeCell ref="I135:M135"/>
    <mergeCell ref="N132:R132"/>
    <mergeCell ref="N134:R134"/>
    <mergeCell ref="S169:V169"/>
    <mergeCell ref="AO70:AP70"/>
    <mergeCell ref="P95:T95"/>
    <mergeCell ref="W94:Y94"/>
    <mergeCell ref="W95:Y95"/>
    <mergeCell ref="P94:T94"/>
    <mergeCell ref="P96:T96"/>
    <mergeCell ref="Z82:AH82"/>
    <mergeCell ref="T80:V80"/>
    <mergeCell ref="AJ70:AK70"/>
    <mergeCell ref="S172:V172"/>
    <mergeCell ref="S176:V176"/>
    <mergeCell ref="S182:V182"/>
    <mergeCell ref="S184:V184"/>
    <mergeCell ref="S177:V177"/>
    <mergeCell ref="S175:V175"/>
    <mergeCell ref="O182:R182"/>
    <mergeCell ref="S180:V180"/>
    <mergeCell ref="S185:V185"/>
    <mergeCell ref="S186:V186"/>
    <mergeCell ref="S181:V181"/>
    <mergeCell ref="S170:V170"/>
    <mergeCell ref="S171:V171"/>
    <mergeCell ref="S173:V173"/>
    <mergeCell ref="O171:R171"/>
    <mergeCell ref="S174:V174"/>
    <mergeCell ref="S189:V189"/>
    <mergeCell ref="S164:V164"/>
    <mergeCell ref="S187:V187"/>
    <mergeCell ref="S188:V188"/>
    <mergeCell ref="S178:V178"/>
    <mergeCell ref="S179:V179"/>
    <mergeCell ref="S167:V167"/>
    <mergeCell ref="S165:V165"/>
    <mergeCell ref="S166:V166"/>
    <mergeCell ref="S183:V183"/>
    <mergeCell ref="B157:I157"/>
    <mergeCell ref="AA106:AC106"/>
    <mergeCell ref="AE142:AG142"/>
    <mergeCell ref="N135:R135"/>
    <mergeCell ref="T146:AQ148"/>
    <mergeCell ref="J157:L157"/>
    <mergeCell ref="Y131:AJ131"/>
    <mergeCell ref="J151:X151"/>
    <mergeCell ref="J154:X154"/>
    <mergeCell ref="I134:M134"/>
    <mergeCell ref="M117:O117"/>
    <mergeCell ref="K91:O91"/>
    <mergeCell ref="P91:T91"/>
    <mergeCell ref="K95:O95"/>
    <mergeCell ref="K93:O93"/>
    <mergeCell ref="K94:O94"/>
    <mergeCell ref="W96:Y96"/>
    <mergeCell ref="K96:O96"/>
    <mergeCell ref="AG11:AH11"/>
    <mergeCell ref="H91:J91"/>
    <mergeCell ref="Y133:AC133"/>
    <mergeCell ref="I133:M133"/>
    <mergeCell ref="K92:O92"/>
    <mergeCell ref="AE106:AP107"/>
    <mergeCell ref="Q82:S82"/>
    <mergeCell ref="Q79:S79"/>
  </mergeCells>
  <dataValidations count="11">
    <dataValidation type="custom" showInputMessage="1" showErrorMessage="1" errorTitle="Figyelmeztetés" error="A munkaeszközök és készletek együttes értéke Max: 4000" sqref="I133:M133">
      <formula1>((I133+I134)&lt;=4000)</formula1>
    </dataValidation>
    <dataValidation type="custom" showInputMessage="1" showErrorMessage="1" errorTitle="Figyelmeztetés" error="A munkaeszközök és készletek együttes értéke Max: 4000" sqref="I134:M134">
      <formula1>((I133+I134)&lt;=4000)</formula1>
    </dataValidation>
    <dataValidation type="custom" showInputMessage="1" showErrorMessage="1" promptTitle="Info" prompt="Az összevont biztosítási összeg Max. 2.000 Eft. lehet." errorTitle="Hiba!!" error="Az összevont biztosítási összeg Max. 2.000 Eft. lehet!!" sqref="I142:M142">
      <formula1>((I142+I143)&lt;=2000)</formula1>
    </dataValidation>
    <dataValidation type="custom" showInputMessage="1" showErrorMessage="1" promptTitle="Info" prompt="Az összevont biztosítási összeg Max. 2.000 Eft. lehet." errorTitle="Hiba!!" error="Az összevont biztosítási összeg Max. 2.000 Eft. lehet!!" sqref="I143:M143">
      <formula1>((I142+I143)&lt;=2000)</formula1>
    </dataValidation>
    <dataValidation type="custom" allowBlank="1" showInputMessage="1" showErrorMessage="1" prompt="Csak 5% vagy 10% kedvezmény vehető figyelembe!!" errorTitle="Hiba!" error="Csak 5% vagy 10% kedvezmény vehető figyelembe!!" sqref="J157:L157">
      <formula1>OR(J157=0.1,J157=0.05,J157=0)</formula1>
    </dataValidation>
    <dataValidation type="custom" allowBlank="1" showInputMessage="1" showErrorMessage="1" prompt="Maximum 10% kedvezmény vehető figyelembe." errorTitle="Hiba!" error="Maximum 10% kedvezmény vehető figyelembe!!" sqref="Y154:AA154">
      <formula1>AND(Y154&lt;=10%,Y154&gt;=0%)</formula1>
    </dataValidation>
    <dataValidation type="decimal" operator="lessThanOrEqual" allowBlank="1" showErrorMessage="1" error="Maximálisan 30% kedvezmény (DES) adható!" sqref="G160:I160 G158:I158 G152:I156">
      <formula1>0.3</formula1>
    </dataValidation>
    <dataValidation type="custom" operator="lessThanOrEqual" allowBlank="1" showInputMessage="1" showErrorMessage="1" error="A BIZTOSÍTÁSI ÖSSZEG NEM HALADHATJA MEG A 100 EZER FORINTOT ÉS OZTHATÓ 5000 EZERREL!" sqref="AA106:AC106">
      <formula1>AND(AA106&lt;=100,MOD(AA106,5)=0)</formula1>
    </dataValidation>
    <dataValidation type="custom" allowBlank="1" showInputMessage="1" showErrorMessage="1" errorTitle="Figyelmeztetés" error="Az ingóságbiztosítás minimális összegének nagyobbnak kell lennie." sqref="AB70:AG70">
      <formula1>AB70&gt;=min_Ingo</formula1>
    </dataValidation>
    <dataValidation type="custom" allowBlank="1" showInputMessage="1" showErrorMessage="1" error="Az állatok együttes értéke Max:1.000, egy állat értéke Max:300" sqref="I135:M135">
      <formula1>I135&lt;=1000</formula1>
    </dataValidation>
    <dataValidation type="custom" allowBlank="1" showInputMessage="1" showErrorMessage="1" sqref="AB43:AG43">
      <formula1>"&lt;200"</formula1>
    </dataValidation>
  </dataValidations>
  <printOptions/>
  <pageMargins left="0.15748031496062992" right="0.13" top="0.1968503937007874" bottom="0.5905511811023623" header="0.12" footer="0.4724409448818898"/>
  <pageSetup fitToHeight="2" horizontalDpi="300" verticalDpi="300" orientation="portrait" paperSize="9" scale="61" r:id="rId4"/>
  <rowBreaks count="1" manualBreakCount="1">
    <brk id="97" max="43" man="1"/>
  </rowBreaks>
  <drawing r:id="rId3"/>
  <legacyDrawing r:id="rId2"/>
</worksheet>
</file>

<file path=xl/worksheets/sheet2.xml><?xml version="1.0" encoding="utf-8"?>
<worksheet xmlns="http://schemas.openxmlformats.org/spreadsheetml/2006/main" xmlns:r="http://schemas.openxmlformats.org/officeDocument/2006/relationships">
  <sheetPr codeName="Personal">
    <pageSetUpPr fitToPage="1"/>
  </sheetPr>
  <dimension ref="A1:U141"/>
  <sheetViews>
    <sheetView showGridLines="0" zoomScalePageLayoutView="0" workbookViewId="0" topLeftCell="A10">
      <selection activeCell="C70" sqref="C70"/>
    </sheetView>
  </sheetViews>
  <sheetFormatPr defaultColWidth="9.140625" defaultRowHeight="12.75"/>
  <cols>
    <col min="1" max="1" width="0.71875" style="102" customWidth="1"/>
    <col min="2" max="2" width="4.421875" style="102" customWidth="1"/>
    <col min="3" max="3" width="10.140625" style="102" customWidth="1"/>
    <col min="4" max="4" width="14.8515625" style="102" customWidth="1"/>
    <col min="5" max="5" width="9.140625" style="102" customWidth="1"/>
    <col min="6" max="6" width="13.28125" style="102" customWidth="1"/>
    <col min="7" max="7" width="38.28125" style="102" customWidth="1"/>
    <col min="8" max="8" width="15.7109375" style="102" bestFit="1" customWidth="1"/>
    <col min="9" max="9" width="2.421875" style="102" customWidth="1"/>
    <col min="10" max="10" width="0.85546875" style="102" customWidth="1"/>
    <col min="11" max="11" width="16.7109375" style="102" customWidth="1"/>
    <col min="12" max="12" width="7.00390625" style="102" hidden="1" customWidth="1"/>
    <col min="13" max="14" width="9.140625" style="102" hidden="1" customWidth="1"/>
    <col min="15" max="15" width="10.140625" style="102" bestFit="1" customWidth="1"/>
    <col min="16" max="16" width="11.140625" style="102" customWidth="1"/>
    <col min="17" max="17" width="6.8515625" style="102" customWidth="1"/>
    <col min="18" max="18" width="10.57421875" style="102" customWidth="1"/>
    <col min="19" max="16384" width="9.140625" style="102" customWidth="1"/>
  </cols>
  <sheetData>
    <row r="1" spans="1:10" ht="3.75" customHeight="1">
      <c r="A1" s="53"/>
      <c r="B1" s="53"/>
      <c r="C1" s="53"/>
      <c r="D1" s="53"/>
      <c r="E1" s="53"/>
      <c r="F1" s="53"/>
      <c r="G1" s="53"/>
      <c r="H1" s="53"/>
      <c r="I1" s="53"/>
      <c r="J1" s="101"/>
    </row>
    <row r="2" spans="1:20" s="104" customFormat="1" ht="12.75" customHeight="1">
      <c r="A2" s="53"/>
      <c r="B2" s="53"/>
      <c r="C2" s="53"/>
      <c r="D2" s="53"/>
      <c r="E2" s="91" t="s">
        <v>122</v>
      </c>
      <c r="F2" s="91"/>
      <c r="G2" s="91"/>
      <c r="H2" s="91"/>
      <c r="I2" s="53"/>
      <c r="J2" s="52"/>
      <c r="K2" s="54"/>
      <c r="L2" s="54"/>
      <c r="M2" s="54"/>
      <c r="N2" s="103"/>
      <c r="O2" s="103"/>
      <c r="P2" s="103"/>
      <c r="Q2" s="103"/>
      <c r="R2" s="103"/>
      <c r="S2" s="103"/>
      <c r="T2" s="103"/>
    </row>
    <row r="3" spans="1:20" ht="12.75" customHeight="1">
      <c r="A3" s="53"/>
      <c r="B3" s="53"/>
      <c r="C3" s="53"/>
      <c r="D3" s="53"/>
      <c r="E3" s="91" t="s">
        <v>326</v>
      </c>
      <c r="F3" s="91"/>
      <c r="G3" s="91"/>
      <c r="H3" s="91"/>
      <c r="I3" s="53"/>
      <c r="J3" s="101"/>
      <c r="K3" s="103"/>
      <c r="L3" s="103"/>
      <c r="M3" s="103"/>
      <c r="N3" s="103"/>
      <c r="O3" s="103"/>
      <c r="P3" s="103"/>
      <c r="Q3" s="103"/>
      <c r="R3" s="103"/>
      <c r="S3" s="103"/>
      <c r="T3" s="103"/>
    </row>
    <row r="4" spans="1:20" ht="12.75" customHeight="1">
      <c r="A4" s="53"/>
      <c r="B4" s="53"/>
      <c r="C4" s="53"/>
      <c r="D4" s="53"/>
      <c r="E4" s="53"/>
      <c r="F4" s="53"/>
      <c r="G4" s="53"/>
      <c r="H4" s="53"/>
      <c r="I4" s="53"/>
      <c r="J4" s="101"/>
      <c r="K4" s="103"/>
      <c r="L4" s="103"/>
      <c r="M4" s="103"/>
      <c r="N4" s="103"/>
      <c r="O4" s="103"/>
      <c r="P4" s="103"/>
      <c r="Q4" s="103"/>
      <c r="R4" s="103"/>
      <c r="S4" s="103"/>
      <c r="T4" s="103"/>
    </row>
    <row r="5" spans="1:20" ht="12.75" customHeight="1">
      <c r="A5" s="101"/>
      <c r="B5" s="100"/>
      <c r="C5" s="100"/>
      <c r="D5" s="100"/>
      <c r="E5" s="100"/>
      <c r="F5" s="100"/>
      <c r="G5" s="100"/>
      <c r="H5" s="100"/>
      <c r="I5" s="100"/>
      <c r="J5" s="101"/>
      <c r="K5" s="103"/>
      <c r="L5" s="103"/>
      <c r="M5" s="103"/>
      <c r="N5" s="103"/>
      <c r="O5" s="103"/>
      <c r="P5" s="103"/>
      <c r="Q5" s="103"/>
      <c r="R5" s="103"/>
      <c r="S5" s="103"/>
      <c r="T5" s="103"/>
    </row>
    <row r="6" spans="1:20" ht="12.75" customHeight="1">
      <c r="A6" s="101"/>
      <c r="B6" s="100"/>
      <c r="C6" s="105" t="s">
        <v>357</v>
      </c>
      <c r="D6" s="106"/>
      <c r="E6" s="106"/>
      <c r="F6" s="106"/>
      <c r="G6" s="89"/>
      <c r="H6" s="127"/>
      <c r="I6" s="100"/>
      <c r="J6" s="101"/>
      <c r="K6" s="103"/>
      <c r="L6" s="103"/>
      <c r="M6" s="103"/>
      <c r="N6" s="103"/>
      <c r="O6" s="103"/>
      <c r="P6" s="103"/>
      <c r="Q6" s="103"/>
      <c r="R6" s="103"/>
      <c r="S6" s="103"/>
      <c r="T6" s="103"/>
    </row>
    <row r="7" spans="1:20" ht="12.75" customHeight="1">
      <c r="A7" s="101"/>
      <c r="B7" s="100"/>
      <c r="C7" s="107"/>
      <c r="D7" s="108"/>
      <c r="E7" s="108"/>
      <c r="F7" s="108"/>
      <c r="G7" s="88"/>
      <c r="H7" s="125"/>
      <c r="I7" s="100"/>
      <c r="J7" s="101"/>
      <c r="K7" s="103"/>
      <c r="L7" s="103"/>
      <c r="M7" s="103"/>
      <c r="N7" s="103"/>
      <c r="O7" s="103"/>
      <c r="P7" s="103"/>
      <c r="Q7" s="103"/>
      <c r="R7" s="103"/>
      <c r="S7" s="103"/>
      <c r="T7" s="103"/>
    </row>
    <row r="8" spans="1:20" ht="12.75" customHeight="1">
      <c r="A8" s="101"/>
      <c r="B8" s="100"/>
      <c r="C8" s="109" t="s">
        <v>423</v>
      </c>
      <c r="D8" s="108"/>
      <c r="E8" s="108"/>
      <c r="F8" s="108"/>
      <c r="G8" s="124"/>
      <c r="H8" s="125"/>
      <c r="I8" s="100"/>
      <c r="J8" s="101"/>
      <c r="K8" s="103"/>
      <c r="L8" s="103"/>
      <c r="M8" s="103"/>
      <c r="N8" s="103"/>
      <c r="O8" s="103"/>
      <c r="P8" s="103"/>
      <c r="Q8" s="103"/>
      <c r="R8" s="103"/>
      <c r="S8" s="103"/>
      <c r="T8" s="103"/>
    </row>
    <row r="9" spans="1:20" ht="12.75" customHeight="1">
      <c r="A9" s="101"/>
      <c r="B9" s="100"/>
      <c r="C9" s="109" t="s">
        <v>354</v>
      </c>
      <c r="D9" s="110"/>
      <c r="E9" s="110"/>
      <c r="F9" s="111"/>
      <c r="G9" s="124"/>
      <c r="H9" s="125"/>
      <c r="I9" s="100"/>
      <c r="J9" s="101"/>
      <c r="K9" s="103"/>
      <c r="L9" s="103"/>
      <c r="M9" s="103"/>
      <c r="N9" s="103"/>
      <c r="O9" s="103"/>
      <c r="P9" s="103"/>
      <c r="Q9" s="103"/>
      <c r="R9" s="103"/>
      <c r="S9" s="103"/>
      <c r="T9" s="103"/>
    </row>
    <row r="10" spans="1:20" ht="12.75" customHeight="1">
      <c r="A10" s="101"/>
      <c r="B10" s="100"/>
      <c r="C10" s="430" t="s">
        <v>355</v>
      </c>
      <c r="D10" s="342"/>
      <c r="E10" s="342"/>
      <c r="F10" s="303"/>
      <c r="G10" s="284"/>
      <c r="H10" s="125"/>
      <c r="I10" s="100"/>
      <c r="J10" s="101"/>
      <c r="K10"/>
      <c r="L10" s="103"/>
      <c r="M10" s="103"/>
      <c r="N10" s="103"/>
      <c r="O10" s="103"/>
      <c r="P10" s="103"/>
      <c r="Q10" s="103"/>
      <c r="R10" s="103"/>
      <c r="S10" s="103"/>
      <c r="T10" s="103"/>
    </row>
    <row r="11" spans="1:20" ht="12.75" customHeight="1">
      <c r="A11" s="101"/>
      <c r="B11" s="100"/>
      <c r="C11" s="100"/>
      <c r="D11" s="100"/>
      <c r="E11" s="100"/>
      <c r="F11" s="100"/>
      <c r="G11" s="100"/>
      <c r="H11" s="126"/>
      <c r="I11" s="100"/>
      <c r="J11" s="101"/>
      <c r="K11" s="103"/>
      <c r="L11" s="103"/>
      <c r="M11" s="103"/>
      <c r="N11" s="103"/>
      <c r="O11" s="103"/>
      <c r="P11" s="103"/>
      <c r="Q11" s="103"/>
      <c r="R11" s="103"/>
      <c r="S11" s="103"/>
      <c r="T11" s="103"/>
    </row>
    <row r="12" spans="1:20" ht="12.75" customHeight="1">
      <c r="A12" s="101"/>
      <c r="B12" s="100"/>
      <c r="C12" s="105" t="s">
        <v>356</v>
      </c>
      <c r="D12" s="106"/>
      <c r="E12" s="106"/>
      <c r="F12" s="106"/>
      <c r="G12" s="128"/>
      <c r="H12" s="126"/>
      <c r="I12" s="100"/>
      <c r="J12" s="101"/>
      <c r="K12" s="103"/>
      <c r="L12" s="103"/>
      <c r="M12" s="103"/>
      <c r="N12" s="103"/>
      <c r="O12" s="103"/>
      <c r="P12" s="103"/>
      <c r="Q12" s="103"/>
      <c r="R12" s="103"/>
      <c r="S12" s="103"/>
      <c r="T12" s="103"/>
    </row>
    <row r="13" spans="1:20" ht="12.75" customHeight="1">
      <c r="A13" s="101"/>
      <c r="B13" s="100"/>
      <c r="C13" s="107"/>
      <c r="D13" s="108"/>
      <c r="E13" s="108"/>
      <c r="F13" s="108"/>
      <c r="G13" s="129"/>
      <c r="H13" s="126"/>
      <c r="I13" s="100"/>
      <c r="J13" s="101"/>
      <c r="K13" s="103"/>
      <c r="L13" s="103"/>
      <c r="M13" s="103"/>
      <c r="N13" s="103"/>
      <c r="O13" s="103"/>
      <c r="P13" s="103"/>
      <c r="Q13" s="103"/>
      <c r="R13" s="103"/>
      <c r="S13" s="103"/>
      <c r="T13" s="103"/>
    </row>
    <row r="14" spans="1:20" ht="12.75" customHeight="1">
      <c r="A14" s="101"/>
      <c r="B14" s="100"/>
      <c r="C14" s="113" t="s">
        <v>325</v>
      </c>
      <c r="D14" s="114"/>
      <c r="E14" s="114"/>
      <c r="F14" s="115"/>
      <c r="G14" s="87"/>
      <c r="H14" s="126"/>
      <c r="I14" s="100"/>
      <c r="J14" s="101"/>
      <c r="K14" s="103"/>
      <c r="L14" s="103"/>
      <c r="M14" s="103"/>
      <c r="N14" s="103"/>
      <c r="O14" s="103"/>
      <c r="P14" s="103"/>
      <c r="Q14" s="103"/>
      <c r="R14" s="103"/>
      <c r="S14" s="103"/>
      <c r="T14" s="103"/>
    </row>
    <row r="15" spans="1:20" ht="12.75" customHeight="1">
      <c r="A15" s="101"/>
      <c r="B15" s="100"/>
      <c r="C15" s="109" t="s">
        <v>316</v>
      </c>
      <c r="D15" s="110"/>
      <c r="E15" s="110"/>
      <c r="F15" s="111"/>
      <c r="G15" s="87"/>
      <c r="H15" s="126"/>
      <c r="I15" s="100"/>
      <c r="J15" s="101"/>
      <c r="K15" s="103"/>
      <c r="L15" s="103"/>
      <c r="M15" s="103"/>
      <c r="N15" s="103"/>
      <c r="O15" s="103"/>
      <c r="P15" s="103"/>
      <c r="Q15" s="103"/>
      <c r="R15" s="103"/>
      <c r="S15" s="103"/>
      <c r="T15" s="103"/>
    </row>
    <row r="16" spans="1:20" ht="12.75" customHeight="1">
      <c r="A16" s="101"/>
      <c r="B16" s="100"/>
      <c r="C16" s="109" t="s">
        <v>317</v>
      </c>
      <c r="D16" s="110"/>
      <c r="E16" s="110"/>
      <c r="F16" s="111"/>
      <c r="G16" s="87"/>
      <c r="H16" s="126"/>
      <c r="I16" s="100"/>
      <c r="J16" s="101"/>
      <c r="K16" s="103"/>
      <c r="L16" s="103"/>
      <c r="M16" s="103"/>
      <c r="N16" s="103"/>
      <c r="O16" s="103"/>
      <c r="P16" s="103"/>
      <c r="Q16" s="103"/>
      <c r="R16" s="103"/>
      <c r="S16" s="103"/>
      <c r="T16" s="103"/>
    </row>
    <row r="17" spans="1:20" ht="12.75" customHeight="1">
      <c r="A17" s="101"/>
      <c r="B17" s="100"/>
      <c r="C17" s="113" t="s">
        <v>315</v>
      </c>
      <c r="D17" s="114"/>
      <c r="E17" s="114"/>
      <c r="F17" s="115"/>
      <c r="G17" s="87"/>
      <c r="H17" s="126"/>
      <c r="I17" s="100"/>
      <c r="J17" s="101"/>
      <c r="K17" s="103"/>
      <c r="L17" s="103"/>
      <c r="M17" s="103"/>
      <c r="N17" s="103"/>
      <c r="O17" s="103"/>
      <c r="P17" s="103"/>
      <c r="Q17" s="103"/>
      <c r="R17" s="103"/>
      <c r="S17" s="103"/>
      <c r="T17" s="103"/>
    </row>
    <row r="18" spans="1:20" ht="12.75" customHeight="1">
      <c r="A18" s="101"/>
      <c r="B18" s="100"/>
      <c r="C18" s="109" t="s">
        <v>460</v>
      </c>
      <c r="D18" s="110"/>
      <c r="E18" s="110"/>
      <c r="F18" s="111"/>
      <c r="G18" s="87"/>
      <c r="H18" s="126"/>
      <c r="I18" s="100"/>
      <c r="J18" s="101"/>
      <c r="K18" s="103"/>
      <c r="L18" s="103"/>
      <c r="M18" s="103"/>
      <c r="N18" s="103"/>
      <c r="O18" s="103"/>
      <c r="P18" s="103"/>
      <c r="Q18" s="103"/>
      <c r="R18" s="103"/>
      <c r="S18" s="103"/>
      <c r="T18" s="103"/>
    </row>
    <row r="19" spans="1:20" ht="12.75" customHeight="1">
      <c r="A19" s="101"/>
      <c r="B19" s="100"/>
      <c r="C19" s="430" t="s">
        <v>555</v>
      </c>
      <c r="D19" s="342"/>
      <c r="E19" s="342"/>
      <c r="F19" s="303"/>
      <c r="G19" s="87"/>
      <c r="H19" s="126"/>
      <c r="I19" s="100"/>
      <c r="J19" s="101"/>
      <c r="K19" s="103"/>
      <c r="L19" s="103"/>
      <c r="M19" s="103"/>
      <c r="N19" s="103"/>
      <c r="O19" s="103"/>
      <c r="P19" s="103"/>
      <c r="Q19" s="103"/>
      <c r="R19" s="103"/>
      <c r="S19" s="103"/>
      <c r="T19" s="103"/>
    </row>
    <row r="20" spans="1:20" ht="12.75" customHeight="1">
      <c r="A20" s="101"/>
      <c r="B20" s="100"/>
      <c r="C20" s="430" t="s">
        <v>767</v>
      </c>
      <c r="D20" s="342"/>
      <c r="E20" s="342"/>
      <c r="F20" s="303"/>
      <c r="G20" s="87"/>
      <c r="H20" s="126"/>
      <c r="I20" s="100"/>
      <c r="J20" s="101"/>
      <c r="K20" s="103"/>
      <c r="L20" s="103"/>
      <c r="M20" s="103"/>
      <c r="N20" s="103"/>
      <c r="O20" s="118"/>
      <c r="P20" s="103"/>
      <c r="Q20" s="103"/>
      <c r="R20" s="103"/>
      <c r="S20" s="103"/>
      <c r="T20" s="103"/>
    </row>
    <row r="21" spans="1:20" ht="12.75" customHeight="1">
      <c r="A21" s="101"/>
      <c r="B21" s="100"/>
      <c r="C21" s="116" t="s">
        <v>319</v>
      </c>
      <c r="D21" s="106"/>
      <c r="E21" s="116" t="s">
        <v>321</v>
      </c>
      <c r="F21" s="117"/>
      <c r="G21" s="87"/>
      <c r="H21" s="126"/>
      <c r="I21" s="100"/>
      <c r="J21" s="101"/>
      <c r="K21" s="103"/>
      <c r="L21" s="103"/>
      <c r="M21" s="103"/>
      <c r="N21" s="103"/>
      <c r="O21" s="103"/>
      <c r="P21" s="103"/>
      <c r="Q21" s="103"/>
      <c r="R21" s="103"/>
      <c r="S21" s="103"/>
      <c r="T21" s="103"/>
    </row>
    <row r="22" spans="1:20" ht="12.75" customHeight="1">
      <c r="A22" s="101"/>
      <c r="B22" s="100"/>
      <c r="C22" s="113"/>
      <c r="D22" s="114"/>
      <c r="E22" s="113" t="s">
        <v>322</v>
      </c>
      <c r="F22" s="115"/>
      <c r="G22" s="87"/>
      <c r="H22" s="126"/>
      <c r="I22" s="100"/>
      <c r="J22" s="101"/>
      <c r="K22" s="103"/>
      <c r="L22" s="103"/>
      <c r="M22" s="103"/>
      <c r="N22" s="103"/>
      <c r="O22" s="103"/>
      <c r="P22" s="103"/>
      <c r="Q22" s="103"/>
      <c r="R22" s="103"/>
      <c r="S22" s="103"/>
      <c r="T22" s="103"/>
    </row>
    <row r="23" spans="1:20" ht="12.75" customHeight="1">
      <c r="A23" s="101"/>
      <c r="B23" s="100"/>
      <c r="C23" s="107"/>
      <c r="D23" s="108"/>
      <c r="E23" s="107" t="s">
        <v>323</v>
      </c>
      <c r="F23" s="112"/>
      <c r="G23" s="87"/>
      <c r="H23" s="126"/>
      <c r="I23" s="100"/>
      <c r="J23" s="101"/>
      <c r="K23" s="103"/>
      <c r="L23" s="103"/>
      <c r="M23" s="103"/>
      <c r="N23" s="103"/>
      <c r="O23" s="103"/>
      <c r="P23" s="103"/>
      <c r="Q23" s="103"/>
      <c r="R23" s="103"/>
      <c r="S23" s="103"/>
      <c r="T23" s="103"/>
    </row>
    <row r="24" spans="1:20" ht="12.75" customHeight="1">
      <c r="A24" s="101"/>
      <c r="B24" s="100"/>
      <c r="C24" s="116" t="s">
        <v>320</v>
      </c>
      <c r="D24" s="106"/>
      <c r="E24" s="116" t="s">
        <v>321</v>
      </c>
      <c r="F24" s="117"/>
      <c r="G24" s="87"/>
      <c r="H24" s="126"/>
      <c r="I24" s="100"/>
      <c r="J24" s="101"/>
      <c r="K24" s="103"/>
      <c r="L24" s="103"/>
      <c r="M24" s="103"/>
      <c r="N24" s="103"/>
      <c r="O24" s="103"/>
      <c r="P24" s="103"/>
      <c r="Q24" s="103"/>
      <c r="R24" s="103"/>
      <c r="S24" s="103"/>
      <c r="T24" s="103"/>
    </row>
    <row r="25" spans="1:20" ht="12.75" customHeight="1">
      <c r="A25" s="101"/>
      <c r="B25" s="100"/>
      <c r="C25" s="113"/>
      <c r="D25" s="114"/>
      <c r="E25" s="113" t="s">
        <v>322</v>
      </c>
      <c r="F25" s="115"/>
      <c r="G25" s="87"/>
      <c r="H25" s="126"/>
      <c r="I25" s="100"/>
      <c r="J25" s="101"/>
      <c r="K25" s="103"/>
      <c r="L25" s="103"/>
      <c r="M25" s="103"/>
      <c r="N25" s="103"/>
      <c r="O25" s="103"/>
      <c r="P25" s="103"/>
      <c r="Q25" s="103"/>
      <c r="R25" s="103"/>
      <c r="S25" s="103"/>
      <c r="T25" s="103"/>
    </row>
    <row r="26" spans="1:20" ht="12.75" customHeight="1">
      <c r="A26" s="101"/>
      <c r="B26" s="100"/>
      <c r="C26" s="107"/>
      <c r="D26" s="108"/>
      <c r="E26" s="107" t="s">
        <v>323</v>
      </c>
      <c r="F26" s="112"/>
      <c r="G26" s="87"/>
      <c r="H26" s="127"/>
      <c r="I26" s="100"/>
      <c r="J26" s="101"/>
      <c r="K26" s="103"/>
      <c r="L26" s="103"/>
      <c r="M26" s="103"/>
      <c r="N26" s="103"/>
      <c r="O26" s="103"/>
      <c r="P26" s="103"/>
      <c r="Q26" s="103"/>
      <c r="R26" s="103"/>
      <c r="S26" s="103"/>
      <c r="T26" s="103"/>
    </row>
    <row r="27" spans="1:20" ht="12.75" customHeight="1">
      <c r="A27" s="101"/>
      <c r="B27" s="100"/>
      <c r="C27" s="109" t="s">
        <v>318</v>
      </c>
      <c r="D27" s="110"/>
      <c r="E27" s="110"/>
      <c r="F27" s="111"/>
      <c r="G27" s="87"/>
      <c r="H27" s="125"/>
      <c r="I27" s="100"/>
      <c r="J27" s="101"/>
      <c r="K27" s="103"/>
      <c r="L27" s="103"/>
      <c r="M27" s="103"/>
      <c r="N27" s="103"/>
      <c r="O27" s="103"/>
      <c r="P27" s="103"/>
      <c r="Q27" s="103"/>
      <c r="R27" s="103"/>
      <c r="S27" s="103"/>
      <c r="T27" s="103"/>
    </row>
    <row r="28" spans="1:20" ht="12.75" customHeight="1">
      <c r="A28" s="101"/>
      <c r="B28" s="100"/>
      <c r="C28" s="430" t="s">
        <v>564</v>
      </c>
      <c r="D28" s="342"/>
      <c r="E28" s="342"/>
      <c r="F28" s="303"/>
      <c r="G28" s="87"/>
      <c r="H28" s="127"/>
      <c r="I28" s="100"/>
      <c r="J28" s="101"/>
      <c r="K28" s="103"/>
      <c r="L28" s="103"/>
      <c r="M28" s="103"/>
      <c r="N28" s="103"/>
      <c r="O28" s="103"/>
      <c r="P28" s="103"/>
      <c r="Q28" s="103"/>
      <c r="R28" s="103"/>
      <c r="S28" s="103"/>
      <c r="T28" s="103"/>
    </row>
    <row r="29" spans="1:20" ht="12.75" customHeight="1">
      <c r="A29" s="101"/>
      <c r="B29" s="100"/>
      <c r="C29" s="430" t="s">
        <v>567</v>
      </c>
      <c r="D29" s="342"/>
      <c r="E29" s="342"/>
      <c r="F29" s="303"/>
      <c r="G29" s="284"/>
      <c r="H29" s="127"/>
      <c r="I29" s="100"/>
      <c r="J29" s="101"/>
      <c r="K29" s="103"/>
      <c r="L29" s="103"/>
      <c r="M29" s="103"/>
      <c r="N29" s="103"/>
      <c r="O29" s="103"/>
      <c r="P29" s="103"/>
      <c r="Q29" s="103"/>
      <c r="R29" s="103"/>
      <c r="S29" s="103"/>
      <c r="T29" s="103"/>
    </row>
    <row r="30" spans="1:20" ht="12.75" customHeight="1">
      <c r="A30" s="101"/>
      <c r="B30" s="100"/>
      <c r="C30" s="430" t="s">
        <v>568</v>
      </c>
      <c r="D30" s="342"/>
      <c r="E30" s="342"/>
      <c r="F30" s="303"/>
      <c r="G30" s="284"/>
      <c r="H30" s="127"/>
      <c r="I30" s="100"/>
      <c r="J30" s="101"/>
      <c r="K30" s="103"/>
      <c r="L30" s="103"/>
      <c r="M30" s="103"/>
      <c r="N30" s="103"/>
      <c r="O30" s="103"/>
      <c r="P30" s="103"/>
      <c r="Q30" s="103"/>
      <c r="R30" s="103"/>
      <c r="S30" s="103"/>
      <c r="T30" s="103"/>
    </row>
    <row r="31" spans="1:20" ht="12.75" customHeight="1">
      <c r="A31" s="101"/>
      <c r="B31" s="100"/>
      <c r="C31" s="430" t="s">
        <v>569</v>
      </c>
      <c r="D31" s="342"/>
      <c r="E31" s="342"/>
      <c r="F31" s="303"/>
      <c r="G31" s="87"/>
      <c r="H31" s="127"/>
      <c r="I31" s="100"/>
      <c r="J31" s="101"/>
      <c r="K31" s="103"/>
      <c r="L31" s="103"/>
      <c r="M31" s="103"/>
      <c r="N31" s="103"/>
      <c r="O31" s="103"/>
      <c r="P31" s="103"/>
      <c r="Q31" s="103"/>
      <c r="R31" s="103"/>
      <c r="S31" s="103"/>
      <c r="T31" s="103"/>
    </row>
    <row r="32" spans="1:20" ht="12.75" customHeight="1">
      <c r="A32" s="101"/>
      <c r="B32" s="100"/>
      <c r="C32" s="119" t="s">
        <v>358</v>
      </c>
      <c r="D32" s="114"/>
      <c r="E32" s="114"/>
      <c r="F32" s="114"/>
      <c r="G32" s="89"/>
      <c r="H32" s="125"/>
      <c r="I32" s="100"/>
      <c r="J32" s="101"/>
      <c r="K32" s="103"/>
      <c r="L32" s="103"/>
      <c r="M32" s="103"/>
      <c r="N32" s="103"/>
      <c r="O32" s="103"/>
      <c r="P32" s="103"/>
      <c r="Q32" s="103"/>
      <c r="R32" s="103"/>
      <c r="S32" s="103"/>
      <c r="T32" s="103"/>
    </row>
    <row r="33" spans="1:20" ht="12.75" customHeight="1">
      <c r="A33" s="101"/>
      <c r="B33" s="100"/>
      <c r="C33" s="120" t="s">
        <v>359</v>
      </c>
      <c r="D33" s="108"/>
      <c r="E33" s="108"/>
      <c r="F33" s="112"/>
      <c r="G33" s="88"/>
      <c r="H33" s="127"/>
      <c r="I33" s="100"/>
      <c r="J33" s="101"/>
      <c r="K33" s="103"/>
      <c r="L33" s="103"/>
      <c r="M33" s="103"/>
      <c r="N33" s="103"/>
      <c r="O33" s="103"/>
      <c r="P33" s="103"/>
      <c r="Q33" s="103"/>
      <c r="R33" s="103"/>
      <c r="S33" s="103"/>
      <c r="T33" s="103"/>
    </row>
    <row r="34" spans="1:20" ht="12.75" customHeight="1">
      <c r="A34" s="101"/>
      <c r="B34" s="100"/>
      <c r="C34" s="109" t="s">
        <v>360</v>
      </c>
      <c r="D34" s="110"/>
      <c r="E34" s="110"/>
      <c r="F34" s="111"/>
      <c r="G34" s="87"/>
      <c r="H34" s="125"/>
      <c r="I34" s="100"/>
      <c r="J34" s="101"/>
      <c r="K34" s="103"/>
      <c r="L34" s="103"/>
      <c r="M34" s="103"/>
      <c r="N34" s="103"/>
      <c r="O34" s="103"/>
      <c r="P34" s="103"/>
      <c r="Q34" s="103"/>
      <c r="R34" s="103"/>
      <c r="S34" s="103"/>
      <c r="T34" s="103"/>
    </row>
    <row r="35" spans="1:21" ht="12.75" customHeight="1">
      <c r="A35" s="101"/>
      <c r="B35" s="100"/>
      <c r="C35" s="116" t="s">
        <v>319</v>
      </c>
      <c r="D35" s="106"/>
      <c r="E35" s="116" t="s">
        <v>321</v>
      </c>
      <c r="F35" s="117"/>
      <c r="G35" s="87"/>
      <c r="H35" s="127"/>
      <c r="I35" s="100"/>
      <c r="J35" s="101"/>
      <c r="K35" s="103"/>
      <c r="L35" s="103"/>
      <c r="M35" s="103"/>
      <c r="N35" s="103"/>
      <c r="O35" s="103"/>
      <c r="P35" s="103"/>
      <c r="Q35" s="103"/>
      <c r="R35" s="103"/>
      <c r="S35" s="103"/>
      <c r="T35" s="103"/>
      <c r="U35" s="104"/>
    </row>
    <row r="36" spans="1:21" ht="12.75" customHeight="1">
      <c r="A36" s="101"/>
      <c r="B36" s="100"/>
      <c r="C36" s="113"/>
      <c r="D36" s="114"/>
      <c r="E36" s="113" t="s">
        <v>322</v>
      </c>
      <c r="F36" s="115"/>
      <c r="G36" s="87"/>
      <c r="H36" s="125"/>
      <c r="I36" s="100"/>
      <c r="J36" s="101"/>
      <c r="K36" s="103"/>
      <c r="L36" s="103"/>
      <c r="M36" s="103"/>
      <c r="N36" s="103"/>
      <c r="O36" s="103"/>
      <c r="P36" s="103"/>
      <c r="Q36" s="103"/>
      <c r="R36" s="103"/>
      <c r="S36" s="103"/>
      <c r="T36" s="103"/>
      <c r="U36" s="104"/>
    </row>
    <row r="37" spans="1:21" ht="12.75" customHeight="1">
      <c r="A37" s="101"/>
      <c r="B37" s="100"/>
      <c r="C37" s="107"/>
      <c r="D37" s="108"/>
      <c r="E37" s="107" t="s">
        <v>323</v>
      </c>
      <c r="F37" s="112"/>
      <c r="G37" s="87"/>
      <c r="H37" s="127"/>
      <c r="I37" s="100"/>
      <c r="J37" s="101"/>
      <c r="K37" s="103"/>
      <c r="L37" s="103"/>
      <c r="M37" s="103"/>
      <c r="N37" s="103"/>
      <c r="O37" s="103"/>
      <c r="P37" s="103"/>
      <c r="Q37" s="103"/>
      <c r="R37" s="103"/>
      <c r="S37" s="103"/>
      <c r="T37" s="103"/>
      <c r="U37" s="104"/>
    </row>
    <row r="38" spans="1:21" ht="12.75" customHeight="1">
      <c r="A38" s="101"/>
      <c r="B38" s="100"/>
      <c r="C38" s="109" t="s">
        <v>361</v>
      </c>
      <c r="D38" s="110"/>
      <c r="E38" s="110"/>
      <c r="F38" s="111"/>
      <c r="G38" s="80"/>
      <c r="H38" s="125"/>
      <c r="I38" s="100"/>
      <c r="J38" s="101"/>
      <c r="K38" s="103"/>
      <c r="L38" s="103"/>
      <c r="M38" s="103"/>
      <c r="N38" s="103"/>
      <c r="O38" s="103"/>
      <c r="P38" s="103"/>
      <c r="Q38" s="103"/>
      <c r="R38" s="103"/>
      <c r="S38" s="103"/>
      <c r="T38" s="103"/>
      <c r="U38" s="104"/>
    </row>
    <row r="39" spans="1:21" ht="12.75" customHeight="1">
      <c r="A39" s="101"/>
      <c r="B39" s="100"/>
      <c r="C39" s="109" t="s">
        <v>362</v>
      </c>
      <c r="D39" s="110"/>
      <c r="E39" s="110"/>
      <c r="F39" s="111"/>
      <c r="G39" s="284"/>
      <c r="H39" s="127"/>
      <c r="I39" s="100"/>
      <c r="J39" s="101"/>
      <c r="K39" s="103"/>
      <c r="L39" s="103"/>
      <c r="M39" s="103"/>
      <c r="N39" s="103"/>
      <c r="O39" s="103"/>
      <c r="P39" s="103"/>
      <c r="Q39" s="103"/>
      <c r="R39" s="103"/>
      <c r="S39" s="103"/>
      <c r="T39" s="103"/>
      <c r="U39" s="104"/>
    </row>
    <row r="40" spans="1:21" ht="12.75" customHeight="1">
      <c r="A40" s="101"/>
      <c r="B40" s="100"/>
      <c r="C40" s="109" t="s">
        <v>363</v>
      </c>
      <c r="D40" s="110"/>
      <c r="E40" s="110"/>
      <c r="F40" s="111"/>
      <c r="G40" s="284"/>
      <c r="H40" s="125"/>
      <c r="I40" s="100"/>
      <c r="J40" s="101"/>
      <c r="K40" s="103"/>
      <c r="L40" s="103"/>
      <c r="M40" s="103"/>
      <c r="N40" s="103"/>
      <c r="O40" s="103"/>
      <c r="P40" s="103"/>
      <c r="Q40" s="103"/>
      <c r="R40" s="103"/>
      <c r="S40" s="103"/>
      <c r="T40" s="103"/>
      <c r="U40" s="104"/>
    </row>
    <row r="41" spans="1:21" ht="12.75" customHeight="1">
      <c r="A41" s="101"/>
      <c r="B41" s="100"/>
      <c r="C41" s="109" t="s">
        <v>364</v>
      </c>
      <c r="D41" s="110"/>
      <c r="E41" s="110"/>
      <c r="F41" s="111"/>
      <c r="G41" s="90"/>
      <c r="H41" s="127"/>
      <c r="I41" s="100"/>
      <c r="J41" s="101"/>
      <c r="K41" s="103"/>
      <c r="L41" s="103"/>
      <c r="M41" s="103"/>
      <c r="N41" s="103"/>
      <c r="O41" s="103"/>
      <c r="P41" s="103"/>
      <c r="Q41" s="103"/>
      <c r="R41" s="103"/>
      <c r="S41" s="103"/>
      <c r="T41" s="103"/>
      <c r="U41" s="104"/>
    </row>
    <row r="42" spans="1:21" ht="12.75" customHeight="1">
      <c r="A42" s="101"/>
      <c r="B42" s="100"/>
      <c r="C42" s="109" t="s">
        <v>365</v>
      </c>
      <c r="D42" s="110"/>
      <c r="E42" s="110"/>
      <c r="F42" s="111"/>
      <c r="G42" s="87"/>
      <c r="H42" s="127"/>
      <c r="I42" s="100"/>
      <c r="J42" s="101"/>
      <c r="K42" s="103"/>
      <c r="L42" s="103"/>
      <c r="M42" s="103"/>
      <c r="N42" s="103"/>
      <c r="O42" s="103"/>
      <c r="P42" s="103"/>
      <c r="Q42" s="103"/>
      <c r="R42" s="103"/>
      <c r="S42" s="103"/>
      <c r="T42" s="103"/>
      <c r="U42" s="104"/>
    </row>
    <row r="43" spans="1:21" ht="12.75" customHeight="1">
      <c r="A43" s="101"/>
      <c r="B43" s="100"/>
      <c r="C43" s="119" t="s">
        <v>1029</v>
      </c>
      <c r="D43" s="114"/>
      <c r="E43" s="114"/>
      <c r="F43" s="114"/>
      <c r="G43" s="201"/>
      <c r="H43" s="127"/>
      <c r="I43" s="100"/>
      <c r="J43" s="101"/>
      <c r="K43" s="103"/>
      <c r="L43" s="103"/>
      <c r="M43" s="103"/>
      <c r="N43" s="103"/>
      <c r="O43" s="103"/>
      <c r="P43" s="103"/>
      <c r="Q43" s="103"/>
      <c r="R43" s="103"/>
      <c r="S43" s="103"/>
      <c r="T43" s="103"/>
      <c r="U43" s="104"/>
    </row>
    <row r="44" spans="1:21" ht="12.75" customHeight="1">
      <c r="A44" s="101"/>
      <c r="B44" s="100"/>
      <c r="C44" s="120"/>
      <c r="D44" s="108"/>
      <c r="E44" s="108"/>
      <c r="F44" s="112"/>
      <c r="G44" s="88"/>
      <c r="H44" s="127"/>
      <c r="I44" s="100"/>
      <c r="J44" s="101"/>
      <c r="K44" s="103"/>
      <c r="L44" s="103"/>
      <c r="M44" s="103"/>
      <c r="N44" s="103"/>
      <c r="O44" s="103"/>
      <c r="P44" s="103"/>
      <c r="Q44" s="103"/>
      <c r="R44" s="103"/>
      <c r="S44" s="103"/>
      <c r="T44" s="103"/>
      <c r="U44" s="104"/>
    </row>
    <row r="45" spans="1:21" ht="12.75" customHeight="1">
      <c r="A45" s="101"/>
      <c r="B45" s="100"/>
      <c r="C45" s="119" t="s">
        <v>366</v>
      </c>
      <c r="D45" s="114"/>
      <c r="E45" s="114"/>
      <c r="F45" s="115"/>
      <c r="G45" s="90"/>
      <c r="H45" s="125"/>
      <c r="I45" s="100"/>
      <c r="J45" s="101"/>
      <c r="K45" s="103"/>
      <c r="L45" s="103"/>
      <c r="M45" s="103"/>
      <c r="N45" s="103"/>
      <c r="O45" s="103"/>
      <c r="P45" s="103"/>
      <c r="Q45" s="103"/>
      <c r="R45" s="103"/>
      <c r="S45" s="103"/>
      <c r="T45" s="103"/>
      <c r="U45" s="104"/>
    </row>
    <row r="46" spans="1:21" ht="12.75" customHeight="1">
      <c r="A46" s="101"/>
      <c r="B46" s="100"/>
      <c r="C46" s="116" t="s">
        <v>324</v>
      </c>
      <c r="D46" s="117"/>
      <c r="E46" s="116" t="s">
        <v>327</v>
      </c>
      <c r="F46" s="117"/>
      <c r="G46" s="87"/>
      <c r="H46" s="127"/>
      <c r="I46" s="100"/>
      <c r="J46" s="101"/>
      <c r="K46" s="103"/>
      <c r="L46" s="103"/>
      <c r="M46" s="103"/>
      <c r="N46" s="103"/>
      <c r="O46" s="103"/>
      <c r="P46" s="103"/>
      <c r="Q46" s="103"/>
      <c r="R46" s="103"/>
      <c r="S46" s="103"/>
      <c r="T46" s="103"/>
      <c r="U46" s="104"/>
    </row>
    <row r="47" spans="1:21" ht="12.75" customHeight="1">
      <c r="A47" s="101"/>
      <c r="B47" s="100"/>
      <c r="C47" s="113"/>
      <c r="D47" s="115"/>
      <c r="E47" s="113" t="s">
        <v>321</v>
      </c>
      <c r="F47" s="115"/>
      <c r="G47" s="198"/>
      <c r="H47" s="125"/>
      <c r="I47" s="100"/>
      <c r="J47" s="101"/>
      <c r="K47" s="103"/>
      <c r="L47" s="103"/>
      <c r="M47" s="103"/>
      <c r="N47" s="103"/>
      <c r="O47" s="103"/>
      <c r="P47" s="103"/>
      <c r="Q47" s="103"/>
      <c r="R47" s="103"/>
      <c r="S47" s="103"/>
      <c r="T47" s="103"/>
      <c r="U47" s="104"/>
    </row>
    <row r="48" spans="1:21" ht="12.75" customHeight="1">
      <c r="A48" s="101"/>
      <c r="B48" s="100"/>
      <c r="C48" s="113"/>
      <c r="D48" s="115"/>
      <c r="E48" s="113" t="s">
        <v>322</v>
      </c>
      <c r="F48" s="115"/>
      <c r="G48" s="87"/>
      <c r="H48" s="127"/>
      <c r="I48" s="100"/>
      <c r="J48" s="101"/>
      <c r="K48" s="103"/>
      <c r="L48" s="103"/>
      <c r="M48" s="103"/>
      <c r="N48" s="103"/>
      <c r="O48" s="103"/>
      <c r="P48" s="103"/>
      <c r="Q48" s="103"/>
      <c r="R48" s="103"/>
      <c r="S48" s="103"/>
      <c r="T48" s="103"/>
      <c r="U48" s="104"/>
    </row>
    <row r="49" spans="1:20" s="104" customFormat="1" ht="12.75" customHeight="1">
      <c r="A49" s="101"/>
      <c r="B49" s="100"/>
      <c r="C49" s="107"/>
      <c r="D49" s="112"/>
      <c r="E49" s="107" t="s">
        <v>323</v>
      </c>
      <c r="F49" s="112"/>
      <c r="G49" s="87"/>
      <c r="H49" s="125"/>
      <c r="I49" s="100"/>
      <c r="J49" s="101"/>
      <c r="K49" s="103"/>
      <c r="L49" s="103"/>
      <c r="M49" s="103"/>
      <c r="N49" s="103"/>
      <c r="O49" s="103"/>
      <c r="P49" s="103"/>
      <c r="Q49" s="103"/>
      <c r="R49" s="103"/>
      <c r="S49" s="103"/>
      <c r="T49" s="103"/>
    </row>
    <row r="50" spans="1:20" s="104" customFormat="1" ht="12.75" customHeight="1">
      <c r="A50" s="101"/>
      <c r="B50" s="100"/>
      <c r="C50" s="105" t="s">
        <v>328</v>
      </c>
      <c r="D50" s="106"/>
      <c r="E50" s="106"/>
      <c r="F50" s="106"/>
      <c r="G50" s="89" t="s">
        <v>329</v>
      </c>
      <c r="H50" s="122" t="s">
        <v>330</v>
      </c>
      <c r="I50" s="100"/>
      <c r="J50" s="101"/>
      <c r="K50" s="103"/>
      <c r="L50" s="103"/>
      <c r="M50" s="103"/>
      <c r="N50" s="103"/>
      <c r="O50" s="103"/>
      <c r="P50" s="103"/>
      <c r="Q50" s="103"/>
      <c r="R50" s="103"/>
      <c r="S50" s="103"/>
      <c r="T50" s="103"/>
    </row>
    <row r="51" spans="1:20" s="104" customFormat="1" ht="12.75" customHeight="1">
      <c r="A51" s="101"/>
      <c r="B51" s="100"/>
      <c r="C51" s="107"/>
      <c r="D51" s="108"/>
      <c r="E51" s="108"/>
      <c r="F51" s="108"/>
      <c r="G51" s="88"/>
      <c r="H51" s="123" t="s">
        <v>331</v>
      </c>
      <c r="I51" s="100"/>
      <c r="J51" s="101"/>
      <c r="K51" s="103"/>
      <c r="L51" s="103"/>
      <c r="M51" s="103"/>
      <c r="N51" s="103"/>
      <c r="O51" s="103"/>
      <c r="P51" s="103"/>
      <c r="Q51" s="103"/>
      <c r="R51" s="103"/>
      <c r="S51" s="103"/>
      <c r="T51" s="103"/>
    </row>
    <row r="52" spans="1:20" s="104" customFormat="1" ht="12.75" customHeight="1">
      <c r="A52" s="101"/>
      <c r="B52" s="100"/>
      <c r="C52" s="100"/>
      <c r="D52" s="100"/>
      <c r="E52" s="100"/>
      <c r="F52" s="100"/>
      <c r="G52" s="80"/>
      <c r="H52" s="130"/>
      <c r="I52" s="100"/>
      <c r="J52" s="101"/>
      <c r="K52" s="103"/>
      <c r="L52" s="103"/>
      <c r="M52" s="103"/>
      <c r="N52" s="103"/>
      <c r="O52" s="103"/>
      <c r="P52" s="103"/>
      <c r="Q52" s="103"/>
      <c r="R52" s="103"/>
      <c r="S52" s="103"/>
      <c r="T52" s="103"/>
    </row>
    <row r="53" spans="1:20" s="104" customFormat="1" ht="12.75" customHeight="1">
      <c r="A53" s="101"/>
      <c r="B53" s="100"/>
      <c r="C53" s="100"/>
      <c r="D53" s="100"/>
      <c r="E53" s="100"/>
      <c r="F53" s="100"/>
      <c r="G53" s="80"/>
      <c r="H53" s="130"/>
      <c r="I53" s="100"/>
      <c r="J53" s="101"/>
      <c r="K53" s="103"/>
      <c r="L53" s="103"/>
      <c r="M53" s="103"/>
      <c r="N53" s="103"/>
      <c r="O53" s="103"/>
      <c r="P53" s="103"/>
      <c r="Q53" s="103"/>
      <c r="R53" s="103"/>
      <c r="S53" s="103"/>
      <c r="T53" s="103"/>
    </row>
    <row r="54" spans="1:20" s="104" customFormat="1" ht="12.75" customHeight="1">
      <c r="A54" s="101"/>
      <c r="B54" s="100"/>
      <c r="C54" s="100"/>
      <c r="D54" s="100"/>
      <c r="E54" s="100"/>
      <c r="F54" s="100"/>
      <c r="G54" s="80"/>
      <c r="H54" s="130"/>
      <c r="I54" s="100"/>
      <c r="J54" s="101"/>
      <c r="K54" s="177"/>
      <c r="L54" s="103"/>
      <c r="M54" s="103"/>
      <c r="N54" s="103"/>
      <c r="O54" s="178"/>
      <c r="P54" s="103"/>
      <c r="Q54" s="103"/>
      <c r="R54" s="103"/>
      <c r="S54" s="103"/>
      <c r="T54" s="103"/>
    </row>
    <row r="55" spans="1:20" s="104" customFormat="1" ht="12.75" customHeight="1">
      <c r="A55" s="101"/>
      <c r="B55" s="100"/>
      <c r="C55" s="100"/>
      <c r="D55" s="100"/>
      <c r="E55" s="100"/>
      <c r="F55" s="100"/>
      <c r="G55" s="80"/>
      <c r="H55" s="130"/>
      <c r="I55" s="100"/>
      <c r="J55" s="101"/>
      <c r="K55" s="177"/>
      <c r="L55" s="103"/>
      <c r="M55" s="103"/>
      <c r="N55" s="103"/>
      <c r="O55" s="178"/>
      <c r="P55" s="103"/>
      <c r="Q55" s="103"/>
      <c r="R55" s="103"/>
      <c r="S55" s="103"/>
      <c r="T55" s="103"/>
    </row>
    <row r="56" spans="1:21" s="104" customFormat="1" ht="12.75" customHeight="1">
      <c r="A56" s="101"/>
      <c r="B56" s="100"/>
      <c r="C56" s="100"/>
      <c r="D56" s="100"/>
      <c r="E56" s="100"/>
      <c r="F56" s="100"/>
      <c r="G56" s="80"/>
      <c r="H56" s="130"/>
      <c r="I56" s="100"/>
      <c r="J56" s="101"/>
      <c r="K56" s="177"/>
      <c r="L56" s="103"/>
      <c r="M56" s="103"/>
      <c r="N56" s="103"/>
      <c r="O56" s="178"/>
      <c r="P56" s="103"/>
      <c r="Q56" s="103"/>
      <c r="R56" s="103"/>
      <c r="S56" s="103"/>
      <c r="T56" s="103"/>
      <c r="U56" s="102"/>
    </row>
    <row r="57" spans="1:21" s="104" customFormat="1" ht="12.75" customHeight="1">
      <c r="A57" s="101"/>
      <c r="B57" s="100"/>
      <c r="C57" s="100"/>
      <c r="D57" s="100"/>
      <c r="E57" s="100"/>
      <c r="F57" s="100"/>
      <c r="G57" s="80"/>
      <c r="H57" s="130"/>
      <c r="I57" s="100"/>
      <c r="J57" s="101"/>
      <c r="K57" s="177"/>
      <c r="L57" s="103"/>
      <c r="M57" s="103"/>
      <c r="N57" s="103"/>
      <c r="O57" s="178"/>
      <c r="P57" s="103"/>
      <c r="Q57" s="103"/>
      <c r="R57" s="103"/>
      <c r="S57" s="103"/>
      <c r="T57" s="103"/>
      <c r="U57" s="102"/>
    </row>
    <row r="58" spans="1:21" s="104" customFormat="1" ht="12.75" customHeight="1">
      <c r="A58" s="101"/>
      <c r="B58" s="100"/>
      <c r="C58" s="100"/>
      <c r="D58" s="100"/>
      <c r="E58" s="100"/>
      <c r="F58" s="100"/>
      <c r="G58" s="80"/>
      <c r="H58" s="130"/>
      <c r="I58" s="100"/>
      <c r="J58" s="101"/>
      <c r="K58" s="103"/>
      <c r="L58" s="103"/>
      <c r="M58" s="103"/>
      <c r="N58" s="103"/>
      <c r="O58" s="103"/>
      <c r="P58" s="103"/>
      <c r="Q58" s="103"/>
      <c r="R58" s="103"/>
      <c r="S58" s="103"/>
      <c r="T58" s="103"/>
      <c r="U58" s="102"/>
    </row>
    <row r="59" spans="1:10" s="121" customFormat="1" ht="12.75" customHeight="1">
      <c r="A59" s="101"/>
      <c r="B59" s="100"/>
      <c r="C59" s="100"/>
      <c r="D59" s="100"/>
      <c r="E59" s="100"/>
      <c r="F59" s="100"/>
      <c r="G59" s="80"/>
      <c r="H59" s="130"/>
      <c r="I59" s="100"/>
      <c r="J59" s="101"/>
    </row>
    <row r="60" spans="1:10" s="121" customFormat="1" ht="12.75" customHeight="1">
      <c r="A60" s="101"/>
      <c r="B60" s="100"/>
      <c r="C60" s="100"/>
      <c r="D60" s="100"/>
      <c r="E60" s="100"/>
      <c r="F60" s="100"/>
      <c r="G60" s="80"/>
      <c r="H60" s="130"/>
      <c r="I60" s="100"/>
      <c r="J60" s="101"/>
    </row>
    <row r="61" spans="1:10" s="121" customFormat="1" ht="12.75">
      <c r="A61" s="101"/>
      <c r="B61" s="100"/>
      <c r="C61" s="341" t="s">
        <v>973</v>
      </c>
      <c r="D61" s="431"/>
      <c r="E61" s="431"/>
      <c r="F61" s="432"/>
      <c r="G61" s="100"/>
      <c r="H61" s="100"/>
      <c r="I61" s="100"/>
      <c r="J61" s="101"/>
    </row>
    <row r="62" spans="1:10" s="121" customFormat="1" ht="12.75">
      <c r="A62" s="101"/>
      <c r="B62" s="100"/>
      <c r="C62" s="430" t="s">
        <v>972</v>
      </c>
      <c r="D62" s="342"/>
      <c r="E62" s="342"/>
      <c r="F62" s="303"/>
      <c r="G62" s="87"/>
      <c r="H62" s="100"/>
      <c r="I62" s="100"/>
      <c r="J62" s="101"/>
    </row>
    <row r="63" spans="1:10" s="121" customFormat="1" ht="12.75">
      <c r="A63" s="101"/>
      <c r="B63" s="100"/>
      <c r="C63" s="430" t="s">
        <v>974</v>
      </c>
      <c r="D63" s="342"/>
      <c r="E63" s="342"/>
      <c r="F63" s="303"/>
      <c r="G63" s="284"/>
      <c r="H63" s="100"/>
      <c r="I63" s="100"/>
      <c r="J63" s="101"/>
    </row>
    <row r="64" spans="1:10" s="121" customFormat="1" ht="13.5" thickBot="1">
      <c r="A64" s="101"/>
      <c r="B64" s="100"/>
      <c r="C64" s="114"/>
      <c r="D64" s="114"/>
      <c r="E64" s="114"/>
      <c r="F64" s="114"/>
      <c r="G64" s="114"/>
      <c r="H64" s="100"/>
      <c r="I64" s="100"/>
      <c r="J64" s="101"/>
    </row>
    <row r="65" spans="1:10" s="121" customFormat="1" ht="36" customHeight="1" thickBot="1">
      <c r="A65" s="101"/>
      <c r="B65" s="100"/>
      <c r="C65" s="433" t="s">
        <v>1022</v>
      </c>
      <c r="D65" s="434"/>
      <c r="E65" s="434"/>
      <c r="F65" s="434"/>
      <c r="G65" s="435"/>
      <c r="H65" s="114"/>
      <c r="I65" s="100"/>
      <c r="J65" s="101"/>
    </row>
    <row r="66" spans="1:10" s="121" customFormat="1" ht="13.5" thickBot="1">
      <c r="A66" s="101"/>
      <c r="B66" s="100"/>
      <c r="C66" s="186" t="s">
        <v>980</v>
      </c>
      <c r="D66" s="187" t="s">
        <v>981</v>
      </c>
      <c r="E66" s="187" t="s">
        <v>983</v>
      </c>
      <c r="F66" s="187"/>
      <c r="G66" s="188" t="s">
        <v>984</v>
      </c>
      <c r="H66" s="114"/>
      <c r="I66" s="100"/>
      <c r="J66" s="101"/>
    </row>
    <row r="67" spans="1:10" s="121" customFormat="1" ht="12.75">
      <c r="A67" s="101"/>
      <c r="B67" s="100"/>
      <c r="C67" s="202"/>
      <c r="D67" s="203"/>
      <c r="E67" s="429"/>
      <c r="F67" s="429"/>
      <c r="G67" s="204"/>
      <c r="H67" s="114"/>
      <c r="I67" s="100"/>
      <c r="J67" s="101"/>
    </row>
    <row r="68" spans="1:10" s="121" customFormat="1" ht="12.75">
      <c r="A68" s="101"/>
      <c r="B68" s="100"/>
      <c r="C68" s="202"/>
      <c r="D68" s="203"/>
      <c r="E68" s="429"/>
      <c r="F68" s="429"/>
      <c r="G68" s="204"/>
      <c r="H68" s="114"/>
      <c r="I68" s="100"/>
      <c r="J68" s="101"/>
    </row>
    <row r="69" spans="1:10" s="121" customFormat="1" ht="12.75">
      <c r="A69" s="101"/>
      <c r="B69" s="100"/>
      <c r="C69" s="114"/>
      <c r="D69" s="114"/>
      <c r="E69" s="114"/>
      <c r="F69" s="114"/>
      <c r="G69" s="114"/>
      <c r="H69" s="100"/>
      <c r="I69" s="100"/>
      <c r="J69" s="101"/>
    </row>
    <row r="70" spans="1:10" s="121" customFormat="1" ht="12.75">
      <c r="A70" s="101"/>
      <c r="B70" s="100"/>
      <c r="C70" s="114"/>
      <c r="D70" s="114"/>
      <c r="E70" s="114"/>
      <c r="F70" s="114"/>
      <c r="G70" s="114"/>
      <c r="H70" s="100"/>
      <c r="I70" s="100"/>
      <c r="J70" s="101"/>
    </row>
    <row r="71" spans="1:10" s="121" customFormat="1" ht="12.75">
      <c r="A71" s="101"/>
      <c r="B71" s="100"/>
      <c r="C71" s="114"/>
      <c r="D71" s="114"/>
      <c r="E71" s="114"/>
      <c r="F71" s="114"/>
      <c r="G71" s="114"/>
      <c r="H71" s="100"/>
      <c r="I71" s="100"/>
      <c r="J71" s="101"/>
    </row>
    <row r="72" spans="1:10" s="121" customFormat="1" ht="12.75">
      <c r="A72" s="101"/>
      <c r="B72" s="100"/>
      <c r="C72" s="114"/>
      <c r="D72" s="114"/>
      <c r="E72" s="114"/>
      <c r="F72" s="114"/>
      <c r="G72" s="114"/>
      <c r="H72" s="100"/>
      <c r="I72" s="100"/>
      <c r="J72" s="101"/>
    </row>
    <row r="73" spans="1:10" s="121" customFormat="1" ht="12.75">
      <c r="A73" s="101"/>
      <c r="B73" s="100"/>
      <c r="C73" s="114"/>
      <c r="D73" s="114"/>
      <c r="E73" s="114"/>
      <c r="F73" s="114"/>
      <c r="G73" s="114"/>
      <c r="H73" s="100"/>
      <c r="I73" s="100"/>
      <c r="J73" s="101"/>
    </row>
    <row r="74" spans="1:10" s="121" customFormat="1" ht="12.75">
      <c r="A74" s="101"/>
      <c r="B74" s="100"/>
      <c r="C74" s="114"/>
      <c r="D74" s="114"/>
      <c r="E74" s="114"/>
      <c r="F74" s="114"/>
      <c r="G74" s="114"/>
      <c r="H74" s="100"/>
      <c r="I74" s="100"/>
      <c r="J74" s="101"/>
    </row>
    <row r="75" spans="1:10" s="121" customFormat="1" ht="12.75">
      <c r="A75" s="101"/>
      <c r="B75" s="100"/>
      <c r="C75" s="114"/>
      <c r="D75" s="114"/>
      <c r="E75" s="114"/>
      <c r="F75" s="114"/>
      <c r="G75" s="114"/>
      <c r="H75" s="100"/>
      <c r="I75" s="100"/>
      <c r="J75" s="101"/>
    </row>
    <row r="76" spans="1:10" s="121" customFormat="1" ht="12.75">
      <c r="A76" s="101"/>
      <c r="B76" s="100"/>
      <c r="C76" s="114"/>
      <c r="D76" s="114"/>
      <c r="E76" s="114"/>
      <c r="F76" s="114"/>
      <c r="G76" s="114"/>
      <c r="H76" s="100"/>
      <c r="I76" s="100"/>
      <c r="J76" s="101"/>
    </row>
    <row r="77" spans="1:10" s="121" customFormat="1" ht="12.75">
      <c r="A77" s="101"/>
      <c r="B77" s="100"/>
      <c r="C77" s="100"/>
      <c r="D77" s="100"/>
      <c r="E77" s="100"/>
      <c r="F77" s="100"/>
      <c r="G77" s="100"/>
      <c r="H77" s="100"/>
      <c r="I77" s="100"/>
      <c r="J77" s="101"/>
    </row>
    <row r="78" spans="1:10" s="121" customFormat="1" ht="12.75">
      <c r="A78" s="101"/>
      <c r="B78" s="100"/>
      <c r="C78" s="100"/>
      <c r="D78" s="100"/>
      <c r="E78" s="100"/>
      <c r="F78" s="100"/>
      <c r="G78" s="100"/>
      <c r="H78" s="100"/>
      <c r="I78" s="100"/>
      <c r="J78" s="101"/>
    </row>
    <row r="79" spans="1:21" s="104" customFormat="1" ht="12.75">
      <c r="A79" s="101"/>
      <c r="B79" s="101"/>
      <c r="C79" s="101"/>
      <c r="D79" s="101"/>
      <c r="E79" s="101"/>
      <c r="F79" s="101"/>
      <c r="G79" s="101"/>
      <c r="H79" s="101"/>
      <c r="I79" s="101"/>
      <c r="J79" s="101"/>
      <c r="K79" s="121"/>
      <c r="L79" s="121"/>
      <c r="M79" s="121"/>
      <c r="N79" s="121"/>
      <c r="O79" s="121"/>
      <c r="P79" s="121"/>
      <c r="Q79" s="121"/>
      <c r="R79" s="121"/>
      <c r="S79" s="121"/>
      <c r="T79" s="121"/>
      <c r="U79" s="121"/>
    </row>
    <row r="80" spans="1:21" s="104" customFormat="1" ht="12.75">
      <c r="A80" s="121"/>
      <c r="B80" s="121"/>
      <c r="C80" s="121"/>
      <c r="D80" s="121"/>
      <c r="E80" s="121"/>
      <c r="F80" s="121"/>
      <c r="G80" s="121"/>
      <c r="H80" s="121"/>
      <c r="I80" s="121"/>
      <c r="J80" s="121"/>
      <c r="K80" s="121"/>
      <c r="L80" s="121"/>
      <c r="M80" s="121"/>
      <c r="N80" s="121"/>
      <c r="O80" s="121"/>
      <c r="P80" s="121"/>
      <c r="Q80" s="121"/>
      <c r="R80" s="121"/>
      <c r="S80" s="121"/>
      <c r="T80" s="121"/>
      <c r="U80" s="121"/>
    </row>
    <row r="81" spans="1:21" ht="12.75">
      <c r="A81" s="121"/>
      <c r="B81" s="121"/>
      <c r="C81" s="121"/>
      <c r="D81" s="121"/>
      <c r="E81" s="121"/>
      <c r="F81" s="121"/>
      <c r="G81" s="121"/>
      <c r="H81" s="121"/>
      <c r="I81" s="121"/>
      <c r="J81" s="121"/>
      <c r="K81" s="121"/>
      <c r="L81" s="121"/>
      <c r="M81" s="121"/>
      <c r="N81" s="121"/>
      <c r="O81" s="121"/>
      <c r="P81" s="121"/>
      <c r="Q81" s="121"/>
      <c r="R81" s="121"/>
      <c r="S81" s="121"/>
      <c r="T81" s="121"/>
      <c r="U81" s="121"/>
    </row>
    <row r="82" spans="1:21" ht="12.75">
      <c r="A82" s="121"/>
      <c r="B82" s="121"/>
      <c r="C82" s="121"/>
      <c r="D82" s="121"/>
      <c r="E82" s="121"/>
      <c r="F82" s="121"/>
      <c r="G82" s="121"/>
      <c r="H82" s="121"/>
      <c r="I82" s="121"/>
      <c r="J82" s="121"/>
      <c r="K82" s="121"/>
      <c r="L82" s="121"/>
      <c r="M82" s="121"/>
      <c r="N82" s="121"/>
      <c r="O82" s="121"/>
      <c r="P82" s="121"/>
      <c r="Q82" s="121"/>
      <c r="R82" s="121"/>
      <c r="S82" s="121"/>
      <c r="T82" s="121"/>
      <c r="U82" s="121"/>
    </row>
    <row r="83" spans="1:21" ht="12.75">
      <c r="A83" s="104"/>
      <c r="B83" s="121"/>
      <c r="C83" s="121"/>
      <c r="D83" s="121"/>
      <c r="E83" s="121"/>
      <c r="F83" s="121"/>
      <c r="G83" s="121"/>
      <c r="H83" s="121"/>
      <c r="I83" s="121"/>
      <c r="J83" s="121"/>
      <c r="K83" s="121"/>
      <c r="L83" s="121"/>
      <c r="M83" s="121"/>
      <c r="N83" s="121"/>
      <c r="O83" s="121"/>
      <c r="P83" s="121"/>
      <c r="Q83" s="121"/>
      <c r="R83" s="121"/>
      <c r="S83" s="121"/>
      <c r="T83" s="121"/>
      <c r="U83" s="121"/>
    </row>
    <row r="84" spans="1:21" ht="12.75">
      <c r="A84" s="104"/>
      <c r="B84" s="121"/>
      <c r="C84" s="121"/>
      <c r="D84" s="121"/>
      <c r="E84" s="121"/>
      <c r="F84" s="121"/>
      <c r="G84" s="121"/>
      <c r="H84" s="121"/>
      <c r="I84" s="121"/>
      <c r="J84" s="121"/>
      <c r="K84" s="121"/>
      <c r="L84" s="121"/>
      <c r="M84" s="121"/>
      <c r="N84" s="121"/>
      <c r="O84" s="121"/>
      <c r="P84" s="121"/>
      <c r="Q84" s="121"/>
      <c r="R84" s="121"/>
      <c r="S84" s="121"/>
      <c r="T84" s="121"/>
      <c r="U84" s="121"/>
    </row>
    <row r="85" spans="2:21" ht="12.75">
      <c r="B85" s="121"/>
      <c r="C85" s="121"/>
      <c r="D85" s="121"/>
      <c r="E85" s="121"/>
      <c r="F85" s="121"/>
      <c r="G85" s="121"/>
      <c r="H85" s="121"/>
      <c r="I85" s="121"/>
      <c r="J85" s="121"/>
      <c r="K85" s="121"/>
      <c r="L85" s="121"/>
      <c r="M85" s="121"/>
      <c r="N85" s="121"/>
      <c r="O85" s="121"/>
      <c r="P85" s="121"/>
      <c r="Q85" s="121"/>
      <c r="R85" s="121"/>
      <c r="S85" s="121"/>
      <c r="T85" s="121"/>
      <c r="U85" s="121"/>
    </row>
    <row r="86" spans="2:21" ht="12.75">
      <c r="B86" s="121"/>
      <c r="C86" s="121"/>
      <c r="D86" s="121"/>
      <c r="E86" s="121"/>
      <c r="F86" s="121"/>
      <c r="G86" s="121"/>
      <c r="H86" s="121"/>
      <c r="I86" s="121"/>
      <c r="J86" s="121"/>
      <c r="K86" s="121"/>
      <c r="L86" s="121"/>
      <c r="M86" s="121"/>
      <c r="N86" s="121"/>
      <c r="O86" s="121"/>
      <c r="P86" s="121"/>
      <c r="Q86" s="121"/>
      <c r="R86" s="121"/>
      <c r="S86" s="121"/>
      <c r="T86" s="121"/>
      <c r="U86" s="121"/>
    </row>
    <row r="87" spans="2:21" ht="12.75">
      <c r="B87" s="121"/>
      <c r="C87" s="121"/>
      <c r="D87" s="121"/>
      <c r="E87" s="121"/>
      <c r="F87" s="121"/>
      <c r="G87" s="121"/>
      <c r="H87" s="121"/>
      <c r="I87" s="121"/>
      <c r="J87" s="121"/>
      <c r="K87" s="121"/>
      <c r="L87" s="121"/>
      <c r="M87" s="121"/>
      <c r="N87" s="121"/>
      <c r="O87" s="121"/>
      <c r="P87" s="121"/>
      <c r="Q87" s="121"/>
      <c r="R87" s="121"/>
      <c r="S87" s="121"/>
      <c r="T87" s="121"/>
      <c r="U87" s="121"/>
    </row>
    <row r="88" spans="2:21" ht="12.75">
      <c r="B88" s="121"/>
      <c r="C88" s="121"/>
      <c r="D88" s="121"/>
      <c r="E88" s="121"/>
      <c r="F88" s="121"/>
      <c r="G88" s="121"/>
      <c r="H88" s="121"/>
      <c r="I88" s="121"/>
      <c r="J88" s="121"/>
      <c r="K88" s="121"/>
      <c r="L88" s="121"/>
      <c r="M88" s="121"/>
      <c r="N88" s="121"/>
      <c r="O88" s="121"/>
      <c r="P88" s="121"/>
      <c r="Q88" s="121"/>
      <c r="R88" s="121"/>
      <c r="S88" s="121"/>
      <c r="T88" s="121"/>
      <c r="U88" s="121"/>
    </row>
    <row r="89" spans="2:21" ht="12.75">
      <c r="B89" s="121"/>
      <c r="C89" s="121"/>
      <c r="D89" s="121"/>
      <c r="E89" s="121"/>
      <c r="F89" s="121"/>
      <c r="G89" s="121"/>
      <c r="H89" s="121"/>
      <c r="I89" s="121"/>
      <c r="J89" s="121"/>
      <c r="K89" s="121"/>
      <c r="L89" s="121"/>
      <c r="M89" s="121"/>
      <c r="N89" s="121"/>
      <c r="O89" s="121"/>
      <c r="P89" s="121"/>
      <c r="Q89" s="121"/>
      <c r="R89" s="121"/>
      <c r="S89" s="121"/>
      <c r="T89" s="121"/>
      <c r="U89" s="121"/>
    </row>
    <row r="90" spans="2:21" ht="12.75">
      <c r="B90" s="121"/>
      <c r="C90" s="121"/>
      <c r="D90" s="121"/>
      <c r="E90" s="121"/>
      <c r="F90" s="121"/>
      <c r="G90" s="121"/>
      <c r="H90" s="121"/>
      <c r="I90" s="121"/>
      <c r="J90" s="121"/>
      <c r="K90" s="121"/>
      <c r="L90" s="121"/>
      <c r="M90" s="121"/>
      <c r="N90" s="121"/>
      <c r="O90" s="121"/>
      <c r="P90" s="121"/>
      <c r="Q90" s="121"/>
      <c r="R90" s="121"/>
      <c r="S90" s="121"/>
      <c r="T90" s="121"/>
      <c r="U90" s="121"/>
    </row>
    <row r="91" spans="2:21" ht="12.75">
      <c r="B91" s="121"/>
      <c r="C91" s="121"/>
      <c r="D91" s="121"/>
      <c r="E91" s="121"/>
      <c r="F91" s="121"/>
      <c r="G91" s="121"/>
      <c r="H91" s="121"/>
      <c r="I91" s="121"/>
      <c r="J91" s="121"/>
      <c r="K91" s="121"/>
      <c r="L91" s="121"/>
      <c r="M91" s="121"/>
      <c r="N91" s="121"/>
      <c r="O91" s="121"/>
      <c r="P91" s="121"/>
      <c r="Q91" s="121"/>
      <c r="R91" s="121"/>
      <c r="S91" s="121"/>
      <c r="T91" s="121"/>
      <c r="U91" s="121"/>
    </row>
    <row r="92" spans="2:21" ht="12.75">
      <c r="B92" s="121"/>
      <c r="C92" s="121"/>
      <c r="D92" s="121"/>
      <c r="E92" s="121"/>
      <c r="F92" s="121"/>
      <c r="G92" s="121"/>
      <c r="H92" s="121"/>
      <c r="I92" s="121"/>
      <c r="J92" s="121"/>
      <c r="K92" s="121"/>
      <c r="L92" s="121"/>
      <c r="M92" s="121"/>
      <c r="N92" s="121"/>
      <c r="O92" s="121"/>
      <c r="P92" s="121"/>
      <c r="Q92" s="121"/>
      <c r="R92" s="121"/>
      <c r="S92" s="121"/>
      <c r="T92" s="121"/>
      <c r="U92" s="121"/>
    </row>
    <row r="93" spans="2:21" ht="12.75">
      <c r="B93" s="121"/>
      <c r="C93" s="121"/>
      <c r="D93" s="121"/>
      <c r="E93" s="121"/>
      <c r="F93" s="121"/>
      <c r="G93" s="121"/>
      <c r="H93" s="121"/>
      <c r="I93" s="121"/>
      <c r="J93" s="121"/>
      <c r="K93" s="121"/>
      <c r="L93" s="121"/>
      <c r="M93" s="121"/>
      <c r="N93" s="121"/>
      <c r="O93" s="121"/>
      <c r="P93" s="121"/>
      <c r="Q93" s="121"/>
      <c r="R93" s="121"/>
      <c r="S93" s="121"/>
      <c r="T93" s="121"/>
      <c r="U93" s="121"/>
    </row>
    <row r="94" spans="2:21" ht="12.75">
      <c r="B94" s="121"/>
      <c r="C94" s="121"/>
      <c r="D94" s="121"/>
      <c r="E94" s="121"/>
      <c r="F94" s="121"/>
      <c r="G94" s="121"/>
      <c r="H94" s="121"/>
      <c r="I94" s="121"/>
      <c r="J94" s="121"/>
      <c r="K94" s="121"/>
      <c r="L94" s="121"/>
      <c r="M94" s="121"/>
      <c r="N94" s="121"/>
      <c r="O94" s="121"/>
      <c r="P94" s="121"/>
      <c r="Q94" s="121"/>
      <c r="R94" s="121"/>
      <c r="S94" s="121"/>
      <c r="T94" s="121"/>
      <c r="U94" s="121"/>
    </row>
    <row r="95" spans="2:21" ht="12.75">
      <c r="B95" s="121"/>
      <c r="C95" s="121"/>
      <c r="D95" s="121"/>
      <c r="E95" s="121"/>
      <c r="F95" s="121"/>
      <c r="G95" s="121"/>
      <c r="H95" s="121"/>
      <c r="I95" s="121"/>
      <c r="J95" s="121"/>
      <c r="K95" s="121"/>
      <c r="L95" s="121"/>
      <c r="M95" s="121"/>
      <c r="N95" s="121"/>
      <c r="O95" s="121"/>
      <c r="P95" s="121"/>
      <c r="Q95" s="121"/>
      <c r="R95" s="121"/>
      <c r="S95" s="121"/>
      <c r="T95" s="121"/>
      <c r="U95" s="121"/>
    </row>
    <row r="96" spans="2:21" ht="12.75">
      <c r="B96" s="121"/>
      <c r="C96" s="121"/>
      <c r="D96" s="121"/>
      <c r="E96" s="121"/>
      <c r="F96" s="121"/>
      <c r="G96" s="121"/>
      <c r="H96" s="121"/>
      <c r="I96" s="121"/>
      <c r="J96" s="121"/>
      <c r="K96" s="121"/>
      <c r="L96" s="121"/>
      <c r="M96" s="121"/>
      <c r="N96" s="121"/>
      <c r="O96" s="121"/>
      <c r="P96" s="121"/>
      <c r="Q96" s="121"/>
      <c r="R96" s="121"/>
      <c r="S96" s="121"/>
      <c r="T96" s="121"/>
      <c r="U96" s="121"/>
    </row>
    <row r="97" spans="2:21" ht="12.75">
      <c r="B97" s="121"/>
      <c r="C97" s="121"/>
      <c r="D97" s="121"/>
      <c r="E97" s="121"/>
      <c r="F97" s="121"/>
      <c r="G97" s="121"/>
      <c r="H97" s="121"/>
      <c r="I97" s="121"/>
      <c r="J97" s="121"/>
      <c r="K97" s="121"/>
      <c r="L97" s="121"/>
      <c r="M97" s="121"/>
      <c r="N97" s="121"/>
      <c r="O97" s="121"/>
      <c r="P97" s="121"/>
      <c r="Q97" s="121"/>
      <c r="R97" s="121"/>
      <c r="S97" s="121"/>
      <c r="T97" s="121"/>
      <c r="U97" s="121"/>
    </row>
    <row r="98" spans="2:21" ht="12.75">
      <c r="B98" s="121"/>
      <c r="C98" s="121"/>
      <c r="D98" s="121"/>
      <c r="E98" s="121"/>
      <c r="F98" s="121"/>
      <c r="G98" s="121"/>
      <c r="H98" s="121"/>
      <c r="I98" s="121"/>
      <c r="J98" s="121"/>
      <c r="K98" s="121"/>
      <c r="L98" s="121"/>
      <c r="M98" s="121"/>
      <c r="N98" s="121"/>
      <c r="O98" s="121"/>
      <c r="P98" s="121"/>
      <c r="Q98" s="121"/>
      <c r="R98" s="121"/>
      <c r="S98" s="121"/>
      <c r="T98" s="121"/>
      <c r="U98" s="121"/>
    </row>
    <row r="99" spans="2:21" ht="12.75">
      <c r="B99" s="121"/>
      <c r="C99" s="121"/>
      <c r="D99" s="121"/>
      <c r="E99" s="121"/>
      <c r="F99" s="121"/>
      <c r="G99" s="121"/>
      <c r="H99" s="121"/>
      <c r="I99" s="121"/>
      <c r="J99" s="121"/>
      <c r="K99" s="121"/>
      <c r="L99" s="121"/>
      <c r="M99" s="121"/>
      <c r="N99" s="121"/>
      <c r="O99" s="121"/>
      <c r="P99" s="121"/>
      <c r="Q99" s="121"/>
      <c r="R99" s="121"/>
      <c r="S99" s="121"/>
      <c r="T99" s="121"/>
      <c r="U99" s="121"/>
    </row>
    <row r="100" spans="2:21" ht="12.75">
      <c r="B100" s="121"/>
      <c r="C100" s="121"/>
      <c r="D100" s="121"/>
      <c r="E100" s="121"/>
      <c r="F100" s="121"/>
      <c r="G100" s="121"/>
      <c r="H100" s="121"/>
      <c r="I100" s="121"/>
      <c r="J100" s="121"/>
      <c r="K100" s="121"/>
      <c r="L100" s="121"/>
      <c r="M100" s="121"/>
      <c r="N100" s="121"/>
      <c r="O100" s="121"/>
      <c r="P100" s="121"/>
      <c r="Q100" s="121"/>
      <c r="R100" s="121"/>
      <c r="S100" s="121"/>
      <c r="T100" s="121"/>
      <c r="U100" s="121"/>
    </row>
    <row r="101" spans="2:21" ht="12.75">
      <c r="B101" s="121"/>
      <c r="C101" s="121"/>
      <c r="D101" s="121"/>
      <c r="E101" s="121"/>
      <c r="F101" s="121"/>
      <c r="G101" s="121"/>
      <c r="H101" s="121"/>
      <c r="I101" s="121"/>
      <c r="J101" s="121"/>
      <c r="K101" s="121"/>
      <c r="L101" s="121"/>
      <c r="M101" s="121"/>
      <c r="N101" s="121"/>
      <c r="O101" s="121"/>
      <c r="P101" s="121"/>
      <c r="Q101" s="121"/>
      <c r="R101" s="121"/>
      <c r="S101" s="121"/>
      <c r="T101" s="121"/>
      <c r="U101" s="121"/>
    </row>
    <row r="102" spans="2:21" ht="12.75">
      <c r="B102" s="121"/>
      <c r="C102" s="121"/>
      <c r="D102" s="121"/>
      <c r="E102" s="121"/>
      <c r="F102" s="121"/>
      <c r="G102" s="121"/>
      <c r="H102" s="121"/>
      <c r="I102" s="121"/>
      <c r="J102" s="121"/>
      <c r="K102" s="121"/>
      <c r="L102" s="121"/>
      <c r="M102" s="121"/>
      <c r="N102" s="121"/>
      <c r="O102" s="121"/>
      <c r="P102" s="121"/>
      <c r="Q102" s="121"/>
      <c r="R102" s="121"/>
      <c r="S102" s="121"/>
      <c r="T102" s="121"/>
      <c r="U102" s="121"/>
    </row>
    <row r="103" spans="2:21" ht="12.75">
      <c r="B103" s="121"/>
      <c r="C103" s="121"/>
      <c r="D103" s="121"/>
      <c r="E103" s="121"/>
      <c r="F103" s="121"/>
      <c r="G103" s="121"/>
      <c r="H103" s="121"/>
      <c r="I103" s="121"/>
      <c r="J103" s="121"/>
      <c r="K103" s="121"/>
      <c r="L103" s="121"/>
      <c r="M103" s="121"/>
      <c r="N103" s="121"/>
      <c r="O103" s="121"/>
      <c r="P103" s="121"/>
      <c r="Q103" s="121"/>
      <c r="R103" s="121"/>
      <c r="S103" s="121"/>
      <c r="T103" s="121"/>
      <c r="U103" s="121"/>
    </row>
    <row r="104" spans="2:21" ht="12.75">
      <c r="B104" s="121"/>
      <c r="C104" s="121"/>
      <c r="D104" s="121"/>
      <c r="E104" s="121"/>
      <c r="F104" s="121"/>
      <c r="G104" s="121"/>
      <c r="H104" s="121"/>
      <c r="I104" s="121"/>
      <c r="J104" s="121"/>
      <c r="K104" s="121"/>
      <c r="L104" s="121"/>
      <c r="M104" s="121"/>
      <c r="N104" s="121"/>
      <c r="O104" s="121"/>
      <c r="P104" s="121"/>
      <c r="Q104" s="121"/>
      <c r="R104" s="121"/>
      <c r="S104" s="121"/>
      <c r="T104" s="121"/>
      <c r="U104" s="121"/>
    </row>
    <row r="105" spans="2:21" ht="12.75">
      <c r="B105" s="121"/>
      <c r="C105" s="121"/>
      <c r="D105" s="121"/>
      <c r="E105" s="121"/>
      <c r="F105" s="121"/>
      <c r="G105" s="121"/>
      <c r="H105" s="121"/>
      <c r="I105" s="121"/>
      <c r="J105" s="121"/>
      <c r="K105" s="121"/>
      <c r="L105" s="121"/>
      <c r="M105" s="121"/>
      <c r="N105" s="121"/>
      <c r="O105" s="121"/>
      <c r="P105" s="121"/>
      <c r="Q105" s="121"/>
      <c r="R105" s="121"/>
      <c r="S105" s="121"/>
      <c r="T105" s="121"/>
      <c r="U105" s="121"/>
    </row>
    <row r="106" spans="2:21" ht="12.75">
      <c r="B106" s="121"/>
      <c r="C106" s="121"/>
      <c r="D106" s="121"/>
      <c r="E106" s="121"/>
      <c r="F106" s="121"/>
      <c r="G106" s="121"/>
      <c r="H106" s="121"/>
      <c r="I106" s="121"/>
      <c r="J106" s="121"/>
      <c r="K106" s="121"/>
      <c r="L106" s="121"/>
      <c r="M106" s="121"/>
      <c r="N106" s="121"/>
      <c r="O106" s="121"/>
      <c r="P106" s="121"/>
      <c r="Q106" s="121"/>
      <c r="R106" s="121"/>
      <c r="S106" s="121"/>
      <c r="T106" s="121"/>
      <c r="U106" s="121"/>
    </row>
    <row r="107" spans="2:21" ht="12.75">
      <c r="B107" s="121"/>
      <c r="C107" s="121"/>
      <c r="D107" s="121"/>
      <c r="E107" s="121"/>
      <c r="F107" s="121"/>
      <c r="G107" s="121"/>
      <c r="H107" s="121"/>
      <c r="I107" s="121"/>
      <c r="J107" s="121"/>
      <c r="K107" s="121"/>
      <c r="L107" s="121"/>
      <c r="M107" s="121"/>
      <c r="N107" s="121"/>
      <c r="O107" s="121"/>
      <c r="P107" s="121"/>
      <c r="Q107" s="121"/>
      <c r="R107" s="121"/>
      <c r="S107" s="121"/>
      <c r="T107" s="121"/>
      <c r="U107" s="121"/>
    </row>
    <row r="108" spans="2:21" ht="12.75">
      <c r="B108" s="121"/>
      <c r="C108" s="121"/>
      <c r="D108" s="121"/>
      <c r="E108" s="121"/>
      <c r="F108" s="121"/>
      <c r="G108" s="121"/>
      <c r="H108" s="121"/>
      <c r="I108" s="121"/>
      <c r="J108" s="121"/>
      <c r="K108" s="121"/>
      <c r="L108" s="121"/>
      <c r="M108" s="121"/>
      <c r="N108" s="121"/>
      <c r="O108" s="121"/>
      <c r="P108" s="121"/>
      <c r="Q108" s="121"/>
      <c r="R108" s="121"/>
      <c r="S108" s="121"/>
      <c r="T108" s="121"/>
      <c r="U108" s="121"/>
    </row>
    <row r="109" spans="2:21" ht="12.75">
      <c r="B109" s="121"/>
      <c r="C109" s="121"/>
      <c r="D109" s="121"/>
      <c r="E109" s="121"/>
      <c r="F109" s="121"/>
      <c r="G109" s="121"/>
      <c r="H109" s="121"/>
      <c r="I109" s="121"/>
      <c r="J109" s="121"/>
      <c r="K109" s="121"/>
      <c r="L109" s="121"/>
      <c r="M109" s="121"/>
      <c r="N109" s="121"/>
      <c r="O109" s="121"/>
      <c r="P109" s="121"/>
      <c r="Q109" s="121"/>
      <c r="R109" s="121"/>
      <c r="S109" s="121"/>
      <c r="T109" s="121"/>
      <c r="U109" s="121"/>
    </row>
    <row r="110" spans="2:21" ht="12.75">
      <c r="B110" s="121"/>
      <c r="C110" s="121"/>
      <c r="D110" s="121"/>
      <c r="E110" s="121"/>
      <c r="F110" s="121"/>
      <c r="G110" s="121"/>
      <c r="H110" s="121"/>
      <c r="I110" s="121"/>
      <c r="J110" s="121"/>
      <c r="K110" s="121"/>
      <c r="L110" s="121"/>
      <c r="M110" s="121"/>
      <c r="N110" s="121"/>
      <c r="O110" s="121"/>
      <c r="P110" s="121"/>
      <c r="Q110" s="121"/>
      <c r="R110" s="121"/>
      <c r="S110" s="121"/>
      <c r="T110" s="121"/>
      <c r="U110" s="121"/>
    </row>
    <row r="111" spans="2:21" ht="12.75">
      <c r="B111" s="121"/>
      <c r="C111" s="121"/>
      <c r="D111" s="121"/>
      <c r="E111" s="121"/>
      <c r="F111" s="121"/>
      <c r="G111" s="121"/>
      <c r="H111" s="121"/>
      <c r="I111" s="121"/>
      <c r="J111" s="121"/>
      <c r="K111" s="121"/>
      <c r="L111" s="121"/>
      <c r="M111" s="121"/>
      <c r="N111" s="121"/>
      <c r="O111" s="121"/>
      <c r="P111" s="121"/>
      <c r="Q111" s="121"/>
      <c r="R111" s="121"/>
      <c r="S111" s="121"/>
      <c r="T111" s="121"/>
      <c r="U111" s="121"/>
    </row>
    <row r="112" spans="2:21" ht="12.75">
      <c r="B112" s="121"/>
      <c r="C112" s="121"/>
      <c r="D112" s="121"/>
      <c r="E112" s="121"/>
      <c r="F112" s="121"/>
      <c r="G112" s="121"/>
      <c r="H112" s="121"/>
      <c r="I112" s="121"/>
      <c r="J112" s="121"/>
      <c r="K112" s="121"/>
      <c r="L112" s="121"/>
      <c r="M112" s="121"/>
      <c r="N112" s="121"/>
      <c r="O112" s="121"/>
      <c r="P112" s="121"/>
      <c r="Q112" s="121"/>
      <c r="R112" s="121"/>
      <c r="S112" s="121"/>
      <c r="T112" s="121"/>
      <c r="U112" s="121"/>
    </row>
    <row r="113" spans="2:21" ht="12.75">
      <c r="B113" s="121"/>
      <c r="C113" s="121"/>
      <c r="D113" s="121"/>
      <c r="E113" s="121"/>
      <c r="F113" s="121"/>
      <c r="G113" s="121"/>
      <c r="H113" s="121"/>
      <c r="I113" s="121"/>
      <c r="J113" s="121"/>
      <c r="K113" s="121"/>
      <c r="L113" s="121"/>
      <c r="M113" s="121"/>
      <c r="N113" s="121"/>
      <c r="O113" s="121"/>
      <c r="P113" s="121"/>
      <c r="Q113" s="121"/>
      <c r="R113" s="121"/>
      <c r="S113" s="121"/>
      <c r="T113" s="121"/>
      <c r="U113" s="121"/>
    </row>
    <row r="114" spans="2:21" ht="12.75">
      <c r="B114" s="121"/>
      <c r="C114" s="121"/>
      <c r="D114" s="121"/>
      <c r="E114" s="121"/>
      <c r="F114" s="121"/>
      <c r="G114" s="121"/>
      <c r="H114" s="121"/>
      <c r="I114" s="121"/>
      <c r="J114" s="121"/>
      <c r="K114" s="121"/>
      <c r="L114" s="121"/>
      <c r="M114" s="121"/>
      <c r="N114" s="121"/>
      <c r="O114" s="121"/>
      <c r="P114" s="121"/>
      <c r="Q114" s="121"/>
      <c r="R114" s="121"/>
      <c r="S114" s="121"/>
      <c r="T114" s="121"/>
      <c r="U114" s="121"/>
    </row>
    <row r="115" spans="2:21" ht="12.75">
      <c r="B115" s="121"/>
      <c r="C115" s="121"/>
      <c r="D115" s="121"/>
      <c r="E115" s="121"/>
      <c r="F115" s="121"/>
      <c r="G115" s="121"/>
      <c r="H115" s="121"/>
      <c r="I115" s="121"/>
      <c r="J115" s="121"/>
      <c r="K115" s="121"/>
      <c r="L115" s="121"/>
      <c r="M115" s="121"/>
      <c r="N115" s="121"/>
      <c r="O115" s="121"/>
      <c r="P115" s="121"/>
      <c r="Q115" s="121"/>
      <c r="R115" s="121"/>
      <c r="S115" s="121"/>
      <c r="T115" s="121"/>
      <c r="U115" s="121"/>
    </row>
    <row r="116" spans="2:21" ht="12.75">
      <c r="B116" s="121"/>
      <c r="C116" s="121"/>
      <c r="D116" s="121"/>
      <c r="E116" s="121"/>
      <c r="F116" s="121"/>
      <c r="G116" s="121"/>
      <c r="H116" s="121"/>
      <c r="I116" s="121"/>
      <c r="J116" s="121"/>
      <c r="K116" s="121"/>
      <c r="L116" s="121"/>
      <c r="M116" s="121"/>
      <c r="N116" s="121"/>
      <c r="O116" s="121"/>
      <c r="P116" s="121"/>
      <c r="Q116" s="121"/>
      <c r="R116" s="121"/>
      <c r="S116" s="121"/>
      <c r="T116" s="121"/>
      <c r="U116" s="121"/>
    </row>
    <row r="117" spans="2:21" ht="12.75">
      <c r="B117" s="121"/>
      <c r="C117" s="121"/>
      <c r="D117" s="121"/>
      <c r="E117" s="121"/>
      <c r="F117" s="121"/>
      <c r="G117" s="121"/>
      <c r="H117" s="121"/>
      <c r="I117" s="121"/>
      <c r="J117" s="121"/>
      <c r="K117" s="121"/>
      <c r="L117" s="121"/>
      <c r="M117" s="121"/>
      <c r="N117" s="121"/>
      <c r="O117" s="121"/>
      <c r="P117" s="121"/>
      <c r="Q117" s="121"/>
      <c r="R117" s="121"/>
      <c r="S117" s="121"/>
      <c r="T117" s="121"/>
      <c r="U117" s="121"/>
    </row>
    <row r="118" spans="2:21" ht="12.75">
      <c r="B118" s="121"/>
      <c r="C118" s="121"/>
      <c r="D118" s="121"/>
      <c r="E118" s="121"/>
      <c r="F118" s="121"/>
      <c r="G118" s="121"/>
      <c r="H118" s="121"/>
      <c r="I118" s="121"/>
      <c r="J118" s="121"/>
      <c r="K118" s="121"/>
      <c r="L118" s="121"/>
      <c r="M118" s="121"/>
      <c r="N118" s="121"/>
      <c r="O118" s="121"/>
      <c r="P118" s="121"/>
      <c r="Q118" s="121"/>
      <c r="R118" s="121"/>
      <c r="S118" s="121"/>
      <c r="T118" s="121"/>
      <c r="U118" s="121"/>
    </row>
    <row r="119" spans="2:21" ht="12.75">
      <c r="B119" s="121"/>
      <c r="C119" s="121"/>
      <c r="D119" s="121"/>
      <c r="E119" s="121"/>
      <c r="F119" s="121"/>
      <c r="G119" s="121"/>
      <c r="H119" s="121"/>
      <c r="I119" s="121"/>
      <c r="J119" s="121"/>
      <c r="K119" s="121"/>
      <c r="L119" s="121"/>
      <c r="M119" s="121"/>
      <c r="N119" s="121"/>
      <c r="O119" s="121"/>
      <c r="P119" s="121"/>
      <c r="Q119" s="121"/>
      <c r="R119" s="121"/>
      <c r="S119" s="121"/>
      <c r="T119" s="121"/>
      <c r="U119" s="121"/>
    </row>
    <row r="120" spans="2:21" ht="12.75">
      <c r="B120" s="121"/>
      <c r="C120" s="121"/>
      <c r="D120" s="121"/>
      <c r="E120" s="121"/>
      <c r="F120" s="121"/>
      <c r="G120" s="121"/>
      <c r="H120" s="121"/>
      <c r="I120" s="121"/>
      <c r="J120" s="121"/>
      <c r="K120" s="121"/>
      <c r="L120" s="121"/>
      <c r="M120" s="121"/>
      <c r="N120" s="121"/>
      <c r="O120" s="121"/>
      <c r="P120" s="121"/>
      <c r="Q120" s="121"/>
      <c r="R120" s="121"/>
      <c r="S120" s="121"/>
      <c r="T120" s="121"/>
      <c r="U120" s="121"/>
    </row>
    <row r="121" spans="2:21" ht="12.75">
      <c r="B121" s="121"/>
      <c r="C121" s="121"/>
      <c r="D121" s="121"/>
      <c r="E121" s="121"/>
      <c r="F121" s="121"/>
      <c r="G121" s="121"/>
      <c r="H121" s="121"/>
      <c r="I121" s="121"/>
      <c r="J121" s="121"/>
      <c r="K121" s="121"/>
      <c r="L121" s="121"/>
      <c r="M121" s="121"/>
      <c r="N121" s="121"/>
      <c r="O121" s="121"/>
      <c r="P121" s="121"/>
      <c r="Q121" s="121"/>
      <c r="R121" s="121"/>
      <c r="S121" s="121"/>
      <c r="T121" s="121"/>
      <c r="U121" s="121"/>
    </row>
    <row r="122" spans="2:21" ht="12.75">
      <c r="B122" s="121"/>
      <c r="C122" s="121"/>
      <c r="D122" s="121"/>
      <c r="E122" s="121"/>
      <c r="F122" s="121"/>
      <c r="G122" s="121"/>
      <c r="H122" s="121"/>
      <c r="I122" s="121"/>
      <c r="J122" s="121"/>
      <c r="K122" s="121"/>
      <c r="L122" s="121"/>
      <c r="M122" s="121"/>
      <c r="N122" s="121"/>
      <c r="O122" s="121"/>
      <c r="P122" s="121"/>
      <c r="Q122" s="121"/>
      <c r="R122" s="121"/>
      <c r="S122" s="121"/>
      <c r="T122" s="121"/>
      <c r="U122" s="121"/>
    </row>
    <row r="123" spans="2:21" ht="12.75">
      <c r="B123" s="121"/>
      <c r="C123" s="121"/>
      <c r="D123" s="121"/>
      <c r="E123" s="121"/>
      <c r="F123" s="121"/>
      <c r="G123" s="121"/>
      <c r="H123" s="121"/>
      <c r="I123" s="121"/>
      <c r="J123" s="121"/>
      <c r="K123" s="121"/>
      <c r="L123" s="121"/>
      <c r="M123" s="121"/>
      <c r="N123" s="121"/>
      <c r="O123" s="121"/>
      <c r="P123" s="121"/>
      <c r="Q123" s="121"/>
      <c r="R123" s="121"/>
      <c r="S123" s="121"/>
      <c r="T123" s="121"/>
      <c r="U123" s="121"/>
    </row>
    <row r="124" spans="2:21" ht="12.75">
      <c r="B124" s="121"/>
      <c r="C124" s="121"/>
      <c r="D124" s="121"/>
      <c r="E124" s="121"/>
      <c r="F124" s="121"/>
      <c r="G124" s="121"/>
      <c r="H124" s="121"/>
      <c r="I124" s="121"/>
      <c r="J124" s="121"/>
      <c r="K124" s="121"/>
      <c r="L124" s="121"/>
      <c r="M124" s="121"/>
      <c r="N124" s="121"/>
      <c r="O124" s="121"/>
      <c r="P124" s="121"/>
      <c r="Q124" s="121"/>
      <c r="R124" s="121"/>
      <c r="S124" s="121"/>
      <c r="T124" s="121"/>
      <c r="U124" s="121"/>
    </row>
    <row r="125" spans="2:21" ht="12.75">
      <c r="B125" s="121"/>
      <c r="C125" s="121"/>
      <c r="D125" s="121"/>
      <c r="E125" s="121"/>
      <c r="F125" s="121"/>
      <c r="G125" s="121"/>
      <c r="H125" s="121"/>
      <c r="I125" s="121"/>
      <c r="J125" s="121"/>
      <c r="K125" s="121"/>
      <c r="L125" s="121"/>
      <c r="M125" s="121"/>
      <c r="N125" s="121"/>
      <c r="O125" s="121"/>
      <c r="P125" s="121"/>
      <c r="Q125" s="121"/>
      <c r="R125" s="121"/>
      <c r="S125" s="121"/>
      <c r="T125" s="121"/>
      <c r="U125" s="121"/>
    </row>
    <row r="126" spans="2:21" ht="12.75">
      <c r="B126" s="121"/>
      <c r="C126" s="121"/>
      <c r="D126" s="121"/>
      <c r="E126" s="121"/>
      <c r="F126" s="121"/>
      <c r="G126" s="121"/>
      <c r="H126" s="121"/>
      <c r="I126" s="121"/>
      <c r="J126" s="121"/>
      <c r="K126" s="121"/>
      <c r="L126" s="121"/>
      <c r="M126" s="121"/>
      <c r="N126" s="121"/>
      <c r="O126" s="121"/>
      <c r="P126" s="121"/>
      <c r="Q126" s="121"/>
      <c r="R126" s="121"/>
      <c r="S126" s="121"/>
      <c r="T126" s="121"/>
      <c r="U126" s="121"/>
    </row>
    <row r="127" spans="2:21" ht="12.75">
      <c r="B127" s="121"/>
      <c r="C127" s="121"/>
      <c r="D127" s="121"/>
      <c r="E127" s="121"/>
      <c r="F127" s="121"/>
      <c r="G127" s="121"/>
      <c r="H127" s="121"/>
      <c r="I127" s="121"/>
      <c r="J127" s="121"/>
      <c r="K127" s="121"/>
      <c r="L127" s="121"/>
      <c r="M127" s="121"/>
      <c r="N127" s="121"/>
      <c r="O127" s="121"/>
      <c r="P127" s="121"/>
      <c r="Q127" s="121"/>
      <c r="R127" s="121"/>
      <c r="S127" s="121"/>
      <c r="T127" s="121"/>
      <c r="U127" s="121"/>
    </row>
    <row r="128" spans="2:21" ht="12.75">
      <c r="B128" s="121"/>
      <c r="C128" s="121"/>
      <c r="D128" s="121"/>
      <c r="E128" s="121"/>
      <c r="F128" s="121"/>
      <c r="G128" s="121"/>
      <c r="H128" s="121"/>
      <c r="I128" s="121"/>
      <c r="J128" s="121"/>
      <c r="K128" s="121"/>
      <c r="L128" s="121"/>
      <c r="M128" s="121"/>
      <c r="N128" s="121"/>
      <c r="O128" s="121"/>
      <c r="P128" s="121"/>
      <c r="Q128" s="121"/>
      <c r="R128" s="121"/>
      <c r="S128" s="121"/>
      <c r="T128" s="121"/>
      <c r="U128" s="121"/>
    </row>
    <row r="129" spans="2:21" ht="12.75">
      <c r="B129" s="121"/>
      <c r="C129" s="121"/>
      <c r="D129" s="121"/>
      <c r="E129" s="121"/>
      <c r="F129" s="121"/>
      <c r="G129" s="121"/>
      <c r="H129" s="121"/>
      <c r="I129" s="121"/>
      <c r="J129" s="121"/>
      <c r="K129" s="121"/>
      <c r="L129" s="121"/>
      <c r="M129" s="121"/>
      <c r="N129" s="121"/>
      <c r="O129" s="121"/>
      <c r="P129" s="121"/>
      <c r="Q129" s="121"/>
      <c r="R129" s="121"/>
      <c r="S129" s="121"/>
      <c r="T129" s="121"/>
      <c r="U129" s="121"/>
    </row>
    <row r="130" spans="2:21" ht="12.75">
      <c r="B130" s="121"/>
      <c r="C130" s="121"/>
      <c r="D130" s="121"/>
      <c r="E130" s="121"/>
      <c r="F130" s="121"/>
      <c r="G130" s="121"/>
      <c r="H130" s="121"/>
      <c r="I130" s="121"/>
      <c r="J130" s="121"/>
      <c r="K130" s="121"/>
      <c r="L130" s="121"/>
      <c r="M130" s="121"/>
      <c r="N130" s="121"/>
      <c r="O130" s="121"/>
      <c r="P130" s="121"/>
      <c r="Q130" s="121"/>
      <c r="R130" s="121"/>
      <c r="S130" s="121"/>
      <c r="T130" s="121"/>
      <c r="U130" s="121"/>
    </row>
    <row r="131" spans="2:21" ht="12.75">
      <c r="B131" s="121"/>
      <c r="C131" s="121"/>
      <c r="D131" s="121"/>
      <c r="E131" s="121"/>
      <c r="F131" s="121"/>
      <c r="G131" s="121"/>
      <c r="H131" s="121"/>
      <c r="I131" s="121"/>
      <c r="J131" s="121"/>
      <c r="K131" s="121"/>
      <c r="L131" s="121"/>
      <c r="M131" s="121"/>
      <c r="N131" s="121"/>
      <c r="O131" s="121"/>
      <c r="P131" s="121"/>
      <c r="Q131" s="121"/>
      <c r="R131" s="121"/>
      <c r="S131" s="121"/>
      <c r="T131" s="121"/>
      <c r="U131" s="121"/>
    </row>
    <row r="132" spans="2:21" ht="12.75">
      <c r="B132" s="121"/>
      <c r="C132" s="121"/>
      <c r="D132" s="121"/>
      <c r="E132" s="121"/>
      <c r="F132" s="121"/>
      <c r="G132" s="121"/>
      <c r="H132" s="121"/>
      <c r="I132" s="121"/>
      <c r="J132" s="121"/>
      <c r="K132" s="121"/>
      <c r="L132" s="121"/>
      <c r="M132" s="121"/>
      <c r="N132" s="121"/>
      <c r="O132" s="121"/>
      <c r="P132" s="121"/>
      <c r="Q132" s="121"/>
      <c r="R132" s="121"/>
      <c r="S132" s="121"/>
      <c r="T132" s="121"/>
      <c r="U132" s="121"/>
    </row>
    <row r="133" spans="2:21" ht="12.75">
      <c r="B133" s="121"/>
      <c r="C133" s="121"/>
      <c r="D133" s="121"/>
      <c r="E133" s="121"/>
      <c r="F133" s="121"/>
      <c r="G133" s="121"/>
      <c r="H133" s="121"/>
      <c r="I133" s="121"/>
      <c r="J133" s="121"/>
      <c r="K133" s="121"/>
      <c r="L133" s="121"/>
      <c r="M133" s="121"/>
      <c r="N133" s="121"/>
      <c r="O133" s="121"/>
      <c r="P133" s="121"/>
      <c r="Q133" s="121"/>
      <c r="R133" s="121"/>
      <c r="S133" s="121"/>
      <c r="T133" s="121"/>
      <c r="U133" s="121"/>
    </row>
    <row r="134" spans="2:21" ht="12.75">
      <c r="B134" s="121"/>
      <c r="C134" s="121"/>
      <c r="D134" s="121"/>
      <c r="E134" s="121"/>
      <c r="F134" s="121"/>
      <c r="G134" s="121"/>
      <c r="H134" s="121"/>
      <c r="I134" s="121"/>
      <c r="J134" s="121"/>
      <c r="K134" s="121"/>
      <c r="L134" s="121"/>
      <c r="M134" s="121"/>
      <c r="N134" s="121"/>
      <c r="O134" s="121"/>
      <c r="P134" s="121"/>
      <c r="Q134" s="121"/>
      <c r="R134" s="121"/>
      <c r="S134" s="121"/>
      <c r="T134" s="121"/>
      <c r="U134" s="121"/>
    </row>
    <row r="135" spans="2:21" ht="12.75">
      <c r="B135" s="121"/>
      <c r="C135" s="121"/>
      <c r="D135" s="121"/>
      <c r="E135" s="121"/>
      <c r="F135" s="121"/>
      <c r="G135" s="121"/>
      <c r="H135" s="121"/>
      <c r="I135" s="121"/>
      <c r="J135" s="121"/>
      <c r="K135" s="121"/>
      <c r="L135" s="121"/>
      <c r="M135" s="121"/>
      <c r="N135" s="121"/>
      <c r="O135" s="121"/>
      <c r="P135" s="121"/>
      <c r="Q135" s="121"/>
      <c r="R135" s="121"/>
      <c r="S135" s="121"/>
      <c r="T135" s="121"/>
      <c r="U135" s="121"/>
    </row>
    <row r="136" spans="2:21" ht="12.75">
      <c r="B136" s="121"/>
      <c r="C136" s="121"/>
      <c r="D136" s="121"/>
      <c r="E136" s="121"/>
      <c r="F136" s="121"/>
      <c r="G136" s="121"/>
      <c r="H136" s="121"/>
      <c r="I136" s="121"/>
      <c r="J136" s="121"/>
      <c r="K136" s="121"/>
      <c r="L136" s="121"/>
      <c r="M136" s="121"/>
      <c r="N136" s="121"/>
      <c r="O136" s="121"/>
      <c r="P136" s="121"/>
      <c r="Q136" s="121"/>
      <c r="R136" s="121"/>
      <c r="S136" s="121"/>
      <c r="T136" s="121"/>
      <c r="U136" s="121"/>
    </row>
    <row r="137" spans="2:21" ht="12.75">
      <c r="B137" s="121"/>
      <c r="C137" s="121"/>
      <c r="D137" s="121"/>
      <c r="E137" s="121"/>
      <c r="F137" s="121"/>
      <c r="G137" s="121"/>
      <c r="H137" s="121"/>
      <c r="I137" s="121"/>
      <c r="J137" s="121"/>
      <c r="K137" s="121"/>
      <c r="L137" s="121"/>
      <c r="M137" s="121"/>
      <c r="N137" s="121"/>
      <c r="O137" s="121"/>
      <c r="P137" s="121"/>
      <c r="Q137" s="121"/>
      <c r="R137" s="121"/>
      <c r="S137" s="121"/>
      <c r="T137" s="121"/>
      <c r="U137" s="121"/>
    </row>
    <row r="138" spans="2:21" ht="12.75">
      <c r="B138" s="121"/>
      <c r="C138" s="121"/>
      <c r="D138" s="121"/>
      <c r="E138" s="121"/>
      <c r="F138" s="121"/>
      <c r="G138" s="121"/>
      <c r="H138" s="121"/>
      <c r="I138" s="121"/>
      <c r="J138" s="121"/>
      <c r="K138" s="121"/>
      <c r="L138" s="121"/>
      <c r="M138" s="121"/>
      <c r="N138" s="121"/>
      <c r="O138" s="121"/>
      <c r="P138" s="121"/>
      <c r="Q138" s="121"/>
      <c r="R138" s="121"/>
      <c r="S138" s="121"/>
      <c r="T138" s="121"/>
      <c r="U138" s="121"/>
    </row>
    <row r="139" spans="2:10" ht="12.75">
      <c r="B139" s="121"/>
      <c r="C139" s="121"/>
      <c r="D139" s="121"/>
      <c r="E139" s="121"/>
      <c r="F139" s="121"/>
      <c r="G139" s="121"/>
      <c r="H139" s="121"/>
      <c r="I139" s="121"/>
      <c r="J139" s="121"/>
    </row>
    <row r="140" spans="2:10" ht="12.75">
      <c r="B140" s="121"/>
      <c r="C140" s="121"/>
      <c r="D140" s="121"/>
      <c r="E140" s="121"/>
      <c r="F140" s="121"/>
      <c r="G140" s="121"/>
      <c r="H140" s="121"/>
      <c r="I140" s="121"/>
      <c r="J140" s="121"/>
    </row>
    <row r="141" spans="2:10" ht="12.75">
      <c r="B141" s="121"/>
      <c r="C141" s="121"/>
      <c r="D141" s="121"/>
      <c r="E141" s="121"/>
      <c r="F141" s="121"/>
      <c r="G141" s="121"/>
      <c r="H141" s="121"/>
      <c r="I141" s="121"/>
      <c r="J141" s="121"/>
    </row>
  </sheetData>
  <sheetProtection password="E94F" sheet="1" objects="1" scenarios="1"/>
  <mergeCells count="13">
    <mergeCell ref="C10:F10"/>
    <mergeCell ref="C31:F31"/>
    <mergeCell ref="C29:F29"/>
    <mergeCell ref="C19:F19"/>
    <mergeCell ref="C20:F20"/>
    <mergeCell ref="C28:F28"/>
    <mergeCell ref="C30:F30"/>
    <mergeCell ref="E67:F67"/>
    <mergeCell ref="E68:F68"/>
    <mergeCell ref="C62:F62"/>
    <mergeCell ref="C61:F61"/>
    <mergeCell ref="C63:F63"/>
    <mergeCell ref="C65:G65"/>
  </mergeCells>
  <printOptions/>
  <pageMargins left="0.75" right="0.75" top="1" bottom="1" header="0.5" footer="0.5"/>
  <pageSetup fitToHeight="1" fitToWidth="1" horizontalDpi="600" verticalDpi="600" orientation="portrait" paperSize="9" scale="69" r:id="rId3"/>
  <drawing r:id="rId2"/>
  <legacyDrawing r:id="rId1"/>
</worksheet>
</file>

<file path=xl/worksheets/sheet3.xml><?xml version="1.0" encoding="utf-8"?>
<worksheet xmlns="http://schemas.openxmlformats.org/spreadsheetml/2006/main" xmlns:r="http://schemas.openxmlformats.org/officeDocument/2006/relationships">
  <sheetPr codeName="Offer"/>
  <dimension ref="A2:AN53"/>
  <sheetViews>
    <sheetView view="pageBreakPreview" zoomScaleSheetLayoutView="100" zoomScalePageLayoutView="0" workbookViewId="0" topLeftCell="A1">
      <selection activeCell="A14" sqref="A14:B14"/>
    </sheetView>
  </sheetViews>
  <sheetFormatPr defaultColWidth="9.140625" defaultRowHeight="13.5" customHeight="1"/>
  <cols>
    <col min="1" max="1" width="12.421875" style="94" customWidth="1"/>
    <col min="2" max="2" width="7.140625" style="94" customWidth="1"/>
    <col min="3" max="3" width="10.00390625" style="94" customWidth="1"/>
    <col min="4" max="4" width="8.421875" style="94" customWidth="1"/>
    <col min="5" max="5" width="4.7109375" style="94" customWidth="1"/>
    <col min="6" max="6" width="7.140625" style="94" customWidth="1"/>
    <col min="7" max="7" width="5.00390625" style="94" customWidth="1"/>
    <col min="8" max="8" width="3.57421875" style="94" customWidth="1"/>
    <col min="9" max="9" width="8.7109375" style="94" customWidth="1"/>
    <col min="10" max="10" width="9.140625" style="94" customWidth="1"/>
    <col min="11" max="11" width="13.00390625" style="94" customWidth="1"/>
    <col min="12" max="12" width="19.140625" style="94" customWidth="1"/>
    <col min="13" max="13" width="13.421875" style="94" customWidth="1"/>
    <col min="14" max="14" width="15.28125" style="94" customWidth="1"/>
    <col min="15" max="15" width="4.7109375" style="94" customWidth="1"/>
    <col min="16" max="16" width="11.00390625" style="94" customWidth="1"/>
    <col min="17" max="17" width="7.00390625" style="94" customWidth="1"/>
    <col min="18" max="18" width="4.57421875" style="94" customWidth="1"/>
    <col min="19" max="19" width="14.00390625" style="94" customWidth="1"/>
    <col min="20" max="20" width="9.8515625" style="94" customWidth="1"/>
    <col min="21" max="21" width="7.8515625" style="94" customWidth="1"/>
    <col min="22" max="22" width="12.7109375" style="94" customWidth="1"/>
    <col min="23" max="23" width="11.28125" style="94" customWidth="1"/>
    <col min="24" max="24" width="4.7109375" style="94" customWidth="1"/>
    <col min="25" max="25" width="7.00390625" style="94" customWidth="1"/>
    <col min="26" max="26" width="13.28125" style="94" customWidth="1"/>
    <col min="27" max="27" width="1.8515625" style="94" customWidth="1"/>
    <col min="28" max="28" width="6.140625" style="94" customWidth="1"/>
    <col min="29" max="29" width="9.00390625" style="94" customWidth="1"/>
    <col min="30" max="30" width="5.00390625" style="94" customWidth="1"/>
    <col min="31" max="31" width="8.421875" style="94" customWidth="1"/>
    <col min="32" max="32" width="9.28125" style="94" customWidth="1"/>
    <col min="33" max="33" width="12.00390625" style="94" customWidth="1"/>
    <col min="34" max="34" width="7.7109375" style="94" customWidth="1"/>
    <col min="35" max="35" width="5.421875" style="94" customWidth="1"/>
    <col min="36" max="36" width="3.28125" style="94" customWidth="1"/>
    <col min="37" max="37" width="5.7109375" style="94" customWidth="1"/>
    <col min="38" max="38" width="6.8515625" style="94" customWidth="1"/>
    <col min="39" max="39" width="13.140625" style="94" customWidth="1"/>
    <col min="40" max="40" width="17.28125" style="94" customWidth="1"/>
    <col min="41" max="16384" width="9.140625" style="94" customWidth="1"/>
  </cols>
  <sheetData>
    <row r="2" spans="1:34" ht="13.5" customHeight="1">
      <c r="A2" s="437" t="s">
        <v>373</v>
      </c>
      <c r="B2" s="437"/>
      <c r="C2" s="437"/>
      <c r="D2" s="437"/>
      <c r="L2" s="437" t="s">
        <v>373</v>
      </c>
      <c r="M2" s="437"/>
      <c r="N2" s="437"/>
      <c r="O2" s="437"/>
      <c r="T2" s="437" t="s">
        <v>373</v>
      </c>
      <c r="U2" s="437"/>
      <c r="V2" s="437"/>
      <c r="W2" s="437"/>
      <c r="AE2" s="437" t="s">
        <v>373</v>
      </c>
      <c r="AF2" s="437"/>
      <c r="AG2" s="437"/>
      <c r="AH2" s="437"/>
    </row>
    <row r="3" spans="1:31" ht="13.5" customHeight="1">
      <c r="A3" s="94" t="s">
        <v>374</v>
      </c>
      <c r="L3" s="94" t="s">
        <v>375</v>
      </c>
      <c r="T3" s="94" t="s">
        <v>418</v>
      </c>
      <c r="V3" s="251"/>
      <c r="AE3" s="94" t="s">
        <v>551</v>
      </c>
    </row>
    <row r="4" spans="31:40" ht="13.5" customHeight="1" thickBot="1">
      <c r="AE4" s="92"/>
      <c r="AF4" s="92"/>
      <c r="AG4" s="92"/>
      <c r="AH4" s="92"/>
      <c r="AI4" s="92"/>
      <c r="AJ4" s="92"/>
      <c r="AK4" s="92"/>
      <c r="AL4" s="92"/>
      <c r="AM4" s="92"/>
      <c r="AN4" s="92"/>
    </row>
    <row r="5" spans="1:40" ht="13.5" customHeight="1" thickBot="1">
      <c r="A5" s="94" t="s">
        <v>707</v>
      </c>
      <c r="B5" s="475"/>
      <c r="C5" s="476"/>
      <c r="H5" s="437"/>
      <c r="I5" s="437"/>
      <c r="J5" s="474"/>
      <c r="K5" s="474"/>
      <c r="L5" s="477" t="s">
        <v>376</v>
      </c>
      <c r="M5" s="477"/>
      <c r="N5" s="477"/>
      <c r="O5" s="477"/>
      <c r="P5" s="477"/>
      <c r="Q5" s="477"/>
      <c r="R5" s="477"/>
      <c r="S5" s="477"/>
      <c r="T5" s="477" t="s">
        <v>711</v>
      </c>
      <c r="U5" s="478"/>
      <c r="V5" s="478"/>
      <c r="W5" s="478"/>
      <c r="X5" s="478"/>
      <c r="Y5" s="478"/>
      <c r="Z5" s="478"/>
      <c r="AA5" s="478"/>
      <c r="AB5" s="478"/>
      <c r="AC5" s="478"/>
      <c r="AD5" s="478"/>
      <c r="AE5" s="436" t="s">
        <v>986</v>
      </c>
      <c r="AF5" s="440"/>
      <c r="AG5" s="440"/>
      <c r="AH5" s="440"/>
      <c r="AI5" s="440"/>
      <c r="AJ5" s="440"/>
      <c r="AK5" s="440"/>
      <c r="AL5" s="440"/>
      <c r="AM5" s="440"/>
      <c r="AN5" s="440"/>
    </row>
    <row r="6" spans="1:40" ht="13.5" customHeight="1">
      <c r="A6" s="440" t="s">
        <v>377</v>
      </c>
      <c r="B6" s="440"/>
      <c r="C6" s="440"/>
      <c r="D6" s="463"/>
      <c r="E6" s="463"/>
      <c r="F6" s="463"/>
      <c r="G6" s="92"/>
      <c r="H6" s="92"/>
      <c r="I6" s="92"/>
      <c r="J6" s="92"/>
      <c r="K6" s="92"/>
      <c r="L6" s="92"/>
      <c r="M6" s="441"/>
      <c r="N6" s="441"/>
      <c r="O6" s="441"/>
      <c r="P6" s="441"/>
      <c r="Q6" s="92"/>
      <c r="R6" s="92"/>
      <c r="S6" s="92"/>
      <c r="T6" s="251"/>
      <c r="U6" s="256"/>
      <c r="V6" s="251"/>
      <c r="W6" s="251"/>
      <c r="X6" s="251"/>
      <c r="Y6" s="251"/>
      <c r="Z6" s="251"/>
      <c r="AA6" s="251"/>
      <c r="AD6" s="92"/>
      <c r="AE6" s="92" t="s">
        <v>1024</v>
      </c>
      <c r="AF6" s="92"/>
      <c r="AG6" s="92"/>
      <c r="AH6" s="92"/>
      <c r="AI6" s="92"/>
      <c r="AJ6" s="92"/>
      <c r="AK6" s="92"/>
      <c r="AL6" s="92"/>
      <c r="AM6" s="92"/>
      <c r="AN6" s="195"/>
    </row>
    <row r="7" spans="1:40" ht="13.5" customHeight="1">
      <c r="A7" s="440" t="s">
        <v>1168</v>
      </c>
      <c r="B7" s="440"/>
      <c r="C7" s="440"/>
      <c r="D7" s="440"/>
      <c r="E7" s="440"/>
      <c r="F7" s="164"/>
      <c r="G7" s="92"/>
      <c r="H7" s="440" t="s">
        <v>378</v>
      </c>
      <c r="I7" s="440"/>
      <c r="J7" s="441"/>
      <c r="K7" s="441"/>
      <c r="L7" s="92" t="s">
        <v>379</v>
      </c>
      <c r="M7" s="438"/>
      <c r="N7" s="438"/>
      <c r="O7" s="438"/>
      <c r="P7" s="438"/>
      <c r="Q7" s="438"/>
      <c r="R7" s="438"/>
      <c r="S7" s="439"/>
      <c r="T7" s="479" t="s">
        <v>1045</v>
      </c>
      <c r="U7" s="479"/>
      <c r="V7" s="479"/>
      <c r="W7" s="447"/>
      <c r="X7" s="447"/>
      <c r="Y7" s="479" t="s">
        <v>726</v>
      </c>
      <c r="Z7" s="455"/>
      <c r="AA7" s="480"/>
      <c r="AB7" s="479" t="s">
        <v>713</v>
      </c>
      <c r="AC7" s="455"/>
      <c r="AD7" s="455"/>
      <c r="AE7" s="447" t="s">
        <v>1178</v>
      </c>
      <c r="AF7" s="447"/>
      <c r="AG7" s="447" t="s">
        <v>988</v>
      </c>
      <c r="AH7" s="447"/>
      <c r="AI7" s="447" t="s">
        <v>982</v>
      </c>
      <c r="AJ7" s="447"/>
      <c r="AK7" s="447"/>
      <c r="AL7" s="447"/>
      <c r="AM7" s="455" t="s">
        <v>989</v>
      </c>
      <c r="AN7" s="455"/>
    </row>
    <row r="8" spans="12:40" ht="13.5" customHeight="1">
      <c r="L8" s="92" t="s">
        <v>380</v>
      </c>
      <c r="M8" s="165"/>
      <c r="N8" s="92"/>
      <c r="O8" s="440" t="s">
        <v>1199</v>
      </c>
      <c r="P8" s="440"/>
      <c r="Q8" s="463"/>
      <c r="R8" s="463"/>
      <c r="S8" s="440"/>
      <c r="T8" s="455" t="s">
        <v>712</v>
      </c>
      <c r="U8" s="455"/>
      <c r="V8" s="455"/>
      <c r="W8" s="455"/>
      <c r="X8" s="455"/>
      <c r="Y8" s="481"/>
      <c r="Z8" s="482"/>
      <c r="AA8" s="483"/>
      <c r="AB8" s="481"/>
      <c r="AC8" s="482"/>
      <c r="AD8" s="482"/>
      <c r="AE8" s="447"/>
      <c r="AF8" s="447"/>
      <c r="AG8" s="448"/>
      <c r="AH8" s="448"/>
      <c r="AI8" s="460"/>
      <c r="AJ8" s="460"/>
      <c r="AK8" s="460"/>
      <c r="AL8" s="460"/>
      <c r="AM8" s="455"/>
      <c r="AN8" s="455"/>
    </row>
    <row r="9" spans="1:40" ht="13.5" customHeight="1">
      <c r="A9" s="449" t="s">
        <v>704</v>
      </c>
      <c r="B9" s="465"/>
      <c r="C9" s="465"/>
      <c r="D9" s="465"/>
      <c r="E9" s="465"/>
      <c r="F9" s="465"/>
      <c r="G9" s="465"/>
      <c r="H9" s="465"/>
      <c r="I9" s="465"/>
      <c r="J9" s="465"/>
      <c r="K9" s="465"/>
      <c r="L9" s="92" t="s">
        <v>381</v>
      </c>
      <c r="M9" s="165"/>
      <c r="N9" s="92"/>
      <c r="O9" s="440" t="s">
        <v>1231</v>
      </c>
      <c r="P9" s="440"/>
      <c r="Q9" s="164"/>
      <c r="R9" s="164"/>
      <c r="S9" s="164"/>
      <c r="T9" s="92"/>
      <c r="U9" s="92"/>
      <c r="V9" s="92"/>
      <c r="W9" s="92"/>
      <c r="X9" s="92"/>
      <c r="Y9" s="92"/>
      <c r="Z9" s="92"/>
      <c r="AA9" s="92"/>
      <c r="AB9" s="282"/>
      <c r="AC9" s="282"/>
      <c r="AD9" s="282"/>
      <c r="AE9" s="447"/>
      <c r="AF9" s="447"/>
      <c r="AG9" s="448"/>
      <c r="AH9" s="448"/>
      <c r="AI9" s="460"/>
      <c r="AJ9" s="460"/>
      <c r="AK9" s="460"/>
      <c r="AL9" s="460"/>
      <c r="AM9" s="455"/>
      <c r="AN9" s="455"/>
    </row>
    <row r="10" spans="1:40" ht="13.5" customHeight="1">
      <c r="A10" s="440" t="s">
        <v>382</v>
      </c>
      <c r="B10" s="440"/>
      <c r="C10" s="440"/>
      <c r="D10" s="441"/>
      <c r="E10" s="486"/>
      <c r="F10" s="486"/>
      <c r="G10" s="486"/>
      <c r="H10" s="486"/>
      <c r="I10" s="486"/>
      <c r="J10" s="486"/>
      <c r="K10" s="92"/>
      <c r="L10" s="92" t="s">
        <v>383</v>
      </c>
      <c r="M10" s="165"/>
      <c r="N10" s="92"/>
      <c r="O10" s="92"/>
      <c r="P10" s="92"/>
      <c r="Q10" s="92"/>
      <c r="R10" s="92"/>
      <c r="S10" s="92"/>
      <c r="T10" s="479" t="s">
        <v>408</v>
      </c>
      <c r="U10" s="479"/>
      <c r="V10" s="479"/>
      <c r="W10" s="447"/>
      <c r="X10" s="447"/>
      <c r="Y10" s="479" t="s">
        <v>726</v>
      </c>
      <c r="Z10" s="455"/>
      <c r="AA10" s="480"/>
      <c r="AB10" s="479" t="s">
        <v>713</v>
      </c>
      <c r="AC10" s="455"/>
      <c r="AD10" s="455"/>
      <c r="AE10" s="92"/>
      <c r="AF10" s="92"/>
      <c r="AG10" s="92"/>
      <c r="AH10" s="92"/>
      <c r="AI10" s="92"/>
      <c r="AJ10" s="92"/>
      <c r="AK10" s="92"/>
      <c r="AL10" s="92"/>
      <c r="AM10" s="92"/>
      <c r="AN10" s="92"/>
    </row>
    <row r="11" spans="1:40" ht="13.5" customHeight="1">
      <c r="A11" s="440" t="s">
        <v>384</v>
      </c>
      <c r="B11" s="440"/>
      <c r="C11" s="440"/>
      <c r="D11" s="441"/>
      <c r="E11" s="441"/>
      <c r="F11" s="441"/>
      <c r="G11" s="441"/>
      <c r="H11" s="441"/>
      <c r="I11" s="441"/>
      <c r="J11" s="441"/>
      <c r="K11" s="441"/>
      <c r="L11" s="92" t="s">
        <v>607</v>
      </c>
      <c r="M11" s="165"/>
      <c r="N11" s="92"/>
      <c r="O11" s="92"/>
      <c r="P11" s="92"/>
      <c r="Q11" s="92"/>
      <c r="R11" s="92"/>
      <c r="S11" s="92"/>
      <c r="T11" s="455" t="s">
        <v>409</v>
      </c>
      <c r="U11" s="455"/>
      <c r="V11" s="455"/>
      <c r="W11" s="455"/>
      <c r="X11" s="455"/>
      <c r="Y11" s="444"/>
      <c r="Z11" s="444"/>
      <c r="AA11" s="445"/>
      <c r="AB11" s="444"/>
      <c r="AC11" s="444"/>
      <c r="AD11" s="444"/>
      <c r="AE11" s="92"/>
      <c r="AF11" s="92"/>
      <c r="AG11" s="92"/>
      <c r="AH11" s="92"/>
      <c r="AI11" s="92"/>
      <c r="AJ11" s="92"/>
      <c r="AK11" s="92"/>
      <c r="AL11" s="92"/>
      <c r="AM11" s="92"/>
      <c r="AN11" s="92"/>
    </row>
    <row r="12" spans="1:40" ht="13.5" customHeight="1">
      <c r="A12" s="92" t="s">
        <v>385</v>
      </c>
      <c r="B12" s="441"/>
      <c r="C12" s="441"/>
      <c r="D12" s="441"/>
      <c r="E12" s="441"/>
      <c r="F12" s="487" t="s">
        <v>386</v>
      </c>
      <c r="G12" s="487"/>
      <c r="H12" s="487"/>
      <c r="I12" s="487"/>
      <c r="J12" s="487"/>
      <c r="K12" s="190"/>
      <c r="L12" s="92" t="s">
        <v>608</v>
      </c>
      <c r="M12" s="165"/>
      <c r="N12" s="92"/>
      <c r="O12" s="92"/>
      <c r="P12" s="92"/>
      <c r="Q12" s="93"/>
      <c r="R12" s="93"/>
      <c r="S12" s="93"/>
      <c r="T12" s="455" t="s">
        <v>56</v>
      </c>
      <c r="U12" s="455"/>
      <c r="V12" s="455"/>
      <c r="W12" s="455"/>
      <c r="X12" s="455"/>
      <c r="Y12" s="444"/>
      <c r="Z12" s="444"/>
      <c r="AA12" s="445"/>
      <c r="AB12" s="444"/>
      <c r="AC12" s="444"/>
      <c r="AD12" s="444"/>
      <c r="AE12" s="92"/>
      <c r="AF12" s="92"/>
      <c r="AG12" s="92"/>
      <c r="AH12" s="92"/>
      <c r="AI12" s="92"/>
      <c r="AJ12" s="92"/>
      <c r="AK12" s="92"/>
      <c r="AL12" s="92"/>
      <c r="AM12" s="92"/>
      <c r="AN12" s="92"/>
    </row>
    <row r="13" spans="1:40" ht="13.5" customHeight="1">
      <c r="A13" s="440" t="s">
        <v>387</v>
      </c>
      <c r="B13" s="440"/>
      <c r="C13" s="286"/>
      <c r="D13" s="440" t="s">
        <v>388</v>
      </c>
      <c r="E13" s="440"/>
      <c r="F13" s="441"/>
      <c r="G13" s="441"/>
      <c r="H13" s="441"/>
      <c r="I13" s="441"/>
      <c r="J13" s="441"/>
      <c r="K13" s="441"/>
      <c r="L13" s="92"/>
      <c r="M13" s="164"/>
      <c r="N13" s="92"/>
      <c r="O13" s="92"/>
      <c r="P13" s="92"/>
      <c r="Q13" s="92"/>
      <c r="R13" s="93"/>
      <c r="S13" s="93"/>
      <c r="T13" s="455" t="s">
        <v>410</v>
      </c>
      <c r="U13" s="455"/>
      <c r="V13" s="455"/>
      <c r="W13" s="455"/>
      <c r="X13" s="455"/>
      <c r="Y13" s="444"/>
      <c r="Z13" s="444"/>
      <c r="AA13" s="445"/>
      <c r="AB13" s="444"/>
      <c r="AC13" s="444"/>
      <c r="AD13" s="444"/>
      <c r="AE13" s="92"/>
      <c r="AF13" s="92"/>
      <c r="AG13" s="92"/>
      <c r="AH13" s="92"/>
      <c r="AI13" s="92"/>
      <c r="AJ13" s="92"/>
      <c r="AK13" s="92"/>
      <c r="AL13" s="92"/>
      <c r="AM13" s="92"/>
      <c r="AN13" s="92"/>
    </row>
    <row r="14" spans="1:40" ht="13.5" customHeight="1">
      <c r="A14" s="440" t="s">
        <v>390</v>
      </c>
      <c r="B14" s="440"/>
      <c r="C14" s="190"/>
      <c r="D14" s="92"/>
      <c r="E14" s="92"/>
      <c r="F14" s="92"/>
      <c r="G14" s="484" t="s">
        <v>389</v>
      </c>
      <c r="H14" s="484"/>
      <c r="I14" s="484"/>
      <c r="J14" s="441"/>
      <c r="K14" s="485"/>
      <c r="L14" s="92" t="s">
        <v>391</v>
      </c>
      <c r="M14" s="165"/>
      <c r="N14" s="92"/>
      <c r="O14" s="464" t="s">
        <v>1204</v>
      </c>
      <c r="P14" s="464"/>
      <c r="Q14" s="464"/>
      <c r="R14" s="464"/>
      <c r="S14" s="440"/>
      <c r="T14" s="455" t="s">
        <v>885</v>
      </c>
      <c r="U14" s="455"/>
      <c r="V14" s="455"/>
      <c r="W14" s="455"/>
      <c r="X14" s="455"/>
      <c r="Y14" s="444"/>
      <c r="Z14" s="444"/>
      <c r="AA14" s="445"/>
      <c r="AB14" s="444"/>
      <c r="AC14" s="444"/>
      <c r="AD14" s="444"/>
      <c r="AE14" s="92"/>
      <c r="AF14" s="92"/>
      <c r="AG14" s="92"/>
      <c r="AH14" s="92"/>
      <c r="AI14" s="92"/>
      <c r="AJ14" s="92"/>
      <c r="AK14" s="92"/>
      <c r="AL14" s="92"/>
      <c r="AM14" s="92"/>
      <c r="AN14" s="92"/>
    </row>
    <row r="15" spans="1:40" ht="13.5" customHeight="1">
      <c r="A15" s="437" t="s">
        <v>392</v>
      </c>
      <c r="B15" s="437"/>
      <c r="C15" s="437"/>
      <c r="D15" s="437"/>
      <c r="E15" s="488"/>
      <c r="F15" s="488"/>
      <c r="G15" s="488"/>
      <c r="H15" s="488"/>
      <c r="I15" s="488"/>
      <c r="J15" s="488"/>
      <c r="K15" s="488"/>
      <c r="L15" s="92" t="s">
        <v>393</v>
      </c>
      <c r="M15" s="165"/>
      <c r="N15" s="92"/>
      <c r="O15" s="440" t="s">
        <v>972</v>
      </c>
      <c r="P15" s="440"/>
      <c r="Q15" s="440"/>
      <c r="R15" s="463"/>
      <c r="S15" s="463"/>
      <c r="T15" s="455" t="s">
        <v>884</v>
      </c>
      <c r="U15" s="455"/>
      <c r="V15" s="455"/>
      <c r="W15" s="455"/>
      <c r="X15" s="455"/>
      <c r="Y15" s="444"/>
      <c r="Z15" s="444"/>
      <c r="AA15" s="445"/>
      <c r="AB15" s="444"/>
      <c r="AC15" s="444"/>
      <c r="AD15" s="444"/>
      <c r="AE15" s="92"/>
      <c r="AF15" s="92"/>
      <c r="AG15" s="92"/>
      <c r="AH15" s="92"/>
      <c r="AI15" s="92"/>
      <c r="AJ15" s="92"/>
      <c r="AK15" s="92"/>
      <c r="AL15" s="92"/>
      <c r="AM15" s="92"/>
      <c r="AN15" s="92"/>
    </row>
    <row r="16" spans="1:40" ht="13.5" customHeight="1">
      <c r="A16" s="437" t="s">
        <v>394</v>
      </c>
      <c r="B16" s="437"/>
      <c r="C16" s="441"/>
      <c r="D16" s="441"/>
      <c r="E16" s="441"/>
      <c r="F16" s="441"/>
      <c r="G16" s="441"/>
      <c r="H16" s="441"/>
      <c r="I16" s="441"/>
      <c r="J16" s="441"/>
      <c r="K16" s="441"/>
      <c r="L16" s="92" t="s">
        <v>395</v>
      </c>
      <c r="M16" s="165"/>
      <c r="N16" s="92"/>
      <c r="O16" s="440" t="s">
        <v>1169</v>
      </c>
      <c r="P16" s="440"/>
      <c r="Q16" s="440"/>
      <c r="R16" s="441"/>
      <c r="S16" s="441"/>
      <c r="T16" s="455" t="s">
        <v>886</v>
      </c>
      <c r="U16" s="455"/>
      <c r="V16" s="455"/>
      <c r="W16" s="455"/>
      <c r="X16" s="455"/>
      <c r="Y16" s="444"/>
      <c r="Z16" s="444"/>
      <c r="AA16" s="445"/>
      <c r="AB16" s="444"/>
      <c r="AC16" s="444"/>
      <c r="AD16" s="444"/>
      <c r="AE16" s="92"/>
      <c r="AF16" s="92"/>
      <c r="AG16" s="92"/>
      <c r="AH16" s="92"/>
      <c r="AI16" s="92"/>
      <c r="AJ16" s="92"/>
      <c r="AK16" s="92"/>
      <c r="AL16" s="92"/>
      <c r="AM16" s="92"/>
      <c r="AN16" s="92"/>
    </row>
    <row r="17" spans="1:40" ht="13.5" customHeight="1">
      <c r="A17" s="440" t="s">
        <v>396</v>
      </c>
      <c r="B17" s="440"/>
      <c r="C17" s="441"/>
      <c r="D17" s="441"/>
      <c r="E17" s="441"/>
      <c r="F17" s="441"/>
      <c r="G17" s="441"/>
      <c r="H17" s="441"/>
      <c r="I17" s="441"/>
      <c r="J17" s="441"/>
      <c r="K17" s="441"/>
      <c r="L17" s="92"/>
      <c r="M17" s="93"/>
      <c r="N17" s="92"/>
      <c r="O17" s="92"/>
      <c r="P17" s="92"/>
      <c r="Q17" s="92"/>
      <c r="R17" s="92"/>
      <c r="S17" s="92"/>
      <c r="T17" s="455" t="s">
        <v>887</v>
      </c>
      <c r="U17" s="455"/>
      <c r="V17" s="455"/>
      <c r="W17" s="455"/>
      <c r="X17" s="455"/>
      <c r="Y17" s="444"/>
      <c r="Z17" s="444"/>
      <c r="AA17" s="445"/>
      <c r="AB17" s="444"/>
      <c r="AC17" s="444"/>
      <c r="AD17" s="444"/>
      <c r="AE17" s="436" t="s">
        <v>419</v>
      </c>
      <c r="AF17" s="437"/>
      <c r="AG17" s="437"/>
      <c r="AH17" s="437"/>
      <c r="AI17" s="437"/>
      <c r="AJ17" s="437"/>
      <c r="AK17" s="437"/>
      <c r="AL17" s="437"/>
      <c r="AM17" s="437"/>
      <c r="AN17" s="437"/>
    </row>
    <row r="18" spans="1:40" ht="13.5" customHeight="1">
      <c r="A18" s="92" t="s">
        <v>397</v>
      </c>
      <c r="B18" s="441"/>
      <c r="C18" s="441"/>
      <c r="D18" s="484" t="s">
        <v>398</v>
      </c>
      <c r="E18" s="484"/>
      <c r="F18" s="441"/>
      <c r="G18" s="459"/>
      <c r="I18" s="93" t="s">
        <v>399</v>
      </c>
      <c r="J18" s="441"/>
      <c r="K18" s="459"/>
      <c r="L18" s="458" t="s">
        <v>1234</v>
      </c>
      <c r="M18" s="461"/>
      <c r="N18" s="461"/>
      <c r="O18" s="461"/>
      <c r="P18" s="461"/>
      <c r="Q18" s="461"/>
      <c r="R18" s="461"/>
      <c r="S18" s="461"/>
      <c r="T18" s="455" t="s">
        <v>888</v>
      </c>
      <c r="U18" s="455"/>
      <c r="V18" s="455"/>
      <c r="W18" s="455"/>
      <c r="X18" s="455"/>
      <c r="Y18" s="444"/>
      <c r="Z18" s="444"/>
      <c r="AA18" s="445"/>
      <c r="AB18" s="444"/>
      <c r="AC18" s="444"/>
      <c r="AD18" s="444"/>
      <c r="AE18" s="520" t="s">
        <v>1551</v>
      </c>
      <c r="AF18" s="521"/>
      <c r="AG18" s="521"/>
      <c r="AH18" s="521"/>
      <c r="AI18" s="521"/>
      <c r="AJ18" s="521"/>
      <c r="AK18" s="521"/>
      <c r="AL18" s="521"/>
      <c r="AM18" s="521"/>
      <c r="AN18" s="521"/>
    </row>
    <row r="19" spans="2:40" ht="11.25">
      <c r="B19" s="92"/>
      <c r="C19" s="92"/>
      <c r="D19" s="93"/>
      <c r="E19" s="95"/>
      <c r="F19" s="95"/>
      <c r="G19" s="92"/>
      <c r="H19" s="92"/>
      <c r="I19" s="93"/>
      <c r="J19" s="95"/>
      <c r="K19" s="92"/>
      <c r="L19" s="92"/>
      <c r="M19" s="93"/>
      <c r="N19" s="92"/>
      <c r="O19" s="92"/>
      <c r="P19" s="92"/>
      <c r="Q19" s="92"/>
      <c r="R19" s="92"/>
      <c r="S19" s="92"/>
      <c r="T19" s="455" t="s">
        <v>889</v>
      </c>
      <c r="U19" s="455"/>
      <c r="V19" s="455"/>
      <c r="W19" s="455"/>
      <c r="X19" s="455"/>
      <c r="Y19" s="444"/>
      <c r="Z19" s="444"/>
      <c r="AA19" s="445"/>
      <c r="AB19" s="444"/>
      <c r="AC19" s="444"/>
      <c r="AD19" s="444"/>
      <c r="AE19" s="521"/>
      <c r="AF19" s="521"/>
      <c r="AG19" s="521"/>
      <c r="AH19" s="521"/>
      <c r="AI19" s="521"/>
      <c r="AJ19" s="521"/>
      <c r="AK19" s="521"/>
      <c r="AL19" s="521"/>
      <c r="AM19" s="521"/>
      <c r="AN19" s="521"/>
    </row>
    <row r="20" spans="1:40" ht="13.5" customHeight="1">
      <c r="A20" s="437" t="s">
        <v>400</v>
      </c>
      <c r="B20" s="437"/>
      <c r="C20" s="437"/>
      <c r="D20" s="437"/>
      <c r="E20" s="437"/>
      <c r="F20" s="437"/>
      <c r="G20" s="437"/>
      <c r="H20" s="437"/>
      <c r="I20" s="437"/>
      <c r="J20" s="437"/>
      <c r="K20" s="437"/>
      <c r="L20" s="97" t="s">
        <v>127</v>
      </c>
      <c r="M20" s="97" t="s">
        <v>729</v>
      </c>
      <c r="N20" s="97" t="s">
        <v>1145</v>
      </c>
      <c r="O20" s="447" t="s">
        <v>730</v>
      </c>
      <c r="P20" s="447"/>
      <c r="Q20" s="447" t="s">
        <v>623</v>
      </c>
      <c r="R20" s="447"/>
      <c r="S20" s="97" t="s">
        <v>133</v>
      </c>
      <c r="T20" s="455" t="s">
        <v>890</v>
      </c>
      <c r="U20" s="455"/>
      <c r="V20" s="455"/>
      <c r="W20" s="455"/>
      <c r="X20" s="455"/>
      <c r="Y20" s="444"/>
      <c r="Z20" s="444"/>
      <c r="AA20" s="445"/>
      <c r="AB20" s="444"/>
      <c r="AC20" s="444"/>
      <c r="AD20" s="444"/>
      <c r="AE20" s="521"/>
      <c r="AF20" s="521"/>
      <c r="AG20" s="521"/>
      <c r="AH20" s="521"/>
      <c r="AI20" s="521"/>
      <c r="AJ20" s="521"/>
      <c r="AK20" s="521"/>
      <c r="AL20" s="521"/>
      <c r="AM20" s="521"/>
      <c r="AN20" s="521"/>
    </row>
    <row r="21" spans="12:40" ht="13.5" customHeight="1">
      <c r="L21" s="192"/>
      <c r="M21" s="193"/>
      <c r="N21" s="193"/>
      <c r="O21" s="466"/>
      <c r="P21" s="447"/>
      <c r="Q21" s="466"/>
      <c r="R21" s="466"/>
      <c r="S21" s="193"/>
      <c r="T21" s="455" t="s">
        <v>411</v>
      </c>
      <c r="U21" s="455"/>
      <c r="V21" s="455"/>
      <c r="W21" s="455"/>
      <c r="X21" s="455"/>
      <c r="Y21" s="444"/>
      <c r="Z21" s="444"/>
      <c r="AA21" s="445"/>
      <c r="AB21" s="444"/>
      <c r="AC21" s="444"/>
      <c r="AD21" s="444"/>
      <c r="AE21" s="521"/>
      <c r="AF21" s="521"/>
      <c r="AG21" s="521"/>
      <c r="AH21" s="521"/>
      <c r="AI21" s="521"/>
      <c r="AJ21" s="521"/>
      <c r="AK21" s="521"/>
      <c r="AL21" s="521"/>
      <c r="AM21" s="521"/>
      <c r="AN21" s="521"/>
    </row>
    <row r="22" spans="1:40" ht="13.5" customHeight="1">
      <c r="A22" s="449" t="s">
        <v>401</v>
      </c>
      <c r="B22" s="449"/>
      <c r="C22" s="449"/>
      <c r="D22" s="449"/>
      <c r="E22" s="449"/>
      <c r="F22" s="449"/>
      <c r="G22" s="449"/>
      <c r="H22" s="449"/>
      <c r="I22" s="449"/>
      <c r="J22" s="449"/>
      <c r="K22" s="449"/>
      <c r="L22" s="92"/>
      <c r="M22" s="92"/>
      <c r="N22" s="92"/>
      <c r="O22" s="92"/>
      <c r="P22" s="92"/>
      <c r="Q22" s="92"/>
      <c r="R22" s="92"/>
      <c r="S22" s="92"/>
      <c r="T22" s="455" t="s">
        <v>412</v>
      </c>
      <c r="U22" s="455"/>
      <c r="V22" s="455"/>
      <c r="W22" s="455"/>
      <c r="X22" s="455"/>
      <c r="Y22" s="444"/>
      <c r="Z22" s="444"/>
      <c r="AA22" s="445"/>
      <c r="AB22" s="444"/>
      <c r="AC22" s="444"/>
      <c r="AD22" s="444"/>
      <c r="AE22" s="521"/>
      <c r="AF22" s="521"/>
      <c r="AG22" s="521"/>
      <c r="AH22" s="521"/>
      <c r="AI22" s="521"/>
      <c r="AJ22" s="521"/>
      <c r="AK22" s="521"/>
      <c r="AL22" s="521"/>
      <c r="AM22" s="521"/>
      <c r="AN22" s="521"/>
    </row>
    <row r="23" spans="1:40" ht="13.5" customHeight="1">
      <c r="A23" s="92" t="s">
        <v>402</v>
      </c>
      <c r="B23" s="92"/>
      <c r="C23" s="92"/>
      <c r="D23" s="462"/>
      <c r="E23" s="463"/>
      <c r="F23" s="440" t="s">
        <v>596</v>
      </c>
      <c r="G23" s="440"/>
      <c r="H23" s="440"/>
      <c r="I23" s="92"/>
      <c r="J23" s="92"/>
      <c r="K23" s="92"/>
      <c r="L23" s="458" t="s">
        <v>1235</v>
      </c>
      <c r="M23" s="461"/>
      <c r="N23" s="461"/>
      <c r="O23" s="461"/>
      <c r="P23" s="461"/>
      <c r="Q23" s="461"/>
      <c r="R23" s="461"/>
      <c r="S23" s="461"/>
      <c r="T23" s="455" t="s">
        <v>413</v>
      </c>
      <c r="U23" s="455"/>
      <c r="V23" s="455"/>
      <c r="W23" s="455"/>
      <c r="X23" s="455"/>
      <c r="Y23" s="444"/>
      <c r="Z23" s="444"/>
      <c r="AA23" s="445"/>
      <c r="AB23" s="444"/>
      <c r="AC23" s="444"/>
      <c r="AD23" s="444"/>
      <c r="AE23" s="521"/>
      <c r="AF23" s="521"/>
      <c r="AG23" s="521"/>
      <c r="AH23" s="521"/>
      <c r="AI23" s="521"/>
      <c r="AJ23" s="521"/>
      <c r="AK23" s="521"/>
      <c r="AL23" s="521"/>
      <c r="AM23" s="521"/>
      <c r="AN23" s="521"/>
    </row>
    <row r="24" spans="1:40" ht="13.5" customHeight="1">
      <c r="A24" s="440" t="s">
        <v>403</v>
      </c>
      <c r="B24" s="440"/>
      <c r="C24" s="440"/>
      <c r="D24" s="440"/>
      <c r="E24" s="440"/>
      <c r="F24" s="440"/>
      <c r="G24" s="440"/>
      <c r="H24" s="440"/>
      <c r="I24" s="440"/>
      <c r="J24" s="440"/>
      <c r="K24" s="440"/>
      <c r="L24" s="96"/>
      <c r="M24" s="252"/>
      <c r="N24" s="252"/>
      <c r="O24" s="252"/>
      <c r="P24" s="252"/>
      <c r="Q24" s="252"/>
      <c r="R24" s="252"/>
      <c r="S24" s="252"/>
      <c r="T24" s="455" t="s">
        <v>414</v>
      </c>
      <c r="U24" s="455"/>
      <c r="V24" s="455"/>
      <c r="W24" s="455"/>
      <c r="X24" s="455"/>
      <c r="Y24" s="444"/>
      <c r="Z24" s="444"/>
      <c r="AA24" s="445"/>
      <c r="AB24" s="444"/>
      <c r="AC24" s="444"/>
      <c r="AD24" s="444"/>
      <c r="AE24" s="521"/>
      <c r="AF24" s="521"/>
      <c r="AG24" s="521"/>
      <c r="AH24" s="521"/>
      <c r="AI24" s="521"/>
      <c r="AJ24" s="521"/>
      <c r="AK24" s="521"/>
      <c r="AL24" s="521"/>
      <c r="AM24" s="521"/>
      <c r="AN24" s="521"/>
    </row>
    <row r="25" spans="1:40" ht="13.5" customHeight="1">
      <c r="A25" s="440" t="s">
        <v>404</v>
      </c>
      <c r="B25" s="440"/>
      <c r="C25" s="463"/>
      <c r="D25" s="463"/>
      <c r="E25" s="463"/>
      <c r="F25" s="463"/>
      <c r="G25" s="92"/>
      <c r="H25" s="440" t="s">
        <v>1205</v>
      </c>
      <c r="I25" s="440"/>
      <c r="J25" s="438"/>
      <c r="K25" s="438"/>
      <c r="L25" s="97" t="s">
        <v>127</v>
      </c>
      <c r="M25" s="97" t="s">
        <v>729</v>
      </c>
      <c r="N25" s="97" t="s">
        <v>1145</v>
      </c>
      <c r="O25" s="447" t="s">
        <v>730</v>
      </c>
      <c r="P25" s="447"/>
      <c r="Q25" s="447" t="s">
        <v>623</v>
      </c>
      <c r="R25" s="447"/>
      <c r="S25" s="97" t="s">
        <v>133</v>
      </c>
      <c r="T25" s="455" t="s">
        <v>415</v>
      </c>
      <c r="U25" s="455"/>
      <c r="V25" s="455"/>
      <c r="W25" s="455"/>
      <c r="X25" s="455"/>
      <c r="Y25" s="444"/>
      <c r="Z25" s="444"/>
      <c r="AA25" s="445"/>
      <c r="AB25" s="444"/>
      <c r="AC25" s="444"/>
      <c r="AD25" s="444"/>
      <c r="AE25" s="521"/>
      <c r="AF25" s="521"/>
      <c r="AG25" s="521"/>
      <c r="AH25" s="521"/>
      <c r="AI25" s="521"/>
      <c r="AJ25" s="521"/>
      <c r="AK25" s="521"/>
      <c r="AL25" s="521"/>
      <c r="AM25" s="521"/>
      <c r="AN25" s="521"/>
    </row>
    <row r="26" spans="1:40" ht="13.5" customHeight="1">
      <c r="A26" s="440" t="s">
        <v>422</v>
      </c>
      <c r="B26" s="440"/>
      <c r="C26" s="440"/>
      <c r="D26" s="440"/>
      <c r="E26" s="440"/>
      <c r="F26" s="440"/>
      <c r="G26" s="440"/>
      <c r="H26" s="440"/>
      <c r="I26" s="440"/>
      <c r="J26" s="440"/>
      <c r="K26" s="440"/>
      <c r="L26" s="192"/>
      <c r="M26" s="193"/>
      <c r="N26" s="193"/>
      <c r="O26" s="466"/>
      <c r="P26" s="447"/>
      <c r="Q26" s="466"/>
      <c r="R26" s="466"/>
      <c r="S26" s="193"/>
      <c r="T26" s="455" t="s">
        <v>1214</v>
      </c>
      <c r="U26" s="455"/>
      <c r="V26" s="455"/>
      <c r="W26" s="455"/>
      <c r="X26" s="261"/>
      <c r="Y26" s="444"/>
      <c r="Z26" s="444"/>
      <c r="AA26" s="445"/>
      <c r="AB26" s="444"/>
      <c r="AC26" s="444"/>
      <c r="AD26" s="444"/>
      <c r="AE26" s="522" t="s">
        <v>1552</v>
      </c>
      <c r="AF26" s="523"/>
      <c r="AG26" s="523"/>
      <c r="AH26" s="523"/>
      <c r="AI26" s="523"/>
      <c r="AJ26" s="523"/>
      <c r="AK26" s="523"/>
      <c r="AL26" s="523"/>
      <c r="AM26" s="523"/>
      <c r="AN26" s="523"/>
    </row>
    <row r="27" spans="12:40" ht="13.5" customHeight="1">
      <c r="L27" s="192"/>
      <c r="M27" s="193"/>
      <c r="N27" s="193"/>
      <c r="O27" s="466"/>
      <c r="P27" s="447"/>
      <c r="Q27" s="466"/>
      <c r="R27" s="466"/>
      <c r="S27" s="193"/>
      <c r="T27" s="455" t="s">
        <v>1120</v>
      </c>
      <c r="U27" s="455"/>
      <c r="V27" s="455"/>
      <c r="W27" s="455"/>
      <c r="X27" s="455"/>
      <c r="Y27" s="444"/>
      <c r="Z27" s="444"/>
      <c r="AA27" s="445"/>
      <c r="AB27" s="444"/>
      <c r="AC27" s="444"/>
      <c r="AD27" s="444"/>
      <c r="AE27" s="523"/>
      <c r="AF27" s="523"/>
      <c r="AG27" s="523"/>
      <c r="AH27" s="523"/>
      <c r="AI27" s="523"/>
      <c r="AJ27" s="523"/>
      <c r="AK27" s="523"/>
      <c r="AL27" s="523"/>
      <c r="AM27" s="523"/>
      <c r="AN27" s="523"/>
    </row>
    <row r="28" spans="1:40" ht="13.5" customHeight="1">
      <c r="A28" s="458" t="s">
        <v>708</v>
      </c>
      <c r="B28" s="458"/>
      <c r="C28" s="458"/>
      <c r="D28" s="458"/>
      <c r="E28" s="458"/>
      <c r="F28" s="458"/>
      <c r="G28" s="458"/>
      <c r="H28" s="458"/>
      <c r="I28" s="458"/>
      <c r="J28" s="458"/>
      <c r="K28" s="458"/>
      <c r="L28" s="192"/>
      <c r="M28" s="193"/>
      <c r="N28" s="193"/>
      <c r="O28" s="466"/>
      <c r="P28" s="447"/>
      <c r="Q28" s="466"/>
      <c r="R28" s="466"/>
      <c r="S28" s="193"/>
      <c r="T28" s="455" t="s">
        <v>1121</v>
      </c>
      <c r="U28" s="455"/>
      <c r="V28" s="455"/>
      <c r="W28" s="455"/>
      <c r="X28" s="455"/>
      <c r="Y28" s="444"/>
      <c r="Z28" s="444"/>
      <c r="AA28" s="445"/>
      <c r="AB28" s="444"/>
      <c r="AC28" s="444"/>
      <c r="AD28" s="444"/>
      <c r="AE28" s="523"/>
      <c r="AF28" s="523"/>
      <c r="AG28" s="523"/>
      <c r="AH28" s="523"/>
      <c r="AI28" s="523"/>
      <c r="AJ28" s="523"/>
      <c r="AK28" s="523"/>
      <c r="AL28" s="523"/>
      <c r="AM28" s="523"/>
      <c r="AN28" s="523"/>
    </row>
    <row r="29" spans="1:38" ht="13.5" customHeight="1">
      <c r="A29" s="161" t="s">
        <v>574</v>
      </c>
      <c r="B29" s="442"/>
      <c r="C29" s="442"/>
      <c r="D29" s="442"/>
      <c r="E29" s="442"/>
      <c r="F29" s="442"/>
      <c r="G29" s="442"/>
      <c r="H29" s="442"/>
      <c r="I29" s="442"/>
      <c r="J29" s="442"/>
      <c r="K29" s="443"/>
      <c r="L29" s="192"/>
      <c r="M29" s="193"/>
      <c r="N29" s="193"/>
      <c r="O29" s="466"/>
      <c r="P29" s="447"/>
      <c r="Q29" s="466"/>
      <c r="R29" s="466"/>
      <c r="S29" s="193"/>
      <c r="T29" s="455" t="s">
        <v>416</v>
      </c>
      <c r="U29" s="455"/>
      <c r="V29" s="455"/>
      <c r="W29" s="455"/>
      <c r="X29" s="455"/>
      <c r="Y29" s="444"/>
      <c r="Z29" s="444"/>
      <c r="AA29" s="445"/>
      <c r="AB29" s="444"/>
      <c r="AC29" s="444"/>
      <c r="AD29" s="444"/>
      <c r="AE29" s="92"/>
      <c r="AF29" s="92"/>
      <c r="AG29" s="92"/>
      <c r="AH29" s="92"/>
      <c r="AI29" s="92"/>
      <c r="AJ29" s="92"/>
      <c r="AK29" s="92"/>
      <c r="AL29" s="92"/>
    </row>
    <row r="30" spans="1:38" ht="13.5" customHeight="1">
      <c r="A30" s="163" t="s">
        <v>587</v>
      </c>
      <c r="B30" s="442"/>
      <c r="C30" s="442"/>
      <c r="D30" s="442"/>
      <c r="E30" s="442"/>
      <c r="F30" s="442"/>
      <c r="G30" s="92" t="s">
        <v>1553</v>
      </c>
      <c r="H30" s="92"/>
      <c r="I30" s="283"/>
      <c r="J30" s="442"/>
      <c r="K30" s="442"/>
      <c r="L30" s="192"/>
      <c r="M30" s="193"/>
      <c r="N30" s="193"/>
      <c r="O30" s="466"/>
      <c r="P30" s="447"/>
      <c r="Q30" s="466"/>
      <c r="R30" s="466"/>
      <c r="S30" s="193"/>
      <c r="T30" s="491" t="s">
        <v>1228</v>
      </c>
      <c r="U30" s="491"/>
      <c r="V30" s="491"/>
      <c r="W30" s="491"/>
      <c r="X30" s="491"/>
      <c r="Y30" s="444"/>
      <c r="Z30" s="444"/>
      <c r="AA30" s="445"/>
      <c r="AB30" s="444"/>
      <c r="AC30" s="444"/>
      <c r="AD30" s="444"/>
      <c r="AE30" s="93" t="s">
        <v>420</v>
      </c>
      <c r="AF30" s="490"/>
      <c r="AG30" s="490"/>
      <c r="AH30" s="490"/>
      <c r="AI30" s="93"/>
      <c r="AJ30" s="93"/>
      <c r="AK30" s="92"/>
      <c r="AL30" s="92"/>
    </row>
    <row r="31" spans="1:38" ht="13.5" customHeight="1">
      <c r="A31" s="163" t="s">
        <v>588</v>
      </c>
      <c r="B31" s="442"/>
      <c r="C31" s="442"/>
      <c r="D31" s="442"/>
      <c r="E31" s="442"/>
      <c r="F31" s="442" t="s">
        <v>705</v>
      </c>
      <c r="G31" s="442"/>
      <c r="H31" s="473"/>
      <c r="I31" s="473"/>
      <c r="J31" s="163" t="s">
        <v>591</v>
      </c>
      <c r="K31" s="166"/>
      <c r="L31" s="92"/>
      <c r="M31" s="92"/>
      <c r="N31" s="92"/>
      <c r="O31" s="92"/>
      <c r="P31" s="92"/>
      <c r="Q31" s="92"/>
      <c r="R31" s="92"/>
      <c r="S31" s="92"/>
      <c r="T31" s="491"/>
      <c r="U31" s="491"/>
      <c r="V31" s="491"/>
      <c r="W31" s="491"/>
      <c r="X31" s="491"/>
      <c r="Y31" s="444"/>
      <c r="Z31" s="444"/>
      <c r="AA31" s="445"/>
      <c r="AB31" s="444"/>
      <c r="AC31" s="444"/>
      <c r="AD31" s="444"/>
      <c r="AE31" s="92"/>
      <c r="AF31" s="92"/>
      <c r="AG31" s="92"/>
      <c r="AH31" s="92"/>
      <c r="AI31" s="92"/>
      <c r="AJ31" s="92"/>
      <c r="AK31" s="92"/>
      <c r="AL31" s="92"/>
    </row>
    <row r="32" spans="1:38" ht="13.5" customHeight="1">
      <c r="A32" s="437" t="s">
        <v>592</v>
      </c>
      <c r="B32" s="437"/>
      <c r="L32" s="477" t="s">
        <v>709</v>
      </c>
      <c r="M32" s="477"/>
      <c r="N32" s="477"/>
      <c r="O32" s="464"/>
      <c r="P32" s="464"/>
      <c r="Q32" s="464"/>
      <c r="R32" s="464"/>
      <c r="S32" s="464"/>
      <c r="T32" s="455" t="s">
        <v>1173</v>
      </c>
      <c r="U32" s="455"/>
      <c r="V32" s="455"/>
      <c r="W32" s="455"/>
      <c r="X32" s="455"/>
      <c r="Y32" s="444"/>
      <c r="Z32" s="444"/>
      <c r="AA32" s="445"/>
      <c r="AB32" s="444"/>
      <c r="AC32" s="444"/>
      <c r="AD32" s="444"/>
      <c r="AE32" s="92"/>
      <c r="AF32" s="92"/>
      <c r="AG32" s="92"/>
      <c r="AH32" s="92"/>
      <c r="AI32" s="92"/>
      <c r="AJ32" s="92"/>
      <c r="AK32" s="92"/>
      <c r="AL32" s="92"/>
    </row>
    <row r="33" spans="1:30" ht="13.5" customHeight="1">
      <c r="A33" s="163" t="s">
        <v>593</v>
      </c>
      <c r="B33" s="285"/>
      <c r="C33" s="470" t="s">
        <v>594</v>
      </c>
      <c r="D33" s="471"/>
      <c r="E33" s="471"/>
      <c r="F33" s="471"/>
      <c r="G33" s="471"/>
      <c r="H33" s="471"/>
      <c r="I33" s="471"/>
      <c r="J33" s="471"/>
      <c r="K33" s="471"/>
      <c r="L33" s="496" t="s">
        <v>710</v>
      </c>
      <c r="M33" s="496"/>
      <c r="N33" s="497"/>
      <c r="O33" s="497"/>
      <c r="P33" s="498" t="s">
        <v>1115</v>
      </c>
      <c r="Q33" s="447"/>
      <c r="R33" s="504" t="s">
        <v>1114</v>
      </c>
      <c r="S33" s="500"/>
      <c r="T33" s="455" t="s">
        <v>1174</v>
      </c>
      <c r="U33" s="455"/>
      <c r="V33" s="455"/>
      <c r="W33" s="455"/>
      <c r="X33" s="455"/>
      <c r="Y33" s="444"/>
      <c r="Z33" s="444"/>
      <c r="AA33" s="445"/>
      <c r="AB33" s="444"/>
      <c r="AC33" s="444"/>
      <c r="AD33" s="444"/>
    </row>
    <row r="34" spans="1:38" ht="13.5" customHeight="1">
      <c r="A34" s="472" t="s">
        <v>595</v>
      </c>
      <c r="B34" s="472"/>
      <c r="C34" s="472"/>
      <c r="D34" s="472"/>
      <c r="E34" s="472"/>
      <c r="F34" s="472"/>
      <c r="G34" s="472"/>
      <c r="H34" s="472"/>
      <c r="I34" s="472"/>
      <c r="J34" s="472"/>
      <c r="K34" s="472"/>
      <c r="L34" s="455" t="s">
        <v>614</v>
      </c>
      <c r="M34" s="455"/>
      <c r="N34" s="455"/>
      <c r="O34" s="455"/>
      <c r="P34" s="492"/>
      <c r="Q34" s="492"/>
      <c r="R34" s="499"/>
      <c r="S34" s="500"/>
      <c r="T34" s="491" t="s">
        <v>1229</v>
      </c>
      <c r="U34" s="491"/>
      <c r="V34" s="491"/>
      <c r="W34" s="491"/>
      <c r="X34" s="491"/>
      <c r="Y34" s="444"/>
      <c r="Z34" s="444"/>
      <c r="AA34" s="445"/>
      <c r="AB34" s="444"/>
      <c r="AC34" s="444"/>
      <c r="AD34" s="444"/>
      <c r="AE34" s="98"/>
      <c r="AF34" s="98"/>
      <c r="AG34" s="99"/>
      <c r="AH34" s="98"/>
      <c r="AI34" s="92"/>
      <c r="AJ34" s="92"/>
      <c r="AK34" s="92"/>
      <c r="AL34" s="92"/>
    </row>
    <row r="35" spans="1:38" ht="13.5" customHeight="1">
      <c r="A35" s="472"/>
      <c r="B35" s="472"/>
      <c r="C35" s="472"/>
      <c r="D35" s="472"/>
      <c r="E35" s="472"/>
      <c r="F35" s="472"/>
      <c r="G35" s="472"/>
      <c r="H35" s="472"/>
      <c r="I35" s="472"/>
      <c r="J35" s="472"/>
      <c r="K35" s="472"/>
      <c r="L35" s="455" t="s">
        <v>615</v>
      </c>
      <c r="M35" s="455"/>
      <c r="N35" s="455"/>
      <c r="O35" s="455"/>
      <c r="P35" s="492"/>
      <c r="Q35" s="492"/>
      <c r="R35" s="499"/>
      <c r="S35" s="500"/>
      <c r="T35" s="491"/>
      <c r="U35" s="491"/>
      <c r="V35" s="491"/>
      <c r="W35" s="491"/>
      <c r="X35" s="491"/>
      <c r="Y35" s="444"/>
      <c r="Z35" s="444"/>
      <c r="AA35" s="445"/>
      <c r="AB35" s="444"/>
      <c r="AC35" s="444"/>
      <c r="AD35" s="444"/>
      <c r="AE35" s="487" t="s">
        <v>421</v>
      </c>
      <c r="AF35" s="487"/>
      <c r="AG35" s="487"/>
      <c r="AH35" s="489"/>
      <c r="AI35" s="93"/>
      <c r="AJ35" s="92"/>
      <c r="AK35" s="92"/>
      <c r="AL35" s="92"/>
    </row>
    <row r="36" spans="1:38" ht="13.5" customHeight="1">
      <c r="A36" s="472"/>
      <c r="B36" s="472"/>
      <c r="C36" s="472"/>
      <c r="D36" s="472"/>
      <c r="E36" s="472"/>
      <c r="F36" s="472"/>
      <c r="G36" s="472"/>
      <c r="H36" s="472"/>
      <c r="I36" s="472"/>
      <c r="J36" s="472"/>
      <c r="K36" s="472"/>
      <c r="L36" s="455" t="s">
        <v>616</v>
      </c>
      <c r="M36" s="455"/>
      <c r="N36" s="455"/>
      <c r="O36" s="455"/>
      <c r="P36" s="492"/>
      <c r="Q36" s="492"/>
      <c r="R36" s="499"/>
      <c r="S36" s="500"/>
      <c r="T36" s="455" t="s">
        <v>1173</v>
      </c>
      <c r="U36" s="455"/>
      <c r="V36" s="455"/>
      <c r="W36" s="455"/>
      <c r="X36" s="455"/>
      <c r="Y36" s="444"/>
      <c r="Z36" s="444"/>
      <c r="AA36" s="445"/>
      <c r="AB36" s="444"/>
      <c r="AC36" s="444"/>
      <c r="AD36" s="444"/>
      <c r="AE36" s="92"/>
      <c r="AF36" s="92"/>
      <c r="AG36" s="92"/>
      <c r="AH36" s="92"/>
      <c r="AI36" s="92"/>
      <c r="AJ36" s="92"/>
      <c r="AK36" s="92"/>
      <c r="AL36" s="92"/>
    </row>
    <row r="37" spans="1:30" ht="13.5" customHeight="1" thickBot="1">
      <c r="A37" s="449" t="s">
        <v>1111</v>
      </c>
      <c r="B37" s="449"/>
      <c r="C37" s="449"/>
      <c r="D37" s="449"/>
      <c r="E37" s="449"/>
      <c r="F37" s="449"/>
      <c r="G37" s="449"/>
      <c r="H37" s="449"/>
      <c r="I37" s="449"/>
      <c r="J37" s="449"/>
      <c r="K37" s="449"/>
      <c r="L37" s="455" t="s">
        <v>618</v>
      </c>
      <c r="M37" s="455"/>
      <c r="N37" s="455"/>
      <c r="O37" s="455"/>
      <c r="P37" s="492"/>
      <c r="Q37" s="492"/>
      <c r="R37" s="499"/>
      <c r="S37" s="500"/>
      <c r="T37" s="526" t="s">
        <v>417</v>
      </c>
      <c r="U37" s="526"/>
      <c r="V37" s="526"/>
      <c r="W37" s="526"/>
      <c r="X37" s="526"/>
      <c r="Y37" s="253"/>
      <c r="Z37" s="493"/>
      <c r="AA37" s="493"/>
      <c r="AB37" s="494"/>
      <c r="AC37" s="495"/>
      <c r="AD37" s="253"/>
    </row>
    <row r="38" spans="1:30" ht="13.5" customHeight="1">
      <c r="A38" s="250"/>
      <c r="B38" s="250"/>
      <c r="C38" s="250"/>
      <c r="D38" s="250"/>
      <c r="E38" s="250"/>
      <c r="F38" s="250"/>
      <c r="G38" s="250"/>
      <c r="H38" s="250"/>
      <c r="I38" s="250"/>
      <c r="J38" s="250"/>
      <c r="K38" s="250"/>
      <c r="L38" s="455" t="s">
        <v>619</v>
      </c>
      <c r="M38" s="455"/>
      <c r="N38" s="455"/>
      <c r="O38" s="455"/>
      <c r="P38" s="499"/>
      <c r="Q38" s="499"/>
      <c r="R38" s="499"/>
      <c r="S38" s="500"/>
      <c r="T38" s="519" t="s">
        <v>1230</v>
      </c>
      <c r="U38" s="471"/>
      <c r="V38" s="471"/>
      <c r="W38" s="471"/>
      <c r="X38" s="471"/>
      <c r="Y38" s="253"/>
      <c r="Z38" s="209"/>
      <c r="AA38" s="210"/>
      <c r="AB38" s="210"/>
      <c r="AC38" s="210"/>
      <c r="AD38" s="254"/>
    </row>
    <row r="39" spans="1:30" ht="13.5" customHeight="1">
      <c r="A39" s="437" t="s">
        <v>1112</v>
      </c>
      <c r="B39" s="437"/>
      <c r="C39" s="437"/>
      <c r="D39" s="440"/>
      <c r="E39" s="437"/>
      <c r="F39" s="437"/>
      <c r="G39" s="437"/>
      <c r="H39" s="437"/>
      <c r="I39" s="437"/>
      <c r="J39" s="437"/>
      <c r="L39" s="497" t="s">
        <v>617</v>
      </c>
      <c r="M39" s="497"/>
      <c r="N39" s="497"/>
      <c r="O39" s="497"/>
      <c r="P39" s="499"/>
      <c r="Q39" s="499"/>
      <c r="R39" s="499"/>
      <c r="S39" s="499"/>
      <c r="T39" s="519" t="s">
        <v>1098</v>
      </c>
      <c r="U39" s="471"/>
      <c r="V39" s="471"/>
      <c r="W39" s="471"/>
      <c r="X39" s="471"/>
      <c r="Y39" s="471"/>
      <c r="Z39" s="525"/>
      <c r="AA39" s="525"/>
      <c r="AB39" s="525"/>
      <c r="AC39" s="525"/>
      <c r="AD39" s="525"/>
    </row>
    <row r="40" spans="4:30" ht="1.5" customHeight="1" hidden="1">
      <c r="D40" s="92"/>
      <c r="L40" s="195"/>
      <c r="M40" s="195"/>
      <c r="N40" s="195"/>
      <c r="O40" s="195"/>
      <c r="P40" s="255"/>
      <c r="Q40" s="255"/>
      <c r="R40" s="255"/>
      <c r="S40" s="255"/>
      <c r="T40" s="208" t="s">
        <v>1179</v>
      </c>
      <c r="U40" s="207"/>
      <c r="V40" s="207"/>
      <c r="W40" s="207"/>
      <c r="X40" s="207"/>
      <c r="Y40" s="207"/>
      <c r="Z40" s="206"/>
      <c r="AA40" s="206"/>
      <c r="AB40" s="206"/>
      <c r="AC40" s="206"/>
      <c r="AD40" s="206"/>
    </row>
    <row r="41" spans="8:30" ht="13.5" customHeight="1">
      <c r="H41" s="454" t="s">
        <v>1113</v>
      </c>
      <c r="I41" s="454"/>
      <c r="J41" s="454"/>
      <c r="K41" s="454"/>
      <c r="L41" s="440"/>
      <c r="M41" s="440"/>
      <c r="N41" s="484"/>
      <c r="O41" s="440"/>
      <c r="P41" s="440"/>
      <c r="Q41" s="440"/>
      <c r="R41" s="440"/>
      <c r="S41" s="440"/>
      <c r="T41" s="524" t="s">
        <v>1232</v>
      </c>
      <c r="U41" s="459"/>
      <c r="V41" s="459"/>
      <c r="W41" s="459"/>
      <c r="X41" s="459"/>
      <c r="Y41" s="459"/>
      <c r="Z41" s="525"/>
      <c r="AA41" s="525"/>
      <c r="AB41" s="525"/>
      <c r="AC41" s="525"/>
      <c r="AD41" s="525"/>
    </row>
    <row r="42" spans="1:30" ht="13.5" customHeight="1">
      <c r="A42" s="449" t="s">
        <v>405</v>
      </c>
      <c r="B42" s="449"/>
      <c r="C42" s="449"/>
      <c r="D42" s="449"/>
      <c r="E42" s="449"/>
      <c r="F42" s="449"/>
      <c r="G42" s="449"/>
      <c r="H42" s="449"/>
      <c r="I42" s="449"/>
      <c r="J42" s="449"/>
      <c r="K42" s="449"/>
      <c r="L42" s="458" t="s">
        <v>302</v>
      </c>
      <c r="M42" s="461"/>
      <c r="N42" s="461"/>
      <c r="O42" s="461"/>
      <c r="P42" s="461"/>
      <c r="Q42" s="461"/>
      <c r="R42" s="461"/>
      <c r="S42" s="461"/>
      <c r="T42" s="510" t="s">
        <v>1218</v>
      </c>
      <c r="U42" s="459"/>
      <c r="V42" s="459"/>
      <c r="W42" s="511"/>
      <c r="X42" s="511"/>
      <c r="Y42" s="511"/>
      <c r="Z42" s="511"/>
      <c r="AA42" s="511"/>
      <c r="AB42" s="511"/>
      <c r="AC42" s="511"/>
      <c r="AD42" s="511"/>
    </row>
    <row r="43" spans="1:30" ht="13.5" customHeight="1">
      <c r="A43" s="440"/>
      <c r="B43" s="440"/>
      <c r="C43" s="440"/>
      <c r="D43" s="164"/>
      <c r="T43" s="516" t="s">
        <v>1233</v>
      </c>
      <c r="U43" s="516"/>
      <c r="V43" s="516"/>
      <c r="W43" s="516"/>
      <c r="X43" s="516"/>
      <c r="Y43" s="516"/>
      <c r="Z43" s="516"/>
      <c r="AA43" s="517"/>
      <c r="AB43" s="517"/>
      <c r="AC43" s="517"/>
      <c r="AD43" s="517"/>
    </row>
    <row r="44" spans="1:30" ht="13.5" customHeight="1">
      <c r="A44" s="437" t="s">
        <v>1211</v>
      </c>
      <c r="B44" s="437"/>
      <c r="C44" s="437"/>
      <c r="D44" s="437"/>
      <c r="E44" s="189"/>
      <c r="F44" s="456"/>
      <c r="G44" s="457"/>
      <c r="H44" s="457"/>
      <c r="I44" s="457"/>
      <c r="J44" s="457"/>
      <c r="K44" s="457"/>
      <c r="L44" s="440" t="s">
        <v>406</v>
      </c>
      <c r="M44" s="440"/>
      <c r="N44" s="518"/>
      <c r="O44" s="518"/>
      <c r="P44" s="518"/>
      <c r="Q44" s="518"/>
      <c r="R44" s="518"/>
      <c r="S44" s="518"/>
      <c r="T44" s="516"/>
      <c r="U44" s="516"/>
      <c r="V44" s="516"/>
      <c r="W44" s="516"/>
      <c r="X44" s="516"/>
      <c r="Y44" s="516"/>
      <c r="Z44" s="517"/>
      <c r="AA44" s="517"/>
      <c r="AB44" s="517"/>
      <c r="AC44" s="517"/>
      <c r="AD44" s="517"/>
    </row>
    <row r="45" spans="1:30" ht="13.5" customHeight="1">
      <c r="A45" s="437" t="s">
        <v>1206</v>
      </c>
      <c r="B45" s="437"/>
      <c r="C45" s="437"/>
      <c r="D45" s="437"/>
      <c r="E45" s="189"/>
      <c r="F45" s="457"/>
      <c r="G45" s="457"/>
      <c r="H45" s="457"/>
      <c r="I45" s="457"/>
      <c r="J45" s="457"/>
      <c r="K45" s="457"/>
      <c r="L45" s="257"/>
      <c r="M45" s="257"/>
      <c r="N45" s="257"/>
      <c r="O45" s="257"/>
      <c r="P45" s="257"/>
      <c r="Q45" s="257"/>
      <c r="R45" s="257"/>
      <c r="S45" s="257"/>
      <c r="T45" s="458" t="s">
        <v>1170</v>
      </c>
      <c r="U45" s="461"/>
      <c r="V45" s="461"/>
      <c r="W45" s="461"/>
      <c r="X45" s="461"/>
      <c r="Y45" s="461"/>
      <c r="Z45" s="461"/>
      <c r="AA45" s="461"/>
      <c r="AB45" s="471"/>
      <c r="AC45" s="471"/>
      <c r="AD45" s="471"/>
    </row>
    <row r="46" spans="1:30" ht="13.5" customHeight="1">
      <c r="A46" s="437" t="s">
        <v>858</v>
      </c>
      <c r="B46" s="437"/>
      <c r="C46" s="437"/>
      <c r="D46" s="437"/>
      <c r="E46" s="175"/>
      <c r="F46" s="451"/>
      <c r="G46" s="452"/>
      <c r="H46" s="452"/>
      <c r="I46" s="452"/>
      <c r="J46" s="452"/>
      <c r="K46" s="453"/>
      <c r="L46" s="507" t="s">
        <v>170</v>
      </c>
      <c r="M46" s="508"/>
      <c r="N46" s="503" t="s">
        <v>171</v>
      </c>
      <c r="O46" s="447"/>
      <c r="P46" s="503" t="s">
        <v>172</v>
      </c>
      <c r="Q46" s="447"/>
      <c r="R46" s="503" t="s">
        <v>174</v>
      </c>
      <c r="S46" s="447"/>
      <c r="T46" s="479" t="s">
        <v>329</v>
      </c>
      <c r="U46" s="447"/>
      <c r="V46" s="447"/>
      <c r="W46" s="479" t="s">
        <v>330</v>
      </c>
      <c r="X46" s="479"/>
      <c r="Y46" s="479" t="s">
        <v>329</v>
      </c>
      <c r="Z46" s="508"/>
      <c r="AA46" s="508"/>
      <c r="AB46" s="508"/>
      <c r="AC46" s="479" t="s">
        <v>330</v>
      </c>
      <c r="AD46" s="479"/>
    </row>
    <row r="47" spans="1:30" ht="13.5" customHeight="1">
      <c r="A47" s="450" t="s">
        <v>1554</v>
      </c>
      <c r="B47" s="437"/>
      <c r="C47" s="437"/>
      <c r="D47" s="437"/>
      <c r="E47" s="189"/>
      <c r="G47" s="281"/>
      <c r="H47" s="281"/>
      <c r="I47" s="281"/>
      <c r="J47" s="281"/>
      <c r="L47" s="507" t="s">
        <v>173</v>
      </c>
      <c r="M47" s="508"/>
      <c r="N47" s="501"/>
      <c r="O47" s="502"/>
      <c r="P47" s="501"/>
      <c r="Q47" s="502"/>
      <c r="R47" s="501"/>
      <c r="S47" s="502"/>
      <c r="T47" s="466"/>
      <c r="U47" s="466"/>
      <c r="V47" s="466"/>
      <c r="W47" s="512"/>
      <c r="X47" s="512"/>
      <c r="Y47" s="466"/>
      <c r="Z47" s="509"/>
      <c r="AA47" s="509"/>
      <c r="AB47" s="509"/>
      <c r="AC47" s="512"/>
      <c r="AD47" s="512"/>
    </row>
    <row r="48" spans="1:30" ht="13.5" customHeight="1">
      <c r="A48" s="437" t="s">
        <v>659</v>
      </c>
      <c r="B48" s="437"/>
      <c r="C48" s="437"/>
      <c r="D48" s="437"/>
      <c r="E48" s="189"/>
      <c r="H48" s="440" t="s">
        <v>655</v>
      </c>
      <c r="I48" s="437"/>
      <c r="J48" s="437"/>
      <c r="K48" s="175"/>
      <c r="L48" s="507" t="s">
        <v>175</v>
      </c>
      <c r="M48" s="508"/>
      <c r="N48" s="505"/>
      <c r="O48" s="506"/>
      <c r="P48" s="505"/>
      <c r="Q48" s="506"/>
      <c r="R48" s="505"/>
      <c r="S48" s="506"/>
      <c r="T48" s="466"/>
      <c r="U48" s="466"/>
      <c r="V48" s="466"/>
      <c r="W48" s="512"/>
      <c r="X48" s="512"/>
      <c r="Y48" s="466"/>
      <c r="Z48" s="509"/>
      <c r="AA48" s="509"/>
      <c r="AB48" s="509"/>
      <c r="AC48" s="512"/>
      <c r="AD48" s="512"/>
    </row>
    <row r="49" spans="1:30" ht="13.5" customHeight="1">
      <c r="A49" s="279" t="s">
        <v>1546</v>
      </c>
      <c r="E49" s="280"/>
      <c r="F49" s="262"/>
      <c r="H49" s="440"/>
      <c r="I49" s="437"/>
      <c r="J49" s="437"/>
      <c r="K49" s="189"/>
      <c r="L49" s="507" t="s">
        <v>176</v>
      </c>
      <c r="M49" s="508"/>
      <c r="N49" s="501"/>
      <c r="O49" s="502"/>
      <c r="P49" s="501"/>
      <c r="Q49" s="502"/>
      <c r="R49" s="501"/>
      <c r="S49" s="502"/>
      <c r="T49" s="466"/>
      <c r="U49" s="466"/>
      <c r="V49" s="466"/>
      <c r="W49" s="512"/>
      <c r="X49" s="512"/>
      <c r="Y49" s="466"/>
      <c r="Z49" s="509"/>
      <c r="AA49" s="509"/>
      <c r="AB49" s="509"/>
      <c r="AC49" s="512"/>
      <c r="AD49" s="512"/>
    </row>
    <row r="50" spans="1:30" ht="13.5" customHeight="1" thickBot="1">
      <c r="A50" s="449" t="s">
        <v>407</v>
      </c>
      <c r="B50" s="437"/>
      <c r="C50" s="437"/>
      <c r="D50" s="437"/>
      <c r="E50" s="437"/>
      <c r="F50" s="437"/>
      <c r="G50" s="437"/>
      <c r="H50" s="437"/>
      <c r="I50" s="437"/>
      <c r="J50" s="437"/>
      <c r="K50" s="440"/>
      <c r="L50" s="258"/>
      <c r="M50" s="258"/>
      <c r="N50" s="259"/>
      <c r="O50" s="258"/>
      <c r="P50" s="258"/>
      <c r="Q50" s="258"/>
      <c r="R50" s="258"/>
      <c r="S50" s="258"/>
      <c r="T50" s="466"/>
      <c r="U50" s="466"/>
      <c r="V50" s="466"/>
      <c r="W50" s="512"/>
      <c r="X50" s="512"/>
      <c r="Y50" s="466"/>
      <c r="Z50" s="509"/>
      <c r="AA50" s="509"/>
      <c r="AB50" s="509"/>
      <c r="AC50" s="512"/>
      <c r="AD50" s="512"/>
    </row>
    <row r="51" spans="1:30" ht="13.5" customHeight="1" thickBot="1">
      <c r="A51" s="437" t="s">
        <v>600</v>
      </c>
      <c r="B51" s="437"/>
      <c r="C51" s="437"/>
      <c r="D51" s="467"/>
      <c r="E51" s="468"/>
      <c r="F51" s="469"/>
      <c r="G51" s="94" t="s">
        <v>1019</v>
      </c>
      <c r="L51" s="260"/>
      <c r="M51" s="260"/>
      <c r="N51" s="256"/>
      <c r="O51" s="260"/>
      <c r="P51" s="260"/>
      <c r="Q51" s="260"/>
      <c r="R51" s="258"/>
      <c r="S51" s="258"/>
      <c r="T51" s="466"/>
      <c r="U51" s="466"/>
      <c r="V51" s="466"/>
      <c r="W51" s="512"/>
      <c r="X51" s="512"/>
      <c r="Y51" s="514"/>
      <c r="Z51" s="515"/>
      <c r="AA51" s="515"/>
      <c r="AB51" s="515"/>
      <c r="AC51" s="514">
        <v>9</v>
      </c>
      <c r="AD51" s="514"/>
    </row>
    <row r="52" spans="1:30" ht="13.5" customHeight="1">
      <c r="A52" s="446"/>
      <c r="B52" s="446"/>
      <c r="C52" s="446"/>
      <c r="D52" s="446"/>
      <c r="E52" s="446"/>
      <c r="F52" s="446"/>
      <c r="G52" s="446"/>
      <c r="H52" s="446"/>
      <c r="I52" s="446"/>
      <c r="T52" s="479" t="s">
        <v>699</v>
      </c>
      <c r="U52" s="447"/>
      <c r="V52" s="447"/>
      <c r="W52" s="513"/>
      <c r="X52" s="513"/>
      <c r="Y52" s="479" t="s">
        <v>225</v>
      </c>
      <c r="Z52" s="508"/>
      <c r="AA52" s="508"/>
      <c r="AB52" s="508"/>
      <c r="AC52" s="513"/>
      <c r="AD52" s="513"/>
    </row>
    <row r="53" spans="1:9" ht="13.5" customHeight="1">
      <c r="A53" s="446"/>
      <c r="B53" s="446"/>
      <c r="C53" s="446"/>
      <c r="D53" s="446"/>
      <c r="E53" s="446"/>
      <c r="F53" s="446"/>
      <c r="G53" s="446"/>
      <c r="H53" s="446"/>
      <c r="I53" s="446"/>
    </row>
  </sheetData>
  <sheetProtection password="E94F" sheet="1" objects="1" scenarios="1"/>
  <mergeCells count="286">
    <mergeCell ref="AE18:AN25"/>
    <mergeCell ref="AE26:AN28"/>
    <mergeCell ref="T33:X33"/>
    <mergeCell ref="T41:Y41"/>
    <mergeCell ref="Z41:AD41"/>
    <mergeCell ref="T43:Y44"/>
    <mergeCell ref="Z39:AD39"/>
    <mergeCell ref="T28:X28"/>
    <mergeCell ref="T29:X29"/>
    <mergeCell ref="T37:X37"/>
    <mergeCell ref="L41:M41"/>
    <mergeCell ref="N41:S41"/>
    <mergeCell ref="L39:O39"/>
    <mergeCell ref="P37:Q37"/>
    <mergeCell ref="P38:Q38"/>
    <mergeCell ref="T38:X38"/>
    <mergeCell ref="L38:O38"/>
    <mergeCell ref="Z43:AD44"/>
    <mergeCell ref="AC49:AD49"/>
    <mergeCell ref="AC48:AD48"/>
    <mergeCell ref="AC51:AD51"/>
    <mergeCell ref="T34:X35"/>
    <mergeCell ref="N44:S44"/>
    <mergeCell ref="T39:Y39"/>
    <mergeCell ref="Y34:AA35"/>
    <mergeCell ref="W50:X50"/>
    <mergeCell ref="W46:X46"/>
    <mergeCell ref="AC47:AD47"/>
    <mergeCell ref="AC52:AD52"/>
    <mergeCell ref="AC50:AD50"/>
    <mergeCell ref="AC46:AD46"/>
    <mergeCell ref="Y46:AB46"/>
    <mergeCell ref="W52:X52"/>
    <mergeCell ref="Y52:AB52"/>
    <mergeCell ref="W48:X48"/>
    <mergeCell ref="Y51:AB51"/>
    <mergeCell ref="T48:V48"/>
    <mergeCell ref="T52:V52"/>
    <mergeCell ref="T51:V51"/>
    <mergeCell ref="W51:X51"/>
    <mergeCell ref="Y49:AB49"/>
    <mergeCell ref="T50:V50"/>
    <mergeCell ref="T49:V49"/>
    <mergeCell ref="L49:M49"/>
    <mergeCell ref="N46:O46"/>
    <mergeCell ref="W49:X49"/>
    <mergeCell ref="W47:X47"/>
    <mergeCell ref="R49:S49"/>
    <mergeCell ref="R47:S47"/>
    <mergeCell ref="P49:Q49"/>
    <mergeCell ref="R48:S48"/>
    <mergeCell ref="T47:V47"/>
    <mergeCell ref="P47:Q47"/>
    <mergeCell ref="P36:Q36"/>
    <mergeCell ref="R36:S36"/>
    <mergeCell ref="R35:S35"/>
    <mergeCell ref="Y50:AB50"/>
    <mergeCell ref="T46:V46"/>
    <mergeCell ref="Y47:AB47"/>
    <mergeCell ref="T42:U42"/>
    <mergeCell ref="V42:AD42"/>
    <mergeCell ref="T45:AD45"/>
    <mergeCell ref="Y48:AB48"/>
    <mergeCell ref="O28:P28"/>
    <mergeCell ref="L37:O37"/>
    <mergeCell ref="O29:P29"/>
    <mergeCell ref="T36:X36"/>
    <mergeCell ref="N48:O48"/>
    <mergeCell ref="L46:M46"/>
    <mergeCell ref="L47:M47"/>
    <mergeCell ref="L48:M48"/>
    <mergeCell ref="L36:O36"/>
    <mergeCell ref="R37:S37"/>
    <mergeCell ref="N49:O49"/>
    <mergeCell ref="R46:S46"/>
    <mergeCell ref="R33:S33"/>
    <mergeCell ref="N47:O47"/>
    <mergeCell ref="P48:Q48"/>
    <mergeCell ref="R38:S38"/>
    <mergeCell ref="P46:Q46"/>
    <mergeCell ref="P39:S39"/>
    <mergeCell ref="L42:S42"/>
    <mergeCell ref="L44:M44"/>
    <mergeCell ref="AB33:AD33"/>
    <mergeCell ref="AB26:AD26"/>
    <mergeCell ref="AB12:AD12"/>
    <mergeCell ref="T8:X8"/>
    <mergeCell ref="T15:X15"/>
    <mergeCell ref="AB34:AD35"/>
    <mergeCell ref="T32:X32"/>
    <mergeCell ref="AB18:AD18"/>
    <mergeCell ref="Y30:AA31"/>
    <mergeCell ref="T16:X16"/>
    <mergeCell ref="Z37:AA37"/>
    <mergeCell ref="AB37:AC37"/>
    <mergeCell ref="L33:O33"/>
    <mergeCell ref="L34:O34"/>
    <mergeCell ref="AB30:AD31"/>
    <mergeCell ref="O30:P30"/>
    <mergeCell ref="Y36:AA36"/>
    <mergeCell ref="AB36:AD36"/>
    <mergeCell ref="P33:Q33"/>
    <mergeCell ref="R34:S34"/>
    <mergeCell ref="AB13:AD13"/>
    <mergeCell ref="P34:Q34"/>
    <mergeCell ref="P35:Q35"/>
    <mergeCell ref="Y33:AA33"/>
    <mergeCell ref="Y32:AA32"/>
    <mergeCell ref="AB32:AD32"/>
    <mergeCell ref="AB19:AD19"/>
    <mergeCell ref="AB27:AD27"/>
    <mergeCell ref="AB20:AD20"/>
    <mergeCell ref="Y21:AA21"/>
    <mergeCell ref="AB17:AD17"/>
    <mergeCell ref="AE2:AH2"/>
    <mergeCell ref="Y10:AA10"/>
    <mergeCell ref="AB10:AD10"/>
    <mergeCell ref="T11:X11"/>
    <mergeCell ref="T10:X10"/>
    <mergeCell ref="Y16:AA16"/>
    <mergeCell ref="AB16:AD16"/>
    <mergeCell ref="Y13:AA13"/>
    <mergeCell ref="Y11:AA11"/>
    <mergeCell ref="Y29:AA29"/>
    <mergeCell ref="AB29:AD29"/>
    <mergeCell ref="AB28:AD28"/>
    <mergeCell ref="T30:X31"/>
    <mergeCell ref="T20:X20"/>
    <mergeCell ref="Y18:AA18"/>
    <mergeCell ref="Y19:AA19"/>
    <mergeCell ref="T18:X18"/>
    <mergeCell ref="Y24:AA24"/>
    <mergeCell ref="AB23:AD23"/>
    <mergeCell ref="T17:X17"/>
    <mergeCell ref="O27:P27"/>
    <mergeCell ref="Q27:R27"/>
    <mergeCell ref="T14:X14"/>
    <mergeCell ref="T24:X24"/>
    <mergeCell ref="Q20:R20"/>
    <mergeCell ref="Q25:R25"/>
    <mergeCell ref="L18:S18"/>
    <mergeCell ref="O16:Q16"/>
    <mergeCell ref="T19:X19"/>
    <mergeCell ref="L32:S32"/>
    <mergeCell ref="B18:C18"/>
    <mergeCell ref="T25:X25"/>
    <mergeCell ref="Q26:R26"/>
    <mergeCell ref="T26:W26"/>
    <mergeCell ref="T23:X23"/>
    <mergeCell ref="T22:X22"/>
    <mergeCell ref="O20:P20"/>
    <mergeCell ref="Q29:R29"/>
    <mergeCell ref="A26:K26"/>
    <mergeCell ref="AE35:AH35"/>
    <mergeCell ref="O26:P26"/>
    <mergeCell ref="Q30:R30"/>
    <mergeCell ref="Q28:R28"/>
    <mergeCell ref="H25:I25"/>
    <mergeCell ref="F18:G18"/>
    <mergeCell ref="T21:X21"/>
    <mergeCell ref="AB21:AD21"/>
    <mergeCell ref="AF30:AH30"/>
    <mergeCell ref="L35:O35"/>
    <mergeCell ref="A25:B25"/>
    <mergeCell ref="C25:F25"/>
    <mergeCell ref="A15:D15"/>
    <mergeCell ref="F23:H23"/>
    <mergeCell ref="E15:K15"/>
    <mergeCell ref="C17:K17"/>
    <mergeCell ref="D18:E18"/>
    <mergeCell ref="A24:K24"/>
    <mergeCell ref="AB11:AD11"/>
    <mergeCell ref="Y8:AA8"/>
    <mergeCell ref="AB8:AD8"/>
    <mergeCell ref="R15:S15"/>
    <mergeCell ref="G14:I14"/>
    <mergeCell ref="Q8:S8"/>
    <mergeCell ref="O9:P9"/>
    <mergeCell ref="J14:K14"/>
    <mergeCell ref="D10:J10"/>
    <mergeCell ref="F12:J12"/>
    <mergeCell ref="Y22:AA22"/>
    <mergeCell ref="Q21:R21"/>
    <mergeCell ref="AB24:AD24"/>
    <mergeCell ref="L2:O2"/>
    <mergeCell ref="T7:X7"/>
    <mergeCell ref="T2:W2"/>
    <mergeCell ref="M6:P6"/>
    <mergeCell ref="Y7:AA7"/>
    <mergeCell ref="L5:S5"/>
    <mergeCell ref="Y23:AA23"/>
    <mergeCell ref="J5:K5"/>
    <mergeCell ref="B5:C5"/>
    <mergeCell ref="A6:C6"/>
    <mergeCell ref="H5:I5"/>
    <mergeCell ref="AB22:AD22"/>
    <mergeCell ref="T5:AD5"/>
    <mergeCell ref="AB15:AD15"/>
    <mergeCell ref="AB7:AD7"/>
    <mergeCell ref="O8:P8"/>
    <mergeCell ref="AB14:AD14"/>
    <mergeCell ref="A51:D51"/>
    <mergeCell ref="E51:F51"/>
    <mergeCell ref="A43:C43"/>
    <mergeCell ref="C33:K33"/>
    <mergeCell ref="A46:D46"/>
    <mergeCell ref="J30:K30"/>
    <mergeCell ref="A34:K36"/>
    <mergeCell ref="A50:K50"/>
    <mergeCell ref="H31:I31"/>
    <mergeCell ref="A44:D44"/>
    <mergeCell ref="A2:D2"/>
    <mergeCell ref="D13:E13"/>
    <mergeCell ref="A16:B16"/>
    <mergeCell ref="A13:B13"/>
    <mergeCell ref="A14:B14"/>
    <mergeCell ref="D6:F6"/>
    <mergeCell ref="A7:E7"/>
    <mergeCell ref="A11:C11"/>
    <mergeCell ref="H7:I7"/>
    <mergeCell ref="J7:K7"/>
    <mergeCell ref="A9:K9"/>
    <mergeCell ref="Y28:AA28"/>
    <mergeCell ref="T27:X27"/>
    <mergeCell ref="J25:K25"/>
    <mergeCell ref="O21:P21"/>
    <mergeCell ref="Y12:AA12"/>
    <mergeCell ref="T12:X12"/>
    <mergeCell ref="Y14:AA14"/>
    <mergeCell ref="L23:S23"/>
    <mergeCell ref="A10:C10"/>
    <mergeCell ref="D23:E23"/>
    <mergeCell ref="A17:B17"/>
    <mergeCell ref="A20:K20"/>
    <mergeCell ref="O14:S14"/>
    <mergeCell ref="R16:S16"/>
    <mergeCell ref="T13:X13"/>
    <mergeCell ref="Y25:AA25"/>
    <mergeCell ref="AE5:AN5"/>
    <mergeCell ref="AE7:AF7"/>
    <mergeCell ref="AG7:AH7"/>
    <mergeCell ref="AI7:AL7"/>
    <mergeCell ref="AM7:AN7"/>
    <mergeCell ref="AE8:AF8"/>
    <mergeCell ref="AG8:AH8"/>
    <mergeCell ref="AI8:AL8"/>
    <mergeCell ref="AM8:AN8"/>
    <mergeCell ref="F44:K45"/>
    <mergeCell ref="AM9:AN9"/>
    <mergeCell ref="A37:K37"/>
    <mergeCell ref="A39:C39"/>
    <mergeCell ref="D39:J39"/>
    <mergeCell ref="A28:K28"/>
    <mergeCell ref="J18:K18"/>
    <mergeCell ref="O15:Q15"/>
    <mergeCell ref="AI9:AL9"/>
    <mergeCell ref="Y17:AA17"/>
    <mergeCell ref="AB25:AD25"/>
    <mergeCell ref="A48:D48"/>
    <mergeCell ref="A47:D47"/>
    <mergeCell ref="F46:K46"/>
    <mergeCell ref="A45:D45"/>
    <mergeCell ref="Y20:AA20"/>
    <mergeCell ref="F31:G31"/>
    <mergeCell ref="A42:K42"/>
    <mergeCell ref="H41:K41"/>
    <mergeCell ref="A32:B32"/>
    <mergeCell ref="Y15:AA15"/>
    <mergeCell ref="A52:I53"/>
    <mergeCell ref="AE9:AF9"/>
    <mergeCell ref="AG9:AH9"/>
    <mergeCell ref="A22:K22"/>
    <mergeCell ref="Y27:AA27"/>
    <mergeCell ref="Y26:AA26"/>
    <mergeCell ref="O25:P25"/>
    <mergeCell ref="H48:J48"/>
    <mergeCell ref="AE17:AN17"/>
    <mergeCell ref="M7:S7"/>
    <mergeCell ref="H49:J49"/>
    <mergeCell ref="D11:K11"/>
    <mergeCell ref="B12:E12"/>
    <mergeCell ref="F13:K13"/>
    <mergeCell ref="C16:K16"/>
    <mergeCell ref="B29:K29"/>
    <mergeCell ref="B30:F30"/>
    <mergeCell ref="B31:E3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Para"/>
  <dimension ref="A8:P880"/>
  <sheetViews>
    <sheetView zoomScale="85" zoomScaleNormal="85" zoomScalePageLayoutView="0" workbookViewId="0" topLeftCell="A1">
      <pane ySplit="9" topLeftCell="A10" activePane="bottomLeft" state="frozen"/>
      <selection pane="topLeft" activeCell="A1" sqref="A1"/>
      <selection pane="bottomLeft" activeCell="B11" sqref="B11"/>
    </sheetView>
  </sheetViews>
  <sheetFormatPr defaultColWidth="9.140625" defaultRowHeight="12.75"/>
  <cols>
    <col min="1" max="1" width="12.140625" style="0" bestFit="1" customWidth="1"/>
    <col min="2" max="2" width="74.8515625" style="0" bestFit="1" customWidth="1"/>
    <col min="3" max="3" width="62.7109375" style="0" customWidth="1"/>
    <col min="4" max="4" width="40.28125" style="0" bestFit="1" customWidth="1"/>
    <col min="5" max="5" width="9.57421875" style="0" bestFit="1" customWidth="1"/>
    <col min="6" max="6" width="11.140625" style="0" bestFit="1" customWidth="1"/>
    <col min="7" max="7" width="12.28125" style="0" bestFit="1" customWidth="1"/>
    <col min="8" max="8" width="11.140625" style="0" bestFit="1" customWidth="1"/>
    <col min="12" max="12" width="17.00390625" style="0" bestFit="1" customWidth="1"/>
  </cols>
  <sheetData>
    <row r="7" ht="13.5" thickBot="1"/>
    <row r="8" spans="1:8" ht="13.5" thickBot="1">
      <c r="A8" s="131" t="s">
        <v>425</v>
      </c>
      <c r="B8" s="132"/>
      <c r="C8" s="133"/>
      <c r="D8" s="131" t="s">
        <v>424</v>
      </c>
      <c r="E8" s="137"/>
      <c r="F8" s="137"/>
      <c r="G8" s="137"/>
      <c r="H8" s="138"/>
    </row>
    <row r="9" spans="1:12" ht="13.5" thickBot="1">
      <c r="A9" s="134" t="s">
        <v>329</v>
      </c>
      <c r="B9" s="135" t="s">
        <v>334</v>
      </c>
      <c r="C9" s="136" t="s">
        <v>335</v>
      </c>
      <c r="D9" s="134" t="s">
        <v>428</v>
      </c>
      <c r="E9" s="135" t="s">
        <v>429</v>
      </c>
      <c r="F9" s="135" t="s">
        <v>430</v>
      </c>
      <c r="G9" s="135" t="s">
        <v>426</v>
      </c>
      <c r="H9" s="136" t="s">
        <v>427</v>
      </c>
      <c r="K9" s="179" t="s">
        <v>856</v>
      </c>
      <c r="L9" s="180" t="s">
        <v>857</v>
      </c>
    </row>
    <row r="10" spans="1:12" ht="15">
      <c r="A10" t="s">
        <v>339</v>
      </c>
      <c r="B10" t="s">
        <v>338</v>
      </c>
      <c r="C10" t="s">
        <v>340</v>
      </c>
      <c r="D10" s="77" t="s">
        <v>775</v>
      </c>
      <c r="E10" s="77" t="s">
        <v>432</v>
      </c>
      <c r="F10" s="77" t="s">
        <v>1110</v>
      </c>
      <c r="G10" s="77" t="s">
        <v>369</v>
      </c>
      <c r="H10" s="77" t="s">
        <v>1109</v>
      </c>
      <c r="K10" s="181">
        <v>1011</v>
      </c>
      <c r="L10" s="182" t="s">
        <v>0</v>
      </c>
    </row>
    <row r="11" spans="1:12" ht="15">
      <c r="A11" t="s">
        <v>336</v>
      </c>
      <c r="B11" s="66">
        <v>41364</v>
      </c>
      <c r="C11" t="s">
        <v>337</v>
      </c>
      <c r="D11" s="77" t="s">
        <v>662</v>
      </c>
      <c r="E11" t="s">
        <v>432</v>
      </c>
      <c r="F11" s="77" t="s">
        <v>1131</v>
      </c>
      <c r="G11" t="s">
        <v>372</v>
      </c>
      <c r="H11" s="77" t="s">
        <v>681</v>
      </c>
      <c r="K11" s="181">
        <v>1012</v>
      </c>
      <c r="L11" s="182" t="s">
        <v>0</v>
      </c>
    </row>
    <row r="12" spans="1:12" ht="38.25">
      <c r="A12" t="s">
        <v>341</v>
      </c>
      <c r="B12">
        <f>CHOOSE(Számolótábla!A2,Számolótábla!AN48,Számolótábla!AN60)/1000</f>
        <v>87</v>
      </c>
      <c r="C12" s="295" t="s">
        <v>1557</v>
      </c>
      <c r="D12" s="77" t="s">
        <v>663</v>
      </c>
      <c r="E12" t="s">
        <v>432</v>
      </c>
      <c r="F12" s="77" t="s">
        <v>1132</v>
      </c>
      <c r="G12" t="s">
        <v>372</v>
      </c>
      <c r="H12" s="77" t="s">
        <v>682</v>
      </c>
      <c r="K12" s="181">
        <v>1013</v>
      </c>
      <c r="L12" s="182" t="s">
        <v>0</v>
      </c>
    </row>
    <row r="13" spans="1:12" ht="38.25">
      <c r="A13" t="s">
        <v>342</v>
      </c>
      <c r="B13">
        <f>CHOOSE(Számolótábla!A2,Számolótábla!AN49,Számolótábla!AN61)/1000</f>
        <v>70</v>
      </c>
      <c r="C13" s="295" t="s">
        <v>1558</v>
      </c>
      <c r="D13" s="77" t="s">
        <v>664</v>
      </c>
      <c r="E13" t="s">
        <v>432</v>
      </c>
      <c r="F13" s="77" t="s">
        <v>1133</v>
      </c>
      <c r="G13" t="s">
        <v>372</v>
      </c>
      <c r="H13" s="77" t="s">
        <v>683</v>
      </c>
      <c r="K13" s="181">
        <v>1014</v>
      </c>
      <c r="L13" s="182" t="s">
        <v>0</v>
      </c>
    </row>
    <row r="14" spans="4:12" ht="15">
      <c r="D14" s="77" t="s">
        <v>665</v>
      </c>
      <c r="E14" t="s">
        <v>432</v>
      </c>
      <c r="F14" s="77" t="s">
        <v>1134</v>
      </c>
      <c r="G14" t="s">
        <v>372</v>
      </c>
      <c r="H14" s="77" t="s">
        <v>684</v>
      </c>
      <c r="K14" s="181">
        <v>1015</v>
      </c>
      <c r="L14" s="182" t="s">
        <v>0</v>
      </c>
    </row>
    <row r="15" spans="4:12" ht="15">
      <c r="D15" s="77" t="s">
        <v>666</v>
      </c>
      <c r="E15" t="s">
        <v>432</v>
      </c>
      <c r="F15" s="77" t="s">
        <v>1193</v>
      </c>
      <c r="G15" t="s">
        <v>372</v>
      </c>
      <c r="H15" s="77" t="s">
        <v>685</v>
      </c>
      <c r="K15" s="181">
        <v>1016</v>
      </c>
      <c r="L15" s="182" t="s">
        <v>0</v>
      </c>
    </row>
    <row r="16" spans="4:12" ht="15">
      <c r="D16" s="77" t="s">
        <v>667</v>
      </c>
      <c r="E16" t="s">
        <v>432</v>
      </c>
      <c r="F16" s="77" t="s">
        <v>1135</v>
      </c>
      <c r="G16" t="s">
        <v>372</v>
      </c>
      <c r="H16" s="77" t="s">
        <v>686</v>
      </c>
      <c r="K16" s="181">
        <v>1021</v>
      </c>
      <c r="L16" s="182" t="s">
        <v>0</v>
      </c>
    </row>
    <row r="17" spans="4:12" ht="15">
      <c r="D17" s="77" t="s">
        <v>668</v>
      </c>
      <c r="E17" t="s">
        <v>432</v>
      </c>
      <c r="F17" s="77" t="s">
        <v>1097</v>
      </c>
      <c r="G17" t="s">
        <v>372</v>
      </c>
      <c r="H17" s="77" t="s">
        <v>687</v>
      </c>
      <c r="K17" s="181">
        <v>1022</v>
      </c>
      <c r="L17" s="182" t="s">
        <v>0</v>
      </c>
    </row>
    <row r="18" spans="4:12" ht="15">
      <c r="D18" s="77" t="s">
        <v>669</v>
      </c>
      <c r="E18" t="s">
        <v>432</v>
      </c>
      <c r="F18" s="77" t="s">
        <v>1013</v>
      </c>
      <c r="G18" t="s">
        <v>372</v>
      </c>
      <c r="H18" s="77" t="s">
        <v>688</v>
      </c>
      <c r="K18" s="181">
        <v>1023</v>
      </c>
      <c r="L18" s="182" t="s">
        <v>0</v>
      </c>
    </row>
    <row r="19" spans="4:12" ht="15">
      <c r="D19" s="77" t="s">
        <v>670</v>
      </c>
      <c r="E19" t="s">
        <v>432</v>
      </c>
      <c r="F19" s="77" t="s">
        <v>1194</v>
      </c>
      <c r="G19" t="s">
        <v>372</v>
      </c>
      <c r="H19" s="77" t="s">
        <v>689</v>
      </c>
      <c r="K19" s="181">
        <v>1024</v>
      </c>
      <c r="L19" s="182" t="s">
        <v>0</v>
      </c>
    </row>
    <row r="20" spans="4:12" ht="15">
      <c r="D20" s="77" t="s">
        <v>701</v>
      </c>
      <c r="E20" t="s">
        <v>432</v>
      </c>
      <c r="F20" s="77" t="s">
        <v>1197</v>
      </c>
      <c r="G20" t="s">
        <v>369</v>
      </c>
      <c r="H20" s="77" t="s">
        <v>702</v>
      </c>
      <c r="K20" s="181">
        <v>1025</v>
      </c>
      <c r="L20" s="182" t="s">
        <v>0</v>
      </c>
    </row>
    <row r="21" spans="4:12" ht="15">
      <c r="D21" s="77" t="s">
        <v>671</v>
      </c>
      <c r="E21" t="s">
        <v>432</v>
      </c>
      <c r="F21" s="77" t="s">
        <v>1136</v>
      </c>
      <c r="G21" t="s">
        <v>372</v>
      </c>
      <c r="H21" s="77" t="s">
        <v>690</v>
      </c>
      <c r="K21" s="181">
        <v>1026</v>
      </c>
      <c r="L21" s="182" t="s">
        <v>0</v>
      </c>
    </row>
    <row r="22" spans="4:12" ht="15">
      <c r="D22" s="77" t="s">
        <v>672</v>
      </c>
      <c r="E22" t="s">
        <v>432</v>
      </c>
      <c r="F22" s="77" t="s">
        <v>1137</v>
      </c>
      <c r="G22" t="s">
        <v>372</v>
      </c>
      <c r="H22" s="77" t="s">
        <v>691</v>
      </c>
      <c r="K22" s="181">
        <v>1027</v>
      </c>
      <c r="L22" s="182" t="s">
        <v>0</v>
      </c>
    </row>
    <row r="23" spans="4:12" ht="15">
      <c r="D23" s="77" t="s">
        <v>673</v>
      </c>
      <c r="E23" t="s">
        <v>432</v>
      </c>
      <c r="F23" s="77" t="s">
        <v>1138</v>
      </c>
      <c r="G23" t="s">
        <v>372</v>
      </c>
      <c r="H23" s="77" t="s">
        <v>692</v>
      </c>
      <c r="K23" s="181">
        <v>1028</v>
      </c>
      <c r="L23" s="182" t="s">
        <v>0</v>
      </c>
    </row>
    <row r="24" spans="4:12" ht="15">
      <c r="D24" s="77" t="s">
        <v>674</v>
      </c>
      <c r="E24" t="s">
        <v>432</v>
      </c>
      <c r="F24" s="77" t="s">
        <v>1139</v>
      </c>
      <c r="G24" t="s">
        <v>372</v>
      </c>
      <c r="H24" s="77" t="s">
        <v>693</v>
      </c>
      <c r="K24" s="181">
        <v>1029</v>
      </c>
      <c r="L24" s="182" t="s">
        <v>0</v>
      </c>
    </row>
    <row r="25" spans="4:12" ht="15">
      <c r="D25" s="77" t="s">
        <v>675</v>
      </c>
      <c r="E25" t="s">
        <v>432</v>
      </c>
      <c r="F25" s="77" t="s">
        <v>1143</v>
      </c>
      <c r="G25" t="s">
        <v>372</v>
      </c>
      <c r="H25" s="77" t="s">
        <v>694</v>
      </c>
      <c r="K25" s="181">
        <v>1031</v>
      </c>
      <c r="L25" s="182" t="s">
        <v>0</v>
      </c>
    </row>
    <row r="26" spans="4:12" ht="15">
      <c r="D26" s="77" t="s">
        <v>676</v>
      </c>
      <c r="E26" t="s">
        <v>432</v>
      </c>
      <c r="F26" s="77" t="s">
        <v>1140</v>
      </c>
      <c r="G26" t="s">
        <v>372</v>
      </c>
      <c r="H26" s="77" t="s">
        <v>695</v>
      </c>
      <c r="K26" s="181">
        <v>1032</v>
      </c>
      <c r="L26" s="182" t="s">
        <v>0</v>
      </c>
    </row>
    <row r="27" spans="4:12" ht="15">
      <c r="D27" s="77" t="s">
        <v>677</v>
      </c>
      <c r="E27" t="s">
        <v>432</v>
      </c>
      <c r="F27" s="77" t="s">
        <v>1141</v>
      </c>
      <c r="G27" t="s">
        <v>372</v>
      </c>
      <c r="H27" s="77" t="s">
        <v>696</v>
      </c>
      <c r="K27" s="181">
        <v>1033</v>
      </c>
      <c r="L27" s="182" t="s">
        <v>0</v>
      </c>
    </row>
    <row r="28" spans="4:12" ht="15">
      <c r="D28" s="77" t="s">
        <v>678</v>
      </c>
      <c r="E28" t="s">
        <v>432</v>
      </c>
      <c r="F28" s="77" t="s">
        <v>1142</v>
      </c>
      <c r="G28" t="s">
        <v>372</v>
      </c>
      <c r="H28" s="77" t="s">
        <v>697</v>
      </c>
      <c r="K28" s="181">
        <v>1034</v>
      </c>
      <c r="L28" s="182" t="s">
        <v>0</v>
      </c>
    </row>
    <row r="29" spans="4:12" ht="15">
      <c r="D29" s="77" t="s">
        <v>679</v>
      </c>
      <c r="E29" t="s">
        <v>432</v>
      </c>
      <c r="F29" s="77" t="s">
        <v>1195</v>
      </c>
      <c r="G29" t="s">
        <v>372</v>
      </c>
      <c r="H29" s="77" t="s">
        <v>698</v>
      </c>
      <c r="K29" s="181">
        <v>1035</v>
      </c>
      <c r="L29" s="182" t="s">
        <v>0</v>
      </c>
    </row>
    <row r="30" spans="4:12" ht="15">
      <c r="D30" s="77" t="s">
        <v>700</v>
      </c>
      <c r="E30" t="s">
        <v>432</v>
      </c>
      <c r="F30" s="77" t="s">
        <v>1196</v>
      </c>
      <c r="G30" t="s">
        <v>369</v>
      </c>
      <c r="H30" s="77" t="s">
        <v>703</v>
      </c>
      <c r="K30" s="181">
        <v>1036</v>
      </c>
      <c r="L30" s="182" t="s">
        <v>0</v>
      </c>
    </row>
    <row r="31" spans="4:12" ht="15.75">
      <c r="D31" s="185" t="s">
        <v>917</v>
      </c>
      <c r="E31" t="s">
        <v>432</v>
      </c>
      <c r="F31" s="77" t="s">
        <v>719</v>
      </c>
      <c r="G31" t="s">
        <v>369</v>
      </c>
      <c r="H31" s="77" t="s">
        <v>1077</v>
      </c>
      <c r="K31" s="181">
        <v>1037</v>
      </c>
      <c r="L31" s="182" t="s">
        <v>0</v>
      </c>
    </row>
    <row r="32" spans="4:12" ht="15.75">
      <c r="D32" s="185" t="s">
        <v>897</v>
      </c>
      <c r="E32" t="s">
        <v>432</v>
      </c>
      <c r="F32" s="77" t="s">
        <v>650</v>
      </c>
      <c r="G32" t="s">
        <v>369</v>
      </c>
      <c r="H32" s="77" t="s">
        <v>1052</v>
      </c>
      <c r="K32" s="181">
        <v>1038</v>
      </c>
      <c r="L32" s="182" t="s">
        <v>0</v>
      </c>
    </row>
    <row r="33" spans="4:12" ht="15.75">
      <c r="D33" s="185" t="s">
        <v>918</v>
      </c>
      <c r="E33" t="s">
        <v>432</v>
      </c>
      <c r="F33" s="77" t="s">
        <v>720</v>
      </c>
      <c r="G33" t="s">
        <v>369</v>
      </c>
      <c r="H33" s="77" t="s">
        <v>1078</v>
      </c>
      <c r="K33" s="181">
        <v>1039</v>
      </c>
      <c r="L33" s="182" t="s">
        <v>0</v>
      </c>
    </row>
    <row r="34" spans="4:12" ht="15.75">
      <c r="D34" s="185" t="s">
        <v>898</v>
      </c>
      <c r="E34" t="s">
        <v>432</v>
      </c>
      <c r="F34" s="77" t="s">
        <v>938</v>
      </c>
      <c r="G34" t="s">
        <v>369</v>
      </c>
      <c r="H34" s="77" t="s">
        <v>1053</v>
      </c>
      <c r="K34" s="181">
        <v>1041</v>
      </c>
      <c r="L34" s="182" t="s">
        <v>0</v>
      </c>
    </row>
    <row r="35" spans="4:12" ht="15.75">
      <c r="D35" s="185" t="s">
        <v>919</v>
      </c>
      <c r="E35" t="s">
        <v>432</v>
      </c>
      <c r="F35" s="77" t="s">
        <v>721</v>
      </c>
      <c r="G35" t="s">
        <v>369</v>
      </c>
      <c r="H35" s="77" t="s">
        <v>1079</v>
      </c>
      <c r="K35" s="181">
        <v>1042</v>
      </c>
      <c r="L35" s="182" t="s">
        <v>0</v>
      </c>
    </row>
    <row r="36" spans="4:12" ht="15.75">
      <c r="D36" s="185" t="s">
        <v>899</v>
      </c>
      <c r="E36" t="s">
        <v>432</v>
      </c>
      <c r="F36" s="77" t="s">
        <v>939</v>
      </c>
      <c r="G36" t="s">
        <v>369</v>
      </c>
      <c r="H36" s="77" t="s">
        <v>1054</v>
      </c>
      <c r="K36" s="181">
        <v>1043</v>
      </c>
      <c r="L36" s="182" t="s">
        <v>0</v>
      </c>
    </row>
    <row r="37" spans="4:12" ht="15.75">
      <c r="D37" s="185" t="s">
        <v>920</v>
      </c>
      <c r="E37" t="s">
        <v>432</v>
      </c>
      <c r="F37" s="77" t="s">
        <v>722</v>
      </c>
      <c r="G37" t="s">
        <v>369</v>
      </c>
      <c r="H37" s="77" t="s">
        <v>1080</v>
      </c>
      <c r="K37" s="181">
        <v>1044</v>
      </c>
      <c r="L37" s="182" t="s">
        <v>0</v>
      </c>
    </row>
    <row r="38" spans="4:12" ht="15.75">
      <c r="D38" s="185" t="s">
        <v>900</v>
      </c>
      <c r="E38" t="s">
        <v>432</v>
      </c>
      <c r="F38" s="77" t="s">
        <v>940</v>
      </c>
      <c r="G38" t="s">
        <v>369</v>
      </c>
      <c r="H38" s="77" t="s">
        <v>1055</v>
      </c>
      <c r="K38" s="181">
        <v>1045</v>
      </c>
      <c r="L38" s="182" t="s">
        <v>0</v>
      </c>
    </row>
    <row r="39" spans="4:12" ht="15.75">
      <c r="D39" s="185" t="s">
        <v>921</v>
      </c>
      <c r="E39" t="s">
        <v>432</v>
      </c>
      <c r="F39" s="77" t="s">
        <v>723</v>
      </c>
      <c r="G39" t="s">
        <v>369</v>
      </c>
      <c r="H39" s="77" t="s">
        <v>1081</v>
      </c>
      <c r="K39" s="181">
        <v>1046</v>
      </c>
      <c r="L39" s="182" t="s">
        <v>0</v>
      </c>
    </row>
    <row r="40" spans="4:12" ht="15.75">
      <c r="D40" s="185" t="s">
        <v>901</v>
      </c>
      <c r="E40" t="s">
        <v>432</v>
      </c>
      <c r="F40" s="77" t="s">
        <v>941</v>
      </c>
      <c r="G40" t="s">
        <v>369</v>
      </c>
      <c r="H40" s="77" t="s">
        <v>1056</v>
      </c>
      <c r="K40" s="181">
        <v>1047</v>
      </c>
      <c r="L40" s="182" t="s">
        <v>0</v>
      </c>
    </row>
    <row r="41" spans="4:12" ht="15">
      <c r="D41" t="s">
        <v>449</v>
      </c>
      <c r="E41" t="s">
        <v>432</v>
      </c>
      <c r="F41" t="s">
        <v>371</v>
      </c>
      <c r="G41" t="s">
        <v>369</v>
      </c>
      <c r="H41" t="s">
        <v>452</v>
      </c>
      <c r="K41" s="181">
        <v>1048</v>
      </c>
      <c r="L41" s="182" t="s">
        <v>0</v>
      </c>
    </row>
    <row r="42" spans="4:12" ht="15">
      <c r="D42" t="s">
        <v>450</v>
      </c>
      <c r="E42" t="s">
        <v>432</v>
      </c>
      <c r="F42" t="s">
        <v>451</v>
      </c>
      <c r="G42" t="s">
        <v>369</v>
      </c>
      <c r="H42" t="s">
        <v>453</v>
      </c>
      <c r="K42" s="181">
        <v>1051</v>
      </c>
      <c r="L42" s="182" t="s">
        <v>0</v>
      </c>
    </row>
    <row r="43" spans="4:12" ht="15">
      <c r="D43" t="s">
        <v>448</v>
      </c>
      <c r="E43" t="s">
        <v>432</v>
      </c>
      <c r="F43" t="s">
        <v>466</v>
      </c>
      <c r="G43" t="s">
        <v>372</v>
      </c>
      <c r="H43" s="77" t="s">
        <v>573</v>
      </c>
      <c r="K43" s="181">
        <v>1052</v>
      </c>
      <c r="L43" s="182" t="s">
        <v>0</v>
      </c>
    </row>
    <row r="44" spans="4:12" ht="15">
      <c r="D44" s="77" t="s">
        <v>739</v>
      </c>
      <c r="E44" t="s">
        <v>432</v>
      </c>
      <c r="F44" s="77" t="s">
        <v>749</v>
      </c>
      <c r="G44" t="s">
        <v>496</v>
      </c>
      <c r="H44" s="77" t="s">
        <v>547</v>
      </c>
      <c r="K44" s="181">
        <v>1053</v>
      </c>
      <c r="L44" s="182" t="s">
        <v>0</v>
      </c>
    </row>
    <row r="45" spans="4:12" ht="15">
      <c r="D45" s="77" t="s">
        <v>740</v>
      </c>
      <c r="E45" t="s">
        <v>432</v>
      </c>
      <c r="F45" s="77" t="s">
        <v>750</v>
      </c>
      <c r="G45" t="s">
        <v>496</v>
      </c>
      <c r="H45" s="77" t="s">
        <v>523</v>
      </c>
      <c r="K45" s="181">
        <v>1054</v>
      </c>
      <c r="L45" s="182" t="s">
        <v>0</v>
      </c>
    </row>
    <row r="46" spans="4:12" ht="15">
      <c r="D46" s="77" t="s">
        <v>741</v>
      </c>
      <c r="E46" t="s">
        <v>432</v>
      </c>
      <c r="F46" s="77" t="s">
        <v>751</v>
      </c>
      <c r="G46" t="s">
        <v>496</v>
      </c>
      <c r="H46" s="77" t="s">
        <v>524</v>
      </c>
      <c r="K46" s="181">
        <v>1055</v>
      </c>
      <c r="L46" s="182" t="s">
        <v>0</v>
      </c>
    </row>
    <row r="47" spans="4:12" ht="15">
      <c r="D47" s="77" t="s">
        <v>742</v>
      </c>
      <c r="E47" t="s">
        <v>432</v>
      </c>
      <c r="F47" s="77" t="s">
        <v>752</v>
      </c>
      <c r="G47" t="s">
        <v>496</v>
      </c>
      <c r="H47" s="77" t="s">
        <v>525</v>
      </c>
      <c r="K47" s="181">
        <v>1056</v>
      </c>
      <c r="L47" s="182" t="s">
        <v>0</v>
      </c>
    </row>
    <row r="48" spans="4:12" ht="15">
      <c r="D48" s="77" t="s">
        <v>743</v>
      </c>
      <c r="E48" t="s">
        <v>432</v>
      </c>
      <c r="F48" s="77" t="s">
        <v>753</v>
      </c>
      <c r="G48" t="s">
        <v>496</v>
      </c>
      <c r="H48" s="77" t="s">
        <v>526</v>
      </c>
      <c r="K48" s="181">
        <v>1061</v>
      </c>
      <c r="L48" s="182" t="s">
        <v>0</v>
      </c>
    </row>
    <row r="49" spans="4:12" ht="15">
      <c r="D49" t="s">
        <v>511</v>
      </c>
      <c r="E49" t="s">
        <v>432</v>
      </c>
      <c r="F49" s="77" t="s">
        <v>754</v>
      </c>
      <c r="G49" t="s">
        <v>496</v>
      </c>
      <c r="H49" s="77" t="s">
        <v>549</v>
      </c>
      <c r="K49" s="181">
        <v>1062</v>
      </c>
      <c r="L49" s="182" t="s">
        <v>0</v>
      </c>
    </row>
    <row r="50" spans="4:12" ht="15">
      <c r="D50" t="s">
        <v>512</v>
      </c>
      <c r="E50" t="s">
        <v>432</v>
      </c>
      <c r="F50" s="77" t="s">
        <v>755</v>
      </c>
      <c r="G50" t="s">
        <v>496</v>
      </c>
      <c r="H50" s="77" t="s">
        <v>531</v>
      </c>
      <c r="K50" s="181">
        <v>1063</v>
      </c>
      <c r="L50" s="182" t="s">
        <v>0</v>
      </c>
    </row>
    <row r="51" spans="4:12" ht="15">
      <c r="D51" t="s">
        <v>513</v>
      </c>
      <c r="E51" t="s">
        <v>432</v>
      </c>
      <c r="F51" s="77" t="s">
        <v>756</v>
      </c>
      <c r="G51" t="s">
        <v>496</v>
      </c>
      <c r="H51" s="77" t="s">
        <v>532</v>
      </c>
      <c r="K51" s="181">
        <v>1064</v>
      </c>
      <c r="L51" s="182" t="s">
        <v>0</v>
      </c>
    </row>
    <row r="52" spans="4:12" ht="15">
      <c r="D52" t="s">
        <v>514</v>
      </c>
      <c r="E52" t="s">
        <v>432</v>
      </c>
      <c r="F52" s="77" t="s">
        <v>757</v>
      </c>
      <c r="G52" t="s">
        <v>496</v>
      </c>
      <c r="H52" s="77" t="s">
        <v>533</v>
      </c>
      <c r="K52" s="181">
        <v>1065</v>
      </c>
      <c r="L52" s="182" t="s">
        <v>0</v>
      </c>
    </row>
    <row r="53" spans="4:12" ht="15">
      <c r="D53" t="s">
        <v>545</v>
      </c>
      <c r="E53" t="s">
        <v>432</v>
      </c>
      <c r="F53" s="77" t="s">
        <v>758</v>
      </c>
      <c r="G53" t="s">
        <v>496</v>
      </c>
      <c r="H53" s="77" t="s">
        <v>534</v>
      </c>
      <c r="K53" s="181">
        <v>1066</v>
      </c>
      <c r="L53" s="182" t="s">
        <v>0</v>
      </c>
    </row>
    <row r="54" spans="4:12" ht="15">
      <c r="D54" s="77" t="s">
        <v>734</v>
      </c>
      <c r="E54" t="s">
        <v>432</v>
      </c>
      <c r="F54" s="77" t="s">
        <v>644</v>
      </c>
      <c r="G54" t="s">
        <v>496</v>
      </c>
      <c r="H54" s="77" t="s">
        <v>548</v>
      </c>
      <c r="K54" s="181">
        <v>1067</v>
      </c>
      <c r="L54" s="182" t="s">
        <v>0</v>
      </c>
    </row>
    <row r="55" spans="4:12" ht="15">
      <c r="D55" s="77" t="s">
        <v>735</v>
      </c>
      <c r="E55" t="s">
        <v>432</v>
      </c>
      <c r="F55" s="77" t="s">
        <v>645</v>
      </c>
      <c r="G55" t="s">
        <v>496</v>
      </c>
      <c r="H55" s="77" t="s">
        <v>527</v>
      </c>
      <c r="K55" s="181">
        <v>1068</v>
      </c>
      <c r="L55" s="182" t="s">
        <v>0</v>
      </c>
    </row>
    <row r="56" spans="4:12" ht="15">
      <c r="D56" s="77" t="s">
        <v>736</v>
      </c>
      <c r="E56" t="s">
        <v>432</v>
      </c>
      <c r="F56" s="77" t="s">
        <v>646</v>
      </c>
      <c r="G56" t="s">
        <v>496</v>
      </c>
      <c r="H56" s="77" t="s">
        <v>528</v>
      </c>
      <c r="K56" s="181">
        <v>1071</v>
      </c>
      <c r="L56" s="182" t="s">
        <v>0</v>
      </c>
    </row>
    <row r="57" spans="4:12" ht="15">
      <c r="D57" s="77" t="s">
        <v>737</v>
      </c>
      <c r="E57" t="s">
        <v>432</v>
      </c>
      <c r="F57" s="77" t="s">
        <v>647</v>
      </c>
      <c r="G57" t="s">
        <v>496</v>
      </c>
      <c r="H57" s="77" t="s">
        <v>529</v>
      </c>
      <c r="K57" s="181">
        <v>1072</v>
      </c>
      <c r="L57" s="182" t="s">
        <v>0</v>
      </c>
    </row>
    <row r="58" spans="4:12" ht="15">
      <c r="D58" s="77" t="s">
        <v>738</v>
      </c>
      <c r="E58" t="s">
        <v>432</v>
      </c>
      <c r="F58" s="77" t="s">
        <v>648</v>
      </c>
      <c r="G58" t="s">
        <v>496</v>
      </c>
      <c r="H58" s="77" t="s">
        <v>530</v>
      </c>
      <c r="K58" s="181">
        <v>1073</v>
      </c>
      <c r="L58" s="182" t="s">
        <v>0</v>
      </c>
    </row>
    <row r="59" spans="4:12" ht="15">
      <c r="D59" t="s">
        <v>507</v>
      </c>
      <c r="E59" t="s">
        <v>432</v>
      </c>
      <c r="F59" s="77" t="s">
        <v>639</v>
      </c>
      <c r="G59" t="s">
        <v>496</v>
      </c>
      <c r="H59" s="77" t="s">
        <v>546</v>
      </c>
      <c r="K59" s="181">
        <v>1074</v>
      </c>
      <c r="L59" s="182" t="s">
        <v>0</v>
      </c>
    </row>
    <row r="60" spans="4:12" ht="15">
      <c r="D60" t="s">
        <v>508</v>
      </c>
      <c r="E60" t="s">
        <v>432</v>
      </c>
      <c r="F60" s="77" t="s">
        <v>640</v>
      </c>
      <c r="G60" t="s">
        <v>496</v>
      </c>
      <c r="H60" s="77" t="s">
        <v>520</v>
      </c>
      <c r="K60" s="181">
        <v>1075</v>
      </c>
      <c r="L60" s="182" t="s">
        <v>0</v>
      </c>
    </row>
    <row r="61" spans="4:12" ht="15">
      <c r="D61" t="s">
        <v>509</v>
      </c>
      <c r="E61" t="s">
        <v>432</v>
      </c>
      <c r="F61" s="77" t="s">
        <v>641</v>
      </c>
      <c r="G61" t="s">
        <v>496</v>
      </c>
      <c r="H61" s="77" t="s">
        <v>521</v>
      </c>
      <c r="K61" s="181">
        <v>1076</v>
      </c>
      <c r="L61" s="182" t="s">
        <v>0</v>
      </c>
    </row>
    <row r="62" spans="4:12" ht="15">
      <c r="D62" t="s">
        <v>510</v>
      </c>
      <c r="E62" t="s">
        <v>432</v>
      </c>
      <c r="F62" s="77" t="s">
        <v>642</v>
      </c>
      <c r="G62" t="s">
        <v>496</v>
      </c>
      <c r="H62" s="77" t="s">
        <v>465</v>
      </c>
      <c r="K62" s="181">
        <v>1077</v>
      </c>
      <c r="L62" s="182" t="s">
        <v>0</v>
      </c>
    </row>
    <row r="63" spans="4:12" ht="15">
      <c r="D63" t="s">
        <v>544</v>
      </c>
      <c r="E63" t="s">
        <v>432</v>
      </c>
      <c r="F63" s="77" t="s">
        <v>643</v>
      </c>
      <c r="G63" t="s">
        <v>496</v>
      </c>
      <c r="H63" s="77" t="s">
        <v>522</v>
      </c>
      <c r="K63" s="181">
        <v>1078</v>
      </c>
      <c r="L63" s="182" t="s">
        <v>0</v>
      </c>
    </row>
    <row r="64" spans="4:12" ht="15">
      <c r="D64" t="s">
        <v>503</v>
      </c>
      <c r="E64" t="s">
        <v>432</v>
      </c>
      <c r="F64" s="77" t="s">
        <v>634</v>
      </c>
      <c r="G64" s="77" t="s">
        <v>369</v>
      </c>
      <c r="H64" s="77" t="s">
        <v>1184</v>
      </c>
      <c r="K64" s="181">
        <v>1081</v>
      </c>
      <c r="L64" s="182" t="s">
        <v>0</v>
      </c>
    </row>
    <row r="65" spans="4:12" ht="15">
      <c r="D65" t="s">
        <v>504</v>
      </c>
      <c r="E65" t="s">
        <v>432</v>
      </c>
      <c r="F65" s="77" t="s">
        <v>635</v>
      </c>
      <c r="G65" s="77" t="s">
        <v>369</v>
      </c>
      <c r="H65" s="77" t="s">
        <v>1185</v>
      </c>
      <c r="K65" s="181">
        <v>1082</v>
      </c>
      <c r="L65" s="182" t="s">
        <v>0</v>
      </c>
    </row>
    <row r="66" spans="4:12" ht="15">
      <c r="D66" t="s">
        <v>505</v>
      </c>
      <c r="E66" t="s">
        <v>432</v>
      </c>
      <c r="F66" s="77" t="s">
        <v>636</v>
      </c>
      <c r="G66" s="77" t="s">
        <v>369</v>
      </c>
      <c r="H66" s="77" t="s">
        <v>1186</v>
      </c>
      <c r="K66" s="181">
        <v>1083</v>
      </c>
      <c r="L66" s="182" t="s">
        <v>0</v>
      </c>
    </row>
    <row r="67" spans="4:12" ht="15">
      <c r="D67" t="s">
        <v>506</v>
      </c>
      <c r="E67" t="s">
        <v>432</v>
      </c>
      <c r="F67" s="77" t="s">
        <v>637</v>
      </c>
      <c r="G67" s="77" t="s">
        <v>369</v>
      </c>
      <c r="H67" s="77" t="s">
        <v>1187</v>
      </c>
      <c r="K67" s="181">
        <v>1084</v>
      </c>
      <c r="L67" s="182" t="s">
        <v>0</v>
      </c>
    </row>
    <row r="68" spans="4:12" ht="15">
      <c r="D68" t="s">
        <v>543</v>
      </c>
      <c r="E68" t="s">
        <v>432</v>
      </c>
      <c r="F68" s="77" t="s">
        <v>638</v>
      </c>
      <c r="G68" s="77" t="s">
        <v>369</v>
      </c>
      <c r="H68" s="77" t="s">
        <v>1188</v>
      </c>
      <c r="K68" s="181">
        <v>1085</v>
      </c>
      <c r="L68" s="182" t="s">
        <v>0</v>
      </c>
    </row>
    <row r="69" spans="4:12" ht="15">
      <c r="D69" t="s">
        <v>515</v>
      </c>
      <c r="E69" t="s">
        <v>432</v>
      </c>
      <c r="F69" s="77" t="s">
        <v>744</v>
      </c>
      <c r="G69" t="s">
        <v>496</v>
      </c>
      <c r="H69" s="77" t="s">
        <v>760</v>
      </c>
      <c r="K69" s="181">
        <v>1086</v>
      </c>
      <c r="L69" s="182" t="s">
        <v>0</v>
      </c>
    </row>
    <row r="70" spans="4:12" ht="15">
      <c r="D70" t="s">
        <v>516</v>
      </c>
      <c r="E70" t="s">
        <v>432</v>
      </c>
      <c r="F70" s="77" t="s">
        <v>745</v>
      </c>
      <c r="G70" t="s">
        <v>496</v>
      </c>
      <c r="H70" s="77" t="s">
        <v>761</v>
      </c>
      <c r="K70" s="181">
        <v>1087</v>
      </c>
      <c r="L70" s="182" t="s">
        <v>0</v>
      </c>
    </row>
    <row r="71" spans="4:12" ht="15">
      <c r="D71" t="s">
        <v>517</v>
      </c>
      <c r="E71" t="s">
        <v>432</v>
      </c>
      <c r="F71" s="77" t="s">
        <v>746</v>
      </c>
      <c r="G71" t="s">
        <v>496</v>
      </c>
      <c r="H71" s="77" t="s">
        <v>762</v>
      </c>
      <c r="K71" s="181">
        <v>1088</v>
      </c>
      <c r="L71" s="182" t="s">
        <v>0</v>
      </c>
    </row>
    <row r="72" spans="4:12" ht="15">
      <c r="D72" t="s">
        <v>518</v>
      </c>
      <c r="E72" t="s">
        <v>432</v>
      </c>
      <c r="F72" s="77" t="s">
        <v>747</v>
      </c>
      <c r="G72" t="s">
        <v>496</v>
      </c>
      <c r="H72" s="77" t="s">
        <v>763</v>
      </c>
      <c r="K72" s="181">
        <v>1089</v>
      </c>
      <c r="L72" s="182" t="s">
        <v>0</v>
      </c>
    </row>
    <row r="73" spans="4:12" ht="15">
      <c r="D73" t="s">
        <v>550</v>
      </c>
      <c r="E73" t="s">
        <v>432</v>
      </c>
      <c r="F73" s="77" t="s">
        <v>748</v>
      </c>
      <c r="G73" t="s">
        <v>496</v>
      </c>
      <c r="H73" s="77" t="s">
        <v>764</v>
      </c>
      <c r="K73" s="181">
        <v>1091</v>
      </c>
      <c r="L73" s="182" t="s">
        <v>0</v>
      </c>
    </row>
    <row r="74" spans="4:12" ht="15">
      <c r="D74" t="s">
        <v>537</v>
      </c>
      <c r="E74" t="s">
        <v>432</v>
      </c>
      <c r="F74" t="s">
        <v>539</v>
      </c>
      <c r="G74" t="s">
        <v>372</v>
      </c>
      <c r="H74" t="s">
        <v>552</v>
      </c>
      <c r="K74" s="181">
        <v>1092</v>
      </c>
      <c r="L74" s="182" t="s">
        <v>0</v>
      </c>
    </row>
    <row r="75" spans="4:12" ht="15">
      <c r="D75" t="s">
        <v>431</v>
      </c>
      <c r="E75" t="s">
        <v>432</v>
      </c>
      <c r="F75" t="s">
        <v>433</v>
      </c>
      <c r="G75" t="s">
        <v>372</v>
      </c>
      <c r="H75" t="s">
        <v>553</v>
      </c>
      <c r="K75" s="181">
        <v>1093</v>
      </c>
      <c r="L75" s="182" t="s">
        <v>0</v>
      </c>
    </row>
    <row r="76" spans="4:12" ht="15">
      <c r="D76" t="s">
        <v>538</v>
      </c>
      <c r="E76" t="s">
        <v>432</v>
      </c>
      <c r="F76" t="s">
        <v>540</v>
      </c>
      <c r="G76" t="s">
        <v>372</v>
      </c>
      <c r="H76" t="s">
        <v>554</v>
      </c>
      <c r="K76" s="181">
        <v>1094</v>
      </c>
      <c r="L76" s="182" t="s">
        <v>0</v>
      </c>
    </row>
    <row r="77" spans="4:12" ht="15">
      <c r="D77" s="77" t="s">
        <v>1216</v>
      </c>
      <c r="E77" s="77" t="s">
        <v>432</v>
      </c>
      <c r="F77" s="77" t="s">
        <v>1217</v>
      </c>
      <c r="G77" s="77" t="s">
        <v>369</v>
      </c>
      <c r="H77" s="77" t="s">
        <v>1215</v>
      </c>
      <c r="K77" s="181">
        <v>1095</v>
      </c>
      <c r="L77" s="182" t="s">
        <v>0</v>
      </c>
    </row>
    <row r="78" spans="4:12" ht="15">
      <c r="D78" s="77" t="s">
        <v>1023</v>
      </c>
      <c r="E78" s="77" t="s">
        <v>432</v>
      </c>
      <c r="F78" t="s">
        <v>1025</v>
      </c>
      <c r="G78" s="77" t="s">
        <v>369</v>
      </c>
      <c r="H78" s="77" t="s">
        <v>1026</v>
      </c>
      <c r="K78" s="181">
        <v>1096</v>
      </c>
      <c r="L78" s="182" t="s">
        <v>0</v>
      </c>
    </row>
    <row r="79" spans="4:12" ht="15">
      <c r="D79" s="77" t="s">
        <v>1012</v>
      </c>
      <c r="E79" s="77" t="s">
        <v>432</v>
      </c>
      <c r="F79" s="77" t="s">
        <v>1124</v>
      </c>
      <c r="G79" t="s">
        <v>369</v>
      </c>
      <c r="H79" s="77" t="s">
        <v>1011</v>
      </c>
      <c r="K79" s="181">
        <v>1097</v>
      </c>
      <c r="L79" s="182" t="s">
        <v>0</v>
      </c>
    </row>
    <row r="80" spans="4:12" ht="15">
      <c r="D80" s="162" t="s">
        <v>578</v>
      </c>
      <c r="E80" t="s">
        <v>432</v>
      </c>
      <c r="F80" s="77" t="s">
        <v>603</v>
      </c>
      <c r="G80" t="s">
        <v>372</v>
      </c>
      <c r="H80" s="77" t="s">
        <v>521</v>
      </c>
      <c r="K80" s="181">
        <v>1098</v>
      </c>
      <c r="L80" s="182" t="s">
        <v>0</v>
      </c>
    </row>
    <row r="81" spans="4:12" ht="15">
      <c r="D81" s="77" t="s">
        <v>577</v>
      </c>
      <c r="E81" t="s">
        <v>432</v>
      </c>
      <c r="F81" s="77" t="s">
        <v>602</v>
      </c>
      <c r="G81" t="s">
        <v>369</v>
      </c>
      <c r="H81" s="77" t="s">
        <v>586</v>
      </c>
      <c r="K81" s="181">
        <v>1101</v>
      </c>
      <c r="L81" s="182" t="s">
        <v>0</v>
      </c>
    </row>
    <row r="82" spans="4:12" ht="15">
      <c r="D82" s="162" t="s">
        <v>579</v>
      </c>
      <c r="E82" t="s">
        <v>432</v>
      </c>
      <c r="F82" s="77" t="s">
        <v>604</v>
      </c>
      <c r="G82" t="s">
        <v>372</v>
      </c>
      <c r="H82" s="77" t="s">
        <v>465</v>
      </c>
      <c r="K82" s="181">
        <v>1102</v>
      </c>
      <c r="L82" s="182" t="s">
        <v>0</v>
      </c>
    </row>
    <row r="83" spans="4:12" ht="15">
      <c r="D83" s="77" t="s">
        <v>576</v>
      </c>
      <c r="E83" t="s">
        <v>432</v>
      </c>
      <c r="F83" s="77" t="s">
        <v>601</v>
      </c>
      <c r="G83" t="s">
        <v>372</v>
      </c>
      <c r="H83" s="77" t="s">
        <v>583</v>
      </c>
      <c r="K83" s="181">
        <v>1103</v>
      </c>
      <c r="L83" s="182" t="s">
        <v>0</v>
      </c>
    </row>
    <row r="84" spans="4:12" ht="15">
      <c r="D84" s="77" t="s">
        <v>1198</v>
      </c>
      <c r="E84" s="77" t="s">
        <v>432</v>
      </c>
      <c r="F84" s="77" t="s">
        <v>1200</v>
      </c>
      <c r="G84" s="77" t="s">
        <v>369</v>
      </c>
      <c r="H84" s="77" t="s">
        <v>1201</v>
      </c>
      <c r="K84" s="181">
        <v>1104</v>
      </c>
      <c r="L84" s="182" t="s">
        <v>0</v>
      </c>
    </row>
    <row r="85" spans="4:12" ht="15">
      <c r="D85" s="77" t="s">
        <v>1171</v>
      </c>
      <c r="E85" s="77" t="s">
        <v>432</v>
      </c>
      <c r="F85" s="77" t="s">
        <v>1172</v>
      </c>
      <c r="G85" s="77" t="s">
        <v>369</v>
      </c>
      <c r="H85" s="77" t="s">
        <v>1018</v>
      </c>
      <c r="K85" s="181">
        <v>1105</v>
      </c>
      <c r="L85" s="182" t="s">
        <v>0</v>
      </c>
    </row>
    <row r="86" spans="4:12" ht="15.75">
      <c r="D86" s="185" t="s">
        <v>912</v>
      </c>
      <c r="E86" t="s">
        <v>432</v>
      </c>
      <c r="F86" s="77" t="s">
        <v>714</v>
      </c>
      <c r="G86" t="s">
        <v>369</v>
      </c>
      <c r="H86" s="77" t="s">
        <v>1072</v>
      </c>
      <c r="K86" s="181">
        <v>1106</v>
      </c>
      <c r="L86" s="182" t="s">
        <v>0</v>
      </c>
    </row>
    <row r="87" spans="4:12" ht="15.75">
      <c r="D87" s="185" t="s">
        <v>892</v>
      </c>
      <c r="E87" t="s">
        <v>432</v>
      </c>
      <c r="F87" s="77" t="s">
        <v>933</v>
      </c>
      <c r="G87" t="s">
        <v>369</v>
      </c>
      <c r="H87" s="77" t="s">
        <v>1047</v>
      </c>
      <c r="K87" s="181">
        <v>1107</v>
      </c>
      <c r="L87" s="182" t="s">
        <v>0</v>
      </c>
    </row>
    <row r="88" spans="4:12" ht="15.75">
      <c r="D88" s="185" t="s">
        <v>926</v>
      </c>
      <c r="E88" t="s">
        <v>432</v>
      </c>
      <c r="F88" s="77" t="s">
        <v>954</v>
      </c>
      <c r="G88" t="s">
        <v>369</v>
      </c>
      <c r="H88" s="77" t="s">
        <v>1086</v>
      </c>
      <c r="K88" s="181">
        <v>1108</v>
      </c>
      <c r="L88" s="182" t="s">
        <v>0</v>
      </c>
    </row>
    <row r="89" spans="4:12" ht="15.75">
      <c r="D89" s="185" t="s">
        <v>906</v>
      </c>
      <c r="E89" t="s">
        <v>432</v>
      </c>
      <c r="F89" s="77" t="s">
        <v>946</v>
      </c>
      <c r="G89" t="s">
        <v>369</v>
      </c>
      <c r="H89" s="77" t="s">
        <v>1061</v>
      </c>
      <c r="K89" s="181">
        <v>1111</v>
      </c>
      <c r="L89" s="182" t="s">
        <v>0</v>
      </c>
    </row>
    <row r="90" spans="4:12" ht="15">
      <c r="D90" s="162" t="s">
        <v>581</v>
      </c>
      <c r="E90" t="s">
        <v>432</v>
      </c>
      <c r="F90" s="77" t="s">
        <v>605</v>
      </c>
      <c r="G90" t="s">
        <v>372</v>
      </c>
      <c r="H90" s="77" t="s">
        <v>584</v>
      </c>
      <c r="K90" s="181">
        <v>1112</v>
      </c>
      <c r="L90" s="182" t="s">
        <v>0</v>
      </c>
    </row>
    <row r="91" spans="4:12" ht="15">
      <c r="D91" s="162" t="s">
        <v>580</v>
      </c>
      <c r="E91" t="s">
        <v>432</v>
      </c>
      <c r="F91" s="77" t="s">
        <v>706</v>
      </c>
      <c r="G91" t="s">
        <v>372</v>
      </c>
      <c r="H91" s="77" t="s">
        <v>522</v>
      </c>
      <c r="K91" s="181">
        <v>1113</v>
      </c>
      <c r="L91" s="182" t="s">
        <v>0</v>
      </c>
    </row>
    <row r="92" spans="4:12" ht="15">
      <c r="D92" t="s">
        <v>491</v>
      </c>
      <c r="E92" t="s">
        <v>432</v>
      </c>
      <c r="F92" s="77" t="s">
        <v>1118</v>
      </c>
      <c r="G92" t="s">
        <v>496</v>
      </c>
      <c r="H92" t="s">
        <v>497</v>
      </c>
      <c r="K92" s="181">
        <v>1114</v>
      </c>
      <c r="L92" s="182" t="s">
        <v>0</v>
      </c>
    </row>
    <row r="93" spans="4:12" ht="15">
      <c r="D93" t="s">
        <v>492</v>
      </c>
      <c r="E93" t="s">
        <v>432</v>
      </c>
      <c r="F93" s="77" t="s">
        <v>1119</v>
      </c>
      <c r="G93" t="s">
        <v>496</v>
      </c>
      <c r="H93" t="s">
        <v>498</v>
      </c>
      <c r="K93" s="181">
        <v>1115</v>
      </c>
      <c r="L93" s="182" t="s">
        <v>0</v>
      </c>
    </row>
    <row r="94" spans="4:12" ht="15">
      <c r="D94" t="s">
        <v>493</v>
      </c>
      <c r="E94" t="s">
        <v>432</v>
      </c>
      <c r="F94" s="77" t="s">
        <v>548</v>
      </c>
      <c r="G94" t="s">
        <v>496</v>
      </c>
      <c r="H94" t="s">
        <v>499</v>
      </c>
      <c r="K94" s="181">
        <v>1116</v>
      </c>
      <c r="L94" s="182" t="s">
        <v>0</v>
      </c>
    </row>
    <row r="95" spans="4:12" ht="15">
      <c r="D95" t="s">
        <v>494</v>
      </c>
      <c r="E95" t="s">
        <v>432</v>
      </c>
      <c r="F95" s="77" t="s">
        <v>527</v>
      </c>
      <c r="G95" t="s">
        <v>496</v>
      </c>
      <c r="H95" t="s">
        <v>500</v>
      </c>
      <c r="K95" s="181">
        <v>1117</v>
      </c>
      <c r="L95" s="182" t="s">
        <v>0</v>
      </c>
    </row>
    <row r="96" spans="4:12" ht="15">
      <c r="D96" s="77" t="s">
        <v>1116</v>
      </c>
      <c r="E96" s="77" t="s">
        <v>432</v>
      </c>
      <c r="F96" s="77" t="s">
        <v>649</v>
      </c>
      <c r="G96" s="77" t="s">
        <v>496</v>
      </c>
      <c r="H96" s="77" t="s">
        <v>1117</v>
      </c>
      <c r="K96" s="181">
        <v>1118</v>
      </c>
      <c r="L96" s="182" t="s">
        <v>0</v>
      </c>
    </row>
    <row r="97" spans="4:12" ht="15">
      <c r="D97" t="s">
        <v>495</v>
      </c>
      <c r="E97" t="s">
        <v>432</v>
      </c>
      <c r="F97" s="77" t="s">
        <v>528</v>
      </c>
      <c r="G97" t="s">
        <v>496</v>
      </c>
      <c r="H97" t="s">
        <v>501</v>
      </c>
      <c r="K97" s="181">
        <v>1119</v>
      </c>
      <c r="L97" s="182" t="s">
        <v>0</v>
      </c>
    </row>
    <row r="98" spans="4:12" ht="15">
      <c r="D98" s="77" t="s">
        <v>611</v>
      </c>
      <c r="E98" t="s">
        <v>432</v>
      </c>
      <c r="F98" s="77" t="s">
        <v>535</v>
      </c>
      <c r="G98" t="s">
        <v>369</v>
      </c>
      <c r="H98" s="77" t="s">
        <v>610</v>
      </c>
      <c r="K98" s="181">
        <v>1121</v>
      </c>
      <c r="L98" s="182" t="s">
        <v>0</v>
      </c>
    </row>
    <row r="99" spans="4:12" ht="15">
      <c r="D99" s="77" t="s">
        <v>996</v>
      </c>
      <c r="E99" s="77" t="s">
        <v>432</v>
      </c>
      <c r="F99" s="77" t="s">
        <v>1004</v>
      </c>
      <c r="G99" s="77" t="s">
        <v>372</v>
      </c>
      <c r="H99" s="77" t="s">
        <v>1183</v>
      </c>
      <c r="K99" s="181">
        <v>1122</v>
      </c>
      <c r="L99" s="182" t="s">
        <v>0</v>
      </c>
    </row>
    <row r="100" spans="4:12" ht="15">
      <c r="D100" s="77" t="s">
        <v>997</v>
      </c>
      <c r="E100" s="77" t="s">
        <v>432</v>
      </c>
      <c r="F100" s="77" t="s">
        <v>1005</v>
      </c>
      <c r="G100" s="77" t="s">
        <v>372</v>
      </c>
      <c r="H100" s="77" t="s">
        <v>1009</v>
      </c>
      <c r="K100" s="181">
        <v>1123</v>
      </c>
      <c r="L100" s="182" t="s">
        <v>0</v>
      </c>
    </row>
    <row r="101" spans="4:12" ht="15">
      <c r="D101" s="77" t="s">
        <v>992</v>
      </c>
      <c r="E101" s="77" t="s">
        <v>432</v>
      </c>
      <c r="F101" s="77" t="s">
        <v>1000</v>
      </c>
      <c r="G101" s="77" t="s">
        <v>372</v>
      </c>
      <c r="H101" s="77" t="s">
        <v>1181</v>
      </c>
      <c r="K101" s="181">
        <v>1124</v>
      </c>
      <c r="L101" s="182" t="s">
        <v>0</v>
      </c>
    </row>
    <row r="102" spans="4:12" ht="15">
      <c r="D102" s="77" t="s">
        <v>993</v>
      </c>
      <c r="E102" s="77" t="s">
        <v>432</v>
      </c>
      <c r="F102" s="77" t="s">
        <v>1001</v>
      </c>
      <c r="G102" s="77" t="s">
        <v>372</v>
      </c>
      <c r="H102" s="77" t="s">
        <v>1007</v>
      </c>
      <c r="K102" s="181">
        <v>1125</v>
      </c>
      <c r="L102" s="182" t="s">
        <v>0</v>
      </c>
    </row>
    <row r="103" spans="4:12" ht="15">
      <c r="D103" s="77" t="s">
        <v>994</v>
      </c>
      <c r="E103" s="77" t="s">
        <v>432</v>
      </c>
      <c r="F103" s="77" t="s">
        <v>1002</v>
      </c>
      <c r="G103" s="77" t="s">
        <v>372</v>
      </c>
      <c r="H103" s="77" t="s">
        <v>1182</v>
      </c>
      <c r="K103" s="181">
        <v>1126</v>
      </c>
      <c r="L103" s="182" t="s">
        <v>0</v>
      </c>
    </row>
    <row r="104" spans="4:12" ht="15">
      <c r="D104" s="77" t="s">
        <v>995</v>
      </c>
      <c r="E104" s="77" t="s">
        <v>432</v>
      </c>
      <c r="F104" s="77" t="s">
        <v>1003</v>
      </c>
      <c r="G104" s="77" t="s">
        <v>372</v>
      </c>
      <c r="H104" s="77" t="s">
        <v>1008</v>
      </c>
      <c r="K104" s="181">
        <v>1131</v>
      </c>
      <c r="L104" s="182" t="s">
        <v>0</v>
      </c>
    </row>
    <row r="105" spans="4:12" ht="15">
      <c r="D105" s="77" t="s">
        <v>990</v>
      </c>
      <c r="E105" s="77" t="s">
        <v>432</v>
      </c>
      <c r="F105" s="77" t="s">
        <v>998</v>
      </c>
      <c r="G105" s="77" t="s">
        <v>372</v>
      </c>
      <c r="H105" s="77" t="s">
        <v>1180</v>
      </c>
      <c r="K105" s="181">
        <v>1132</v>
      </c>
      <c r="L105" s="182" t="s">
        <v>0</v>
      </c>
    </row>
    <row r="106" spans="4:12" ht="15">
      <c r="D106" s="77" t="s">
        <v>991</v>
      </c>
      <c r="E106" s="77" t="s">
        <v>432</v>
      </c>
      <c r="F106" s="77" t="s">
        <v>999</v>
      </c>
      <c r="G106" s="77" t="s">
        <v>372</v>
      </c>
      <c r="H106" s="77" t="s">
        <v>1006</v>
      </c>
      <c r="K106" s="181">
        <v>1133</v>
      </c>
      <c r="L106" s="182" t="s">
        <v>0</v>
      </c>
    </row>
    <row r="107" spans="4:12" ht="15">
      <c r="D107" s="162" t="s">
        <v>582</v>
      </c>
      <c r="E107" t="s">
        <v>432</v>
      </c>
      <c r="F107" s="77" t="s">
        <v>606</v>
      </c>
      <c r="G107" t="s">
        <v>372</v>
      </c>
      <c r="H107" s="77" t="s">
        <v>585</v>
      </c>
      <c r="K107" s="181">
        <v>1134</v>
      </c>
      <c r="L107" s="182" t="s">
        <v>0</v>
      </c>
    </row>
    <row r="108" spans="4:12" ht="15">
      <c r="D108" s="77" t="s">
        <v>275</v>
      </c>
      <c r="E108" s="77" t="s">
        <v>432</v>
      </c>
      <c r="F108" s="77" t="s">
        <v>1222</v>
      </c>
      <c r="G108" s="77" t="s">
        <v>369</v>
      </c>
      <c r="H108" s="77" t="s">
        <v>1221</v>
      </c>
      <c r="K108" s="181">
        <v>1135</v>
      </c>
      <c r="L108" s="182" t="s">
        <v>0</v>
      </c>
    </row>
    <row r="109" spans="4:12" ht="15">
      <c r="D109" t="s">
        <v>468</v>
      </c>
      <c r="E109" t="s">
        <v>432</v>
      </c>
      <c r="F109" s="77" t="s">
        <v>1106</v>
      </c>
      <c r="G109" t="s">
        <v>496</v>
      </c>
      <c r="H109" s="77" t="s">
        <v>654</v>
      </c>
      <c r="K109" s="181">
        <v>1136</v>
      </c>
      <c r="L109" s="182" t="s">
        <v>0</v>
      </c>
    </row>
    <row r="110" spans="4:12" ht="15">
      <c r="D110" s="77" t="s">
        <v>1015</v>
      </c>
      <c r="E110" t="s">
        <v>432</v>
      </c>
      <c r="F110" s="77" t="s">
        <v>1105</v>
      </c>
      <c r="G110" t="s">
        <v>496</v>
      </c>
      <c r="H110" s="77" t="s">
        <v>653</v>
      </c>
      <c r="K110" s="181">
        <v>1137</v>
      </c>
      <c r="L110" s="182" t="s">
        <v>0</v>
      </c>
    </row>
    <row r="111" spans="4:12" ht="15">
      <c r="D111" s="77" t="s">
        <v>1014</v>
      </c>
      <c r="E111" t="s">
        <v>432</v>
      </c>
      <c r="F111" s="77" t="s">
        <v>1017</v>
      </c>
      <c r="G111" t="s">
        <v>496</v>
      </c>
      <c r="H111" s="77" t="s">
        <v>652</v>
      </c>
      <c r="K111" s="181">
        <v>1138</v>
      </c>
      <c r="L111" s="182" t="s">
        <v>0</v>
      </c>
    </row>
    <row r="112" spans="4:12" ht="15">
      <c r="D112" t="s">
        <v>467</v>
      </c>
      <c r="E112" t="s">
        <v>432</v>
      </c>
      <c r="F112" s="77" t="s">
        <v>1016</v>
      </c>
      <c r="G112" t="s">
        <v>496</v>
      </c>
      <c r="H112" s="77" t="s">
        <v>651</v>
      </c>
      <c r="K112" s="181">
        <v>1139</v>
      </c>
      <c r="L112" s="182" t="s">
        <v>0</v>
      </c>
    </row>
    <row r="113" spans="4:12" ht="15">
      <c r="D113" s="77" t="s">
        <v>658</v>
      </c>
      <c r="E113" t="s">
        <v>432</v>
      </c>
      <c r="F113" s="77" t="s">
        <v>1177</v>
      </c>
      <c r="G113" t="s">
        <v>496</v>
      </c>
      <c r="H113" s="77" t="s">
        <v>660</v>
      </c>
      <c r="K113" s="181">
        <v>1141</v>
      </c>
      <c r="L113" s="182" t="s">
        <v>0</v>
      </c>
    </row>
    <row r="114" spans="4:12" ht="15">
      <c r="D114" s="77" t="s">
        <v>1541</v>
      </c>
      <c r="E114" t="s">
        <v>432</v>
      </c>
      <c r="F114" s="77" t="s">
        <v>1543</v>
      </c>
      <c r="G114" s="77" t="s">
        <v>369</v>
      </c>
      <c r="H114" s="77" t="s">
        <v>1542</v>
      </c>
      <c r="K114" s="181">
        <v>1142</v>
      </c>
      <c r="L114" s="182" t="s">
        <v>0</v>
      </c>
    </row>
    <row r="115" spans="4:12" ht="15">
      <c r="D115" s="77" t="s">
        <v>1545</v>
      </c>
      <c r="E115" t="s">
        <v>432</v>
      </c>
      <c r="F115" s="77" t="s">
        <v>1547</v>
      </c>
      <c r="G115" s="77" t="s">
        <v>369</v>
      </c>
      <c r="H115" s="77" t="s">
        <v>1544</v>
      </c>
      <c r="K115" s="181">
        <v>1143</v>
      </c>
      <c r="L115" s="182" t="s">
        <v>0</v>
      </c>
    </row>
    <row r="116" spans="4:12" ht="15">
      <c r="D116" s="77" t="s">
        <v>656</v>
      </c>
      <c r="E116" t="s">
        <v>432</v>
      </c>
      <c r="F116" s="77" t="s">
        <v>1548</v>
      </c>
      <c r="G116" t="s">
        <v>496</v>
      </c>
      <c r="H116" s="77" t="s">
        <v>657</v>
      </c>
      <c r="K116" s="181">
        <v>1144</v>
      </c>
      <c r="L116" s="182" t="s">
        <v>0</v>
      </c>
    </row>
    <row r="117" spans="4:12" ht="15">
      <c r="D117" s="77" t="s">
        <v>765</v>
      </c>
      <c r="E117" t="s">
        <v>432</v>
      </c>
      <c r="F117" s="77" t="s">
        <v>987</v>
      </c>
      <c r="G117" t="s">
        <v>369</v>
      </c>
      <c r="H117" s="77" t="s">
        <v>766</v>
      </c>
      <c r="K117" s="181">
        <v>1145</v>
      </c>
      <c r="L117" s="182" t="s">
        <v>0</v>
      </c>
    </row>
    <row r="118" spans="4:12" ht="15.75">
      <c r="D118" s="185" t="s">
        <v>925</v>
      </c>
      <c r="E118" t="s">
        <v>432</v>
      </c>
      <c r="F118" s="77" t="s">
        <v>953</v>
      </c>
      <c r="G118" t="s">
        <v>369</v>
      </c>
      <c r="H118" s="77" t="s">
        <v>1085</v>
      </c>
      <c r="K118" s="181">
        <v>1146</v>
      </c>
      <c r="L118" s="182" t="s">
        <v>0</v>
      </c>
    </row>
    <row r="119" spans="4:12" ht="15.75">
      <c r="D119" s="185" t="s">
        <v>905</v>
      </c>
      <c r="E119" t="s">
        <v>432</v>
      </c>
      <c r="F119" s="77" t="s">
        <v>945</v>
      </c>
      <c r="G119" t="s">
        <v>369</v>
      </c>
      <c r="H119" s="77" t="s">
        <v>1060</v>
      </c>
      <c r="K119" s="181">
        <v>1147</v>
      </c>
      <c r="L119" s="182" t="s">
        <v>0</v>
      </c>
    </row>
    <row r="120" spans="4:12" ht="15.75">
      <c r="D120" s="185" t="s">
        <v>928</v>
      </c>
      <c r="E120" s="77" t="s">
        <v>432</v>
      </c>
      <c r="F120" s="77" t="s">
        <v>1128</v>
      </c>
      <c r="G120" s="77" t="s">
        <v>369</v>
      </c>
      <c r="H120" s="77" t="s">
        <v>1090</v>
      </c>
      <c r="K120" s="181">
        <v>1148</v>
      </c>
      <c r="L120" s="182" t="s">
        <v>0</v>
      </c>
    </row>
    <row r="121" spans="4:12" ht="15.75">
      <c r="D121" s="185" t="s">
        <v>908</v>
      </c>
      <c r="E121" t="s">
        <v>432</v>
      </c>
      <c r="F121" s="77" t="s">
        <v>1127</v>
      </c>
      <c r="G121" t="s">
        <v>369</v>
      </c>
      <c r="H121" s="77" t="s">
        <v>1065</v>
      </c>
      <c r="K121" s="181">
        <v>1149</v>
      </c>
      <c r="L121" s="182" t="s">
        <v>0</v>
      </c>
    </row>
    <row r="122" spans="4:12" ht="15.75">
      <c r="D122" s="185" t="s">
        <v>927</v>
      </c>
      <c r="E122" t="s">
        <v>432</v>
      </c>
      <c r="F122" s="77" t="s">
        <v>955</v>
      </c>
      <c r="G122" t="s">
        <v>369</v>
      </c>
      <c r="H122" s="77" t="s">
        <v>1087</v>
      </c>
      <c r="K122" s="181">
        <v>1150</v>
      </c>
      <c r="L122" s="182" t="s">
        <v>0</v>
      </c>
    </row>
    <row r="123" spans="4:12" ht="15.75">
      <c r="D123" s="185" t="s">
        <v>907</v>
      </c>
      <c r="E123" t="s">
        <v>432</v>
      </c>
      <c r="F123" s="77" t="s">
        <v>947</v>
      </c>
      <c r="G123" t="s">
        <v>369</v>
      </c>
      <c r="H123" s="77" t="s">
        <v>1062</v>
      </c>
      <c r="K123" s="181">
        <v>1151</v>
      </c>
      <c r="L123" s="182" t="s">
        <v>0</v>
      </c>
    </row>
    <row r="124" spans="4:12" ht="15">
      <c r="D124" s="77" t="s">
        <v>599</v>
      </c>
      <c r="E124" t="s">
        <v>432</v>
      </c>
      <c r="F124" t="s">
        <v>597</v>
      </c>
      <c r="G124" t="s">
        <v>369</v>
      </c>
      <c r="H124" t="s">
        <v>598</v>
      </c>
      <c r="K124" s="181">
        <v>1152</v>
      </c>
      <c r="L124" s="182" t="s">
        <v>0</v>
      </c>
    </row>
    <row r="125" spans="4:12" ht="15">
      <c r="D125" t="s">
        <v>536</v>
      </c>
      <c r="E125" t="s">
        <v>432</v>
      </c>
      <c r="F125" s="77" t="s">
        <v>531</v>
      </c>
      <c r="G125" t="s">
        <v>369</v>
      </c>
      <c r="H125" s="77" t="s">
        <v>1096</v>
      </c>
      <c r="K125" s="181">
        <v>1153</v>
      </c>
      <c r="L125" s="182" t="s">
        <v>0</v>
      </c>
    </row>
    <row r="126" spans="4:12" ht="15">
      <c r="D126" s="77" t="s">
        <v>1107</v>
      </c>
      <c r="E126" s="77" t="s">
        <v>432</v>
      </c>
      <c r="F126" s="77" t="s">
        <v>1108</v>
      </c>
      <c r="G126" s="77" t="s">
        <v>496</v>
      </c>
      <c r="H126" s="77" t="s">
        <v>1550</v>
      </c>
      <c r="K126" s="181">
        <v>1154</v>
      </c>
      <c r="L126" s="182" t="s">
        <v>0</v>
      </c>
    </row>
    <row r="127" spans="4:12" ht="15.75">
      <c r="D127" s="185" t="s">
        <v>924</v>
      </c>
      <c r="E127" t="s">
        <v>432</v>
      </c>
      <c r="F127" s="77" t="s">
        <v>952</v>
      </c>
      <c r="G127" t="s">
        <v>369</v>
      </c>
      <c r="H127" s="77" t="s">
        <v>1084</v>
      </c>
      <c r="K127" s="181">
        <v>1155</v>
      </c>
      <c r="L127" s="182" t="s">
        <v>0</v>
      </c>
    </row>
    <row r="128" spans="4:12" ht="15.75">
      <c r="D128" s="185" t="s">
        <v>904</v>
      </c>
      <c r="E128" t="s">
        <v>432</v>
      </c>
      <c r="F128" s="77" t="s">
        <v>944</v>
      </c>
      <c r="G128" t="s">
        <v>369</v>
      </c>
      <c r="H128" s="77" t="s">
        <v>1059</v>
      </c>
      <c r="K128" s="181">
        <v>1156</v>
      </c>
      <c r="L128" s="182" t="s">
        <v>0</v>
      </c>
    </row>
    <row r="129" spans="4:12" ht="15.75">
      <c r="D129" s="185" t="s">
        <v>1126</v>
      </c>
      <c r="E129" s="77" t="s">
        <v>432</v>
      </c>
      <c r="F129" s="77" t="s">
        <v>633</v>
      </c>
      <c r="G129" s="77" t="s">
        <v>369</v>
      </c>
      <c r="H129" s="77" t="s">
        <v>1089</v>
      </c>
      <c r="K129" s="181">
        <v>1157</v>
      </c>
      <c r="L129" s="182" t="s">
        <v>0</v>
      </c>
    </row>
    <row r="130" spans="4:12" ht="15.75">
      <c r="D130" s="185" t="s">
        <v>1130</v>
      </c>
      <c r="E130" t="s">
        <v>432</v>
      </c>
      <c r="F130" s="77" t="s">
        <v>949</v>
      </c>
      <c r="G130" t="s">
        <v>369</v>
      </c>
      <c r="H130" s="77" t="s">
        <v>1064</v>
      </c>
      <c r="K130" s="181">
        <v>1158</v>
      </c>
      <c r="L130" s="182" t="s">
        <v>0</v>
      </c>
    </row>
    <row r="131" spans="4:12" ht="15.75">
      <c r="D131" s="185" t="s">
        <v>916</v>
      </c>
      <c r="E131" t="s">
        <v>432</v>
      </c>
      <c r="F131" s="77" t="s">
        <v>718</v>
      </c>
      <c r="G131" t="s">
        <v>369</v>
      </c>
      <c r="H131" s="77" t="s">
        <v>1076</v>
      </c>
      <c r="K131" s="181">
        <v>1161</v>
      </c>
      <c r="L131" s="182" t="s">
        <v>0</v>
      </c>
    </row>
    <row r="132" spans="4:12" ht="15.75">
      <c r="D132" s="185" t="s">
        <v>896</v>
      </c>
      <c r="E132" t="s">
        <v>432</v>
      </c>
      <c r="F132" s="77" t="s">
        <v>937</v>
      </c>
      <c r="G132" t="s">
        <v>369</v>
      </c>
      <c r="H132" s="77" t="s">
        <v>1051</v>
      </c>
      <c r="K132" s="181">
        <v>1162</v>
      </c>
      <c r="L132" s="182" t="s">
        <v>0</v>
      </c>
    </row>
    <row r="133" spans="4:12" ht="15">
      <c r="D133" s="77" t="s">
        <v>624</v>
      </c>
      <c r="E133" t="s">
        <v>432</v>
      </c>
      <c r="F133" s="77" t="s">
        <v>732</v>
      </c>
      <c r="G133" t="s">
        <v>496</v>
      </c>
      <c r="H133" s="77" t="s">
        <v>630</v>
      </c>
      <c r="K133" s="181">
        <v>1163</v>
      </c>
      <c r="L133" s="182" t="s">
        <v>0</v>
      </c>
    </row>
    <row r="134" spans="4:12" ht="15">
      <c r="D134" s="77" t="s">
        <v>621</v>
      </c>
      <c r="E134" t="s">
        <v>432</v>
      </c>
      <c r="F134" s="77" t="s">
        <v>627</v>
      </c>
      <c r="G134" t="s">
        <v>496</v>
      </c>
      <c r="H134" s="77" t="s">
        <v>632</v>
      </c>
      <c r="K134" s="181">
        <v>1164</v>
      </c>
      <c r="L134" s="182" t="s">
        <v>0</v>
      </c>
    </row>
    <row r="135" spans="4:12" ht="15">
      <c r="D135" s="77" t="s">
        <v>626</v>
      </c>
      <c r="E135" t="s">
        <v>432</v>
      </c>
      <c r="F135" s="77" t="s">
        <v>628</v>
      </c>
      <c r="G135" t="s">
        <v>496</v>
      </c>
      <c r="H135" s="77" t="s">
        <v>633</v>
      </c>
      <c r="K135" s="181">
        <v>1165</v>
      </c>
      <c r="L135" s="182" t="s">
        <v>0</v>
      </c>
    </row>
    <row r="136" spans="4:12" ht="15">
      <c r="D136" s="77" t="s">
        <v>620</v>
      </c>
      <c r="E136" t="s">
        <v>432</v>
      </c>
      <c r="F136" s="77" t="s">
        <v>502</v>
      </c>
      <c r="G136" t="s">
        <v>496</v>
      </c>
      <c r="H136" s="77" t="s">
        <v>629</v>
      </c>
      <c r="K136" s="181">
        <v>1171</v>
      </c>
      <c r="L136" s="182" t="s">
        <v>0</v>
      </c>
    </row>
    <row r="137" spans="2:12" ht="15">
      <c r="B137" s="162"/>
      <c r="C137" s="162"/>
      <c r="D137" s="77" t="s">
        <v>731</v>
      </c>
      <c r="E137" t="s">
        <v>432</v>
      </c>
      <c r="F137" s="77" t="s">
        <v>519</v>
      </c>
      <c r="G137" s="77" t="s">
        <v>369</v>
      </c>
      <c r="H137" s="77" t="s">
        <v>759</v>
      </c>
      <c r="K137" s="181">
        <v>1172</v>
      </c>
      <c r="L137" s="182" t="s">
        <v>0</v>
      </c>
    </row>
    <row r="138" spans="4:12" ht="15">
      <c r="D138" s="77" t="s">
        <v>625</v>
      </c>
      <c r="E138" t="s">
        <v>432</v>
      </c>
      <c r="F138" s="77" t="s">
        <v>733</v>
      </c>
      <c r="G138" t="s">
        <v>496</v>
      </c>
      <c r="H138" s="77" t="s">
        <v>631</v>
      </c>
      <c r="K138" s="181">
        <v>1173</v>
      </c>
      <c r="L138" s="182" t="s">
        <v>0</v>
      </c>
    </row>
    <row r="139" spans="4:12" ht="15.75">
      <c r="D139" s="185" t="s">
        <v>966</v>
      </c>
      <c r="E139" s="77" t="s">
        <v>432</v>
      </c>
      <c r="F139" s="77" t="s">
        <v>1176</v>
      </c>
      <c r="G139" s="77" t="s">
        <v>369</v>
      </c>
      <c r="H139" s="77" t="s">
        <v>1093</v>
      </c>
      <c r="K139" s="181">
        <v>1174</v>
      </c>
      <c r="L139" s="182" t="s">
        <v>0</v>
      </c>
    </row>
    <row r="140" spans="4:12" ht="15.75">
      <c r="D140" s="185" t="s">
        <v>963</v>
      </c>
      <c r="E140" t="s">
        <v>432</v>
      </c>
      <c r="F140" s="77" t="s">
        <v>1175</v>
      </c>
      <c r="G140" t="s">
        <v>369</v>
      </c>
      <c r="H140" s="77" t="s">
        <v>1068</v>
      </c>
      <c r="K140" s="181">
        <v>1181</v>
      </c>
      <c r="L140" s="182" t="s">
        <v>0</v>
      </c>
    </row>
    <row r="141" spans="4:16" ht="15.75">
      <c r="D141" s="185" t="s">
        <v>965</v>
      </c>
      <c r="E141" s="77" t="s">
        <v>432</v>
      </c>
      <c r="F141" s="77" t="s">
        <v>728</v>
      </c>
      <c r="G141" s="77" t="s">
        <v>369</v>
      </c>
      <c r="H141" s="77" t="s">
        <v>1092</v>
      </c>
      <c r="K141" s="181">
        <v>1182</v>
      </c>
      <c r="L141" s="182" t="s">
        <v>0</v>
      </c>
      <c r="P141" s="185" t="s">
        <v>1125</v>
      </c>
    </row>
    <row r="142" spans="4:12" ht="15.75">
      <c r="D142" s="185" t="s">
        <v>962</v>
      </c>
      <c r="E142" t="s">
        <v>432</v>
      </c>
      <c r="F142" s="77" t="s">
        <v>727</v>
      </c>
      <c r="G142" t="s">
        <v>369</v>
      </c>
      <c r="H142" s="77" t="s">
        <v>1067</v>
      </c>
      <c r="K142" s="181">
        <v>1183</v>
      </c>
      <c r="L142" s="182" t="s">
        <v>0</v>
      </c>
    </row>
    <row r="143" spans="4:12" ht="15.75">
      <c r="D143" s="185" t="s">
        <v>964</v>
      </c>
      <c r="E143" s="77" t="s">
        <v>432</v>
      </c>
      <c r="F143" s="77" t="s">
        <v>680</v>
      </c>
      <c r="G143" s="77" t="s">
        <v>369</v>
      </c>
      <c r="H143" s="77" t="s">
        <v>1091</v>
      </c>
      <c r="K143" s="181">
        <v>1184</v>
      </c>
      <c r="L143" s="182" t="s">
        <v>0</v>
      </c>
    </row>
    <row r="144" spans="4:12" ht="15.75">
      <c r="D144" s="185" t="s">
        <v>961</v>
      </c>
      <c r="E144" t="s">
        <v>432</v>
      </c>
      <c r="F144" s="77" t="s">
        <v>661</v>
      </c>
      <c r="G144" t="s">
        <v>369</v>
      </c>
      <c r="H144" s="77" t="s">
        <v>1066</v>
      </c>
      <c r="K144" s="181">
        <v>1185</v>
      </c>
      <c r="L144" s="182" t="s">
        <v>0</v>
      </c>
    </row>
    <row r="145" spans="4:12" ht="15">
      <c r="D145" s="77" t="s">
        <v>1191</v>
      </c>
      <c r="E145" s="77" t="s">
        <v>432</v>
      </c>
      <c r="F145" s="77" t="s">
        <v>1189</v>
      </c>
      <c r="G145" s="77" t="s">
        <v>369</v>
      </c>
      <c r="H145" s="77" t="s">
        <v>1192</v>
      </c>
      <c r="K145" s="181">
        <v>1186</v>
      </c>
      <c r="L145" s="182" t="s">
        <v>0</v>
      </c>
    </row>
    <row r="146" spans="4:12" ht="15">
      <c r="D146" s="77" t="s">
        <v>1155</v>
      </c>
      <c r="E146" s="77" t="s">
        <v>432</v>
      </c>
      <c r="F146" s="77" t="s">
        <v>971</v>
      </c>
      <c r="G146" s="77" t="s">
        <v>496</v>
      </c>
      <c r="H146" s="77" t="s">
        <v>1166</v>
      </c>
      <c r="K146" s="181">
        <v>1188</v>
      </c>
      <c r="L146" s="182" t="s">
        <v>0</v>
      </c>
    </row>
    <row r="147" spans="4:12" ht="15">
      <c r="D147" s="77" t="s">
        <v>1154</v>
      </c>
      <c r="E147" s="77" t="s">
        <v>432</v>
      </c>
      <c r="F147" s="77" t="s">
        <v>1161</v>
      </c>
      <c r="G147" s="77" t="s">
        <v>496</v>
      </c>
      <c r="H147" s="77" t="s">
        <v>1167</v>
      </c>
      <c r="K147" s="181">
        <v>1191</v>
      </c>
      <c r="L147" s="182" t="s">
        <v>0</v>
      </c>
    </row>
    <row r="148" spans="4:12" ht="15">
      <c r="D148" s="77" t="s">
        <v>1153</v>
      </c>
      <c r="E148" s="77" t="s">
        <v>432</v>
      </c>
      <c r="F148" s="77" t="s">
        <v>970</v>
      </c>
      <c r="G148" s="77" t="s">
        <v>496</v>
      </c>
      <c r="H148" s="77" t="s">
        <v>1165</v>
      </c>
      <c r="K148" s="181">
        <v>1192</v>
      </c>
      <c r="L148" s="182" t="s">
        <v>0</v>
      </c>
    </row>
    <row r="149" spans="4:12" ht="15">
      <c r="D149" t="s">
        <v>490</v>
      </c>
      <c r="E149" t="s">
        <v>432</v>
      </c>
      <c r="F149" t="s">
        <v>489</v>
      </c>
      <c r="G149" t="s">
        <v>369</v>
      </c>
      <c r="H149" t="s">
        <v>488</v>
      </c>
      <c r="K149" s="181">
        <v>1193</v>
      </c>
      <c r="L149" s="182" t="s">
        <v>0</v>
      </c>
    </row>
    <row r="150" spans="4:12" ht="15">
      <c r="D150" t="s">
        <v>475</v>
      </c>
      <c r="E150" t="s">
        <v>432</v>
      </c>
      <c r="F150" t="s">
        <v>474</v>
      </c>
      <c r="G150" t="s">
        <v>369</v>
      </c>
      <c r="H150" t="s">
        <v>484</v>
      </c>
      <c r="K150" s="181">
        <v>1194</v>
      </c>
      <c r="L150" s="182" t="s">
        <v>0</v>
      </c>
    </row>
    <row r="151" spans="4:12" ht="15">
      <c r="D151" t="s">
        <v>471</v>
      </c>
      <c r="E151" t="s">
        <v>432</v>
      </c>
      <c r="F151" t="s">
        <v>473</v>
      </c>
      <c r="G151" t="s">
        <v>369</v>
      </c>
      <c r="H151" t="s">
        <v>434</v>
      </c>
      <c r="K151" s="181">
        <v>1195</v>
      </c>
      <c r="L151" s="182" t="s">
        <v>0</v>
      </c>
    </row>
    <row r="152" spans="4:12" ht="15">
      <c r="D152" t="s">
        <v>477</v>
      </c>
      <c r="E152" t="s">
        <v>432</v>
      </c>
      <c r="F152" t="s">
        <v>476</v>
      </c>
      <c r="G152" t="s">
        <v>369</v>
      </c>
      <c r="H152" s="77" t="s">
        <v>609</v>
      </c>
      <c r="K152" s="181">
        <v>1196</v>
      </c>
      <c r="L152" s="182" t="s">
        <v>0</v>
      </c>
    </row>
    <row r="153" spans="4:12" ht="15">
      <c r="D153" t="s">
        <v>472</v>
      </c>
      <c r="E153" t="s">
        <v>432</v>
      </c>
      <c r="F153" t="s">
        <v>469</v>
      </c>
      <c r="G153" t="s">
        <v>369</v>
      </c>
      <c r="H153" t="s">
        <v>470</v>
      </c>
      <c r="K153" s="181">
        <v>1201</v>
      </c>
      <c r="L153" s="182" t="s">
        <v>0</v>
      </c>
    </row>
    <row r="154" spans="4:12" ht="15">
      <c r="D154" t="s">
        <v>479</v>
      </c>
      <c r="E154" t="s">
        <v>432</v>
      </c>
      <c r="F154" t="s">
        <v>480</v>
      </c>
      <c r="G154" t="s">
        <v>369</v>
      </c>
      <c r="H154" t="s">
        <v>478</v>
      </c>
      <c r="K154" s="181">
        <v>1202</v>
      </c>
      <c r="L154" s="182" t="s">
        <v>0</v>
      </c>
    </row>
    <row r="155" spans="4:12" ht="15">
      <c r="D155" t="s">
        <v>487</v>
      </c>
      <c r="E155" t="s">
        <v>432</v>
      </c>
      <c r="F155" t="s">
        <v>486</v>
      </c>
      <c r="G155" t="s">
        <v>369</v>
      </c>
      <c r="H155" t="s">
        <v>485</v>
      </c>
      <c r="K155" s="181">
        <v>1203</v>
      </c>
      <c r="L155" s="182" t="s">
        <v>0</v>
      </c>
    </row>
    <row r="156" spans="4:12" ht="15">
      <c r="D156" t="s">
        <v>482</v>
      </c>
      <c r="E156" t="s">
        <v>432</v>
      </c>
      <c r="F156" t="s">
        <v>481</v>
      </c>
      <c r="G156" t="s">
        <v>369</v>
      </c>
      <c r="H156" t="s">
        <v>483</v>
      </c>
      <c r="K156" s="181">
        <v>1204</v>
      </c>
      <c r="L156" s="182" t="s">
        <v>0</v>
      </c>
    </row>
    <row r="157" spans="4:12" ht="15">
      <c r="D157" s="77" t="s">
        <v>1148</v>
      </c>
      <c r="E157" s="77" t="s">
        <v>432</v>
      </c>
      <c r="F157" s="77" t="s">
        <v>968</v>
      </c>
      <c r="G157" s="77" t="s">
        <v>496</v>
      </c>
      <c r="H157" s="77" t="s">
        <v>1156</v>
      </c>
      <c r="K157" s="181">
        <v>1205</v>
      </c>
      <c r="L157" s="182" t="s">
        <v>0</v>
      </c>
    </row>
    <row r="158" spans="4:12" ht="15">
      <c r="D158" s="77" t="s">
        <v>1149</v>
      </c>
      <c r="E158" s="77" t="s">
        <v>432</v>
      </c>
      <c r="F158" s="77" t="s">
        <v>969</v>
      </c>
      <c r="G158" s="77" t="s">
        <v>496</v>
      </c>
      <c r="H158" s="77" t="s">
        <v>1157</v>
      </c>
      <c r="K158" s="181">
        <v>1209</v>
      </c>
      <c r="L158" s="182" t="s">
        <v>0</v>
      </c>
    </row>
    <row r="159" spans="4:12" ht="15">
      <c r="D159" s="77" t="s">
        <v>1147</v>
      </c>
      <c r="E159" s="77" t="s">
        <v>432</v>
      </c>
      <c r="F159" s="77" t="s">
        <v>967</v>
      </c>
      <c r="G159" s="77" t="s">
        <v>496</v>
      </c>
      <c r="H159" s="77" t="s">
        <v>1146</v>
      </c>
      <c r="K159" s="181">
        <v>1211</v>
      </c>
      <c r="L159" s="182" t="s">
        <v>0</v>
      </c>
    </row>
    <row r="160" spans="4:12" ht="15">
      <c r="D160" t="s">
        <v>439</v>
      </c>
      <c r="E160" t="s">
        <v>432</v>
      </c>
      <c r="F160" t="s">
        <v>461</v>
      </c>
      <c r="G160" t="s">
        <v>372</v>
      </c>
      <c r="H160" t="s">
        <v>463</v>
      </c>
      <c r="K160" s="181">
        <v>1212</v>
      </c>
      <c r="L160" s="182" t="s">
        <v>0</v>
      </c>
    </row>
    <row r="161" spans="4:12" ht="15">
      <c r="D161" s="77" t="s">
        <v>556</v>
      </c>
      <c r="E161" t="s">
        <v>432</v>
      </c>
      <c r="F161" s="77" t="s">
        <v>559</v>
      </c>
      <c r="G161" t="s">
        <v>372</v>
      </c>
      <c r="H161" s="77" t="s">
        <v>558</v>
      </c>
      <c r="K161" s="181">
        <v>1213</v>
      </c>
      <c r="L161" s="182" t="s">
        <v>0</v>
      </c>
    </row>
    <row r="162" spans="4:12" ht="15">
      <c r="D162" t="s">
        <v>445</v>
      </c>
      <c r="E162" t="s">
        <v>432</v>
      </c>
      <c r="F162" s="77" t="s">
        <v>590</v>
      </c>
      <c r="G162" t="s">
        <v>372</v>
      </c>
      <c r="H162" s="77" t="s">
        <v>572</v>
      </c>
      <c r="K162" s="181">
        <v>1214</v>
      </c>
      <c r="L162" s="182" t="s">
        <v>0</v>
      </c>
    </row>
    <row r="163" spans="4:12" ht="15">
      <c r="D163" t="s">
        <v>441</v>
      </c>
      <c r="E163" t="s">
        <v>432</v>
      </c>
      <c r="F163" s="77" t="s">
        <v>566</v>
      </c>
      <c r="G163" t="s">
        <v>372</v>
      </c>
      <c r="H163" s="77" t="s">
        <v>565</v>
      </c>
      <c r="K163" s="181">
        <v>1215</v>
      </c>
      <c r="L163" s="182" t="s">
        <v>0</v>
      </c>
    </row>
    <row r="164" spans="4:12" ht="15">
      <c r="D164" t="s">
        <v>440</v>
      </c>
      <c r="E164" t="s">
        <v>432</v>
      </c>
      <c r="F164" s="77" t="s">
        <v>560</v>
      </c>
      <c r="G164" t="s">
        <v>369</v>
      </c>
      <c r="H164" s="77" t="s">
        <v>562</v>
      </c>
      <c r="K164" s="181">
        <v>1220</v>
      </c>
      <c r="L164" s="182" t="s">
        <v>0</v>
      </c>
    </row>
    <row r="165" spans="4:12" ht="15">
      <c r="D165" t="s">
        <v>442</v>
      </c>
      <c r="E165" t="s">
        <v>432</v>
      </c>
      <c r="F165" s="77" t="s">
        <v>561</v>
      </c>
      <c r="G165" t="s">
        <v>369</v>
      </c>
      <c r="H165" s="77" t="s">
        <v>563</v>
      </c>
      <c r="K165" s="181">
        <v>1221</v>
      </c>
      <c r="L165" s="182" t="s">
        <v>0</v>
      </c>
    </row>
    <row r="166" spans="4:12" ht="15">
      <c r="D166" t="s">
        <v>444</v>
      </c>
      <c r="E166" t="s">
        <v>432</v>
      </c>
      <c r="F166" s="77" t="s">
        <v>589</v>
      </c>
      <c r="G166" t="s">
        <v>372</v>
      </c>
      <c r="H166" s="77" t="s">
        <v>571</v>
      </c>
      <c r="K166" s="181">
        <v>1222</v>
      </c>
      <c r="L166" s="182" t="s">
        <v>0</v>
      </c>
    </row>
    <row r="167" spans="4:12" ht="15">
      <c r="D167" t="s">
        <v>435</v>
      </c>
      <c r="E167" t="s">
        <v>432</v>
      </c>
      <c r="F167" t="s">
        <v>434</v>
      </c>
      <c r="G167" t="s">
        <v>372</v>
      </c>
      <c r="H167" t="s">
        <v>457</v>
      </c>
      <c r="K167" s="181">
        <v>1223</v>
      </c>
      <c r="L167" s="182" t="s">
        <v>0</v>
      </c>
    </row>
    <row r="168" spans="4:12" ht="15">
      <c r="D168" t="s">
        <v>446</v>
      </c>
      <c r="E168" t="s">
        <v>432</v>
      </c>
      <c r="F168" t="s">
        <v>464</v>
      </c>
      <c r="G168" t="s">
        <v>372</v>
      </c>
      <c r="H168" s="77" t="s">
        <v>557</v>
      </c>
      <c r="K168" s="181">
        <v>1224</v>
      </c>
      <c r="L168" s="182" t="s">
        <v>0</v>
      </c>
    </row>
    <row r="169" spans="4:12" ht="15">
      <c r="D169" t="s">
        <v>447</v>
      </c>
      <c r="E169" t="s">
        <v>432</v>
      </c>
      <c r="F169" s="77" t="s">
        <v>1101</v>
      </c>
      <c r="G169" t="s">
        <v>372</v>
      </c>
      <c r="H169" s="77" t="s">
        <v>575</v>
      </c>
      <c r="K169" s="181">
        <v>1225</v>
      </c>
      <c r="L169" s="182" t="s">
        <v>0</v>
      </c>
    </row>
    <row r="170" spans="4:12" ht="12.75">
      <c r="D170" t="s">
        <v>437</v>
      </c>
      <c r="E170" t="s">
        <v>432</v>
      </c>
      <c r="F170" t="s">
        <v>455</v>
      </c>
      <c r="G170" t="s">
        <v>372</v>
      </c>
      <c r="H170" t="s">
        <v>462</v>
      </c>
      <c r="K170" s="183">
        <v>1234</v>
      </c>
      <c r="L170" s="183" t="s">
        <v>0</v>
      </c>
    </row>
    <row r="171" spans="4:12" ht="12.75">
      <c r="D171" t="s">
        <v>438</v>
      </c>
      <c r="E171" t="s">
        <v>432</v>
      </c>
      <c r="F171" t="s">
        <v>458</v>
      </c>
      <c r="G171" t="s">
        <v>372</v>
      </c>
      <c r="H171" t="s">
        <v>454</v>
      </c>
      <c r="K171" s="183">
        <v>1237</v>
      </c>
      <c r="L171" s="183" t="s">
        <v>0</v>
      </c>
    </row>
    <row r="172" spans="4:12" ht="12.75">
      <c r="D172" t="s">
        <v>436</v>
      </c>
      <c r="E172" t="s">
        <v>432</v>
      </c>
      <c r="F172" t="s">
        <v>456</v>
      </c>
      <c r="G172" t="s">
        <v>372</v>
      </c>
      <c r="H172" t="s">
        <v>459</v>
      </c>
      <c r="K172" s="183">
        <v>1238</v>
      </c>
      <c r="L172" s="183" t="s">
        <v>0</v>
      </c>
    </row>
    <row r="173" spans="4:12" ht="12.75">
      <c r="D173" t="s">
        <v>443</v>
      </c>
      <c r="E173" t="s">
        <v>432</v>
      </c>
      <c r="F173" t="s">
        <v>370</v>
      </c>
      <c r="G173" t="s">
        <v>372</v>
      </c>
      <c r="H173" s="77" t="s">
        <v>570</v>
      </c>
      <c r="K173" s="183">
        <v>1239</v>
      </c>
      <c r="L173" s="183" t="s">
        <v>0</v>
      </c>
    </row>
    <row r="174" spans="4:12" ht="12.75">
      <c r="D174" s="77" t="s">
        <v>1102</v>
      </c>
      <c r="E174" s="77" t="s">
        <v>432</v>
      </c>
      <c r="F174" s="77" t="s">
        <v>1103</v>
      </c>
      <c r="G174" s="77" t="s">
        <v>372</v>
      </c>
      <c r="H174" s="77" t="s">
        <v>1104</v>
      </c>
      <c r="K174" s="183">
        <v>1241</v>
      </c>
      <c r="L174" s="183" t="s">
        <v>0</v>
      </c>
    </row>
    <row r="175" spans="4:12" ht="12.75">
      <c r="D175" s="77" t="s">
        <v>975</v>
      </c>
      <c r="E175" s="77" t="s">
        <v>432</v>
      </c>
      <c r="F175" s="77" t="s">
        <v>977</v>
      </c>
      <c r="G175" s="77" t="s">
        <v>372</v>
      </c>
      <c r="H175" s="77" t="s">
        <v>985</v>
      </c>
      <c r="K175" s="183">
        <v>1243</v>
      </c>
      <c r="L175" s="183" t="s">
        <v>0</v>
      </c>
    </row>
    <row r="176" spans="4:12" ht="12.75">
      <c r="D176" s="77" t="s">
        <v>976</v>
      </c>
      <c r="E176" s="77" t="s">
        <v>432</v>
      </c>
      <c r="F176" s="77" t="s">
        <v>978</v>
      </c>
      <c r="G176" s="77" t="s">
        <v>372</v>
      </c>
      <c r="H176" s="77" t="s">
        <v>979</v>
      </c>
      <c r="K176" s="183">
        <v>1244</v>
      </c>
      <c r="L176" s="183" t="s">
        <v>0</v>
      </c>
    </row>
    <row r="177" spans="4:12" ht="12.75">
      <c r="D177" s="77" t="s">
        <v>79</v>
      </c>
      <c r="E177" s="77" t="s">
        <v>432</v>
      </c>
      <c r="F177" s="77" t="s">
        <v>1202</v>
      </c>
      <c r="G177" s="77" t="s">
        <v>369</v>
      </c>
      <c r="H177" s="77" t="s">
        <v>1203</v>
      </c>
      <c r="K177" s="183">
        <v>1245</v>
      </c>
      <c r="L177" s="183" t="s">
        <v>0</v>
      </c>
    </row>
    <row r="178" spans="4:12" ht="15.75">
      <c r="D178" s="185" t="s">
        <v>1125</v>
      </c>
      <c r="E178" s="77" t="s">
        <v>432</v>
      </c>
      <c r="F178" s="77" t="s">
        <v>956</v>
      </c>
      <c r="G178" s="77" t="s">
        <v>369</v>
      </c>
      <c r="H178" s="77" t="s">
        <v>1088</v>
      </c>
      <c r="K178" s="183">
        <v>1251</v>
      </c>
      <c r="L178" s="183" t="s">
        <v>0</v>
      </c>
    </row>
    <row r="179" spans="4:12" ht="15.75">
      <c r="D179" s="185" t="s">
        <v>1129</v>
      </c>
      <c r="E179" t="s">
        <v>432</v>
      </c>
      <c r="F179" s="77" t="s">
        <v>948</v>
      </c>
      <c r="G179" t="s">
        <v>369</v>
      </c>
      <c r="H179" s="77" t="s">
        <v>1063</v>
      </c>
      <c r="K179" s="183">
        <v>1253</v>
      </c>
      <c r="L179" s="183" t="s">
        <v>0</v>
      </c>
    </row>
    <row r="180" spans="4:12" ht="15.75">
      <c r="D180" s="185" t="s">
        <v>923</v>
      </c>
      <c r="E180" t="s">
        <v>432</v>
      </c>
      <c r="F180" s="77" t="s">
        <v>725</v>
      </c>
      <c r="G180" t="s">
        <v>369</v>
      </c>
      <c r="H180" s="77" t="s">
        <v>1083</v>
      </c>
      <c r="K180" s="183">
        <v>1276</v>
      </c>
      <c r="L180" s="183" t="s">
        <v>0</v>
      </c>
    </row>
    <row r="181" spans="4:12" ht="15.75">
      <c r="D181" s="185" t="s">
        <v>903</v>
      </c>
      <c r="E181" t="s">
        <v>432</v>
      </c>
      <c r="F181" s="77" t="s">
        <v>943</v>
      </c>
      <c r="G181" t="s">
        <v>369</v>
      </c>
      <c r="H181" s="77" t="s">
        <v>1058</v>
      </c>
      <c r="K181" s="183">
        <v>1277</v>
      </c>
      <c r="L181" s="183" t="s">
        <v>0</v>
      </c>
    </row>
    <row r="182" spans="4:12" ht="15.75">
      <c r="D182" s="185" t="s">
        <v>911</v>
      </c>
      <c r="E182" t="s">
        <v>432</v>
      </c>
      <c r="F182" s="77" t="s">
        <v>932</v>
      </c>
      <c r="G182" t="s">
        <v>369</v>
      </c>
      <c r="H182" s="77" t="s">
        <v>1071</v>
      </c>
      <c r="K182" s="183">
        <v>1281</v>
      </c>
      <c r="L182" s="183" t="s">
        <v>0</v>
      </c>
    </row>
    <row r="183" spans="4:12" ht="15.75">
      <c r="D183" s="185" t="s">
        <v>891</v>
      </c>
      <c r="E183" t="s">
        <v>432</v>
      </c>
      <c r="F183" s="77" t="s">
        <v>931</v>
      </c>
      <c r="G183" t="s">
        <v>369</v>
      </c>
      <c r="H183" s="77" t="s">
        <v>1046</v>
      </c>
      <c r="K183" s="183">
        <v>1282</v>
      </c>
      <c r="L183" s="183" t="s">
        <v>0</v>
      </c>
    </row>
    <row r="184" spans="4:12" ht="15.75">
      <c r="D184" s="185" t="s">
        <v>915</v>
      </c>
      <c r="E184" t="s">
        <v>432</v>
      </c>
      <c r="F184" s="77" t="s">
        <v>717</v>
      </c>
      <c r="G184" t="s">
        <v>369</v>
      </c>
      <c r="H184" s="77" t="s">
        <v>1075</v>
      </c>
      <c r="K184" s="183">
        <v>1286</v>
      </c>
      <c r="L184" s="183" t="s">
        <v>0</v>
      </c>
    </row>
    <row r="185" spans="4:12" ht="15.75">
      <c r="D185" s="185" t="s">
        <v>895</v>
      </c>
      <c r="E185" t="s">
        <v>432</v>
      </c>
      <c r="F185" s="77" t="s">
        <v>936</v>
      </c>
      <c r="G185" t="s">
        <v>369</v>
      </c>
      <c r="H185" s="77" t="s">
        <v>1050</v>
      </c>
      <c r="K185" s="183">
        <v>1300</v>
      </c>
      <c r="L185" s="183" t="s">
        <v>0</v>
      </c>
    </row>
    <row r="186" spans="4:12" ht="12.75">
      <c r="D186" s="77" t="s">
        <v>613</v>
      </c>
      <c r="E186" t="s">
        <v>432</v>
      </c>
      <c r="F186" s="77" t="s">
        <v>1144</v>
      </c>
      <c r="G186" t="s">
        <v>369</v>
      </c>
      <c r="H186" s="77" t="s">
        <v>612</v>
      </c>
      <c r="K186" s="183">
        <v>1301</v>
      </c>
      <c r="L186" s="183" t="s">
        <v>0</v>
      </c>
    </row>
    <row r="187" spans="4:12" ht="12.75">
      <c r="D187" s="77" t="s">
        <v>1099</v>
      </c>
      <c r="E187" s="77" t="s">
        <v>432</v>
      </c>
      <c r="F187" s="77" t="s">
        <v>1190</v>
      </c>
      <c r="G187" s="77" t="s">
        <v>496</v>
      </c>
      <c r="H187" s="77" t="s">
        <v>1100</v>
      </c>
      <c r="K187" s="183">
        <v>1307</v>
      </c>
      <c r="L187" s="183" t="s">
        <v>0</v>
      </c>
    </row>
    <row r="188" spans="4:12" ht="15.75">
      <c r="D188" s="185" t="s">
        <v>930</v>
      </c>
      <c r="E188" t="s">
        <v>432</v>
      </c>
      <c r="F188" s="77" t="s">
        <v>549</v>
      </c>
      <c r="G188" t="s">
        <v>369</v>
      </c>
      <c r="H188" s="77" t="s">
        <v>1095</v>
      </c>
      <c r="K188" s="183">
        <v>1311</v>
      </c>
      <c r="L188" s="183" t="s">
        <v>0</v>
      </c>
    </row>
    <row r="189" spans="4:12" ht="15.75">
      <c r="D189" s="185" t="s">
        <v>910</v>
      </c>
      <c r="E189" t="s">
        <v>432</v>
      </c>
      <c r="F189" s="77" t="s">
        <v>951</v>
      </c>
      <c r="G189" t="s">
        <v>369</v>
      </c>
      <c r="H189" s="77" t="s">
        <v>1070</v>
      </c>
      <c r="K189" s="183">
        <v>1325</v>
      </c>
      <c r="L189" s="183" t="s">
        <v>0</v>
      </c>
    </row>
    <row r="190" spans="4:12" ht="15.75">
      <c r="D190" s="185" t="s">
        <v>929</v>
      </c>
      <c r="E190" t="s">
        <v>432</v>
      </c>
      <c r="F190" s="77" t="s">
        <v>957</v>
      </c>
      <c r="G190" t="s">
        <v>369</v>
      </c>
      <c r="H190" s="77" t="s">
        <v>1094</v>
      </c>
      <c r="K190" s="183">
        <v>1327</v>
      </c>
      <c r="L190" s="183" t="s">
        <v>0</v>
      </c>
    </row>
    <row r="191" spans="4:12" ht="15.75">
      <c r="D191" s="185" t="s">
        <v>909</v>
      </c>
      <c r="E191" t="s">
        <v>432</v>
      </c>
      <c r="F191" s="77" t="s">
        <v>950</v>
      </c>
      <c r="G191" t="s">
        <v>369</v>
      </c>
      <c r="H191" s="77" t="s">
        <v>1069</v>
      </c>
      <c r="K191" s="183">
        <v>1329</v>
      </c>
      <c r="L191" s="183" t="s">
        <v>0</v>
      </c>
    </row>
    <row r="192" spans="4:12" ht="15.75">
      <c r="D192" s="185" t="s">
        <v>922</v>
      </c>
      <c r="E192" t="s">
        <v>432</v>
      </c>
      <c r="F192" s="77" t="s">
        <v>724</v>
      </c>
      <c r="G192" t="s">
        <v>369</v>
      </c>
      <c r="H192" s="77" t="s">
        <v>1082</v>
      </c>
      <c r="K192" s="183">
        <v>1330</v>
      </c>
      <c r="L192" s="183" t="s">
        <v>0</v>
      </c>
    </row>
    <row r="193" spans="4:12" ht="15.75">
      <c r="D193" s="185" t="s">
        <v>902</v>
      </c>
      <c r="E193" t="s">
        <v>432</v>
      </c>
      <c r="F193" s="77" t="s">
        <v>942</v>
      </c>
      <c r="G193" t="s">
        <v>369</v>
      </c>
      <c r="H193" s="77" t="s">
        <v>1057</v>
      </c>
      <c r="K193" s="183">
        <v>1354</v>
      </c>
      <c r="L193" s="183" t="s">
        <v>0</v>
      </c>
    </row>
    <row r="194" spans="4:12" ht="12.75">
      <c r="D194" s="77" t="s">
        <v>77</v>
      </c>
      <c r="E194" s="77" t="s">
        <v>432</v>
      </c>
      <c r="F194" s="77" t="s">
        <v>1220</v>
      </c>
      <c r="G194" s="77" t="s">
        <v>369</v>
      </c>
      <c r="H194" s="77" t="s">
        <v>1219</v>
      </c>
      <c r="K194" s="183">
        <v>1364</v>
      </c>
      <c r="L194" s="183" t="s">
        <v>0</v>
      </c>
    </row>
    <row r="195" spans="4:12" ht="12.75">
      <c r="D195" s="77" t="s">
        <v>1151</v>
      </c>
      <c r="E195" s="77" t="s">
        <v>432</v>
      </c>
      <c r="F195" s="77" t="s">
        <v>1159</v>
      </c>
      <c r="G195" s="77" t="s">
        <v>496</v>
      </c>
      <c r="H195" s="77" t="s">
        <v>1163</v>
      </c>
      <c r="K195" s="183">
        <v>1365</v>
      </c>
      <c r="L195" s="183" t="s">
        <v>0</v>
      </c>
    </row>
    <row r="196" spans="4:12" ht="12.75">
      <c r="D196" s="77" t="s">
        <v>1152</v>
      </c>
      <c r="E196" s="77" t="s">
        <v>432</v>
      </c>
      <c r="F196" s="77" t="s">
        <v>1160</v>
      </c>
      <c r="G196" s="77" t="s">
        <v>496</v>
      </c>
      <c r="H196" s="77" t="s">
        <v>1164</v>
      </c>
      <c r="K196" s="183">
        <v>1368</v>
      </c>
      <c r="L196" s="183" t="s">
        <v>0</v>
      </c>
    </row>
    <row r="197" spans="4:12" ht="12.75">
      <c r="D197" s="77" t="s">
        <v>1150</v>
      </c>
      <c r="E197" s="77" t="s">
        <v>432</v>
      </c>
      <c r="F197" s="77" t="s">
        <v>1158</v>
      </c>
      <c r="G197" s="77" t="s">
        <v>496</v>
      </c>
      <c r="H197" s="77" t="s">
        <v>1162</v>
      </c>
      <c r="K197" s="183">
        <v>1376</v>
      </c>
      <c r="L197" s="183" t="s">
        <v>0</v>
      </c>
    </row>
    <row r="198" spans="4:12" ht="15.75">
      <c r="D198" s="185" t="s">
        <v>913</v>
      </c>
      <c r="E198" t="s">
        <v>432</v>
      </c>
      <c r="F198" s="77" t="s">
        <v>715</v>
      </c>
      <c r="G198" t="s">
        <v>369</v>
      </c>
      <c r="H198" s="77" t="s">
        <v>1073</v>
      </c>
      <c r="K198" s="183">
        <v>1385</v>
      </c>
      <c r="L198" s="183" t="s">
        <v>0</v>
      </c>
    </row>
    <row r="199" spans="4:12" ht="15.75">
      <c r="D199" s="185" t="s">
        <v>893</v>
      </c>
      <c r="E199" t="s">
        <v>432</v>
      </c>
      <c r="F199" s="77" t="s">
        <v>934</v>
      </c>
      <c r="G199" t="s">
        <v>369</v>
      </c>
      <c r="H199" s="77" t="s">
        <v>1048</v>
      </c>
      <c r="K199" s="183">
        <v>1387</v>
      </c>
      <c r="L199" s="183" t="s">
        <v>0</v>
      </c>
    </row>
    <row r="200" spans="4:12" ht="15.75">
      <c r="D200" s="185" t="s">
        <v>914</v>
      </c>
      <c r="E200" t="s">
        <v>432</v>
      </c>
      <c r="F200" s="77" t="s">
        <v>716</v>
      </c>
      <c r="G200" t="s">
        <v>369</v>
      </c>
      <c r="H200" s="77" t="s">
        <v>1074</v>
      </c>
      <c r="K200" s="183">
        <v>1391</v>
      </c>
      <c r="L200" s="183" t="s">
        <v>0</v>
      </c>
    </row>
    <row r="201" spans="4:12" ht="15.75">
      <c r="D201" s="185" t="s">
        <v>894</v>
      </c>
      <c r="E201" t="s">
        <v>432</v>
      </c>
      <c r="F201" s="77" t="s">
        <v>935</v>
      </c>
      <c r="G201" t="s">
        <v>369</v>
      </c>
      <c r="H201" s="77" t="s">
        <v>1049</v>
      </c>
      <c r="K201" s="183">
        <v>1393</v>
      </c>
      <c r="L201" s="183" t="s">
        <v>0</v>
      </c>
    </row>
    <row r="202" spans="4:12" ht="12.75">
      <c r="D202" s="77" t="s">
        <v>1210</v>
      </c>
      <c r="E202" s="77" t="s">
        <v>432</v>
      </c>
      <c r="F202" s="77" t="s">
        <v>1213</v>
      </c>
      <c r="G202" s="77" t="s">
        <v>496</v>
      </c>
      <c r="H202" s="77" t="s">
        <v>1209</v>
      </c>
      <c r="K202" s="183">
        <v>1399</v>
      </c>
      <c r="L202" s="183" t="s">
        <v>0</v>
      </c>
    </row>
    <row r="203" spans="4:12" ht="12.75">
      <c r="D203" s="162" t="s">
        <v>1207</v>
      </c>
      <c r="E203" s="77" t="s">
        <v>432</v>
      </c>
      <c r="F203" s="77" t="s">
        <v>1212</v>
      </c>
      <c r="G203" s="77" t="s">
        <v>369</v>
      </c>
      <c r="H203" s="162" t="s">
        <v>1208</v>
      </c>
      <c r="K203" s="183">
        <v>1400</v>
      </c>
      <c r="L203" s="183" t="s">
        <v>0</v>
      </c>
    </row>
    <row r="204" spans="11:12" ht="12.75">
      <c r="K204" s="183">
        <v>1426</v>
      </c>
      <c r="L204" s="183" t="s">
        <v>0</v>
      </c>
    </row>
    <row r="205" spans="11:12" ht="12.75">
      <c r="K205" s="183">
        <v>1428</v>
      </c>
      <c r="L205" s="183" t="s">
        <v>0</v>
      </c>
    </row>
    <row r="206" spans="11:12" ht="12.75">
      <c r="K206" s="183">
        <v>1438</v>
      </c>
      <c r="L206" s="183" t="s">
        <v>0</v>
      </c>
    </row>
    <row r="207" spans="11:12" ht="12.75">
      <c r="K207" s="183">
        <v>1441</v>
      </c>
      <c r="L207" s="183" t="s">
        <v>0</v>
      </c>
    </row>
    <row r="208" spans="11:12" ht="12.75">
      <c r="K208" s="183">
        <v>1442</v>
      </c>
      <c r="L208" s="183" t="s">
        <v>0</v>
      </c>
    </row>
    <row r="209" spans="11:12" ht="12.75">
      <c r="K209" s="183">
        <v>1443</v>
      </c>
      <c r="L209" s="183" t="s">
        <v>0</v>
      </c>
    </row>
    <row r="210" spans="11:12" ht="12.75">
      <c r="K210" s="183">
        <v>1446</v>
      </c>
      <c r="L210" s="183" t="s">
        <v>0</v>
      </c>
    </row>
    <row r="211" spans="11:12" ht="12.75">
      <c r="K211" s="183">
        <v>1461</v>
      </c>
      <c r="L211" s="183" t="s">
        <v>0</v>
      </c>
    </row>
    <row r="212" spans="11:12" ht="12.75">
      <c r="K212" s="183">
        <v>1462</v>
      </c>
      <c r="L212" s="183" t="s">
        <v>0</v>
      </c>
    </row>
    <row r="213" spans="11:12" ht="12.75">
      <c r="K213" s="183">
        <v>1463</v>
      </c>
      <c r="L213" s="183" t="s">
        <v>0</v>
      </c>
    </row>
    <row r="214" spans="11:12" ht="12.75">
      <c r="K214" s="183">
        <v>1464</v>
      </c>
      <c r="L214" s="183" t="s">
        <v>0</v>
      </c>
    </row>
    <row r="215" spans="11:12" ht="12.75">
      <c r="K215" s="183">
        <v>1475</v>
      </c>
      <c r="L215" s="183" t="s">
        <v>0</v>
      </c>
    </row>
    <row r="216" spans="11:12" ht="12.75">
      <c r="K216" s="183">
        <v>1479</v>
      </c>
      <c r="L216" s="183" t="s">
        <v>0</v>
      </c>
    </row>
    <row r="217" spans="11:12" ht="12.75">
      <c r="K217" s="183">
        <v>1502</v>
      </c>
      <c r="L217" s="183" t="s">
        <v>0</v>
      </c>
    </row>
    <row r="218" spans="11:12" ht="12.75">
      <c r="K218" s="183">
        <v>1506</v>
      </c>
      <c r="L218" s="183" t="s">
        <v>0</v>
      </c>
    </row>
    <row r="219" spans="11:12" ht="12.75">
      <c r="K219" s="183">
        <v>1507</v>
      </c>
      <c r="L219" s="183" t="s">
        <v>0</v>
      </c>
    </row>
    <row r="220" spans="11:12" ht="12.75">
      <c r="K220" s="183">
        <v>1509</v>
      </c>
      <c r="L220" s="183" t="s">
        <v>0</v>
      </c>
    </row>
    <row r="221" spans="11:12" ht="12.75">
      <c r="K221" s="183">
        <v>1511</v>
      </c>
      <c r="L221" s="183" t="s">
        <v>0</v>
      </c>
    </row>
    <row r="222" spans="11:12" ht="12.75">
      <c r="K222" s="183">
        <v>1518</v>
      </c>
      <c r="L222" s="183" t="s">
        <v>0</v>
      </c>
    </row>
    <row r="223" spans="11:12" ht="12.75">
      <c r="K223" s="183">
        <v>1519</v>
      </c>
      <c r="L223" s="183" t="s">
        <v>0</v>
      </c>
    </row>
    <row r="224" spans="11:12" ht="12.75">
      <c r="K224" s="183">
        <v>1525</v>
      </c>
      <c r="L224" s="183" t="s">
        <v>0</v>
      </c>
    </row>
    <row r="225" spans="11:12" ht="12.75">
      <c r="K225" s="183">
        <v>1528</v>
      </c>
      <c r="L225" s="183" t="s">
        <v>0</v>
      </c>
    </row>
    <row r="226" spans="11:12" ht="12.75">
      <c r="K226" s="183">
        <v>1531</v>
      </c>
      <c r="L226" s="183" t="s">
        <v>0</v>
      </c>
    </row>
    <row r="227" spans="11:12" ht="12.75">
      <c r="K227" s="183">
        <v>1535</v>
      </c>
      <c r="L227" s="183" t="s">
        <v>0</v>
      </c>
    </row>
    <row r="228" spans="11:12" ht="12.75">
      <c r="K228" s="183">
        <v>1536</v>
      </c>
      <c r="L228" s="183" t="s">
        <v>0</v>
      </c>
    </row>
    <row r="229" spans="11:12" ht="12.75">
      <c r="K229" s="183">
        <v>1537</v>
      </c>
      <c r="L229" s="183" t="s">
        <v>0</v>
      </c>
    </row>
    <row r="230" spans="11:12" ht="12.75">
      <c r="K230" s="183">
        <v>1538</v>
      </c>
      <c r="L230" s="183" t="s">
        <v>0</v>
      </c>
    </row>
    <row r="231" spans="11:12" ht="12.75">
      <c r="K231" s="183">
        <v>1539</v>
      </c>
      <c r="L231" s="183" t="s">
        <v>0</v>
      </c>
    </row>
    <row r="232" spans="11:12" ht="12.75">
      <c r="K232" s="183">
        <v>1550</v>
      </c>
      <c r="L232" s="183" t="s">
        <v>0</v>
      </c>
    </row>
    <row r="233" spans="11:12" ht="12.75">
      <c r="K233" s="183">
        <v>1558</v>
      </c>
      <c r="L233" s="183" t="s">
        <v>0</v>
      </c>
    </row>
    <row r="234" spans="11:12" ht="12.75">
      <c r="K234" s="183">
        <v>1581</v>
      </c>
      <c r="L234" s="183" t="s">
        <v>0</v>
      </c>
    </row>
    <row r="235" spans="11:12" ht="12.75">
      <c r="K235" s="183">
        <v>1590</v>
      </c>
      <c r="L235" s="183" t="s">
        <v>0</v>
      </c>
    </row>
    <row r="236" spans="11:12" ht="12.75">
      <c r="K236" s="183">
        <v>1591</v>
      </c>
      <c r="L236" s="183" t="s">
        <v>0</v>
      </c>
    </row>
    <row r="237" spans="11:12" ht="12.75">
      <c r="K237" s="183">
        <v>1593</v>
      </c>
      <c r="L237" s="183" t="s">
        <v>0</v>
      </c>
    </row>
    <row r="238" spans="11:12" ht="12.75">
      <c r="K238" s="183">
        <v>1601</v>
      </c>
      <c r="L238" s="183" t="s">
        <v>0</v>
      </c>
    </row>
    <row r="239" spans="11:12" ht="12.75">
      <c r="K239" s="183">
        <v>1625</v>
      </c>
      <c r="L239" s="183" t="s">
        <v>0</v>
      </c>
    </row>
    <row r="240" spans="11:12" ht="12.75">
      <c r="K240" s="183">
        <v>1631</v>
      </c>
      <c r="L240" s="183" t="s">
        <v>0</v>
      </c>
    </row>
    <row r="241" spans="11:12" ht="12.75">
      <c r="K241" s="183">
        <v>1656</v>
      </c>
      <c r="L241" s="183" t="s">
        <v>0</v>
      </c>
    </row>
    <row r="242" spans="11:12" ht="12.75">
      <c r="K242" s="183">
        <v>1660</v>
      </c>
      <c r="L242" s="183" t="s">
        <v>0</v>
      </c>
    </row>
    <row r="243" spans="11:12" ht="12.75">
      <c r="K243" s="183">
        <v>1675</v>
      </c>
      <c r="L243" s="183" t="s">
        <v>0</v>
      </c>
    </row>
    <row r="244" spans="11:12" ht="12.75">
      <c r="K244" s="183">
        <v>1676</v>
      </c>
      <c r="L244" s="183" t="s">
        <v>0</v>
      </c>
    </row>
    <row r="245" spans="11:12" ht="12.75">
      <c r="K245" s="183">
        <v>1680</v>
      </c>
      <c r="L245" s="183" t="s">
        <v>0</v>
      </c>
    </row>
    <row r="246" spans="11:12" ht="12.75">
      <c r="K246" s="183">
        <v>1683</v>
      </c>
      <c r="L246" s="183" t="s">
        <v>0</v>
      </c>
    </row>
    <row r="247" spans="11:12" ht="12.75">
      <c r="K247" s="183">
        <v>1701</v>
      </c>
      <c r="L247" s="183" t="s">
        <v>0</v>
      </c>
    </row>
    <row r="248" spans="11:12" ht="12.75">
      <c r="K248" s="183">
        <v>1704</v>
      </c>
      <c r="L248" s="183" t="s">
        <v>0</v>
      </c>
    </row>
    <row r="249" spans="11:12" ht="12.75">
      <c r="K249" s="183">
        <v>1725</v>
      </c>
      <c r="L249" s="183" t="s">
        <v>0</v>
      </c>
    </row>
    <row r="250" spans="11:12" ht="12.75">
      <c r="K250" s="183">
        <v>1734</v>
      </c>
      <c r="L250" s="183" t="s">
        <v>0</v>
      </c>
    </row>
    <row r="251" spans="11:12" ht="12.75">
      <c r="K251" s="183">
        <v>1751</v>
      </c>
      <c r="L251" s="183" t="s">
        <v>0</v>
      </c>
    </row>
    <row r="252" spans="11:12" ht="12.75">
      <c r="K252" s="183">
        <v>1752</v>
      </c>
      <c r="L252" s="183" t="s">
        <v>0</v>
      </c>
    </row>
    <row r="253" spans="11:12" ht="12.75">
      <c r="K253" s="183">
        <v>1755</v>
      </c>
      <c r="L253" s="183" t="s">
        <v>0</v>
      </c>
    </row>
    <row r="254" spans="11:12" ht="12.75">
      <c r="K254" s="183">
        <v>1756</v>
      </c>
      <c r="L254" s="183" t="s">
        <v>0</v>
      </c>
    </row>
    <row r="255" spans="11:12" ht="12.75">
      <c r="K255" s="183">
        <v>1775</v>
      </c>
      <c r="L255" s="183" t="s">
        <v>0</v>
      </c>
    </row>
    <row r="256" spans="11:12" ht="12.75">
      <c r="K256" s="183">
        <v>1780</v>
      </c>
      <c r="L256" s="183" t="s">
        <v>0</v>
      </c>
    </row>
    <row r="257" spans="11:12" ht="12.75">
      <c r="K257" s="183">
        <v>2000</v>
      </c>
      <c r="L257" s="183" t="s">
        <v>778</v>
      </c>
    </row>
    <row r="258" spans="11:12" ht="12.75">
      <c r="K258" s="183">
        <v>2001</v>
      </c>
      <c r="L258" s="183" t="s">
        <v>778</v>
      </c>
    </row>
    <row r="259" spans="11:12" ht="12.75">
      <c r="K259" s="183">
        <v>2002</v>
      </c>
      <c r="L259" s="183" t="s">
        <v>1239</v>
      </c>
    </row>
    <row r="260" spans="11:12" ht="12.75">
      <c r="K260" s="183">
        <v>2003</v>
      </c>
      <c r="L260" s="183" t="s">
        <v>1239</v>
      </c>
    </row>
    <row r="261" spans="11:12" ht="12.75">
      <c r="K261" s="183">
        <v>2030</v>
      </c>
      <c r="L261" s="183" t="s">
        <v>779</v>
      </c>
    </row>
    <row r="262" spans="11:12" ht="12.75">
      <c r="K262" s="183">
        <v>2031</v>
      </c>
      <c r="L262" s="183" t="s">
        <v>779</v>
      </c>
    </row>
    <row r="263" spans="11:12" ht="12.75">
      <c r="K263" s="183">
        <v>2032</v>
      </c>
      <c r="L263" s="183" t="s">
        <v>779</v>
      </c>
    </row>
    <row r="264" spans="11:12" ht="12.75">
      <c r="K264" s="183">
        <v>2033</v>
      </c>
      <c r="L264" s="183" t="s">
        <v>1240</v>
      </c>
    </row>
    <row r="265" spans="11:12" ht="12.75">
      <c r="K265" s="183">
        <v>2035</v>
      </c>
      <c r="L265" s="183" t="s">
        <v>1241</v>
      </c>
    </row>
    <row r="266" spans="11:12" ht="12.75">
      <c r="K266" s="183">
        <v>2036</v>
      </c>
      <c r="L266" s="183" t="s">
        <v>1242</v>
      </c>
    </row>
    <row r="267" spans="11:12" ht="12.75">
      <c r="K267" s="183">
        <v>2040</v>
      </c>
      <c r="L267" s="183" t="s">
        <v>780</v>
      </c>
    </row>
    <row r="268" spans="11:12" ht="12.75">
      <c r="K268" s="183">
        <v>2041</v>
      </c>
      <c r="L268" s="183" t="s">
        <v>1243</v>
      </c>
    </row>
    <row r="269" spans="11:12" ht="12.75">
      <c r="K269" s="183">
        <v>2042</v>
      </c>
      <c r="L269" s="183" t="s">
        <v>1244</v>
      </c>
    </row>
    <row r="270" spans="11:12" ht="12.75">
      <c r="K270" s="183">
        <v>2043</v>
      </c>
      <c r="L270" s="183" t="s">
        <v>1245</v>
      </c>
    </row>
    <row r="271" spans="11:12" ht="12.75">
      <c r="K271" s="183">
        <v>2044</v>
      </c>
      <c r="L271" s="183" t="s">
        <v>1246</v>
      </c>
    </row>
    <row r="272" spans="11:12" ht="12.75">
      <c r="K272" s="183">
        <v>2051</v>
      </c>
      <c r="L272" s="183" t="s">
        <v>781</v>
      </c>
    </row>
    <row r="273" spans="11:12" ht="12.75">
      <c r="K273" s="183">
        <v>2052</v>
      </c>
      <c r="L273" s="183" t="s">
        <v>1247</v>
      </c>
    </row>
    <row r="274" spans="11:12" ht="12.75">
      <c r="K274" s="183">
        <v>2100</v>
      </c>
      <c r="L274" s="183" t="s">
        <v>782</v>
      </c>
    </row>
    <row r="275" spans="11:12" ht="12.75">
      <c r="K275" s="183">
        <v>2101</v>
      </c>
      <c r="L275" s="183" t="s">
        <v>1248</v>
      </c>
    </row>
    <row r="276" spans="11:12" ht="12.75">
      <c r="K276" s="183">
        <v>2102</v>
      </c>
      <c r="L276" s="183" t="s">
        <v>1249</v>
      </c>
    </row>
    <row r="277" spans="11:12" ht="12.75">
      <c r="K277" s="183">
        <v>2103</v>
      </c>
      <c r="L277" s="183" t="s">
        <v>1250</v>
      </c>
    </row>
    <row r="278" spans="11:12" ht="12.75">
      <c r="K278" s="183">
        <v>2104</v>
      </c>
      <c r="L278" s="183" t="s">
        <v>1251</v>
      </c>
    </row>
    <row r="279" spans="11:12" ht="12.75">
      <c r="K279" s="183">
        <v>2105</v>
      </c>
      <c r="L279" s="183" t="s">
        <v>1252</v>
      </c>
    </row>
    <row r="280" spans="11:12" ht="12.75">
      <c r="K280" s="183">
        <v>2200</v>
      </c>
      <c r="L280" s="183" t="s">
        <v>783</v>
      </c>
    </row>
    <row r="281" spans="11:12" ht="12.75">
      <c r="K281" s="183">
        <v>2201</v>
      </c>
      <c r="L281" s="183" t="s">
        <v>783</v>
      </c>
    </row>
    <row r="282" spans="11:12" ht="12.75">
      <c r="K282" s="183">
        <v>2202</v>
      </c>
      <c r="L282" s="183" t="s">
        <v>1253</v>
      </c>
    </row>
    <row r="283" spans="11:12" ht="12.75">
      <c r="K283" s="183">
        <v>2310</v>
      </c>
      <c r="L283" s="183" t="s">
        <v>784</v>
      </c>
    </row>
    <row r="284" spans="11:12" ht="12.75">
      <c r="K284" s="183">
        <v>2311</v>
      </c>
      <c r="L284" s="183" t="s">
        <v>784</v>
      </c>
    </row>
    <row r="285" spans="11:12" ht="12.75">
      <c r="K285" s="183">
        <v>2313</v>
      </c>
      <c r="L285" s="183" t="s">
        <v>1254</v>
      </c>
    </row>
    <row r="286" spans="11:12" ht="12.75">
      <c r="K286" s="183">
        <v>2400</v>
      </c>
      <c r="L286" s="183" t="s">
        <v>785</v>
      </c>
    </row>
    <row r="287" spans="11:12" ht="12.75">
      <c r="K287" s="183">
        <v>2401</v>
      </c>
      <c r="L287" s="183" t="s">
        <v>785</v>
      </c>
    </row>
    <row r="288" spans="11:12" ht="12.75">
      <c r="K288" s="183">
        <v>2402</v>
      </c>
      <c r="L288" s="183" t="s">
        <v>1255</v>
      </c>
    </row>
    <row r="289" spans="11:12" ht="12.75">
      <c r="K289" s="183">
        <v>2403</v>
      </c>
      <c r="L289" s="183" t="s">
        <v>785</v>
      </c>
    </row>
    <row r="290" spans="11:12" ht="12.75">
      <c r="K290" s="183">
        <v>2404</v>
      </c>
      <c r="L290" s="183" t="s">
        <v>1255</v>
      </c>
    </row>
    <row r="291" spans="11:12" ht="12.75">
      <c r="K291" s="183">
        <v>2405</v>
      </c>
      <c r="L291" s="183" t="s">
        <v>1255</v>
      </c>
    </row>
    <row r="292" spans="11:12" ht="12.75">
      <c r="K292" s="183">
        <v>2406</v>
      </c>
      <c r="L292" s="183" t="s">
        <v>1255</v>
      </c>
    </row>
    <row r="293" spans="11:12" ht="12.75">
      <c r="K293" s="183">
        <v>2407</v>
      </c>
      <c r="L293" s="183" t="s">
        <v>1256</v>
      </c>
    </row>
    <row r="294" spans="11:12" ht="12.75">
      <c r="K294" s="183">
        <v>2408</v>
      </c>
      <c r="L294" s="183" t="s">
        <v>1255</v>
      </c>
    </row>
    <row r="295" spans="11:12" ht="12.75">
      <c r="K295" s="183">
        <v>2440</v>
      </c>
      <c r="L295" s="183" t="s">
        <v>786</v>
      </c>
    </row>
    <row r="296" spans="11:12" ht="12.75">
      <c r="K296" s="183">
        <v>2441</v>
      </c>
      <c r="L296" s="183" t="s">
        <v>1257</v>
      </c>
    </row>
    <row r="297" spans="11:12" ht="12.75">
      <c r="K297" s="183">
        <v>2442</v>
      </c>
      <c r="L297" s="183" t="s">
        <v>1258</v>
      </c>
    </row>
    <row r="298" spans="11:12" ht="12.75">
      <c r="K298" s="183">
        <v>2443</v>
      </c>
      <c r="L298" s="183" t="s">
        <v>1259</v>
      </c>
    </row>
    <row r="299" spans="11:12" ht="12.75">
      <c r="K299" s="183">
        <v>2444</v>
      </c>
      <c r="L299" s="183" t="s">
        <v>1260</v>
      </c>
    </row>
    <row r="300" spans="11:12" ht="12.75">
      <c r="K300" s="183">
        <v>2500</v>
      </c>
      <c r="L300" s="183" t="s">
        <v>787</v>
      </c>
    </row>
    <row r="301" spans="11:12" ht="12.75">
      <c r="K301" s="183">
        <v>2501</v>
      </c>
      <c r="L301" s="183" t="s">
        <v>1261</v>
      </c>
    </row>
    <row r="302" spans="11:12" ht="12.75">
      <c r="K302" s="183">
        <v>2502</v>
      </c>
      <c r="L302" s="183" t="s">
        <v>1262</v>
      </c>
    </row>
    <row r="303" spans="11:12" ht="12.75">
      <c r="K303" s="183">
        <v>2503</v>
      </c>
      <c r="L303" s="183" t="s">
        <v>1263</v>
      </c>
    </row>
    <row r="304" spans="11:12" ht="12.75">
      <c r="K304" s="183">
        <v>2508</v>
      </c>
      <c r="L304" s="183" t="s">
        <v>1264</v>
      </c>
    </row>
    <row r="305" spans="11:12" ht="12.75">
      <c r="K305" s="183">
        <v>2509</v>
      </c>
      <c r="L305" s="183" t="s">
        <v>1265</v>
      </c>
    </row>
    <row r="306" spans="11:12" ht="12.75">
      <c r="K306" s="183">
        <v>2600</v>
      </c>
      <c r="L306" s="183" t="s">
        <v>788</v>
      </c>
    </row>
    <row r="307" spans="11:12" ht="12.75">
      <c r="K307" s="183">
        <v>2601</v>
      </c>
      <c r="L307" s="183" t="s">
        <v>788</v>
      </c>
    </row>
    <row r="308" spans="11:12" ht="12.75">
      <c r="K308" s="183">
        <v>2602</v>
      </c>
      <c r="L308" s="183" t="s">
        <v>1266</v>
      </c>
    </row>
    <row r="309" spans="11:12" ht="12.75">
      <c r="K309" s="183">
        <v>2603</v>
      </c>
      <c r="L309" s="183" t="s">
        <v>1266</v>
      </c>
    </row>
    <row r="310" spans="11:12" ht="12.75">
      <c r="K310" s="183">
        <v>2660</v>
      </c>
      <c r="L310" s="183" t="s">
        <v>789</v>
      </c>
    </row>
    <row r="311" spans="11:12" ht="12.75">
      <c r="K311" s="183">
        <v>2661</v>
      </c>
      <c r="L311" s="183" t="s">
        <v>1267</v>
      </c>
    </row>
    <row r="312" spans="11:12" ht="12.75">
      <c r="K312" s="183">
        <v>2662</v>
      </c>
      <c r="L312" s="183" t="s">
        <v>1267</v>
      </c>
    </row>
    <row r="313" spans="11:12" ht="12.75">
      <c r="K313" s="183">
        <v>2700</v>
      </c>
      <c r="L313" s="183" t="s">
        <v>790</v>
      </c>
    </row>
    <row r="314" spans="11:12" ht="12.75">
      <c r="K314" s="183">
        <v>2701</v>
      </c>
      <c r="L314" s="183" t="s">
        <v>1268</v>
      </c>
    </row>
    <row r="315" spans="11:12" ht="12.75">
      <c r="K315" s="183">
        <v>2702</v>
      </c>
      <c r="L315" s="183" t="s">
        <v>1268</v>
      </c>
    </row>
    <row r="316" spans="11:12" ht="12.75">
      <c r="K316" s="183">
        <v>2703</v>
      </c>
      <c r="L316" s="183" t="s">
        <v>1268</v>
      </c>
    </row>
    <row r="317" spans="11:12" ht="12.75">
      <c r="K317" s="183">
        <v>2704</v>
      </c>
      <c r="L317" s="183" t="s">
        <v>1268</v>
      </c>
    </row>
    <row r="318" spans="11:12" ht="12.75">
      <c r="K318" s="183">
        <v>2738</v>
      </c>
      <c r="L318" s="183" t="s">
        <v>1269</v>
      </c>
    </row>
    <row r="319" spans="11:12" ht="12.75">
      <c r="K319" s="183">
        <v>2800</v>
      </c>
      <c r="L319" s="183" t="s">
        <v>791</v>
      </c>
    </row>
    <row r="320" spans="11:12" ht="12.75">
      <c r="K320" s="183">
        <v>2801</v>
      </c>
      <c r="L320" s="183" t="s">
        <v>1270</v>
      </c>
    </row>
    <row r="321" spans="11:12" ht="12.75">
      <c r="K321" s="183">
        <v>2802</v>
      </c>
      <c r="L321" s="183" t="s">
        <v>1271</v>
      </c>
    </row>
    <row r="322" spans="11:12" ht="12.75">
      <c r="K322" s="183">
        <v>2803</v>
      </c>
      <c r="L322" s="183" t="s">
        <v>1272</v>
      </c>
    </row>
    <row r="323" spans="11:12" ht="12.75">
      <c r="K323" s="183">
        <v>2804</v>
      </c>
      <c r="L323" s="183" t="s">
        <v>1273</v>
      </c>
    </row>
    <row r="324" spans="11:12" ht="12.75">
      <c r="K324" s="183">
        <v>2805</v>
      </c>
      <c r="L324" s="183" t="s">
        <v>1274</v>
      </c>
    </row>
    <row r="325" spans="11:12" ht="12.75">
      <c r="K325" s="183">
        <v>2806</v>
      </c>
      <c r="L325" s="183" t="s">
        <v>1275</v>
      </c>
    </row>
    <row r="326" spans="11:12" ht="12.75">
      <c r="K326" s="183">
        <v>2807</v>
      </c>
      <c r="L326" s="183" t="s">
        <v>1276</v>
      </c>
    </row>
    <row r="327" spans="11:12" ht="12.75">
      <c r="K327" s="183">
        <v>2808</v>
      </c>
      <c r="L327" s="183" t="s">
        <v>1277</v>
      </c>
    </row>
    <row r="328" spans="11:12" ht="12.75">
      <c r="K328" s="183">
        <v>2809</v>
      </c>
      <c r="L328" s="183" t="s">
        <v>1278</v>
      </c>
    </row>
    <row r="329" spans="11:12" ht="12.75">
      <c r="K329" s="183">
        <v>2835</v>
      </c>
      <c r="L329" s="183" t="s">
        <v>1279</v>
      </c>
    </row>
    <row r="330" spans="11:12" ht="12.75">
      <c r="K330" s="183">
        <v>2890</v>
      </c>
      <c r="L330" s="183" t="s">
        <v>792</v>
      </c>
    </row>
    <row r="331" spans="11:12" ht="12.75">
      <c r="K331" s="183">
        <v>2891</v>
      </c>
      <c r="L331" s="183" t="s">
        <v>1280</v>
      </c>
    </row>
    <row r="332" spans="11:12" ht="12.75">
      <c r="K332" s="183">
        <v>2892</v>
      </c>
      <c r="L332" s="183" t="s">
        <v>1281</v>
      </c>
    </row>
    <row r="333" spans="11:12" ht="12.75">
      <c r="K333" s="183">
        <v>2893</v>
      </c>
      <c r="L333" s="183" t="s">
        <v>1282</v>
      </c>
    </row>
    <row r="334" spans="11:12" ht="12.75">
      <c r="K334" s="183">
        <v>2894</v>
      </c>
      <c r="L334" s="183" t="s">
        <v>1283</v>
      </c>
    </row>
    <row r="335" spans="11:12" ht="12.75">
      <c r="K335" s="183">
        <v>2900</v>
      </c>
      <c r="L335" s="183" t="s">
        <v>793</v>
      </c>
    </row>
    <row r="336" spans="11:12" ht="12.75">
      <c r="K336" s="183">
        <v>2901</v>
      </c>
      <c r="L336" s="183" t="s">
        <v>1284</v>
      </c>
    </row>
    <row r="337" spans="11:12" ht="12.75">
      <c r="K337" s="183">
        <v>2902</v>
      </c>
      <c r="L337" s="183" t="s">
        <v>1284</v>
      </c>
    </row>
    <row r="338" spans="11:12" ht="12.75">
      <c r="K338" s="183">
        <v>2903</v>
      </c>
      <c r="L338" s="183" t="s">
        <v>1285</v>
      </c>
    </row>
    <row r="339" spans="11:12" ht="12.75">
      <c r="K339" s="183">
        <v>2904</v>
      </c>
      <c r="L339" s="183" t="s">
        <v>1284</v>
      </c>
    </row>
    <row r="340" spans="11:12" ht="12.75">
      <c r="K340" s="183">
        <v>2921</v>
      </c>
      <c r="L340" s="183" t="s">
        <v>1286</v>
      </c>
    </row>
    <row r="341" spans="11:12" ht="12.75">
      <c r="K341" s="183">
        <v>2922</v>
      </c>
      <c r="L341" s="183" t="s">
        <v>1284</v>
      </c>
    </row>
    <row r="342" spans="11:12" ht="12.75">
      <c r="K342" s="183">
        <v>3000</v>
      </c>
      <c r="L342" s="183" t="s">
        <v>794</v>
      </c>
    </row>
    <row r="343" spans="11:12" ht="12.75">
      <c r="K343" s="183">
        <v>3001</v>
      </c>
      <c r="L343" s="183" t="s">
        <v>1287</v>
      </c>
    </row>
    <row r="344" spans="11:12" ht="12.75">
      <c r="K344" s="183">
        <v>3002</v>
      </c>
      <c r="L344" s="183" t="s">
        <v>1287</v>
      </c>
    </row>
    <row r="345" spans="11:12" ht="12.75">
      <c r="K345" s="183">
        <v>3003</v>
      </c>
      <c r="L345" s="183" t="s">
        <v>1287</v>
      </c>
    </row>
    <row r="346" spans="11:12" ht="12.75">
      <c r="K346" s="183">
        <v>3009</v>
      </c>
      <c r="L346" s="183" t="s">
        <v>1288</v>
      </c>
    </row>
    <row r="347" spans="11:12" ht="12.75">
      <c r="K347" s="183">
        <v>3020</v>
      </c>
      <c r="L347" s="183" t="s">
        <v>1287</v>
      </c>
    </row>
    <row r="348" spans="11:12" ht="12.75">
      <c r="K348" s="183">
        <v>3100</v>
      </c>
      <c r="L348" s="183" t="s">
        <v>795</v>
      </c>
    </row>
    <row r="349" spans="11:12" ht="12.75">
      <c r="K349" s="183">
        <v>3101</v>
      </c>
      <c r="L349" s="183" t="s">
        <v>795</v>
      </c>
    </row>
    <row r="350" spans="11:12" ht="12.75">
      <c r="K350" s="183">
        <v>3102</v>
      </c>
      <c r="L350" s="183" t="s">
        <v>1289</v>
      </c>
    </row>
    <row r="351" spans="11:12" ht="12.75">
      <c r="K351" s="183">
        <v>3103</v>
      </c>
      <c r="L351" s="183" t="s">
        <v>795</v>
      </c>
    </row>
    <row r="352" spans="11:12" ht="12.75">
      <c r="K352" s="183">
        <v>3104</v>
      </c>
      <c r="L352" s="183" t="s">
        <v>1290</v>
      </c>
    </row>
    <row r="353" spans="11:12" ht="12.75">
      <c r="K353" s="183">
        <v>3107</v>
      </c>
      <c r="L353" s="183" t="s">
        <v>795</v>
      </c>
    </row>
    <row r="354" spans="11:12" ht="12.75">
      <c r="K354" s="183">
        <v>3109</v>
      </c>
      <c r="L354" s="183" t="s">
        <v>1291</v>
      </c>
    </row>
    <row r="355" spans="11:12" ht="12.75">
      <c r="K355" s="183">
        <v>3110</v>
      </c>
      <c r="L355" s="183" t="s">
        <v>795</v>
      </c>
    </row>
    <row r="356" spans="11:12" ht="12.75">
      <c r="K356" s="183">
        <v>3121</v>
      </c>
      <c r="L356" s="183" t="s">
        <v>1292</v>
      </c>
    </row>
    <row r="357" spans="11:12" ht="12.75">
      <c r="K357" s="183">
        <v>3141</v>
      </c>
      <c r="L357" s="183" t="s">
        <v>1293</v>
      </c>
    </row>
    <row r="358" spans="11:12" ht="12.75">
      <c r="K358" s="183">
        <v>3170</v>
      </c>
      <c r="L358" s="183" t="s">
        <v>796</v>
      </c>
    </row>
    <row r="359" spans="11:12" ht="12.75">
      <c r="K359" s="183">
        <v>3200</v>
      </c>
      <c r="L359" s="183" t="s">
        <v>797</v>
      </c>
    </row>
    <row r="360" spans="11:12" ht="12.75">
      <c r="K360" s="183">
        <v>3201</v>
      </c>
      <c r="L360" s="183" t="s">
        <v>1294</v>
      </c>
    </row>
    <row r="361" spans="11:12" ht="12.75">
      <c r="K361" s="183">
        <v>3202</v>
      </c>
      <c r="L361" s="183" t="s">
        <v>1294</v>
      </c>
    </row>
    <row r="362" spans="11:12" ht="12.75">
      <c r="K362" s="183">
        <v>3221</v>
      </c>
      <c r="L362" s="183" t="s">
        <v>1295</v>
      </c>
    </row>
    <row r="363" spans="11:12" ht="12.75">
      <c r="K363" s="183">
        <v>3232</v>
      </c>
      <c r="L363" s="183" t="s">
        <v>1296</v>
      </c>
    </row>
    <row r="364" spans="11:12" ht="12.75">
      <c r="K364" s="183">
        <v>3233</v>
      </c>
      <c r="L364" s="183" t="s">
        <v>1297</v>
      </c>
    </row>
    <row r="365" spans="11:12" ht="12.75">
      <c r="K365" s="183">
        <v>3300</v>
      </c>
      <c r="L365" s="183" t="s">
        <v>798</v>
      </c>
    </row>
    <row r="366" spans="11:12" ht="12.75">
      <c r="K366" s="183">
        <v>3301</v>
      </c>
      <c r="L366" s="183" t="s">
        <v>1298</v>
      </c>
    </row>
    <row r="367" spans="11:12" ht="12.75">
      <c r="K367" s="183">
        <v>3302</v>
      </c>
      <c r="L367" s="183" t="s">
        <v>1299</v>
      </c>
    </row>
    <row r="368" spans="11:12" ht="12.75">
      <c r="K368" s="183">
        <v>3303</v>
      </c>
      <c r="L368" s="183" t="s">
        <v>1300</v>
      </c>
    </row>
    <row r="369" spans="11:12" ht="12.75">
      <c r="K369">
        <v>3304</v>
      </c>
      <c r="L369" t="s">
        <v>1301</v>
      </c>
    </row>
    <row r="370" spans="11:12" ht="12.75">
      <c r="K370">
        <v>3305</v>
      </c>
      <c r="L370" t="s">
        <v>1302</v>
      </c>
    </row>
    <row r="371" spans="11:12" ht="12.75">
      <c r="K371">
        <v>3323</v>
      </c>
      <c r="L371" t="s">
        <v>1303</v>
      </c>
    </row>
    <row r="372" spans="11:12" ht="12.75">
      <c r="K372">
        <v>3360</v>
      </c>
      <c r="L372" t="s">
        <v>799</v>
      </c>
    </row>
    <row r="373" spans="11:12" ht="12.75">
      <c r="K373">
        <v>3400</v>
      </c>
      <c r="L373" t="s">
        <v>800</v>
      </c>
    </row>
    <row r="374" spans="11:12" ht="12.75">
      <c r="K374">
        <v>3401</v>
      </c>
      <c r="L374" t="s">
        <v>1304</v>
      </c>
    </row>
    <row r="375" spans="11:12" ht="12.75">
      <c r="K375">
        <v>3402</v>
      </c>
      <c r="L375" t="s">
        <v>1304</v>
      </c>
    </row>
    <row r="376" spans="11:12" ht="12.75">
      <c r="K376">
        <v>3500</v>
      </c>
      <c r="L376" t="s">
        <v>801</v>
      </c>
    </row>
    <row r="377" spans="11:12" ht="12.75">
      <c r="K377">
        <v>3501</v>
      </c>
      <c r="L377" t="s">
        <v>801</v>
      </c>
    </row>
    <row r="378" spans="11:12" ht="12.75">
      <c r="K378">
        <v>3502</v>
      </c>
      <c r="L378" t="s">
        <v>1305</v>
      </c>
    </row>
    <row r="379" spans="11:12" ht="12.75">
      <c r="K379">
        <v>3503</v>
      </c>
      <c r="L379" t="s">
        <v>1305</v>
      </c>
    </row>
    <row r="380" spans="11:12" ht="12.75">
      <c r="K380">
        <v>3504</v>
      </c>
      <c r="L380" t="s">
        <v>1305</v>
      </c>
    </row>
    <row r="381" spans="11:12" ht="12.75">
      <c r="K381">
        <v>3505</v>
      </c>
      <c r="L381" t="s">
        <v>1305</v>
      </c>
    </row>
    <row r="382" spans="11:12" ht="12.75">
      <c r="K382">
        <v>3506</v>
      </c>
      <c r="L382" t="s">
        <v>1305</v>
      </c>
    </row>
    <row r="383" spans="11:12" ht="12.75">
      <c r="K383">
        <v>3507</v>
      </c>
      <c r="L383" t="s">
        <v>1305</v>
      </c>
    </row>
    <row r="384" spans="11:12" ht="12.75">
      <c r="K384">
        <v>3508</v>
      </c>
      <c r="L384" t="s">
        <v>1306</v>
      </c>
    </row>
    <row r="385" spans="11:12" ht="12.75">
      <c r="K385">
        <v>3509</v>
      </c>
      <c r="L385" t="s">
        <v>1305</v>
      </c>
    </row>
    <row r="386" spans="11:12" ht="12.75">
      <c r="K386">
        <v>3510</v>
      </c>
      <c r="L386" t="s">
        <v>1307</v>
      </c>
    </row>
    <row r="387" spans="11:12" ht="12.75">
      <c r="K387">
        <v>3511</v>
      </c>
      <c r="L387" t="s">
        <v>1308</v>
      </c>
    </row>
    <row r="388" spans="11:12" ht="12.75">
      <c r="K388">
        <v>3513</v>
      </c>
      <c r="L388" t="s">
        <v>1305</v>
      </c>
    </row>
    <row r="389" spans="11:12" ht="12.75">
      <c r="K389">
        <v>3514</v>
      </c>
      <c r="L389" t="s">
        <v>1305</v>
      </c>
    </row>
    <row r="390" spans="11:12" ht="12.75">
      <c r="K390">
        <v>3515</v>
      </c>
      <c r="L390" t="s">
        <v>1309</v>
      </c>
    </row>
    <row r="391" spans="11:12" ht="12.75">
      <c r="K391">
        <v>3516</v>
      </c>
      <c r="L391" t="s">
        <v>1310</v>
      </c>
    </row>
    <row r="392" spans="11:12" ht="12.75">
      <c r="K392">
        <v>3517</v>
      </c>
      <c r="L392" t="s">
        <v>1311</v>
      </c>
    </row>
    <row r="393" spans="11:12" ht="12.75">
      <c r="K393">
        <v>3518</v>
      </c>
      <c r="L393" t="s">
        <v>1312</v>
      </c>
    </row>
    <row r="394" spans="11:12" ht="12.75">
      <c r="K394">
        <v>3519</v>
      </c>
      <c r="L394" t="s">
        <v>1313</v>
      </c>
    </row>
    <row r="395" spans="11:12" ht="12.75">
      <c r="K395">
        <v>3521</v>
      </c>
      <c r="L395" t="s">
        <v>1314</v>
      </c>
    </row>
    <row r="396" spans="11:12" ht="12.75">
      <c r="K396">
        <v>3523</v>
      </c>
      <c r="L396" t="s">
        <v>1305</v>
      </c>
    </row>
    <row r="397" spans="11:12" ht="12.75">
      <c r="K397">
        <v>3524</v>
      </c>
      <c r="L397" t="s">
        <v>801</v>
      </c>
    </row>
    <row r="398" spans="11:12" ht="12.75">
      <c r="K398">
        <v>3525</v>
      </c>
      <c r="L398" t="s">
        <v>801</v>
      </c>
    </row>
    <row r="399" spans="11:12" ht="12.75">
      <c r="K399">
        <v>3526</v>
      </c>
      <c r="L399" t="s">
        <v>801</v>
      </c>
    </row>
    <row r="400" spans="11:12" ht="12.75">
      <c r="K400">
        <v>3527</v>
      </c>
      <c r="L400" t="s">
        <v>801</v>
      </c>
    </row>
    <row r="401" spans="11:12" ht="12.75">
      <c r="K401">
        <v>3528</v>
      </c>
      <c r="L401" t="s">
        <v>801</v>
      </c>
    </row>
    <row r="402" spans="11:12" ht="12.75">
      <c r="K402">
        <v>3529</v>
      </c>
      <c r="L402" t="s">
        <v>801</v>
      </c>
    </row>
    <row r="403" spans="11:12" ht="12.75">
      <c r="K403">
        <v>3530</v>
      </c>
      <c r="L403" t="s">
        <v>801</v>
      </c>
    </row>
    <row r="404" spans="11:12" ht="12.75">
      <c r="K404">
        <v>3531</v>
      </c>
      <c r="L404" t="s">
        <v>801</v>
      </c>
    </row>
    <row r="405" spans="11:12" ht="12.75">
      <c r="K405">
        <v>3532</v>
      </c>
      <c r="L405" t="s">
        <v>801</v>
      </c>
    </row>
    <row r="406" spans="11:12" ht="12.75">
      <c r="K406">
        <v>3533</v>
      </c>
      <c r="L406" t="s">
        <v>801</v>
      </c>
    </row>
    <row r="407" spans="11:12" ht="12.75">
      <c r="K407">
        <v>3534</v>
      </c>
      <c r="L407" t="s">
        <v>801</v>
      </c>
    </row>
    <row r="408" spans="11:12" ht="12.75">
      <c r="K408">
        <v>3535</v>
      </c>
      <c r="L408" t="s">
        <v>801</v>
      </c>
    </row>
    <row r="409" spans="11:12" ht="12.75">
      <c r="K409">
        <v>3542</v>
      </c>
      <c r="L409" t="s">
        <v>1305</v>
      </c>
    </row>
    <row r="410" spans="11:12" ht="12.75">
      <c r="K410">
        <v>3543</v>
      </c>
      <c r="L410" t="s">
        <v>1305</v>
      </c>
    </row>
    <row r="411" spans="11:12" ht="12.75">
      <c r="K411">
        <v>3544</v>
      </c>
      <c r="L411" t="s">
        <v>1305</v>
      </c>
    </row>
    <row r="412" spans="11:12" ht="12.75">
      <c r="K412">
        <v>3545</v>
      </c>
      <c r="L412" t="s">
        <v>1305</v>
      </c>
    </row>
    <row r="413" spans="11:12" ht="12.75">
      <c r="K413">
        <v>3546</v>
      </c>
      <c r="L413" t="s">
        <v>1305</v>
      </c>
    </row>
    <row r="414" spans="11:12" ht="12.75">
      <c r="K414">
        <v>3547</v>
      </c>
      <c r="L414" t="s">
        <v>1305</v>
      </c>
    </row>
    <row r="415" spans="11:12" ht="12.75">
      <c r="K415">
        <v>3548</v>
      </c>
      <c r="L415" t="s">
        <v>1305</v>
      </c>
    </row>
    <row r="416" spans="11:12" ht="12.75">
      <c r="K416">
        <v>3549</v>
      </c>
      <c r="L416" t="s">
        <v>1305</v>
      </c>
    </row>
    <row r="417" spans="11:12" ht="12.75">
      <c r="K417">
        <v>3550</v>
      </c>
      <c r="L417" t="s">
        <v>1305</v>
      </c>
    </row>
    <row r="418" spans="11:12" ht="12.75">
      <c r="K418">
        <v>3600</v>
      </c>
      <c r="L418" t="s">
        <v>802</v>
      </c>
    </row>
    <row r="419" spans="11:12" ht="12.75">
      <c r="K419">
        <v>3601</v>
      </c>
      <c r="L419" t="s">
        <v>1315</v>
      </c>
    </row>
    <row r="420" spans="11:12" ht="12.75">
      <c r="K420">
        <v>3603</v>
      </c>
      <c r="L420" t="s">
        <v>1316</v>
      </c>
    </row>
    <row r="421" spans="11:12" ht="12.75">
      <c r="K421">
        <v>3604</v>
      </c>
      <c r="L421" t="s">
        <v>1317</v>
      </c>
    </row>
    <row r="422" spans="11:12" ht="12.75">
      <c r="K422">
        <v>3607</v>
      </c>
      <c r="L422" t="s">
        <v>1315</v>
      </c>
    </row>
    <row r="423" spans="11:12" ht="12.75">
      <c r="K423">
        <v>3621</v>
      </c>
      <c r="L423" t="s">
        <v>1318</v>
      </c>
    </row>
    <row r="424" spans="11:12" ht="12.75">
      <c r="K424">
        <v>3625</v>
      </c>
      <c r="L424" t="s">
        <v>1319</v>
      </c>
    </row>
    <row r="425" spans="11:12" ht="12.75">
      <c r="K425">
        <v>3651</v>
      </c>
      <c r="L425" t="s">
        <v>1320</v>
      </c>
    </row>
    <row r="426" spans="11:12" ht="12.75">
      <c r="K426">
        <v>3661</v>
      </c>
      <c r="L426" t="s">
        <v>1321</v>
      </c>
    </row>
    <row r="427" spans="11:12" ht="12.75">
      <c r="K427">
        <v>3662</v>
      </c>
      <c r="L427" t="s">
        <v>1322</v>
      </c>
    </row>
    <row r="428" spans="11:12" ht="12.75">
      <c r="K428">
        <v>3700</v>
      </c>
      <c r="L428" t="s">
        <v>803</v>
      </c>
    </row>
    <row r="429" spans="11:12" ht="12.75">
      <c r="K429">
        <v>3701</v>
      </c>
      <c r="L429" t="s">
        <v>1323</v>
      </c>
    </row>
    <row r="430" spans="11:12" ht="12.75">
      <c r="K430">
        <v>3702</v>
      </c>
      <c r="L430" t="s">
        <v>1323</v>
      </c>
    </row>
    <row r="431" spans="11:12" ht="12.75">
      <c r="K431">
        <v>3703</v>
      </c>
      <c r="L431" t="s">
        <v>1323</v>
      </c>
    </row>
    <row r="432" spans="11:12" ht="12.75">
      <c r="K432">
        <v>3705</v>
      </c>
      <c r="L432" t="s">
        <v>1323</v>
      </c>
    </row>
    <row r="433" spans="11:12" ht="12.75">
      <c r="K433">
        <v>4000</v>
      </c>
      <c r="L433" t="s">
        <v>804</v>
      </c>
    </row>
    <row r="434" spans="11:12" ht="12.75">
      <c r="K434">
        <v>4001</v>
      </c>
      <c r="L434" t="s">
        <v>804</v>
      </c>
    </row>
    <row r="435" spans="11:12" ht="12.75">
      <c r="K435">
        <v>4002</v>
      </c>
      <c r="L435" t="s">
        <v>804</v>
      </c>
    </row>
    <row r="436" spans="11:12" ht="12.75">
      <c r="K436">
        <v>4003</v>
      </c>
      <c r="L436" t="s">
        <v>1324</v>
      </c>
    </row>
    <row r="437" spans="11:12" ht="12.75">
      <c r="K437">
        <v>4004</v>
      </c>
      <c r="L437" t="s">
        <v>1324</v>
      </c>
    </row>
    <row r="438" spans="11:12" ht="12.75">
      <c r="K438">
        <v>4005</v>
      </c>
      <c r="L438" t="s">
        <v>1324</v>
      </c>
    </row>
    <row r="439" spans="11:12" ht="12.75">
      <c r="K439">
        <v>4006</v>
      </c>
      <c r="L439" t="s">
        <v>1324</v>
      </c>
    </row>
    <row r="440" spans="11:12" ht="12.75">
      <c r="K440">
        <v>4007</v>
      </c>
      <c r="L440" t="s">
        <v>1324</v>
      </c>
    </row>
    <row r="441" spans="11:12" ht="12.75">
      <c r="K441">
        <v>4008</v>
      </c>
      <c r="L441" t="s">
        <v>1324</v>
      </c>
    </row>
    <row r="442" spans="11:12" ht="12.75">
      <c r="K442">
        <v>4009</v>
      </c>
      <c r="L442" t="s">
        <v>1324</v>
      </c>
    </row>
    <row r="443" spans="11:12" ht="12.75">
      <c r="K443">
        <v>4010</v>
      </c>
      <c r="L443" t="s">
        <v>1325</v>
      </c>
    </row>
    <row r="444" spans="11:12" ht="12.75">
      <c r="K444">
        <v>4011</v>
      </c>
      <c r="L444" t="s">
        <v>1326</v>
      </c>
    </row>
    <row r="445" spans="11:12" ht="12.75">
      <c r="K445">
        <v>4012</v>
      </c>
      <c r="L445" t="s">
        <v>1327</v>
      </c>
    </row>
    <row r="446" spans="11:12" ht="12.75">
      <c r="K446">
        <v>4013</v>
      </c>
      <c r="L446" t="s">
        <v>1328</v>
      </c>
    </row>
    <row r="447" spans="11:12" ht="12.75">
      <c r="K447">
        <v>4014</v>
      </c>
      <c r="L447" t="s">
        <v>1329</v>
      </c>
    </row>
    <row r="448" spans="11:12" ht="12.75">
      <c r="K448">
        <v>4015</v>
      </c>
      <c r="L448" t="s">
        <v>1330</v>
      </c>
    </row>
    <row r="449" spans="11:12" ht="12.75">
      <c r="K449">
        <v>4017</v>
      </c>
      <c r="L449" t="s">
        <v>804</v>
      </c>
    </row>
    <row r="450" spans="11:12" ht="12.75">
      <c r="K450">
        <v>4021</v>
      </c>
      <c r="L450" t="s">
        <v>804</v>
      </c>
    </row>
    <row r="451" spans="11:12" ht="12.75">
      <c r="K451">
        <v>4022</v>
      </c>
      <c r="L451" t="s">
        <v>804</v>
      </c>
    </row>
    <row r="452" spans="11:12" ht="12.75">
      <c r="K452">
        <v>4024</v>
      </c>
      <c r="L452" t="s">
        <v>804</v>
      </c>
    </row>
    <row r="453" spans="11:12" ht="12.75">
      <c r="K453">
        <v>4025</v>
      </c>
      <c r="L453" t="s">
        <v>804</v>
      </c>
    </row>
    <row r="454" spans="11:12" ht="12.75">
      <c r="K454">
        <v>4026</v>
      </c>
      <c r="L454" t="s">
        <v>804</v>
      </c>
    </row>
    <row r="455" spans="11:12" ht="12.75">
      <c r="K455">
        <v>4027</v>
      </c>
      <c r="L455" t="s">
        <v>804</v>
      </c>
    </row>
    <row r="456" spans="11:12" ht="12.75">
      <c r="K456">
        <v>4028</v>
      </c>
      <c r="L456" t="s">
        <v>804</v>
      </c>
    </row>
    <row r="457" spans="11:12" ht="12.75">
      <c r="K457">
        <v>4029</v>
      </c>
      <c r="L457" t="s">
        <v>804</v>
      </c>
    </row>
    <row r="458" spans="11:12" ht="12.75">
      <c r="K458">
        <v>4030</v>
      </c>
      <c r="L458" t="s">
        <v>804</v>
      </c>
    </row>
    <row r="459" spans="11:12" ht="12.75">
      <c r="K459">
        <v>4031</v>
      </c>
      <c r="L459" t="s">
        <v>804</v>
      </c>
    </row>
    <row r="460" spans="11:12" ht="12.75">
      <c r="K460">
        <v>4032</v>
      </c>
      <c r="L460" t="s">
        <v>804</v>
      </c>
    </row>
    <row r="461" spans="11:12" ht="12.75">
      <c r="K461">
        <v>4033</v>
      </c>
      <c r="L461" t="s">
        <v>804</v>
      </c>
    </row>
    <row r="462" spans="11:12" ht="12.75">
      <c r="K462">
        <v>4034</v>
      </c>
      <c r="L462" t="s">
        <v>804</v>
      </c>
    </row>
    <row r="463" spans="11:12" ht="12.75">
      <c r="K463">
        <v>4040</v>
      </c>
      <c r="L463" t="s">
        <v>1324</v>
      </c>
    </row>
    <row r="464" spans="11:12" ht="12.75">
      <c r="K464">
        <v>4041</v>
      </c>
      <c r="L464" t="s">
        <v>1324</v>
      </c>
    </row>
    <row r="465" spans="11:12" ht="12.75">
      <c r="K465">
        <v>4042</v>
      </c>
      <c r="L465" t="s">
        <v>1324</v>
      </c>
    </row>
    <row r="466" spans="11:12" ht="12.75">
      <c r="K466">
        <v>4044</v>
      </c>
      <c r="L466" t="s">
        <v>1324</v>
      </c>
    </row>
    <row r="467" spans="11:12" ht="12.75">
      <c r="K467">
        <v>4045</v>
      </c>
      <c r="L467" t="s">
        <v>1324</v>
      </c>
    </row>
    <row r="468" spans="11:12" ht="12.75">
      <c r="K468">
        <v>4046</v>
      </c>
      <c r="L468" t="s">
        <v>1324</v>
      </c>
    </row>
    <row r="469" spans="11:12" ht="12.75">
      <c r="K469">
        <v>4047</v>
      </c>
      <c r="L469" t="s">
        <v>1324</v>
      </c>
    </row>
    <row r="470" spans="11:12" ht="12.75">
      <c r="K470">
        <v>4048</v>
      </c>
      <c r="L470" t="s">
        <v>1324</v>
      </c>
    </row>
    <row r="471" spans="11:12" ht="12.75">
      <c r="K471">
        <v>4050</v>
      </c>
      <c r="L471" t="s">
        <v>1324</v>
      </c>
    </row>
    <row r="472" spans="11:12" ht="12.75">
      <c r="K472">
        <v>4060</v>
      </c>
      <c r="L472" t="s">
        <v>805</v>
      </c>
    </row>
    <row r="473" spans="11:12" ht="12.75">
      <c r="K473">
        <v>4063</v>
      </c>
      <c r="L473" t="s">
        <v>1331</v>
      </c>
    </row>
    <row r="474" spans="11:12" ht="12.75">
      <c r="K474">
        <v>4074</v>
      </c>
      <c r="L474" t="s">
        <v>1332</v>
      </c>
    </row>
    <row r="475" spans="11:12" ht="12.75">
      <c r="K475">
        <v>4077</v>
      </c>
      <c r="L475" t="s">
        <v>1333</v>
      </c>
    </row>
    <row r="476" spans="11:12" ht="12.75">
      <c r="K476">
        <v>4078</v>
      </c>
      <c r="L476" t="s">
        <v>1334</v>
      </c>
    </row>
    <row r="477" spans="11:12" ht="12.75">
      <c r="K477">
        <v>4079</v>
      </c>
      <c r="L477" t="s">
        <v>1335</v>
      </c>
    </row>
    <row r="478" spans="11:12" ht="12.75">
      <c r="K478">
        <v>4086</v>
      </c>
      <c r="L478" t="s">
        <v>1336</v>
      </c>
    </row>
    <row r="479" spans="11:12" ht="12.75">
      <c r="K479">
        <v>4200</v>
      </c>
      <c r="L479" t="s">
        <v>807</v>
      </c>
    </row>
    <row r="480" spans="11:12" ht="12.75">
      <c r="K480">
        <v>4201</v>
      </c>
      <c r="L480" t="s">
        <v>1337</v>
      </c>
    </row>
    <row r="481" spans="11:12" ht="12.75">
      <c r="K481">
        <v>4202</v>
      </c>
      <c r="L481" t="s">
        <v>1337</v>
      </c>
    </row>
    <row r="482" spans="11:12" ht="12.75">
      <c r="K482">
        <v>4220</v>
      </c>
      <c r="L482" t="s">
        <v>806</v>
      </c>
    </row>
    <row r="483" spans="11:12" ht="12.75">
      <c r="K483">
        <v>4221</v>
      </c>
      <c r="L483" t="s">
        <v>1338</v>
      </c>
    </row>
    <row r="484" spans="11:12" ht="12.75">
      <c r="K484">
        <v>4224</v>
      </c>
      <c r="L484" t="s">
        <v>1339</v>
      </c>
    </row>
    <row r="485" spans="11:12" ht="12.75">
      <c r="K485">
        <v>4225</v>
      </c>
      <c r="L485" t="s">
        <v>1340</v>
      </c>
    </row>
    <row r="486" spans="11:12" ht="12.75">
      <c r="K486">
        <v>4244</v>
      </c>
      <c r="L486" t="s">
        <v>808</v>
      </c>
    </row>
    <row r="487" spans="11:12" ht="12.75">
      <c r="K487">
        <v>4246</v>
      </c>
      <c r="L487" t="s">
        <v>1341</v>
      </c>
    </row>
    <row r="488" spans="11:12" ht="12.75">
      <c r="K488">
        <v>4400</v>
      </c>
      <c r="L488" t="s">
        <v>809</v>
      </c>
    </row>
    <row r="489" spans="11:12" ht="12.75">
      <c r="K489">
        <v>4401</v>
      </c>
      <c r="L489" t="s">
        <v>1342</v>
      </c>
    </row>
    <row r="490" spans="11:12" ht="12.75">
      <c r="K490">
        <v>4402</v>
      </c>
      <c r="L490" t="s">
        <v>1343</v>
      </c>
    </row>
    <row r="491" spans="11:12" ht="12.75">
      <c r="K491">
        <v>4403</v>
      </c>
      <c r="L491" t="s">
        <v>1344</v>
      </c>
    </row>
    <row r="492" spans="11:12" ht="12.75">
      <c r="K492">
        <v>4404</v>
      </c>
      <c r="L492" t="s">
        <v>1345</v>
      </c>
    </row>
    <row r="493" spans="11:12" ht="12.75">
      <c r="K493">
        <v>4405</v>
      </c>
      <c r="L493" t="s">
        <v>1346</v>
      </c>
    </row>
    <row r="494" spans="11:12" ht="12.75">
      <c r="K494">
        <v>4406</v>
      </c>
      <c r="L494" t="s">
        <v>1347</v>
      </c>
    </row>
    <row r="495" spans="11:12" ht="12.75">
      <c r="K495">
        <v>4407</v>
      </c>
      <c r="L495" t="s">
        <v>1348</v>
      </c>
    </row>
    <row r="496" spans="11:12" ht="12.75">
      <c r="K496">
        <v>4410</v>
      </c>
      <c r="L496" t="s">
        <v>1349</v>
      </c>
    </row>
    <row r="497" spans="11:12" ht="12.75">
      <c r="K497">
        <v>4411</v>
      </c>
      <c r="L497" t="s">
        <v>809</v>
      </c>
    </row>
    <row r="498" spans="11:12" ht="12.75">
      <c r="K498">
        <v>4412</v>
      </c>
      <c r="L498" t="s">
        <v>1350</v>
      </c>
    </row>
    <row r="499" spans="11:12" ht="12.75">
      <c r="K499">
        <v>4420</v>
      </c>
      <c r="L499" t="s">
        <v>1349</v>
      </c>
    </row>
    <row r="500" spans="11:12" ht="12.75">
      <c r="K500">
        <v>4431</v>
      </c>
      <c r="L500" t="s">
        <v>1351</v>
      </c>
    </row>
    <row r="501" spans="11:12" ht="12.75">
      <c r="K501">
        <v>4432</v>
      </c>
      <c r="L501" t="s">
        <v>1352</v>
      </c>
    </row>
    <row r="502" spans="11:12" ht="12.75">
      <c r="K502">
        <v>4433</v>
      </c>
      <c r="L502" t="s">
        <v>1353</v>
      </c>
    </row>
    <row r="503" spans="11:12" ht="12.75">
      <c r="K503">
        <v>4481</v>
      </c>
      <c r="L503" t="s">
        <v>1354</v>
      </c>
    </row>
    <row r="504" spans="11:12" ht="12.75">
      <c r="K504">
        <v>4551</v>
      </c>
      <c r="L504" t="s">
        <v>1355</v>
      </c>
    </row>
    <row r="505" spans="11:12" ht="12.75">
      <c r="K505">
        <v>4600</v>
      </c>
      <c r="L505" t="s">
        <v>810</v>
      </c>
    </row>
    <row r="506" spans="11:12" ht="12.75">
      <c r="K506">
        <v>4601</v>
      </c>
      <c r="L506" t="s">
        <v>1356</v>
      </c>
    </row>
    <row r="507" spans="11:12" ht="12.75">
      <c r="K507">
        <v>4602</v>
      </c>
      <c r="L507" t="s">
        <v>1357</v>
      </c>
    </row>
    <row r="508" spans="11:12" ht="12.75">
      <c r="K508">
        <v>4603</v>
      </c>
      <c r="L508" t="s">
        <v>1358</v>
      </c>
    </row>
    <row r="509" spans="11:12" ht="12.75">
      <c r="K509">
        <v>4700</v>
      </c>
      <c r="L509" t="s">
        <v>811</v>
      </c>
    </row>
    <row r="510" spans="11:12" ht="12.75">
      <c r="K510">
        <v>4701</v>
      </c>
      <c r="L510" t="s">
        <v>1359</v>
      </c>
    </row>
    <row r="511" spans="11:12" ht="12.75">
      <c r="K511">
        <v>4702</v>
      </c>
      <c r="L511" t="s">
        <v>1359</v>
      </c>
    </row>
    <row r="512" spans="11:12" ht="12.75">
      <c r="K512">
        <v>4720</v>
      </c>
      <c r="L512" t="s">
        <v>1359</v>
      </c>
    </row>
    <row r="513" spans="11:12" ht="12.75">
      <c r="K513">
        <v>5000</v>
      </c>
      <c r="L513" t="s">
        <v>812</v>
      </c>
    </row>
    <row r="514" spans="11:12" ht="12.75">
      <c r="K514">
        <v>5001</v>
      </c>
      <c r="L514" t="s">
        <v>1360</v>
      </c>
    </row>
    <row r="515" spans="11:12" ht="12.75">
      <c r="K515">
        <v>5002</v>
      </c>
      <c r="L515" t="s">
        <v>1361</v>
      </c>
    </row>
    <row r="516" spans="11:12" ht="12.75">
      <c r="K516">
        <v>5003</v>
      </c>
      <c r="L516" t="s">
        <v>1362</v>
      </c>
    </row>
    <row r="517" spans="11:12" ht="12.75">
      <c r="K517">
        <v>5004</v>
      </c>
      <c r="L517" t="s">
        <v>1363</v>
      </c>
    </row>
    <row r="518" spans="11:12" ht="12.75">
      <c r="K518">
        <v>5005</v>
      </c>
      <c r="L518" t="s">
        <v>1364</v>
      </c>
    </row>
    <row r="519" spans="11:12" ht="12.75">
      <c r="K519">
        <v>5006</v>
      </c>
      <c r="L519" t="s">
        <v>1365</v>
      </c>
    </row>
    <row r="520" spans="11:12" ht="12.75">
      <c r="K520">
        <v>5007</v>
      </c>
      <c r="L520" t="s">
        <v>1366</v>
      </c>
    </row>
    <row r="521" spans="11:12" ht="12.75">
      <c r="K521">
        <v>5008</v>
      </c>
      <c r="L521" t="s">
        <v>1367</v>
      </c>
    </row>
    <row r="522" spans="11:12" ht="12.75">
      <c r="K522">
        <v>5009</v>
      </c>
      <c r="L522" t="s">
        <v>1368</v>
      </c>
    </row>
    <row r="523" spans="11:12" ht="12.75">
      <c r="K523">
        <v>5010</v>
      </c>
      <c r="L523" t="s">
        <v>812</v>
      </c>
    </row>
    <row r="524" spans="11:12" ht="12.75">
      <c r="K524">
        <v>5020</v>
      </c>
      <c r="L524" t="s">
        <v>1369</v>
      </c>
    </row>
    <row r="525" spans="11:12" ht="12.75">
      <c r="K525">
        <v>5152</v>
      </c>
      <c r="L525" t="s">
        <v>1370</v>
      </c>
    </row>
    <row r="526" spans="11:12" ht="12.75">
      <c r="K526">
        <v>5200</v>
      </c>
      <c r="L526" t="s">
        <v>813</v>
      </c>
    </row>
    <row r="527" spans="11:12" ht="12.75">
      <c r="K527">
        <v>5201</v>
      </c>
      <c r="L527" t="s">
        <v>1371</v>
      </c>
    </row>
    <row r="528" spans="11:12" ht="12.75">
      <c r="K528">
        <v>5212</v>
      </c>
      <c r="L528" t="s">
        <v>1372</v>
      </c>
    </row>
    <row r="529" spans="11:12" ht="12.75">
      <c r="K529">
        <v>5300</v>
      </c>
      <c r="L529" t="s">
        <v>814</v>
      </c>
    </row>
    <row r="530" spans="11:12" ht="12.75">
      <c r="K530">
        <v>5301</v>
      </c>
      <c r="L530" t="s">
        <v>1373</v>
      </c>
    </row>
    <row r="531" spans="11:12" ht="12.75">
      <c r="K531">
        <v>5302</v>
      </c>
      <c r="L531" t="s">
        <v>814</v>
      </c>
    </row>
    <row r="532" spans="11:12" ht="12.75">
      <c r="K532">
        <v>5540</v>
      </c>
      <c r="L532" t="s">
        <v>815</v>
      </c>
    </row>
    <row r="533" spans="11:12" ht="12.75">
      <c r="K533">
        <v>5541</v>
      </c>
      <c r="L533" t="s">
        <v>1374</v>
      </c>
    </row>
    <row r="534" spans="11:12" ht="12.75">
      <c r="K534">
        <v>5600</v>
      </c>
      <c r="L534" t="s">
        <v>816</v>
      </c>
    </row>
    <row r="535" spans="11:12" ht="12.75">
      <c r="K535">
        <v>5601</v>
      </c>
      <c r="L535" t="s">
        <v>1375</v>
      </c>
    </row>
    <row r="536" spans="11:12" ht="12.75">
      <c r="K536">
        <v>5602</v>
      </c>
      <c r="L536" t="s">
        <v>1375</v>
      </c>
    </row>
    <row r="537" spans="11:12" ht="12.75">
      <c r="K537">
        <v>5603</v>
      </c>
      <c r="L537" t="s">
        <v>1375</v>
      </c>
    </row>
    <row r="538" spans="11:12" ht="12.75">
      <c r="K538">
        <v>5604</v>
      </c>
      <c r="L538" t="s">
        <v>1375</v>
      </c>
    </row>
    <row r="539" spans="11:12" ht="12.75">
      <c r="K539">
        <v>5605</v>
      </c>
      <c r="L539" t="s">
        <v>1375</v>
      </c>
    </row>
    <row r="540" spans="11:12" ht="12.75">
      <c r="K540">
        <v>5620</v>
      </c>
      <c r="L540" t="s">
        <v>1375</v>
      </c>
    </row>
    <row r="541" spans="11:12" ht="12.75">
      <c r="K541">
        <v>5623</v>
      </c>
      <c r="L541" t="s">
        <v>1376</v>
      </c>
    </row>
    <row r="542" spans="11:12" ht="12.75">
      <c r="K542">
        <v>5671</v>
      </c>
      <c r="L542" t="s">
        <v>1377</v>
      </c>
    </row>
    <row r="543" spans="11:12" ht="12.75">
      <c r="K543">
        <v>5700</v>
      </c>
      <c r="L543" t="s">
        <v>817</v>
      </c>
    </row>
    <row r="544" spans="11:12" ht="12.75">
      <c r="K544">
        <v>5701</v>
      </c>
      <c r="L544" t="s">
        <v>1378</v>
      </c>
    </row>
    <row r="545" spans="11:12" ht="12.75">
      <c r="K545">
        <v>5702</v>
      </c>
      <c r="L545" t="s">
        <v>1378</v>
      </c>
    </row>
    <row r="546" spans="11:12" ht="12.75">
      <c r="K546">
        <v>5703</v>
      </c>
      <c r="L546" t="s">
        <v>1379</v>
      </c>
    </row>
    <row r="547" spans="11:12" ht="12.75">
      <c r="K547">
        <v>5711</v>
      </c>
      <c r="L547" t="s">
        <v>1380</v>
      </c>
    </row>
    <row r="548" spans="11:12" ht="12.75">
      <c r="K548">
        <v>5900</v>
      </c>
      <c r="L548" t="s">
        <v>818</v>
      </c>
    </row>
    <row r="549" spans="11:12" ht="12.75">
      <c r="K549">
        <v>5901</v>
      </c>
      <c r="L549" t="s">
        <v>1381</v>
      </c>
    </row>
    <row r="550" spans="11:12" ht="12.75">
      <c r="K550">
        <v>5902</v>
      </c>
      <c r="L550" t="s">
        <v>1381</v>
      </c>
    </row>
    <row r="551" spans="11:12" ht="12.75">
      <c r="K551">
        <v>5903</v>
      </c>
      <c r="L551" t="s">
        <v>1382</v>
      </c>
    </row>
    <row r="552" spans="11:12" ht="12.75">
      <c r="K552">
        <v>5904</v>
      </c>
      <c r="L552" t="s">
        <v>1383</v>
      </c>
    </row>
    <row r="553" spans="11:12" ht="12.75">
      <c r="K553">
        <v>5905</v>
      </c>
      <c r="L553" t="s">
        <v>1384</v>
      </c>
    </row>
    <row r="554" spans="11:12" ht="12.75">
      <c r="K554">
        <v>6000</v>
      </c>
      <c r="L554" t="s">
        <v>819</v>
      </c>
    </row>
    <row r="555" spans="11:12" ht="12.75">
      <c r="K555">
        <v>6001</v>
      </c>
      <c r="L555" t="s">
        <v>819</v>
      </c>
    </row>
    <row r="556" spans="11:12" ht="12.75">
      <c r="K556">
        <v>6002</v>
      </c>
      <c r="L556" t="s">
        <v>819</v>
      </c>
    </row>
    <row r="557" spans="11:12" ht="12.75">
      <c r="K557">
        <v>6003</v>
      </c>
      <c r="L557" t="s">
        <v>819</v>
      </c>
    </row>
    <row r="558" spans="11:12" ht="12.75">
      <c r="K558">
        <v>6004</v>
      </c>
      <c r="L558" t="s">
        <v>819</v>
      </c>
    </row>
    <row r="559" spans="11:12" ht="12.75">
      <c r="K559">
        <v>6005</v>
      </c>
      <c r="L559" t="s">
        <v>819</v>
      </c>
    </row>
    <row r="560" spans="11:12" ht="12.75">
      <c r="K560">
        <v>6006</v>
      </c>
      <c r="L560" t="s">
        <v>819</v>
      </c>
    </row>
    <row r="561" spans="11:12" ht="12.75">
      <c r="K561">
        <v>6007</v>
      </c>
      <c r="L561" t="s">
        <v>819</v>
      </c>
    </row>
    <row r="562" spans="11:12" ht="12.75">
      <c r="K562">
        <v>6008</v>
      </c>
      <c r="L562" t="s">
        <v>1385</v>
      </c>
    </row>
    <row r="563" spans="11:12" ht="12.75">
      <c r="K563">
        <v>6010</v>
      </c>
      <c r="L563" t="s">
        <v>819</v>
      </c>
    </row>
    <row r="564" spans="11:12" ht="12.75">
      <c r="K564">
        <v>6020</v>
      </c>
      <c r="L564" t="s">
        <v>819</v>
      </c>
    </row>
    <row r="565" spans="11:12" ht="12.75">
      <c r="K565">
        <v>6044</v>
      </c>
      <c r="L565" t="s">
        <v>1386</v>
      </c>
    </row>
    <row r="566" spans="11:12" ht="12.75">
      <c r="K566">
        <v>6100</v>
      </c>
      <c r="L566" t="s">
        <v>820</v>
      </c>
    </row>
    <row r="567" spans="11:12" ht="12.75">
      <c r="K567">
        <v>6101</v>
      </c>
      <c r="L567" t="s">
        <v>1387</v>
      </c>
    </row>
    <row r="568" spans="11:12" ht="12.75">
      <c r="K568">
        <v>6102</v>
      </c>
      <c r="L568" t="s">
        <v>1387</v>
      </c>
    </row>
    <row r="569" spans="11:12" ht="12.75">
      <c r="K569">
        <v>6400</v>
      </c>
      <c r="L569" t="s">
        <v>821</v>
      </c>
    </row>
    <row r="570" spans="11:12" ht="12.75">
      <c r="K570">
        <v>6401</v>
      </c>
      <c r="L570" t="s">
        <v>1388</v>
      </c>
    </row>
    <row r="571" spans="11:12" ht="12.75">
      <c r="K571">
        <v>6402</v>
      </c>
      <c r="L571" t="s">
        <v>1389</v>
      </c>
    </row>
    <row r="572" spans="11:12" ht="12.75">
      <c r="K572">
        <v>6500</v>
      </c>
      <c r="L572" t="s">
        <v>822</v>
      </c>
    </row>
    <row r="573" spans="11:12" ht="12.75">
      <c r="K573">
        <v>6501</v>
      </c>
      <c r="L573" t="s">
        <v>1390</v>
      </c>
    </row>
    <row r="574" spans="11:12" ht="12.75">
      <c r="K574">
        <v>6502</v>
      </c>
      <c r="L574" t="s">
        <v>1390</v>
      </c>
    </row>
    <row r="575" spans="11:12" ht="12.75">
      <c r="K575">
        <v>6503</v>
      </c>
      <c r="L575" t="s">
        <v>1391</v>
      </c>
    </row>
    <row r="576" spans="11:12" ht="12.75">
      <c r="K576">
        <v>6600</v>
      </c>
      <c r="L576" t="s">
        <v>823</v>
      </c>
    </row>
    <row r="577" spans="11:12" ht="12.75">
      <c r="K577">
        <v>6601</v>
      </c>
      <c r="L577" t="s">
        <v>1392</v>
      </c>
    </row>
    <row r="578" spans="11:12" ht="12.75">
      <c r="K578">
        <v>6602</v>
      </c>
      <c r="L578" t="s">
        <v>1392</v>
      </c>
    </row>
    <row r="579" spans="11:12" ht="12.75">
      <c r="K579">
        <v>6603</v>
      </c>
      <c r="L579" t="s">
        <v>1392</v>
      </c>
    </row>
    <row r="580" spans="11:12" ht="12.75">
      <c r="K580">
        <v>6640</v>
      </c>
      <c r="L580" t="s">
        <v>824</v>
      </c>
    </row>
    <row r="581" spans="11:12" ht="12.75">
      <c r="K581">
        <v>6641</v>
      </c>
      <c r="L581" t="s">
        <v>1393</v>
      </c>
    </row>
    <row r="582" spans="11:12" ht="12.75">
      <c r="K582">
        <v>6642</v>
      </c>
      <c r="L582" t="s">
        <v>1393</v>
      </c>
    </row>
    <row r="583" spans="11:12" ht="12.75">
      <c r="K583">
        <v>6648</v>
      </c>
      <c r="L583" t="s">
        <v>1394</v>
      </c>
    </row>
    <row r="584" spans="11:12" ht="12.75">
      <c r="K584">
        <v>6700</v>
      </c>
      <c r="L584" t="s">
        <v>825</v>
      </c>
    </row>
    <row r="585" spans="11:12" ht="12.75">
      <c r="K585">
        <v>6701</v>
      </c>
      <c r="L585" t="s">
        <v>1395</v>
      </c>
    </row>
    <row r="586" spans="11:12" ht="12.75">
      <c r="K586">
        <v>6702</v>
      </c>
      <c r="L586" t="s">
        <v>1396</v>
      </c>
    </row>
    <row r="587" spans="11:12" ht="12.75">
      <c r="K587">
        <v>6703</v>
      </c>
      <c r="L587" t="s">
        <v>1397</v>
      </c>
    </row>
    <row r="588" spans="11:12" ht="12.75">
      <c r="K588">
        <v>6704</v>
      </c>
      <c r="L588" t="s">
        <v>1398</v>
      </c>
    </row>
    <row r="589" spans="11:12" ht="12.75">
      <c r="K589">
        <v>6705</v>
      </c>
      <c r="L589" t="s">
        <v>1399</v>
      </c>
    </row>
    <row r="590" spans="11:12" ht="12.75">
      <c r="K590">
        <v>6706</v>
      </c>
      <c r="L590" t="s">
        <v>1400</v>
      </c>
    </row>
    <row r="591" spans="11:12" ht="12.75">
      <c r="K591">
        <v>6707</v>
      </c>
      <c r="L591" t="s">
        <v>1401</v>
      </c>
    </row>
    <row r="592" spans="11:12" ht="12.75">
      <c r="K592">
        <v>6708</v>
      </c>
      <c r="L592" t="s">
        <v>1402</v>
      </c>
    </row>
    <row r="593" spans="11:12" ht="12.75">
      <c r="K593">
        <v>6709</v>
      </c>
      <c r="L593" t="s">
        <v>1403</v>
      </c>
    </row>
    <row r="594" spans="11:12" ht="12.75">
      <c r="K594">
        <v>6710</v>
      </c>
      <c r="L594" t="s">
        <v>1404</v>
      </c>
    </row>
    <row r="595" spans="11:12" ht="12.75">
      <c r="K595">
        <v>6712</v>
      </c>
      <c r="L595" t="s">
        <v>825</v>
      </c>
    </row>
    <row r="596" spans="11:12" ht="12.75">
      <c r="K596">
        <v>6713</v>
      </c>
      <c r="L596" t="s">
        <v>825</v>
      </c>
    </row>
    <row r="597" spans="11:12" ht="12.75">
      <c r="K597">
        <v>6717</v>
      </c>
      <c r="L597" t="s">
        <v>825</v>
      </c>
    </row>
    <row r="598" spans="11:12" ht="12.75">
      <c r="K598">
        <v>6718</v>
      </c>
      <c r="L598" t="s">
        <v>825</v>
      </c>
    </row>
    <row r="599" spans="11:12" ht="12.75">
      <c r="K599">
        <v>6719</v>
      </c>
      <c r="L599" t="s">
        <v>825</v>
      </c>
    </row>
    <row r="600" spans="11:12" ht="12.75">
      <c r="K600">
        <v>6720</v>
      </c>
      <c r="L600" t="s">
        <v>825</v>
      </c>
    </row>
    <row r="601" spans="11:12" ht="12.75">
      <c r="K601">
        <v>6721</v>
      </c>
      <c r="L601" t="s">
        <v>825</v>
      </c>
    </row>
    <row r="602" spans="11:12" ht="12.75">
      <c r="K602">
        <v>6722</v>
      </c>
      <c r="L602" t="s">
        <v>825</v>
      </c>
    </row>
    <row r="603" spans="11:12" ht="12.75">
      <c r="K603">
        <v>6723</v>
      </c>
      <c r="L603" t="s">
        <v>825</v>
      </c>
    </row>
    <row r="604" spans="11:12" ht="12.75">
      <c r="K604">
        <v>6724</v>
      </c>
      <c r="L604" t="s">
        <v>825</v>
      </c>
    </row>
    <row r="605" spans="11:12" ht="12.75">
      <c r="K605">
        <v>6725</v>
      </c>
      <c r="L605" t="s">
        <v>825</v>
      </c>
    </row>
    <row r="606" spans="11:12" ht="12.75">
      <c r="K606">
        <v>6726</v>
      </c>
      <c r="L606" t="s">
        <v>825</v>
      </c>
    </row>
    <row r="607" spans="11:12" ht="12.75">
      <c r="K607">
        <v>6727</v>
      </c>
      <c r="L607" t="s">
        <v>825</v>
      </c>
    </row>
    <row r="608" spans="11:12" ht="12.75">
      <c r="K608">
        <v>6728</v>
      </c>
      <c r="L608" t="s">
        <v>825</v>
      </c>
    </row>
    <row r="609" spans="11:12" ht="12.75">
      <c r="K609">
        <v>6729</v>
      </c>
      <c r="L609" t="s">
        <v>825</v>
      </c>
    </row>
    <row r="610" spans="11:12" ht="12.75">
      <c r="K610">
        <v>6740</v>
      </c>
      <c r="L610" t="s">
        <v>1395</v>
      </c>
    </row>
    <row r="611" spans="11:12" ht="12.75">
      <c r="K611">
        <v>6741</v>
      </c>
      <c r="L611" t="s">
        <v>1395</v>
      </c>
    </row>
    <row r="612" spans="11:12" ht="12.75">
      <c r="K612">
        <v>6742</v>
      </c>
      <c r="L612" t="s">
        <v>1395</v>
      </c>
    </row>
    <row r="613" spans="11:12" ht="12.75">
      <c r="K613">
        <v>6743</v>
      </c>
      <c r="L613" t="s">
        <v>1395</v>
      </c>
    </row>
    <row r="614" spans="11:12" ht="12.75">
      <c r="K614">
        <v>6744</v>
      </c>
      <c r="L614" t="s">
        <v>1395</v>
      </c>
    </row>
    <row r="615" spans="11:12" ht="12.75">
      <c r="K615">
        <v>6745</v>
      </c>
      <c r="L615" t="s">
        <v>1395</v>
      </c>
    </row>
    <row r="616" spans="11:12" ht="12.75">
      <c r="K616">
        <v>6746</v>
      </c>
      <c r="L616" t="s">
        <v>1395</v>
      </c>
    </row>
    <row r="617" spans="11:12" ht="12.75">
      <c r="K617">
        <v>6747</v>
      </c>
      <c r="L617" t="s">
        <v>1395</v>
      </c>
    </row>
    <row r="618" spans="11:12" ht="12.75">
      <c r="K618">
        <v>6748</v>
      </c>
      <c r="L618" t="s">
        <v>1395</v>
      </c>
    </row>
    <row r="619" spans="11:12" ht="12.75">
      <c r="K619">
        <v>6753</v>
      </c>
      <c r="L619" t="s">
        <v>1405</v>
      </c>
    </row>
    <row r="620" spans="11:12" ht="12.75">
      <c r="K620">
        <v>6757</v>
      </c>
      <c r="L620" t="s">
        <v>1406</v>
      </c>
    </row>
    <row r="621" spans="11:12" ht="12.75">
      <c r="K621">
        <v>6771</v>
      </c>
      <c r="L621" t="s">
        <v>1407</v>
      </c>
    </row>
    <row r="622" spans="11:12" ht="12.75">
      <c r="K622">
        <v>6780</v>
      </c>
      <c r="L622" t="s">
        <v>1408</v>
      </c>
    </row>
    <row r="623" spans="11:12" ht="12.75">
      <c r="K623">
        <v>6791</v>
      </c>
      <c r="L623" t="s">
        <v>1409</v>
      </c>
    </row>
    <row r="624" spans="11:12" ht="12.75">
      <c r="K624">
        <v>6800</v>
      </c>
      <c r="L624" t="s">
        <v>826</v>
      </c>
    </row>
    <row r="625" spans="11:12" ht="12.75">
      <c r="K625">
        <v>6801</v>
      </c>
      <c r="L625" t="s">
        <v>1410</v>
      </c>
    </row>
    <row r="626" spans="11:12" ht="12.75">
      <c r="K626">
        <v>6802</v>
      </c>
      <c r="L626" t="s">
        <v>1410</v>
      </c>
    </row>
    <row r="627" spans="11:12" ht="12.75">
      <c r="K627">
        <v>6803</v>
      </c>
      <c r="L627" t="s">
        <v>1410</v>
      </c>
    </row>
    <row r="628" spans="11:12" ht="12.75">
      <c r="K628">
        <v>6804</v>
      </c>
      <c r="L628" t="s">
        <v>1410</v>
      </c>
    </row>
    <row r="629" spans="11:12" ht="12.75">
      <c r="K629">
        <v>6806</v>
      </c>
      <c r="L629" t="s">
        <v>1411</v>
      </c>
    </row>
    <row r="630" spans="11:12" ht="12.75">
      <c r="K630">
        <v>6808</v>
      </c>
      <c r="L630" t="s">
        <v>1410</v>
      </c>
    </row>
    <row r="631" spans="11:12" ht="12.75">
      <c r="K631">
        <v>6811</v>
      </c>
      <c r="L631" t="s">
        <v>1410</v>
      </c>
    </row>
    <row r="632" spans="11:12" ht="12.75">
      <c r="K632">
        <v>6903</v>
      </c>
      <c r="L632" t="s">
        <v>1412</v>
      </c>
    </row>
    <row r="633" spans="11:12" ht="12.75">
      <c r="K633">
        <v>7000</v>
      </c>
      <c r="L633" t="s">
        <v>827</v>
      </c>
    </row>
    <row r="634" spans="11:12" ht="12.75">
      <c r="K634">
        <v>7001</v>
      </c>
      <c r="L634" t="s">
        <v>1413</v>
      </c>
    </row>
    <row r="635" spans="11:12" ht="12.75">
      <c r="K635">
        <v>7002</v>
      </c>
      <c r="L635" t="s">
        <v>1413</v>
      </c>
    </row>
    <row r="636" spans="11:12" ht="12.75">
      <c r="K636">
        <v>7003</v>
      </c>
      <c r="L636" t="s">
        <v>1414</v>
      </c>
    </row>
    <row r="637" spans="11:12" ht="12.75">
      <c r="K637">
        <v>7018</v>
      </c>
      <c r="L637" t="s">
        <v>1415</v>
      </c>
    </row>
    <row r="638" spans="11:12" ht="12.75">
      <c r="K638">
        <v>7019</v>
      </c>
      <c r="L638" t="s">
        <v>1416</v>
      </c>
    </row>
    <row r="639" spans="11:12" ht="12.75">
      <c r="K639">
        <v>7027</v>
      </c>
      <c r="L639" t="s">
        <v>1417</v>
      </c>
    </row>
    <row r="640" spans="11:12" ht="12.75">
      <c r="K640">
        <v>7030</v>
      </c>
      <c r="L640" t="s">
        <v>828</v>
      </c>
    </row>
    <row r="641" spans="11:12" ht="12.75">
      <c r="K641">
        <v>7031</v>
      </c>
      <c r="L641" t="s">
        <v>1418</v>
      </c>
    </row>
    <row r="642" spans="11:12" ht="12.75">
      <c r="K642">
        <v>7032</v>
      </c>
      <c r="L642" t="s">
        <v>1418</v>
      </c>
    </row>
    <row r="643" spans="11:12" ht="12.75">
      <c r="K643">
        <v>7100</v>
      </c>
      <c r="L643" t="s">
        <v>829</v>
      </c>
    </row>
    <row r="644" spans="11:12" ht="12.75">
      <c r="K644">
        <v>7101</v>
      </c>
      <c r="L644" t="s">
        <v>1419</v>
      </c>
    </row>
    <row r="645" spans="11:12" ht="12.75">
      <c r="K645">
        <v>7102</v>
      </c>
      <c r="L645" t="s">
        <v>1420</v>
      </c>
    </row>
    <row r="646" spans="11:12" ht="12.75">
      <c r="K646">
        <v>7103</v>
      </c>
      <c r="L646" t="s">
        <v>1421</v>
      </c>
    </row>
    <row r="647" spans="11:12" ht="12.75">
      <c r="K647">
        <v>7150</v>
      </c>
      <c r="L647" t="s">
        <v>830</v>
      </c>
    </row>
    <row r="648" spans="11:12" ht="12.75">
      <c r="K648">
        <v>7151</v>
      </c>
      <c r="L648" t="s">
        <v>1422</v>
      </c>
    </row>
    <row r="649" spans="11:12" ht="12.75">
      <c r="K649">
        <v>7153</v>
      </c>
      <c r="L649" t="s">
        <v>1422</v>
      </c>
    </row>
    <row r="650" spans="11:12" ht="12.75">
      <c r="K650">
        <v>7187</v>
      </c>
      <c r="L650" t="s">
        <v>1423</v>
      </c>
    </row>
    <row r="651" spans="11:12" ht="12.75">
      <c r="K651">
        <v>7200</v>
      </c>
      <c r="L651" t="s">
        <v>831</v>
      </c>
    </row>
    <row r="652" spans="11:12" ht="12.75">
      <c r="K652">
        <v>7201</v>
      </c>
      <c r="L652" t="s">
        <v>1424</v>
      </c>
    </row>
    <row r="653" spans="11:12" ht="12.75">
      <c r="K653">
        <v>7202</v>
      </c>
      <c r="L653" t="s">
        <v>1424</v>
      </c>
    </row>
    <row r="654" spans="11:12" ht="12.75">
      <c r="K654">
        <v>7203</v>
      </c>
      <c r="L654" t="s">
        <v>831</v>
      </c>
    </row>
    <row r="655" spans="11:12" ht="12.75">
      <c r="K655">
        <v>7300</v>
      </c>
      <c r="L655" t="s">
        <v>1425</v>
      </c>
    </row>
    <row r="656" spans="11:12" ht="12.75">
      <c r="K656">
        <v>7301</v>
      </c>
      <c r="L656" t="s">
        <v>832</v>
      </c>
    </row>
    <row r="657" spans="11:12" ht="12.75">
      <c r="K657">
        <v>7302</v>
      </c>
      <c r="L657" t="s">
        <v>1426</v>
      </c>
    </row>
    <row r="658" spans="11:12" ht="12.75">
      <c r="K658">
        <v>7303</v>
      </c>
      <c r="L658" t="s">
        <v>1426</v>
      </c>
    </row>
    <row r="659" spans="11:12" ht="12.75">
      <c r="K659">
        <v>7305</v>
      </c>
      <c r="L659" t="s">
        <v>1427</v>
      </c>
    </row>
    <row r="660" spans="11:12" ht="12.75">
      <c r="K660">
        <v>7306</v>
      </c>
      <c r="L660" t="s">
        <v>1426</v>
      </c>
    </row>
    <row r="661" spans="11:12" ht="12.75">
      <c r="K661">
        <v>7308</v>
      </c>
      <c r="L661" t="s">
        <v>1428</v>
      </c>
    </row>
    <row r="662" spans="11:12" ht="12.75">
      <c r="K662">
        <v>7309</v>
      </c>
      <c r="L662" t="s">
        <v>1426</v>
      </c>
    </row>
    <row r="663" spans="11:12" ht="12.75">
      <c r="K663">
        <v>7400</v>
      </c>
      <c r="L663" t="s">
        <v>833</v>
      </c>
    </row>
    <row r="664" spans="11:12" ht="12.75">
      <c r="K664">
        <v>7401</v>
      </c>
      <c r="L664" t="s">
        <v>833</v>
      </c>
    </row>
    <row r="665" spans="11:12" ht="12.75">
      <c r="K665">
        <v>7402</v>
      </c>
      <c r="L665" t="s">
        <v>1429</v>
      </c>
    </row>
    <row r="666" spans="11:12" ht="12.75">
      <c r="K666">
        <v>7403</v>
      </c>
      <c r="L666" t="s">
        <v>1429</v>
      </c>
    </row>
    <row r="667" spans="11:12" ht="12.75">
      <c r="K667">
        <v>7404</v>
      </c>
      <c r="L667" t="s">
        <v>1429</v>
      </c>
    </row>
    <row r="668" spans="11:12" ht="12.75">
      <c r="K668">
        <v>7405</v>
      </c>
      <c r="L668" t="s">
        <v>1429</v>
      </c>
    </row>
    <row r="669" spans="11:12" ht="12.75">
      <c r="K669">
        <v>7406</v>
      </c>
      <c r="L669" t="s">
        <v>1429</v>
      </c>
    </row>
    <row r="670" spans="11:12" ht="12.75">
      <c r="K670">
        <v>7407</v>
      </c>
      <c r="L670" t="s">
        <v>1429</v>
      </c>
    </row>
    <row r="671" spans="11:12" ht="12.75">
      <c r="K671">
        <v>7408</v>
      </c>
      <c r="L671" t="s">
        <v>1429</v>
      </c>
    </row>
    <row r="672" spans="11:12" ht="12.75">
      <c r="K672">
        <v>7409</v>
      </c>
      <c r="L672" t="s">
        <v>1429</v>
      </c>
    </row>
    <row r="673" spans="11:12" ht="12.75">
      <c r="K673">
        <v>7420</v>
      </c>
      <c r="L673" t="s">
        <v>1429</v>
      </c>
    </row>
    <row r="674" spans="11:12" ht="12.75">
      <c r="K674">
        <v>7557</v>
      </c>
      <c r="L674" t="s">
        <v>1430</v>
      </c>
    </row>
    <row r="675" spans="11:12" ht="12.75">
      <c r="K675">
        <v>7570</v>
      </c>
      <c r="L675" t="s">
        <v>834</v>
      </c>
    </row>
    <row r="676" spans="11:12" ht="12.75">
      <c r="K676">
        <v>7571</v>
      </c>
      <c r="L676" t="s">
        <v>1431</v>
      </c>
    </row>
    <row r="677" spans="11:12" ht="12.75">
      <c r="K677">
        <v>7600</v>
      </c>
      <c r="L677" t="s">
        <v>835</v>
      </c>
    </row>
    <row r="678" spans="11:12" ht="12.75">
      <c r="K678">
        <v>7601</v>
      </c>
      <c r="L678" t="s">
        <v>1432</v>
      </c>
    </row>
    <row r="679" spans="11:12" ht="12.75">
      <c r="K679">
        <v>7602</v>
      </c>
      <c r="L679" t="s">
        <v>1433</v>
      </c>
    </row>
    <row r="680" spans="11:12" ht="12.75">
      <c r="K680">
        <v>7603</v>
      </c>
      <c r="L680" t="s">
        <v>1434</v>
      </c>
    </row>
    <row r="681" spans="11:12" ht="12.75">
      <c r="K681">
        <v>7604</v>
      </c>
      <c r="L681" t="s">
        <v>1435</v>
      </c>
    </row>
    <row r="682" spans="11:12" ht="12.75">
      <c r="K682">
        <v>7605</v>
      </c>
      <c r="L682" t="s">
        <v>1436</v>
      </c>
    </row>
    <row r="683" spans="11:12" ht="12.75">
      <c r="K683">
        <v>7606</v>
      </c>
      <c r="L683" t="s">
        <v>1437</v>
      </c>
    </row>
    <row r="684" spans="11:12" ht="12.75">
      <c r="K684">
        <v>7607</v>
      </c>
      <c r="L684" t="s">
        <v>1438</v>
      </c>
    </row>
    <row r="685" spans="11:12" ht="12.75">
      <c r="K685">
        <v>7608</v>
      </c>
      <c r="L685" t="s">
        <v>1439</v>
      </c>
    </row>
    <row r="686" spans="11:12" ht="12.75">
      <c r="K686">
        <v>7609</v>
      </c>
      <c r="L686" t="s">
        <v>1440</v>
      </c>
    </row>
    <row r="687" spans="11:12" ht="12.75">
      <c r="K687">
        <v>7610</v>
      </c>
      <c r="L687" t="s">
        <v>1441</v>
      </c>
    </row>
    <row r="688" spans="11:12" ht="12.75">
      <c r="K688">
        <v>7611</v>
      </c>
      <c r="L688" t="s">
        <v>1442</v>
      </c>
    </row>
    <row r="689" spans="11:12" ht="12.75">
      <c r="K689">
        <v>7612</v>
      </c>
      <c r="L689" t="s">
        <v>835</v>
      </c>
    </row>
    <row r="690" spans="11:12" ht="12.75">
      <c r="K690">
        <v>7613</v>
      </c>
      <c r="L690" t="s">
        <v>1443</v>
      </c>
    </row>
    <row r="691" spans="11:12" ht="12.75">
      <c r="K691">
        <v>7614</v>
      </c>
      <c r="L691" t="s">
        <v>835</v>
      </c>
    </row>
    <row r="692" spans="11:12" ht="12.75">
      <c r="K692">
        <v>7615</v>
      </c>
      <c r="L692" t="s">
        <v>1444</v>
      </c>
    </row>
    <row r="693" spans="11:12" ht="12.75">
      <c r="K693">
        <v>7616</v>
      </c>
      <c r="L693" t="s">
        <v>835</v>
      </c>
    </row>
    <row r="694" spans="11:12" ht="12.75">
      <c r="K694">
        <v>7617</v>
      </c>
      <c r="L694" t="s">
        <v>1445</v>
      </c>
    </row>
    <row r="695" spans="11:12" ht="12.75">
      <c r="K695">
        <v>7618</v>
      </c>
      <c r="L695" t="s">
        <v>1446</v>
      </c>
    </row>
    <row r="696" spans="11:12" ht="12.75">
      <c r="K696">
        <v>7619</v>
      </c>
      <c r="L696" t="s">
        <v>1447</v>
      </c>
    </row>
    <row r="697" spans="11:12" ht="12.75">
      <c r="K697">
        <v>7621</v>
      </c>
      <c r="L697" t="s">
        <v>835</v>
      </c>
    </row>
    <row r="698" spans="11:12" ht="12.75">
      <c r="K698">
        <v>7622</v>
      </c>
      <c r="L698" t="s">
        <v>835</v>
      </c>
    </row>
    <row r="699" spans="11:12" ht="12.75">
      <c r="K699">
        <v>7623</v>
      </c>
      <c r="L699" t="s">
        <v>835</v>
      </c>
    </row>
    <row r="700" spans="11:12" ht="12.75">
      <c r="K700">
        <v>7624</v>
      </c>
      <c r="L700" t="s">
        <v>835</v>
      </c>
    </row>
    <row r="701" spans="11:12" ht="12.75">
      <c r="K701">
        <v>7625</v>
      </c>
      <c r="L701" t="s">
        <v>835</v>
      </c>
    </row>
    <row r="702" spans="11:12" ht="12.75">
      <c r="K702">
        <v>7626</v>
      </c>
      <c r="L702" t="s">
        <v>835</v>
      </c>
    </row>
    <row r="703" spans="11:12" ht="12.75">
      <c r="K703">
        <v>7627</v>
      </c>
      <c r="L703" t="s">
        <v>835</v>
      </c>
    </row>
    <row r="704" spans="11:12" ht="12.75">
      <c r="K704">
        <v>7628</v>
      </c>
      <c r="L704" t="s">
        <v>835</v>
      </c>
    </row>
    <row r="705" spans="11:12" ht="12.75">
      <c r="K705">
        <v>7629</v>
      </c>
      <c r="L705" t="s">
        <v>835</v>
      </c>
    </row>
    <row r="706" spans="11:12" ht="12.75">
      <c r="K706">
        <v>7630</v>
      </c>
      <c r="L706" t="s">
        <v>835</v>
      </c>
    </row>
    <row r="707" spans="11:12" ht="12.75">
      <c r="K707">
        <v>7631</v>
      </c>
      <c r="L707" t="s">
        <v>835</v>
      </c>
    </row>
    <row r="708" spans="11:12" ht="12.75">
      <c r="K708">
        <v>7632</v>
      </c>
      <c r="L708" t="s">
        <v>835</v>
      </c>
    </row>
    <row r="709" spans="11:12" ht="12.75">
      <c r="K709">
        <v>7633</v>
      </c>
      <c r="L709" t="s">
        <v>835</v>
      </c>
    </row>
    <row r="710" spans="11:12" ht="12.75">
      <c r="K710">
        <v>7634</v>
      </c>
      <c r="L710" t="s">
        <v>835</v>
      </c>
    </row>
    <row r="711" spans="11:12" ht="12.75">
      <c r="K711">
        <v>7635</v>
      </c>
      <c r="L711" t="s">
        <v>835</v>
      </c>
    </row>
    <row r="712" spans="11:12" ht="12.75">
      <c r="K712">
        <v>7636</v>
      </c>
      <c r="L712" t="s">
        <v>835</v>
      </c>
    </row>
    <row r="713" spans="11:12" ht="12.75">
      <c r="K713">
        <v>7643</v>
      </c>
      <c r="L713" t="s">
        <v>1448</v>
      </c>
    </row>
    <row r="714" spans="11:12" ht="12.75">
      <c r="K714">
        <v>7644</v>
      </c>
      <c r="L714" t="s">
        <v>1448</v>
      </c>
    </row>
    <row r="715" spans="11:12" ht="12.75">
      <c r="K715">
        <v>7645</v>
      </c>
      <c r="L715" t="s">
        <v>1448</v>
      </c>
    </row>
    <row r="716" spans="11:12" ht="12.75">
      <c r="K716">
        <v>7646</v>
      </c>
      <c r="L716" t="s">
        <v>1448</v>
      </c>
    </row>
    <row r="717" spans="11:12" ht="12.75">
      <c r="K717">
        <v>7647</v>
      </c>
      <c r="L717" t="s">
        <v>1448</v>
      </c>
    </row>
    <row r="718" spans="11:12" ht="12.75">
      <c r="K718">
        <v>7648</v>
      </c>
      <c r="L718" t="s">
        <v>1448</v>
      </c>
    </row>
    <row r="719" spans="11:12" ht="12.75">
      <c r="K719">
        <v>7650</v>
      </c>
      <c r="L719" t="s">
        <v>1448</v>
      </c>
    </row>
    <row r="720" spans="11:12" ht="12.75">
      <c r="K720">
        <v>7680</v>
      </c>
      <c r="L720" t="s">
        <v>1448</v>
      </c>
    </row>
    <row r="721" spans="11:12" ht="12.75">
      <c r="K721">
        <v>7691</v>
      </c>
      <c r="L721" t="s">
        <v>1449</v>
      </c>
    </row>
    <row r="722" spans="11:12" ht="12.75">
      <c r="K722">
        <v>7693</v>
      </c>
      <c r="L722" t="s">
        <v>1450</v>
      </c>
    </row>
    <row r="723" spans="11:12" ht="12.75">
      <c r="K723">
        <v>7801</v>
      </c>
      <c r="L723" t="s">
        <v>1451</v>
      </c>
    </row>
    <row r="724" spans="11:12" ht="12.75">
      <c r="K724">
        <v>7802</v>
      </c>
      <c r="L724" t="s">
        <v>1451</v>
      </c>
    </row>
    <row r="725" spans="11:12" ht="12.75">
      <c r="K725">
        <v>7818</v>
      </c>
      <c r="L725" t="s">
        <v>1452</v>
      </c>
    </row>
    <row r="726" spans="11:12" ht="12.75">
      <c r="K726">
        <v>7900</v>
      </c>
      <c r="L726" t="s">
        <v>836</v>
      </c>
    </row>
    <row r="727" spans="11:12" ht="12.75">
      <c r="K727">
        <v>7901</v>
      </c>
      <c r="L727" t="s">
        <v>1453</v>
      </c>
    </row>
    <row r="728" spans="11:12" ht="12.75">
      <c r="K728">
        <v>8000</v>
      </c>
      <c r="L728" t="s">
        <v>837</v>
      </c>
    </row>
    <row r="729" spans="11:12" ht="12.75">
      <c r="K729">
        <v>8001</v>
      </c>
      <c r="L729" t="s">
        <v>837</v>
      </c>
    </row>
    <row r="730" spans="11:12" ht="12.75">
      <c r="K730">
        <v>8002</v>
      </c>
      <c r="L730" t="s">
        <v>837</v>
      </c>
    </row>
    <row r="731" spans="11:12" ht="12.75">
      <c r="K731">
        <v>8003</v>
      </c>
      <c r="L731" t="s">
        <v>837</v>
      </c>
    </row>
    <row r="732" spans="11:12" ht="12.75">
      <c r="K732">
        <v>8004</v>
      </c>
      <c r="L732" t="s">
        <v>837</v>
      </c>
    </row>
    <row r="733" spans="11:12" ht="12.75">
      <c r="K733">
        <v>8005</v>
      </c>
      <c r="L733" t="s">
        <v>837</v>
      </c>
    </row>
    <row r="734" spans="11:12" ht="12.75">
      <c r="K734">
        <v>8006</v>
      </c>
      <c r="L734" t="s">
        <v>1454</v>
      </c>
    </row>
    <row r="735" spans="11:12" ht="12.75">
      <c r="K735">
        <v>8007</v>
      </c>
      <c r="L735" t="s">
        <v>837</v>
      </c>
    </row>
    <row r="736" spans="11:12" ht="12.75">
      <c r="K736">
        <v>8008</v>
      </c>
      <c r="L736" t="s">
        <v>837</v>
      </c>
    </row>
    <row r="737" spans="11:12" ht="12.75">
      <c r="K737">
        <v>8011</v>
      </c>
      <c r="L737" t="s">
        <v>1454</v>
      </c>
    </row>
    <row r="738" spans="11:12" ht="12.75">
      <c r="K738">
        <v>8019</v>
      </c>
      <c r="L738" t="s">
        <v>1455</v>
      </c>
    </row>
    <row r="739" spans="11:12" ht="12.75">
      <c r="K739">
        <v>8020</v>
      </c>
      <c r="L739" t="s">
        <v>1454</v>
      </c>
    </row>
    <row r="740" spans="11:12" ht="12.75">
      <c r="K740">
        <v>8050</v>
      </c>
      <c r="L740" t="s">
        <v>1454</v>
      </c>
    </row>
    <row r="741" spans="11:12" ht="12.75">
      <c r="K741">
        <v>8060</v>
      </c>
      <c r="L741" t="s">
        <v>838</v>
      </c>
    </row>
    <row r="742" spans="11:12" ht="12.75">
      <c r="K742">
        <v>8061</v>
      </c>
      <c r="L742" t="s">
        <v>1456</v>
      </c>
    </row>
    <row r="743" spans="11:12" ht="12.75">
      <c r="K743">
        <v>8062</v>
      </c>
      <c r="L743" t="s">
        <v>1456</v>
      </c>
    </row>
    <row r="744" spans="11:12" ht="12.75">
      <c r="K744">
        <v>8200</v>
      </c>
      <c r="L744" t="s">
        <v>839</v>
      </c>
    </row>
    <row r="745" spans="11:12" ht="12.75">
      <c r="K745">
        <v>8201</v>
      </c>
      <c r="L745" t="s">
        <v>1457</v>
      </c>
    </row>
    <row r="746" spans="11:12" ht="12.75">
      <c r="K746">
        <v>8202</v>
      </c>
      <c r="L746" t="s">
        <v>1458</v>
      </c>
    </row>
    <row r="747" spans="11:12" ht="12.75">
      <c r="K747">
        <v>8203</v>
      </c>
      <c r="L747" t="s">
        <v>1459</v>
      </c>
    </row>
    <row r="748" spans="11:12" ht="12.75">
      <c r="K748">
        <v>8204</v>
      </c>
      <c r="L748" t="s">
        <v>1460</v>
      </c>
    </row>
    <row r="749" spans="11:12" ht="12.75">
      <c r="K749">
        <v>8205</v>
      </c>
      <c r="L749" t="s">
        <v>1461</v>
      </c>
    </row>
    <row r="750" spans="11:12" ht="12.75">
      <c r="K750">
        <v>8206</v>
      </c>
      <c r="L750" t="s">
        <v>1462</v>
      </c>
    </row>
    <row r="751" spans="11:12" ht="12.75">
      <c r="K751">
        <v>8207</v>
      </c>
      <c r="L751" t="s">
        <v>1463</v>
      </c>
    </row>
    <row r="752" spans="11:12" ht="12.75">
      <c r="K752">
        <v>8210</v>
      </c>
      <c r="L752" t="s">
        <v>1464</v>
      </c>
    </row>
    <row r="753" spans="11:12" ht="12.75">
      <c r="K753">
        <v>8297</v>
      </c>
      <c r="L753" t="s">
        <v>1465</v>
      </c>
    </row>
    <row r="754" spans="11:12" ht="12.75">
      <c r="K754">
        <v>8300</v>
      </c>
      <c r="L754" t="s">
        <v>840</v>
      </c>
    </row>
    <row r="755" spans="11:12" ht="12.75">
      <c r="K755">
        <v>8301</v>
      </c>
      <c r="L755" t="s">
        <v>1466</v>
      </c>
    </row>
    <row r="756" spans="11:12" ht="12.75">
      <c r="K756">
        <v>8302</v>
      </c>
      <c r="L756" t="s">
        <v>1466</v>
      </c>
    </row>
    <row r="757" spans="11:12" ht="12.75">
      <c r="K757">
        <v>8303</v>
      </c>
      <c r="L757" t="s">
        <v>1466</v>
      </c>
    </row>
    <row r="758" spans="11:12" ht="12.75">
      <c r="K758">
        <v>8360</v>
      </c>
      <c r="L758" t="s">
        <v>841</v>
      </c>
    </row>
    <row r="759" spans="11:12" ht="12.75">
      <c r="K759">
        <v>8361</v>
      </c>
      <c r="L759" t="s">
        <v>1467</v>
      </c>
    </row>
    <row r="760" spans="11:12" ht="12.75">
      <c r="K760">
        <v>8362</v>
      </c>
      <c r="L760" t="s">
        <v>1467</v>
      </c>
    </row>
    <row r="761" spans="11:12" ht="12.75">
      <c r="K761">
        <v>8363</v>
      </c>
      <c r="L761" t="s">
        <v>1467</v>
      </c>
    </row>
    <row r="762" spans="11:12" ht="12.75">
      <c r="K762">
        <v>8364</v>
      </c>
      <c r="L762" t="s">
        <v>1467</v>
      </c>
    </row>
    <row r="763" spans="11:12" ht="12.75">
      <c r="K763">
        <v>8400</v>
      </c>
      <c r="L763" t="s">
        <v>842</v>
      </c>
    </row>
    <row r="764" spans="11:12" ht="12.75">
      <c r="K764">
        <v>8401</v>
      </c>
      <c r="L764" t="s">
        <v>1468</v>
      </c>
    </row>
    <row r="765" spans="11:12" ht="12.75">
      <c r="K765">
        <v>8403</v>
      </c>
      <c r="L765" t="s">
        <v>1468</v>
      </c>
    </row>
    <row r="766" spans="11:12" ht="12.75">
      <c r="K766">
        <v>8404</v>
      </c>
      <c r="L766" t="s">
        <v>1468</v>
      </c>
    </row>
    <row r="767" spans="11:12" ht="12.75">
      <c r="K767">
        <v>8408</v>
      </c>
      <c r="L767" t="s">
        <v>1469</v>
      </c>
    </row>
    <row r="768" spans="11:12" ht="12.75">
      <c r="K768">
        <v>8411</v>
      </c>
      <c r="L768" t="s">
        <v>1470</v>
      </c>
    </row>
    <row r="769" spans="11:12" ht="12.75">
      <c r="K769">
        <v>8412</v>
      </c>
      <c r="L769" t="s">
        <v>1471</v>
      </c>
    </row>
    <row r="770" spans="11:12" ht="12.75">
      <c r="K770">
        <v>8447</v>
      </c>
      <c r="L770" t="s">
        <v>1472</v>
      </c>
    </row>
    <row r="771" spans="11:12" ht="12.75">
      <c r="K771">
        <v>8448</v>
      </c>
      <c r="L771" t="s">
        <v>1473</v>
      </c>
    </row>
    <row r="772" spans="11:12" ht="12.75">
      <c r="K772">
        <v>8451</v>
      </c>
      <c r="L772" t="s">
        <v>1474</v>
      </c>
    </row>
    <row r="773" spans="11:12" ht="12.75">
      <c r="K773">
        <v>8500</v>
      </c>
      <c r="L773" t="s">
        <v>843</v>
      </c>
    </row>
    <row r="774" spans="11:12" ht="12.75">
      <c r="K774">
        <v>8501</v>
      </c>
      <c r="L774" t="s">
        <v>1475</v>
      </c>
    </row>
    <row r="775" spans="11:12" ht="12.75">
      <c r="K775">
        <v>8502</v>
      </c>
      <c r="L775" t="s">
        <v>1475</v>
      </c>
    </row>
    <row r="776" spans="11:12" ht="12.75">
      <c r="K776">
        <v>8503</v>
      </c>
      <c r="L776" t="s">
        <v>1475</v>
      </c>
    </row>
    <row r="777" spans="11:12" ht="12.75">
      <c r="K777">
        <v>8505</v>
      </c>
      <c r="L777" t="s">
        <v>1475</v>
      </c>
    </row>
    <row r="778" spans="11:12" ht="12.75">
      <c r="K778">
        <v>8510</v>
      </c>
      <c r="L778" t="s">
        <v>1475</v>
      </c>
    </row>
    <row r="779" spans="11:12" ht="12.75">
      <c r="K779">
        <v>8511</v>
      </c>
      <c r="L779" t="s">
        <v>1476</v>
      </c>
    </row>
    <row r="780" spans="11:12" ht="12.75">
      <c r="K780">
        <v>8591</v>
      </c>
      <c r="L780" t="s">
        <v>1477</v>
      </c>
    </row>
    <row r="781" spans="11:12" ht="12.75">
      <c r="K781">
        <v>8598</v>
      </c>
      <c r="L781" t="s">
        <v>1478</v>
      </c>
    </row>
    <row r="782" spans="11:12" ht="12.75">
      <c r="K782">
        <v>8600</v>
      </c>
      <c r="L782" t="s">
        <v>844</v>
      </c>
    </row>
    <row r="783" spans="11:12" ht="12.75">
      <c r="K783">
        <v>8601</v>
      </c>
      <c r="L783" t="s">
        <v>1479</v>
      </c>
    </row>
    <row r="784" spans="11:12" ht="12.75">
      <c r="K784">
        <v>8602</v>
      </c>
      <c r="L784" t="s">
        <v>1479</v>
      </c>
    </row>
    <row r="785" spans="11:12" ht="12.75">
      <c r="K785">
        <v>8604</v>
      </c>
      <c r="L785" t="s">
        <v>1479</v>
      </c>
    </row>
    <row r="786" spans="11:12" ht="12.75">
      <c r="K786">
        <v>8609</v>
      </c>
      <c r="L786" t="s">
        <v>1480</v>
      </c>
    </row>
    <row r="787" spans="11:12" ht="12.75">
      <c r="K787">
        <v>8611</v>
      </c>
      <c r="L787" t="s">
        <v>1481</v>
      </c>
    </row>
    <row r="788" spans="11:12" ht="12.75">
      <c r="K788">
        <v>8700</v>
      </c>
      <c r="L788" t="s">
        <v>1482</v>
      </c>
    </row>
    <row r="789" spans="11:12" ht="12.75">
      <c r="K789">
        <v>8701</v>
      </c>
      <c r="L789" t="s">
        <v>1482</v>
      </c>
    </row>
    <row r="790" spans="11:12" ht="12.75">
      <c r="K790">
        <v>8709</v>
      </c>
      <c r="L790" t="s">
        <v>1483</v>
      </c>
    </row>
    <row r="791" spans="11:12" ht="12.75">
      <c r="K791">
        <v>8800</v>
      </c>
      <c r="L791" t="s">
        <v>845</v>
      </c>
    </row>
    <row r="792" spans="11:12" ht="12.75">
      <c r="K792">
        <v>8801</v>
      </c>
      <c r="L792" t="s">
        <v>845</v>
      </c>
    </row>
    <row r="793" spans="11:12" ht="12.75">
      <c r="K793">
        <v>8802</v>
      </c>
      <c r="L793" t="s">
        <v>845</v>
      </c>
    </row>
    <row r="794" spans="11:12" ht="12.75">
      <c r="K794">
        <v>8803</v>
      </c>
      <c r="L794" t="s">
        <v>1484</v>
      </c>
    </row>
    <row r="795" spans="11:12" ht="12.75">
      <c r="K795">
        <v>8804</v>
      </c>
      <c r="L795" t="s">
        <v>1484</v>
      </c>
    </row>
    <row r="796" spans="11:12" ht="12.75">
      <c r="K796">
        <v>8808</v>
      </c>
      <c r="L796" t="s">
        <v>1485</v>
      </c>
    </row>
    <row r="797" spans="11:12" ht="12.75">
      <c r="K797">
        <v>8809</v>
      </c>
      <c r="L797" t="s">
        <v>1486</v>
      </c>
    </row>
    <row r="798" spans="11:12" ht="12.75">
      <c r="K798">
        <v>8811</v>
      </c>
      <c r="L798" t="s">
        <v>845</v>
      </c>
    </row>
    <row r="799" spans="11:12" ht="12.75">
      <c r="K799">
        <v>8831</v>
      </c>
      <c r="L799" t="s">
        <v>1487</v>
      </c>
    </row>
    <row r="800" spans="11:12" ht="12.75">
      <c r="K800">
        <v>8900</v>
      </c>
      <c r="L800" t="s">
        <v>846</v>
      </c>
    </row>
    <row r="801" spans="11:12" ht="12.75">
      <c r="K801">
        <v>8901</v>
      </c>
      <c r="L801" t="s">
        <v>1488</v>
      </c>
    </row>
    <row r="802" spans="11:12" ht="12.75">
      <c r="K802">
        <v>8902</v>
      </c>
      <c r="L802" t="s">
        <v>1489</v>
      </c>
    </row>
    <row r="803" spans="11:12" ht="12.75">
      <c r="K803">
        <v>8903</v>
      </c>
      <c r="L803" t="s">
        <v>1490</v>
      </c>
    </row>
    <row r="804" spans="11:12" ht="12.75">
      <c r="K804">
        <v>8904</v>
      </c>
      <c r="L804" t="s">
        <v>1491</v>
      </c>
    </row>
    <row r="805" spans="11:12" ht="12.75">
      <c r="K805">
        <v>8905</v>
      </c>
      <c r="L805" t="s">
        <v>846</v>
      </c>
    </row>
    <row r="806" spans="11:12" ht="12.75">
      <c r="K806">
        <v>8906</v>
      </c>
      <c r="L806" t="s">
        <v>1492</v>
      </c>
    </row>
    <row r="807" spans="11:12" ht="12.75">
      <c r="K807">
        <v>8907</v>
      </c>
      <c r="L807" t="s">
        <v>1493</v>
      </c>
    </row>
    <row r="808" spans="11:12" ht="12.75">
      <c r="K808">
        <v>8908</v>
      </c>
      <c r="L808" t="s">
        <v>1494</v>
      </c>
    </row>
    <row r="809" spans="11:12" ht="12.75">
      <c r="K809">
        <v>8909</v>
      </c>
      <c r="L809" t="s">
        <v>1495</v>
      </c>
    </row>
    <row r="810" spans="11:12" ht="12.75">
      <c r="K810">
        <v>8960</v>
      </c>
      <c r="L810" t="s">
        <v>847</v>
      </c>
    </row>
    <row r="811" spans="11:12" ht="12.75">
      <c r="K811">
        <v>8961</v>
      </c>
      <c r="L811" t="s">
        <v>1496</v>
      </c>
    </row>
    <row r="812" spans="11:12" ht="12.75">
      <c r="K812">
        <v>8966</v>
      </c>
      <c r="L812" t="s">
        <v>1497</v>
      </c>
    </row>
    <row r="813" spans="11:12" ht="12.75">
      <c r="K813">
        <v>9000</v>
      </c>
      <c r="L813" t="s">
        <v>848</v>
      </c>
    </row>
    <row r="814" spans="11:12" ht="12.75">
      <c r="K814">
        <v>9001</v>
      </c>
      <c r="L814" t="s">
        <v>1498</v>
      </c>
    </row>
    <row r="815" spans="11:12" ht="12.75">
      <c r="K815">
        <v>9002</v>
      </c>
      <c r="L815" t="s">
        <v>1499</v>
      </c>
    </row>
    <row r="816" spans="11:12" ht="12.75">
      <c r="K816">
        <v>9003</v>
      </c>
      <c r="L816" t="s">
        <v>1500</v>
      </c>
    </row>
    <row r="817" spans="11:12" ht="12.75">
      <c r="K817">
        <v>9004</v>
      </c>
      <c r="L817" t="s">
        <v>1501</v>
      </c>
    </row>
    <row r="818" spans="11:12" ht="12.75">
      <c r="K818">
        <v>9005</v>
      </c>
      <c r="L818" t="s">
        <v>1502</v>
      </c>
    </row>
    <row r="819" spans="11:12" ht="12.75">
      <c r="K819">
        <v>9006</v>
      </c>
      <c r="L819" t="s">
        <v>1503</v>
      </c>
    </row>
    <row r="820" spans="11:12" ht="12.75">
      <c r="K820">
        <v>9007</v>
      </c>
      <c r="L820" t="s">
        <v>1504</v>
      </c>
    </row>
    <row r="821" spans="11:12" ht="12.75">
      <c r="K821">
        <v>9008</v>
      </c>
      <c r="L821" t="s">
        <v>1505</v>
      </c>
    </row>
    <row r="822" spans="11:12" ht="12.75">
      <c r="K822">
        <v>9009</v>
      </c>
      <c r="L822" t="s">
        <v>1506</v>
      </c>
    </row>
    <row r="823" spans="11:12" ht="12.75">
      <c r="K823">
        <v>9010</v>
      </c>
      <c r="L823" t="s">
        <v>1507</v>
      </c>
    </row>
    <row r="824" spans="11:12" ht="12.75">
      <c r="K824">
        <v>9011</v>
      </c>
      <c r="L824" t="s">
        <v>1508</v>
      </c>
    </row>
    <row r="825" spans="11:12" ht="12.75">
      <c r="K825">
        <v>9012</v>
      </c>
      <c r="L825" t="s">
        <v>1509</v>
      </c>
    </row>
    <row r="826" spans="11:12" ht="12.75">
      <c r="K826">
        <v>9013</v>
      </c>
      <c r="L826" t="s">
        <v>1507</v>
      </c>
    </row>
    <row r="827" spans="11:12" ht="12.75">
      <c r="K827">
        <v>9019</v>
      </c>
      <c r="L827" t="s">
        <v>1510</v>
      </c>
    </row>
    <row r="828" spans="11:12" ht="12.75">
      <c r="K828">
        <v>9020</v>
      </c>
      <c r="L828" t="s">
        <v>1507</v>
      </c>
    </row>
    <row r="829" spans="11:12" ht="12.75">
      <c r="K829">
        <v>9021</v>
      </c>
      <c r="L829" t="s">
        <v>848</v>
      </c>
    </row>
    <row r="830" spans="11:12" ht="12.75">
      <c r="K830">
        <v>9022</v>
      </c>
      <c r="L830" t="s">
        <v>848</v>
      </c>
    </row>
    <row r="831" spans="11:12" ht="12.75">
      <c r="K831">
        <v>9023</v>
      </c>
      <c r="L831" t="s">
        <v>848</v>
      </c>
    </row>
    <row r="832" spans="11:12" ht="12.75">
      <c r="K832">
        <v>9024</v>
      </c>
      <c r="L832" t="s">
        <v>848</v>
      </c>
    </row>
    <row r="833" spans="11:12" ht="12.75">
      <c r="K833">
        <v>9025</v>
      </c>
      <c r="L833" t="s">
        <v>848</v>
      </c>
    </row>
    <row r="834" spans="11:12" ht="12.75">
      <c r="K834">
        <v>9026</v>
      </c>
      <c r="L834" t="s">
        <v>848</v>
      </c>
    </row>
    <row r="835" spans="11:12" ht="12.75">
      <c r="K835">
        <v>9027</v>
      </c>
      <c r="L835" t="s">
        <v>848</v>
      </c>
    </row>
    <row r="836" spans="11:12" ht="12.75">
      <c r="K836">
        <v>9028</v>
      </c>
      <c r="L836" t="s">
        <v>848</v>
      </c>
    </row>
    <row r="837" spans="11:12" ht="12.75">
      <c r="K837">
        <v>9029</v>
      </c>
      <c r="L837" t="s">
        <v>848</v>
      </c>
    </row>
    <row r="838" spans="11:12" ht="12.75">
      <c r="K838">
        <v>9030</v>
      </c>
      <c r="L838" t="s">
        <v>848</v>
      </c>
    </row>
    <row r="839" spans="11:12" ht="12.75">
      <c r="K839">
        <v>9200</v>
      </c>
      <c r="L839" t="s">
        <v>849</v>
      </c>
    </row>
    <row r="840" spans="11:12" ht="12.75">
      <c r="K840">
        <v>9201</v>
      </c>
      <c r="L840" t="s">
        <v>1511</v>
      </c>
    </row>
    <row r="841" spans="11:12" ht="12.75">
      <c r="K841">
        <v>9202</v>
      </c>
      <c r="L841" t="s">
        <v>1511</v>
      </c>
    </row>
    <row r="842" spans="11:12" ht="12.75">
      <c r="K842">
        <v>9203</v>
      </c>
      <c r="L842" t="s">
        <v>1511</v>
      </c>
    </row>
    <row r="843" spans="11:12" ht="12.75">
      <c r="K843">
        <v>9300</v>
      </c>
      <c r="L843" t="s">
        <v>850</v>
      </c>
    </row>
    <row r="844" spans="11:12" ht="12.75">
      <c r="K844">
        <v>9301</v>
      </c>
      <c r="L844" t="s">
        <v>1512</v>
      </c>
    </row>
    <row r="845" spans="11:12" ht="12.75">
      <c r="K845">
        <v>9400</v>
      </c>
      <c r="L845" t="s">
        <v>851</v>
      </c>
    </row>
    <row r="846" spans="11:12" ht="12.75">
      <c r="K846">
        <v>9401</v>
      </c>
      <c r="L846" t="s">
        <v>1513</v>
      </c>
    </row>
    <row r="847" spans="11:12" ht="12.75">
      <c r="K847">
        <v>9402</v>
      </c>
      <c r="L847" t="s">
        <v>1514</v>
      </c>
    </row>
    <row r="848" spans="11:12" ht="12.75">
      <c r="K848">
        <v>9403</v>
      </c>
      <c r="L848" t="s">
        <v>1515</v>
      </c>
    </row>
    <row r="849" spans="11:12" ht="12.75">
      <c r="K849">
        <v>9404</v>
      </c>
      <c r="L849" t="s">
        <v>1516</v>
      </c>
    </row>
    <row r="850" spans="11:12" ht="12.75">
      <c r="K850">
        <v>9405</v>
      </c>
      <c r="L850" t="s">
        <v>1517</v>
      </c>
    </row>
    <row r="851" spans="11:12" ht="12.75">
      <c r="K851">
        <v>9406</v>
      </c>
      <c r="L851" t="s">
        <v>1518</v>
      </c>
    </row>
    <row r="852" spans="11:12" ht="12.75">
      <c r="K852">
        <v>9407</v>
      </c>
      <c r="L852" t="s">
        <v>1519</v>
      </c>
    </row>
    <row r="853" spans="11:12" ht="12.75">
      <c r="K853">
        <v>9408</v>
      </c>
      <c r="L853" t="s">
        <v>1520</v>
      </c>
    </row>
    <row r="854" spans="11:12" ht="12.75">
      <c r="K854">
        <v>9409</v>
      </c>
      <c r="L854" t="s">
        <v>1521</v>
      </c>
    </row>
    <row r="855" spans="11:12" ht="12.75">
      <c r="K855">
        <v>9494</v>
      </c>
      <c r="L855" t="s">
        <v>1522</v>
      </c>
    </row>
    <row r="856" spans="11:12" ht="12.75">
      <c r="K856">
        <v>9500</v>
      </c>
      <c r="L856" t="s">
        <v>852</v>
      </c>
    </row>
    <row r="857" spans="11:12" ht="12.75">
      <c r="K857">
        <v>9501</v>
      </c>
      <c r="L857" t="s">
        <v>1523</v>
      </c>
    </row>
    <row r="858" spans="11:12" ht="12.75">
      <c r="K858">
        <v>9502</v>
      </c>
      <c r="L858" t="s">
        <v>1523</v>
      </c>
    </row>
    <row r="859" spans="11:12" ht="12.75">
      <c r="K859">
        <v>9503</v>
      </c>
      <c r="L859" t="s">
        <v>1523</v>
      </c>
    </row>
    <row r="860" spans="11:12" ht="12.75">
      <c r="K860">
        <v>9541</v>
      </c>
      <c r="L860" t="s">
        <v>1524</v>
      </c>
    </row>
    <row r="861" spans="11:12" ht="12.75">
      <c r="K861">
        <v>9600</v>
      </c>
      <c r="L861" t="s">
        <v>853</v>
      </c>
    </row>
    <row r="862" spans="11:12" ht="12.75">
      <c r="K862">
        <v>9601</v>
      </c>
      <c r="L862" t="s">
        <v>1525</v>
      </c>
    </row>
    <row r="863" spans="11:12" ht="12.75">
      <c r="K863">
        <v>9602</v>
      </c>
      <c r="L863" t="s">
        <v>1525</v>
      </c>
    </row>
    <row r="864" spans="11:12" ht="12.75">
      <c r="K864">
        <v>9608</v>
      </c>
      <c r="L864" t="s">
        <v>1526</v>
      </c>
    </row>
    <row r="865" spans="11:12" ht="12.75">
      <c r="K865">
        <v>9609</v>
      </c>
      <c r="L865" t="s">
        <v>1527</v>
      </c>
    </row>
    <row r="866" spans="11:12" ht="12.75">
      <c r="K866">
        <v>9700</v>
      </c>
      <c r="L866" t="s">
        <v>854</v>
      </c>
    </row>
    <row r="867" spans="11:12" ht="12.75">
      <c r="K867">
        <v>9701</v>
      </c>
      <c r="L867" t="s">
        <v>1528</v>
      </c>
    </row>
    <row r="868" spans="11:12" ht="12.75">
      <c r="K868">
        <v>9702</v>
      </c>
      <c r="L868" t="s">
        <v>1529</v>
      </c>
    </row>
    <row r="869" spans="11:12" ht="12.75">
      <c r="K869">
        <v>9703</v>
      </c>
      <c r="L869" t="s">
        <v>1530</v>
      </c>
    </row>
    <row r="870" spans="11:12" ht="12.75">
      <c r="K870">
        <v>9704</v>
      </c>
      <c r="L870" t="s">
        <v>1531</v>
      </c>
    </row>
    <row r="871" spans="11:12" ht="12.75">
      <c r="K871">
        <v>9705</v>
      </c>
      <c r="L871" t="s">
        <v>1532</v>
      </c>
    </row>
    <row r="872" spans="11:12" ht="12.75">
      <c r="K872">
        <v>9706</v>
      </c>
      <c r="L872" t="s">
        <v>1533</v>
      </c>
    </row>
    <row r="873" spans="11:12" ht="12.75">
      <c r="K873">
        <v>9707</v>
      </c>
      <c r="L873" t="s">
        <v>1534</v>
      </c>
    </row>
    <row r="874" spans="11:12" ht="12.75">
      <c r="K874">
        <v>9708</v>
      </c>
      <c r="L874" t="s">
        <v>1535</v>
      </c>
    </row>
    <row r="875" spans="11:12" ht="12.75">
      <c r="K875">
        <v>9709</v>
      </c>
      <c r="L875" t="s">
        <v>1536</v>
      </c>
    </row>
    <row r="876" spans="11:12" ht="12.75">
      <c r="K876">
        <v>9710</v>
      </c>
      <c r="L876" t="s">
        <v>1537</v>
      </c>
    </row>
    <row r="877" spans="11:12" ht="12.75">
      <c r="K877">
        <v>9719</v>
      </c>
      <c r="L877" t="s">
        <v>1538</v>
      </c>
    </row>
    <row r="878" spans="11:12" ht="12.75">
      <c r="K878">
        <v>9900</v>
      </c>
      <c r="L878" t="s">
        <v>855</v>
      </c>
    </row>
    <row r="879" spans="11:12" ht="12.75">
      <c r="K879">
        <v>9901</v>
      </c>
      <c r="L879" t="s">
        <v>1539</v>
      </c>
    </row>
    <row r="880" spans="11:12" ht="12.75">
      <c r="K880">
        <v>9909</v>
      </c>
      <c r="L880" t="s">
        <v>1540</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Calc"/>
  <dimension ref="A1:BR302"/>
  <sheetViews>
    <sheetView zoomScale="96" zoomScaleNormal="96" zoomScalePageLayoutView="0" workbookViewId="0" topLeftCell="X15">
      <selection activeCell="AP106" sqref="AP106"/>
    </sheetView>
  </sheetViews>
  <sheetFormatPr defaultColWidth="9.140625" defaultRowHeight="12.75"/>
  <cols>
    <col min="1" max="1" width="4.421875" style="176" customWidth="1"/>
    <col min="2" max="3" width="2.57421875" style="176" customWidth="1"/>
    <col min="4" max="4" width="28.57421875" style="176" bestFit="1" customWidth="1"/>
    <col min="5" max="6" width="2.57421875" style="176" customWidth="1"/>
    <col min="7" max="7" width="4.00390625" style="176" customWidth="1"/>
    <col min="8" max="8" width="4.421875" style="176" customWidth="1"/>
    <col min="9" max="9" width="2.57421875" style="176" customWidth="1"/>
    <col min="10" max="10" width="18.140625" style="176" customWidth="1"/>
    <col min="11" max="11" width="11.140625" style="176" customWidth="1"/>
    <col min="12" max="13" width="9.140625" style="176" customWidth="1"/>
    <col min="14" max="14" width="12.7109375" style="176" customWidth="1"/>
    <col min="15" max="20" width="9.140625" style="176" customWidth="1"/>
    <col min="21" max="21" width="10.140625" style="176" customWidth="1"/>
    <col min="22" max="22" width="23.28125" style="176" customWidth="1"/>
    <col min="23" max="23" width="20.7109375" style="176" customWidth="1"/>
    <col min="24" max="24" width="22.28125" style="176" customWidth="1"/>
    <col min="25" max="25" width="23.140625" style="191" bestFit="1" customWidth="1"/>
    <col min="26" max="26" width="28.7109375" style="191" bestFit="1" customWidth="1"/>
    <col min="27" max="27" width="11.28125" style="176" bestFit="1" customWidth="1"/>
    <col min="28" max="28" width="9.140625" style="176" customWidth="1"/>
    <col min="29" max="29" width="11.28125" style="176" bestFit="1" customWidth="1"/>
    <col min="30" max="30" width="10.140625" style="176" bestFit="1" customWidth="1"/>
    <col min="31" max="31" width="10.7109375" style="176" bestFit="1" customWidth="1"/>
    <col min="32" max="32" width="16.8515625" style="176" bestFit="1" customWidth="1"/>
    <col min="33" max="35" width="9.140625" style="176" customWidth="1"/>
    <col min="36" max="36" width="11.00390625" style="176" customWidth="1"/>
    <col min="37" max="48" width="9.140625" style="176" customWidth="1"/>
    <col min="49" max="49" width="16.8515625" style="176" customWidth="1"/>
    <col min="50" max="16384" width="9.140625" style="176" customWidth="1"/>
  </cols>
  <sheetData>
    <row r="1" spans="1:70" ht="15.75">
      <c r="A1" s="211" t="s">
        <v>124</v>
      </c>
      <c r="B1" s="212"/>
      <c r="C1" s="212"/>
      <c r="D1" s="212"/>
      <c r="E1" s="212"/>
      <c r="F1" s="212"/>
      <c r="G1" s="212"/>
      <c r="H1" s="212"/>
      <c r="I1" s="212"/>
      <c r="J1" s="211" t="s">
        <v>34</v>
      </c>
      <c r="K1" s="212"/>
      <c r="L1" s="212"/>
      <c r="M1" s="212"/>
      <c r="N1" s="212"/>
      <c r="O1" s="212"/>
      <c r="P1" s="212"/>
      <c r="Q1" s="212"/>
      <c r="R1" s="212"/>
      <c r="S1" s="212"/>
      <c r="T1" s="212"/>
      <c r="U1" s="212"/>
      <c r="V1" s="213" t="s">
        <v>1021</v>
      </c>
      <c r="W1" s="211" t="s">
        <v>41</v>
      </c>
      <c r="X1" s="212"/>
      <c r="Y1" s="214"/>
      <c r="Z1" s="214"/>
      <c r="AA1" s="212"/>
      <c r="AB1" s="212"/>
      <c r="AC1" s="211"/>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row>
    <row r="2" spans="1:70" ht="15.75">
      <c r="A2" s="212">
        <v>1</v>
      </c>
      <c r="B2" s="215" t="str">
        <f>IF(A2=1,"X","")</f>
        <v>X</v>
      </c>
      <c r="C2" s="211">
        <f>IF(A2=2,"X","")</f>
      </c>
      <c r="D2" s="212" t="str">
        <f>CHOOSE(A2,"tulajdon","bérlemény")</f>
        <v>tulajdon</v>
      </c>
      <c r="E2" s="212"/>
      <c r="F2" s="212"/>
      <c r="G2" s="212"/>
      <c r="H2" s="212"/>
      <c r="I2" s="212"/>
      <c r="J2" s="212">
        <v>1</v>
      </c>
      <c r="K2" s="212" t="s">
        <v>1</v>
      </c>
      <c r="L2" s="212" t="s">
        <v>25</v>
      </c>
      <c r="M2" s="212"/>
      <c r="N2" s="212"/>
      <c r="O2" s="212"/>
      <c r="P2" s="212"/>
      <c r="Q2" s="212"/>
      <c r="R2" s="212"/>
      <c r="S2" s="212"/>
      <c r="T2" s="212"/>
      <c r="U2" s="212"/>
      <c r="V2" s="216" t="s">
        <v>1020</v>
      </c>
      <c r="W2" s="212" t="b">
        <f>AND(A2=1,A4=1,A18=1)</f>
        <v>0</v>
      </c>
      <c r="X2" s="212">
        <f>IF(W2=TRUE,126,0)</f>
        <v>0</v>
      </c>
      <c r="Y2" s="214" t="b">
        <f>AND(A2=1,A4=2,A18=1)</f>
        <v>0</v>
      </c>
      <c r="Z2" s="214">
        <f>IF(Y2=TRUE,105,0)</f>
        <v>0</v>
      </c>
      <c r="AA2" s="212" t="b">
        <f>AND(A2=1,A4=3,A18=1)</f>
        <v>0</v>
      </c>
      <c r="AB2" s="212">
        <f>IF(AA2=TRUE,92,0)</f>
        <v>0</v>
      </c>
      <c r="AC2" s="212" t="b">
        <f>AND(A2=1,A4=4,A18=1)</f>
        <v>0</v>
      </c>
      <c r="AD2" s="212">
        <f>IF(AC2=TRUE,117,0)</f>
        <v>0</v>
      </c>
      <c r="AE2" s="212" t="b">
        <f>AND(A2=1,A4=5,A18=1)</f>
        <v>0</v>
      </c>
      <c r="AF2" s="212">
        <f>IF(AE2=TRUE,104,0)</f>
        <v>0</v>
      </c>
      <c r="AG2" s="212" t="b">
        <f>AND(A2=1,A4=6,A18=1)</f>
        <v>0</v>
      </c>
      <c r="AH2" s="212">
        <f>IF(AG2=TRUE,123,0)</f>
        <v>0</v>
      </c>
      <c r="AI2" s="212" t="b">
        <f>AND(A2=1,A4=7,A18=1)</f>
        <v>0</v>
      </c>
      <c r="AJ2" s="212">
        <f>IF(AI2=TRUE,70,0)</f>
        <v>0</v>
      </c>
      <c r="AK2" s="212" t="b">
        <f>AND(A2=1,A14=2)</f>
        <v>1</v>
      </c>
      <c r="AL2" s="212">
        <f>IF(AK2=TRUE,79,0)</f>
        <v>79</v>
      </c>
      <c r="AM2" s="212" t="b">
        <f>AND(A2=1,A14=3)</f>
        <v>0</v>
      </c>
      <c r="AN2" s="212">
        <f>IF(AM2=TRUE,64,0)</f>
        <v>0</v>
      </c>
      <c r="AO2" s="212"/>
      <c r="AP2" s="217"/>
      <c r="AQ2" s="217"/>
      <c r="AR2" s="217"/>
      <c r="AS2" s="217"/>
      <c r="AT2" s="217"/>
      <c r="AU2" s="217"/>
      <c r="AV2" s="212"/>
      <c r="AW2" s="217"/>
      <c r="AX2" s="217"/>
      <c r="AY2" s="217"/>
      <c r="AZ2" s="217"/>
      <c r="BA2" s="217"/>
      <c r="BB2" s="217"/>
      <c r="BC2" s="217"/>
      <c r="BD2" s="217"/>
      <c r="BE2" s="217"/>
      <c r="BF2" s="217"/>
      <c r="BG2" s="217"/>
      <c r="BH2" s="217"/>
      <c r="BI2" s="217"/>
      <c r="BJ2" s="217"/>
      <c r="BK2" s="217"/>
      <c r="BL2" s="217"/>
      <c r="BM2" s="217"/>
      <c r="BN2" s="217"/>
      <c r="BO2" s="217"/>
      <c r="BP2" s="217"/>
      <c r="BQ2" s="217"/>
      <c r="BR2" s="217"/>
    </row>
    <row r="3" spans="1:70" ht="15.75">
      <c r="A3" s="211" t="s">
        <v>34</v>
      </c>
      <c r="B3" s="212"/>
      <c r="C3" s="212"/>
      <c r="D3" s="212"/>
      <c r="E3" s="212"/>
      <c r="F3" s="212"/>
      <c r="G3" s="212"/>
      <c r="H3" s="212"/>
      <c r="I3" s="212"/>
      <c r="J3" s="212">
        <v>2</v>
      </c>
      <c r="K3" s="212" t="s">
        <v>2</v>
      </c>
      <c r="L3" s="212" t="s">
        <v>26</v>
      </c>
      <c r="M3" s="212"/>
      <c r="N3" s="212"/>
      <c r="O3" s="212"/>
      <c r="P3" s="212"/>
      <c r="Q3" s="212"/>
      <c r="R3" s="212"/>
      <c r="S3" s="212"/>
      <c r="T3" s="212"/>
      <c r="U3" s="212"/>
      <c r="V3" s="216" t="s">
        <v>14</v>
      </c>
      <c r="W3" s="212" t="b">
        <f>AND(A2=1,A4=1,A18=2)</f>
        <v>0</v>
      </c>
      <c r="X3" s="212">
        <f>IF(W3=TRUE,160,0)</f>
        <v>0</v>
      </c>
      <c r="Y3" s="214" t="b">
        <f>AND(A2=1,A4=2,A18=2)</f>
        <v>0</v>
      </c>
      <c r="Z3" s="214">
        <f>IF(Y3=TRUE,135,0)</f>
        <v>0</v>
      </c>
      <c r="AA3" s="212" t="b">
        <f>AND(A2=1,A4=3,A18=2)</f>
        <v>0</v>
      </c>
      <c r="AB3" s="212">
        <f>IF(AA3=TRUE,117,0)</f>
        <v>0</v>
      </c>
      <c r="AC3" s="212" t="b">
        <f>AND(A2=1,A4=4,A18=2)</f>
        <v>0</v>
      </c>
      <c r="AD3" s="212">
        <f>IF(AC3=TRUE,147,0)</f>
        <v>0</v>
      </c>
      <c r="AE3" s="212" t="b">
        <f>AND(A2=1,A4=5,A18=2)</f>
        <v>0</v>
      </c>
      <c r="AF3" s="212">
        <f>IF(AE3=TRUE,129,0)</f>
        <v>0</v>
      </c>
      <c r="AG3" s="212" t="b">
        <f>AND(A2=1,A4=6,A18=2)</f>
        <v>0</v>
      </c>
      <c r="AH3" s="212">
        <f>IF(AG3=TRUE,154,0)</f>
        <v>0</v>
      </c>
      <c r="AI3" s="212" t="b">
        <f>AND(A2=1,A4=7,A18=2)</f>
        <v>0</v>
      </c>
      <c r="AJ3" s="212">
        <f>IF(AI3=TRUE,89,0)</f>
        <v>0</v>
      </c>
      <c r="AK3" s="212"/>
      <c r="AL3" s="212"/>
      <c r="AM3" s="212"/>
      <c r="AN3" s="212"/>
      <c r="AO3" s="212"/>
      <c r="AP3" s="217"/>
      <c r="AQ3" s="217"/>
      <c r="AR3" s="217"/>
      <c r="AS3" s="217"/>
      <c r="AT3" s="217"/>
      <c r="AU3" s="217"/>
      <c r="AV3" s="212"/>
      <c r="AW3" s="217"/>
      <c r="AX3" s="217"/>
      <c r="AY3" s="217"/>
      <c r="AZ3" s="217"/>
      <c r="BA3" s="217"/>
      <c r="BB3" s="217"/>
      <c r="BC3" s="217"/>
      <c r="BD3" s="217"/>
      <c r="BE3" s="217"/>
      <c r="BF3" s="217"/>
      <c r="BG3" s="217"/>
      <c r="BH3" s="217"/>
      <c r="BI3" s="217"/>
      <c r="BJ3" s="217"/>
      <c r="BK3" s="217"/>
      <c r="BL3" s="217"/>
      <c r="BM3" s="217"/>
      <c r="BN3" s="217"/>
      <c r="BO3" s="217"/>
      <c r="BP3" s="217"/>
      <c r="BQ3" s="217"/>
      <c r="BR3" s="217"/>
    </row>
    <row r="4" spans="1:70" ht="15.75">
      <c r="A4" s="212">
        <v>1</v>
      </c>
      <c r="B4" s="212" t="str">
        <f>IF(A4=1,"A",IF(A4=2,"B",IF(A4=3,"C",IF(A4=4,"D",IF(A4=5,"E",IF(A4=6,"F",IF(A4=7,"G")))))))</f>
        <v>A</v>
      </c>
      <c r="C4" s="212"/>
      <c r="D4" s="212"/>
      <c r="E4" s="212"/>
      <c r="F4" s="212"/>
      <c r="G4" s="212"/>
      <c r="H4" s="212"/>
      <c r="I4" s="212"/>
      <c r="J4" s="212">
        <v>3</v>
      </c>
      <c r="K4" s="212" t="s">
        <v>3</v>
      </c>
      <c r="L4" s="212" t="s">
        <v>27</v>
      </c>
      <c r="M4" s="212"/>
      <c r="N4" s="212"/>
      <c r="O4" s="212"/>
      <c r="P4" s="212"/>
      <c r="Q4" s="212"/>
      <c r="R4" s="212"/>
      <c r="S4" s="212"/>
      <c r="T4" s="212"/>
      <c r="U4" s="212"/>
      <c r="V4" s="218" t="s">
        <v>15</v>
      </c>
      <c r="W4" s="212" t="b">
        <f>AND(A2=1,A4=1,A18=3)</f>
        <v>1</v>
      </c>
      <c r="X4" s="212">
        <f>IF(W4=TRUE,178,0)</f>
        <v>178</v>
      </c>
      <c r="Y4" s="214" t="b">
        <f>AND(A2=1,A4=2,A18=3)</f>
        <v>0</v>
      </c>
      <c r="Z4" s="214">
        <f>IF(Y4=TRUE,150,0)</f>
        <v>0</v>
      </c>
      <c r="AA4" s="212" t="b">
        <f>AND(A2=1,A4=3,A18=3)</f>
        <v>0</v>
      </c>
      <c r="AB4" s="212">
        <f>IF(AA4=TRUE,126,0)</f>
        <v>0</v>
      </c>
      <c r="AC4" s="212" t="b">
        <f>AND(A2=1,A4=4,A18=3)</f>
        <v>0</v>
      </c>
      <c r="AD4" s="212">
        <f>IF(AC4=TRUE,160,0)</f>
        <v>0</v>
      </c>
      <c r="AE4" s="212" t="b">
        <f>AND(A2=1,A4=5,A18=3)</f>
        <v>0</v>
      </c>
      <c r="AF4" s="212">
        <f>IF(AE4=TRUE,145,0)</f>
        <v>0</v>
      </c>
      <c r="AG4" s="212" t="b">
        <f>AND(A2=1,A4=6,A18=3)</f>
        <v>0</v>
      </c>
      <c r="AH4" s="212">
        <f>IF(AG4=TRUE,173,0)</f>
        <v>0</v>
      </c>
      <c r="AI4" s="212" t="b">
        <f>AND(A2=1,A4=7,A18=3)</f>
        <v>0</v>
      </c>
      <c r="AJ4" s="212">
        <f>IF(AI4=TRUE,104,0)</f>
        <v>0</v>
      </c>
      <c r="AK4" s="212"/>
      <c r="AL4" s="212"/>
      <c r="AM4" s="212"/>
      <c r="AN4" s="212"/>
      <c r="AO4" s="212"/>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row>
    <row r="5" spans="1:70" ht="15.75">
      <c r="A5" s="211" t="s">
        <v>258</v>
      </c>
      <c r="B5" s="212"/>
      <c r="C5" s="212"/>
      <c r="D5" s="212"/>
      <c r="E5" s="212"/>
      <c r="F5" s="212"/>
      <c r="G5" s="212"/>
      <c r="H5" s="212"/>
      <c r="I5" s="212"/>
      <c r="J5" s="212">
        <v>4</v>
      </c>
      <c r="K5" s="212" t="s">
        <v>4</v>
      </c>
      <c r="L5" s="212" t="s">
        <v>28</v>
      </c>
      <c r="M5" s="212"/>
      <c r="N5" s="212"/>
      <c r="O5" s="212"/>
      <c r="P5" s="212"/>
      <c r="Q5" s="212"/>
      <c r="R5" s="212"/>
      <c r="S5" s="212"/>
      <c r="T5" s="212"/>
      <c r="U5" s="212"/>
      <c r="V5" s="219">
        <v>1</v>
      </c>
      <c r="W5" s="212" t="b">
        <f>AND(A2=1,A4=1,A18=4)</f>
        <v>0</v>
      </c>
      <c r="X5" s="212">
        <f>IF(W5=TRUE,262,0)</f>
        <v>0</v>
      </c>
      <c r="Y5" s="214" t="b">
        <f>AND(A2=1,A4=2,A18=4)</f>
        <v>0</v>
      </c>
      <c r="Z5" s="214">
        <f>IF(Y5=TRUE,224,0)</f>
        <v>0</v>
      </c>
      <c r="AA5" s="212" t="b">
        <f>AND(A2=1,A4=3,A18=4)</f>
        <v>0</v>
      </c>
      <c r="AB5" s="212">
        <f>IF(AA5=TRUE,187,0)</f>
        <v>0</v>
      </c>
      <c r="AC5" s="212" t="b">
        <f>AND(A2=1,A4=4,A18=4)</f>
        <v>0</v>
      </c>
      <c r="AD5" s="212">
        <f>IF(AC5=TRUE,224,0)</f>
        <v>0</v>
      </c>
      <c r="AE5" s="212" t="b">
        <f>AND(A2=1,A4=5,A18=4)</f>
        <v>0</v>
      </c>
      <c r="AF5" s="212">
        <f>IF(AE5=TRUE,185,0)</f>
        <v>0</v>
      </c>
      <c r="AG5" s="212" t="b">
        <f>AND(A2=1,A4=6,A18=4)</f>
        <v>0</v>
      </c>
      <c r="AH5" s="212">
        <f>IF(AG5=TRUE,207,0)</f>
        <v>0</v>
      </c>
      <c r="AI5" s="212" t="b">
        <f>AND(A2=1,A4=7,A18=4)</f>
        <v>0</v>
      </c>
      <c r="AJ5" s="212">
        <f>IF(AI5=TRUE,123,0)</f>
        <v>0</v>
      </c>
      <c r="AK5" s="212"/>
      <c r="AL5" s="212"/>
      <c r="AM5" s="212"/>
      <c r="AN5" s="212"/>
      <c r="AO5" s="212"/>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row>
    <row r="6" spans="1:70" ht="15.75">
      <c r="A6" s="212">
        <v>2</v>
      </c>
      <c r="B6" s="212"/>
      <c r="C6" s="212"/>
      <c r="D6" s="212"/>
      <c r="E6" s="212"/>
      <c r="F6" s="212"/>
      <c r="G6" s="212"/>
      <c r="H6" s="212"/>
      <c r="I6" s="212"/>
      <c r="J6" s="212">
        <v>5</v>
      </c>
      <c r="K6" s="212" t="s">
        <v>5</v>
      </c>
      <c r="L6" s="212" t="s">
        <v>29</v>
      </c>
      <c r="M6" s="212"/>
      <c r="N6" s="212"/>
      <c r="O6" s="212"/>
      <c r="P6" s="212"/>
      <c r="Q6" s="212"/>
      <c r="R6" s="212"/>
      <c r="S6" s="212"/>
      <c r="T6" s="212"/>
      <c r="U6" s="212"/>
      <c r="V6" s="212" t="str">
        <f>CHOOSE(prevClaim,V2,V3,V4)</f>
        <v>Kérem válasszon!</v>
      </c>
      <c r="W6" s="212" t="b">
        <f>AND(A2=1,A4=1,A18=5)</f>
        <v>0</v>
      </c>
      <c r="X6" s="212">
        <f>IF(W6=TRUE,351,0)</f>
        <v>0</v>
      </c>
      <c r="Y6" s="214" t="b">
        <f>AND(A2=1,A4=2,A18=5)</f>
        <v>0</v>
      </c>
      <c r="Z6" s="214">
        <f>IF(Y6=TRUE,293,0)</f>
        <v>0</v>
      </c>
      <c r="AA6" s="212" t="b">
        <f>AND(A2=1,A4=3,A18=5)</f>
        <v>0</v>
      </c>
      <c r="AB6" s="212">
        <f>IF(AA6=TRUE,248,0)</f>
        <v>0</v>
      </c>
      <c r="AC6" s="212" t="b">
        <f>AND(A2=1,A4=4,A18=5)</f>
        <v>0</v>
      </c>
      <c r="AD6" s="212">
        <f>IF(AC6=TRUE,286,0)</f>
        <v>0</v>
      </c>
      <c r="AE6" s="212" t="b">
        <f>AND(A2=1,A4=5,A18=5)</f>
        <v>0</v>
      </c>
      <c r="AF6" s="212">
        <f>IF(AE6=TRUE,228,0)</f>
        <v>0</v>
      </c>
      <c r="AG6" s="212" t="b">
        <f>AND(A2=1,A4=6,A18=5)</f>
        <v>0</v>
      </c>
      <c r="AH6" s="212">
        <f>IF(AG6=TRUE,238,0)</f>
        <v>0</v>
      </c>
      <c r="AI6" s="212" t="b">
        <f>AND(A2=1,A4=7,A18=5)</f>
        <v>0</v>
      </c>
      <c r="AJ6" s="212">
        <f>IF(AI6=TRUE,145,0)</f>
        <v>0</v>
      </c>
      <c r="AK6" s="212"/>
      <c r="AL6" s="212"/>
      <c r="AM6" s="212"/>
      <c r="AN6" s="212"/>
      <c r="AO6" s="212"/>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row>
    <row r="7" spans="1:70" ht="15.75">
      <c r="A7" s="211" t="s">
        <v>768</v>
      </c>
      <c r="B7" s="212"/>
      <c r="C7" s="212"/>
      <c r="D7" s="212"/>
      <c r="E7" s="212"/>
      <c r="F7" s="212"/>
      <c r="G7" s="212"/>
      <c r="H7" s="212"/>
      <c r="I7" s="212"/>
      <c r="J7" s="212">
        <v>6</v>
      </c>
      <c r="K7" s="212" t="s">
        <v>6</v>
      </c>
      <c r="L7" s="212" t="s">
        <v>30</v>
      </c>
      <c r="M7" s="212"/>
      <c r="N7" s="212"/>
      <c r="O7" s="212"/>
      <c r="P7" s="212"/>
      <c r="Q7" s="212"/>
      <c r="R7" s="212"/>
      <c r="S7" s="212"/>
      <c r="T7" s="212"/>
      <c r="U7" s="212"/>
      <c r="V7" s="212"/>
      <c r="W7" s="217" t="s">
        <v>54</v>
      </c>
      <c r="X7" s="217"/>
      <c r="Y7" s="214" t="s">
        <v>216</v>
      </c>
      <c r="Z7" s="214"/>
      <c r="AA7" s="217">
        <f>SUM(X2:X6,Z2:Z6,AB2:AB6,AD2:AD6,AF2:AF6,AH2:AH6,AJ2:AJ6,X13:X17,AA13:AA17,AD13:AD17,AG13:AG17,AJ13:AJ17,AM13:AM17,AP13:AP17)</f>
        <v>178</v>
      </c>
      <c r="AB7" s="217"/>
      <c r="AC7" s="217">
        <f>Díjkalkuláció!U28</f>
        <v>0</v>
      </c>
      <c r="AD7" s="217">
        <f>Díjkalkuláció!P23</f>
        <v>0</v>
      </c>
      <c r="AE7" s="220">
        <f>Díjkalkuláció!AB28</f>
        <v>0</v>
      </c>
      <c r="AF7" s="212"/>
      <c r="AG7" s="217"/>
      <c r="AH7" s="217"/>
      <c r="AI7" s="217"/>
      <c r="AJ7" s="217"/>
      <c r="AK7" s="217"/>
      <c r="AL7" s="217"/>
      <c r="AM7" s="217"/>
      <c r="AN7" s="217"/>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row>
    <row r="8" spans="1:70" ht="15.75">
      <c r="A8" s="212">
        <v>2</v>
      </c>
      <c r="B8" s="212"/>
      <c r="C8" s="212"/>
      <c r="D8" s="212" t="str">
        <f>IF(A8=1,"Igen","Nem")</f>
        <v>Nem</v>
      </c>
      <c r="E8" s="212"/>
      <c r="F8" s="212"/>
      <c r="G8" s="212"/>
      <c r="H8" s="212"/>
      <c r="I8" s="212"/>
      <c r="J8" s="212">
        <v>7</v>
      </c>
      <c r="K8" s="212" t="s">
        <v>7</v>
      </c>
      <c r="L8" s="212" t="s">
        <v>31</v>
      </c>
      <c r="M8" s="212"/>
      <c r="N8" s="212"/>
      <c r="O8" s="212"/>
      <c r="P8" s="212"/>
      <c r="Q8" s="212"/>
      <c r="R8" s="212"/>
      <c r="S8" s="212"/>
      <c r="T8" s="212"/>
      <c r="U8" s="212"/>
      <c r="V8" s="212"/>
      <c r="W8" s="217"/>
      <c r="X8" s="217"/>
      <c r="Y8" s="214" t="s">
        <v>35</v>
      </c>
      <c r="Z8" s="214"/>
      <c r="AA8" s="217">
        <f>SUM(AL2,AN2,AS13,AU13)</f>
        <v>79</v>
      </c>
      <c r="AB8" s="217"/>
      <c r="AC8" s="217">
        <f>Díjkalkuláció!U36</f>
        <v>0</v>
      </c>
      <c r="AD8" s="217">
        <f>Díjkalkuláció!P32</f>
        <v>0</v>
      </c>
      <c r="AE8" s="220">
        <f>Díjkalkuláció!AB36</f>
        <v>0</v>
      </c>
      <c r="AF8" s="220">
        <f>Díjkalkuláció!AB42</f>
        <v>0</v>
      </c>
      <c r="AG8" s="217" t="s">
        <v>542</v>
      </c>
      <c r="AH8" s="217"/>
      <c r="AI8" s="217"/>
      <c r="AJ8" s="217"/>
      <c r="AK8" s="217"/>
      <c r="AL8" s="217"/>
      <c r="AM8" s="217"/>
      <c r="AN8" s="217"/>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row>
    <row r="9" spans="1:70" ht="15.75">
      <c r="A9" s="211" t="s">
        <v>80</v>
      </c>
      <c r="B9" s="212"/>
      <c r="C9" s="212"/>
      <c r="D9" s="212"/>
      <c r="E9" s="212"/>
      <c r="F9" s="212"/>
      <c r="G9" s="212"/>
      <c r="H9" s="212"/>
      <c r="I9" s="212"/>
      <c r="J9" s="212"/>
      <c r="K9" s="212"/>
      <c r="L9" s="212"/>
      <c r="M9" s="212"/>
      <c r="N9" s="212"/>
      <c r="O9" s="212"/>
      <c r="P9" s="212"/>
      <c r="Q9" s="212" t="s">
        <v>775</v>
      </c>
      <c r="R9" s="212"/>
      <c r="S9" s="212">
        <v>1</v>
      </c>
      <c r="T9" s="212"/>
      <c r="U9" s="212" t="str">
        <f>VLOOKUP(S9,P10:Q12,2,FALSE)</f>
        <v>új üzlet</v>
      </c>
      <c r="V9" s="212"/>
      <c r="W9" s="217"/>
      <c r="X9" s="217"/>
      <c r="Y9" s="214" t="s">
        <v>12</v>
      </c>
      <c r="Z9" s="214"/>
      <c r="AA9" s="221">
        <f>SUM(Y13:Y18,AB13:AB17,AE13:AE17,AH13:AH17,AK13:AK17,AN13:AN17,AQ13:AQ17,X2:X6,Z2:Z6,AB2:AB6,AD2:AD6,AF2:AF6,AH2:AH6,AJ2:AJ6)</f>
        <v>178</v>
      </c>
      <c r="AB9" s="220">
        <f>Díjkalkuláció!V70</f>
        <v>0</v>
      </c>
      <c r="AC9" s="217"/>
      <c r="AD9" s="217"/>
      <c r="AE9" s="217"/>
      <c r="AF9" s="220">
        <f>Díjkalkuláció!AB43</f>
        <v>0</v>
      </c>
      <c r="AG9" s="217" t="s">
        <v>350</v>
      </c>
      <c r="AH9" s="217"/>
      <c r="AI9" s="217"/>
      <c r="AJ9" s="217"/>
      <c r="AK9" s="217"/>
      <c r="AL9" s="217"/>
      <c r="AM9" s="217"/>
      <c r="AN9" s="217"/>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row>
    <row r="10" spans="1:70" ht="15.75">
      <c r="A10" s="212">
        <v>1</v>
      </c>
      <c r="B10" s="211" t="str">
        <f>IF(A10=1,"X","")</f>
        <v>X</v>
      </c>
      <c r="C10" s="211">
        <f>IF(A10=2,"X","")</f>
      </c>
      <c r="D10" s="212" t="str">
        <f>CHOOSE(A10,L10,L11)</f>
        <v>Állandóan lakott</v>
      </c>
      <c r="E10" s="212"/>
      <c r="F10" s="212"/>
      <c r="G10" s="212"/>
      <c r="H10" s="212"/>
      <c r="I10" s="212"/>
      <c r="J10" s="212">
        <v>1</v>
      </c>
      <c r="K10" s="212"/>
      <c r="L10" s="212" t="s">
        <v>67</v>
      </c>
      <c r="M10" s="212"/>
      <c r="N10" s="212"/>
      <c r="O10" s="212"/>
      <c r="P10" s="212">
        <v>1</v>
      </c>
      <c r="Q10" s="212" t="s">
        <v>776</v>
      </c>
      <c r="R10" s="212"/>
      <c r="S10" s="212"/>
      <c r="T10" s="212"/>
      <c r="U10" s="212"/>
      <c r="V10" s="212"/>
      <c r="W10" s="217" t="s">
        <v>260</v>
      </c>
      <c r="X10" s="217"/>
      <c r="Y10" s="214"/>
      <c r="Z10" s="214"/>
      <c r="AA10" s="217"/>
      <c r="AB10" s="220">
        <f>Díjkalkuláció!R28*Díjkalkuláció!X28*0.1</f>
        <v>0</v>
      </c>
      <c r="AC10" s="217"/>
      <c r="AD10" s="217"/>
      <c r="AE10" s="217"/>
      <c r="AF10" s="220">
        <f>Díjkalkuláció!AB44</f>
        <v>0</v>
      </c>
      <c r="AG10" s="217" t="s">
        <v>244</v>
      </c>
      <c r="AH10" s="217"/>
      <c r="AI10" s="217"/>
      <c r="AJ10" s="217"/>
      <c r="AK10" s="217"/>
      <c r="AL10" s="217"/>
      <c r="AM10" s="217"/>
      <c r="AN10" s="217"/>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row>
    <row r="11" spans="1:70" ht="15.75">
      <c r="A11" s="212"/>
      <c r="B11" s="212"/>
      <c r="C11" s="212"/>
      <c r="D11" s="212"/>
      <c r="E11" s="212"/>
      <c r="F11" s="212"/>
      <c r="G11" s="212"/>
      <c r="H11" s="212"/>
      <c r="I11" s="212"/>
      <c r="J11" s="212">
        <v>2</v>
      </c>
      <c r="K11" s="212"/>
      <c r="L11" s="212" t="s">
        <v>81</v>
      </c>
      <c r="M11" s="212"/>
      <c r="N11" s="212"/>
      <c r="O11" s="212"/>
      <c r="P11" s="212">
        <v>2</v>
      </c>
      <c r="Q11" s="237" t="s">
        <v>1236</v>
      </c>
      <c r="R11" s="212"/>
      <c r="S11" s="212"/>
      <c r="T11" s="212"/>
      <c r="U11" s="212"/>
      <c r="V11" s="212"/>
      <c r="W11" s="217"/>
      <c r="X11" s="217"/>
      <c r="Y11" s="214"/>
      <c r="Z11" s="214"/>
      <c r="AA11" s="217"/>
      <c r="AB11" s="217"/>
      <c r="AC11" s="217"/>
      <c r="AD11" s="217"/>
      <c r="AE11" s="217"/>
      <c r="AF11" s="217"/>
      <c r="AG11" s="217"/>
      <c r="AH11" s="217"/>
      <c r="AI11" s="217"/>
      <c r="AJ11" s="217"/>
      <c r="AK11" s="217"/>
      <c r="AL11" s="217"/>
      <c r="AM11" s="217"/>
      <c r="AN11" s="217"/>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row>
    <row r="12" spans="1:70" ht="15.75">
      <c r="A12" s="212"/>
      <c r="B12" s="212"/>
      <c r="C12" s="212"/>
      <c r="D12" s="212"/>
      <c r="E12" s="212"/>
      <c r="F12" s="212"/>
      <c r="G12" s="212"/>
      <c r="H12" s="212"/>
      <c r="I12" s="212"/>
      <c r="J12" s="212"/>
      <c r="K12" s="212"/>
      <c r="L12" s="212"/>
      <c r="M12" s="212"/>
      <c r="N12" s="212"/>
      <c r="O12" s="212"/>
      <c r="P12" s="212">
        <v>3</v>
      </c>
      <c r="Q12" s="237" t="s">
        <v>1237</v>
      </c>
      <c r="R12" s="212"/>
      <c r="S12" s="212"/>
      <c r="T12" s="212"/>
      <c r="U12" s="212"/>
      <c r="V12" s="212"/>
      <c r="W12" s="222" t="s">
        <v>42</v>
      </c>
      <c r="X12" s="217"/>
      <c r="Y12" s="214"/>
      <c r="Z12" s="214"/>
      <c r="AA12" s="217"/>
      <c r="AB12" s="217"/>
      <c r="AC12" s="217"/>
      <c r="AD12" s="217"/>
      <c r="AE12" s="217"/>
      <c r="AF12" s="217"/>
      <c r="AG12" s="217"/>
      <c r="AH12" s="217"/>
      <c r="AI12" s="217"/>
      <c r="AJ12" s="217"/>
      <c r="AK12" s="217"/>
      <c r="AL12" s="217"/>
      <c r="AM12" s="217"/>
      <c r="AN12" s="217"/>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row>
    <row r="13" spans="1:70" ht="15.75">
      <c r="A13" s="211" t="s">
        <v>35</v>
      </c>
      <c r="B13" s="212"/>
      <c r="C13" s="212"/>
      <c r="D13" s="212"/>
      <c r="E13" s="212"/>
      <c r="F13" s="212"/>
      <c r="G13" s="212"/>
      <c r="H13" s="212"/>
      <c r="I13" s="212"/>
      <c r="J13" s="212"/>
      <c r="K13" s="212"/>
      <c r="L13" s="212"/>
      <c r="M13" s="212"/>
      <c r="N13" s="212"/>
      <c r="O13" s="212"/>
      <c r="P13" s="212"/>
      <c r="Q13" s="212">
        <v>1</v>
      </c>
      <c r="R13" s="223" t="s">
        <v>870</v>
      </c>
      <c r="S13" s="212"/>
      <c r="T13" s="212"/>
      <c r="U13" s="212">
        <f>IF(VLOOKUP(Q13,Q14:R25,2,FALSE)&lt;&gt;"",VLOOKUP(Q13,Q14:R25,2,FALSE),"")</f>
      </c>
      <c r="V13" s="212"/>
      <c r="W13" s="217" t="b">
        <f>AND(A2=2,A4=1,A18=1)</f>
        <v>0</v>
      </c>
      <c r="X13" s="217">
        <f>IF(W13=TRUE,50.4,0)</f>
        <v>0</v>
      </c>
      <c r="Y13" s="214">
        <f>IF(W13=TRUE,126,0)</f>
        <v>0</v>
      </c>
      <c r="Z13" s="214" t="b">
        <f>AND(A2=2,A4=2,A18=1)</f>
        <v>0</v>
      </c>
      <c r="AA13" s="217">
        <f>IF(Z13=TRUE,42,0)</f>
        <v>0</v>
      </c>
      <c r="AB13" s="212">
        <f>IF(Z13=TRUE,105,0)</f>
        <v>0</v>
      </c>
      <c r="AC13" s="217" t="b">
        <f>AND(A2=2,A4=3,A18=1)</f>
        <v>0</v>
      </c>
      <c r="AD13" s="217">
        <f>IF(AC13=TRUE,36.8,0)</f>
        <v>0</v>
      </c>
      <c r="AE13" s="212">
        <f>IF(AC13=TRUE,92,0)</f>
        <v>0</v>
      </c>
      <c r="AF13" s="217" t="b">
        <f>AND(A2=2,A4=4,A18=1)</f>
        <v>0</v>
      </c>
      <c r="AG13" s="217">
        <f>IF(AF13=TRUE,46.8,0)</f>
        <v>0</v>
      </c>
      <c r="AH13" s="212">
        <f>IF(AF13=TRUE,117,0)</f>
        <v>0</v>
      </c>
      <c r="AI13" s="217" t="b">
        <f>AND(A2=2,A4=5,A18=1)</f>
        <v>0</v>
      </c>
      <c r="AJ13" s="217">
        <f>IF(AI13=TRUE,41.6,0)</f>
        <v>0</v>
      </c>
      <c r="AK13" s="212">
        <f>IF(AI13=TRUE,104,0)</f>
        <v>0</v>
      </c>
      <c r="AL13" s="217" t="b">
        <f>AND(A2=2,A4=6,A18=1)</f>
        <v>0</v>
      </c>
      <c r="AM13" s="217">
        <f>IF(AL13=TRUE,49.2,0)</f>
        <v>0</v>
      </c>
      <c r="AN13" s="212">
        <f>IF(AL13=TRUE,123,0)</f>
        <v>0</v>
      </c>
      <c r="AO13" s="217" t="b">
        <f>AND(A2=2,A4=7,A18=1)</f>
        <v>0</v>
      </c>
      <c r="AP13" s="217">
        <f>IF(AO13=TRUE,28,0)</f>
        <v>0</v>
      </c>
      <c r="AQ13" s="212">
        <f>IF(AO13=TRUE,70,0)</f>
        <v>0</v>
      </c>
      <c r="AR13" s="212" t="b">
        <f>AND(A2=2,A14=2)</f>
        <v>0</v>
      </c>
      <c r="AS13" s="212">
        <f>IF(AR13=TRUE,31.6,0)</f>
        <v>0</v>
      </c>
      <c r="AT13" s="217" t="b">
        <f>AND(A2=2,A14=3)</f>
        <v>0</v>
      </c>
      <c r="AU13" s="217">
        <f>IF(AT13=TRUE,25.6,0)</f>
        <v>0</v>
      </c>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row>
    <row r="14" spans="1:70" ht="15.75">
      <c r="A14" s="212">
        <v>2</v>
      </c>
      <c r="B14" s="212" t="str">
        <f>IF(A14=2,"H",IF(A14=3,"I",IF(A14=1,"")))</f>
        <v>H</v>
      </c>
      <c r="C14" s="212"/>
      <c r="D14" s="212"/>
      <c r="E14" s="212"/>
      <c r="F14" s="212"/>
      <c r="G14" s="212"/>
      <c r="H14" s="212"/>
      <c r="I14" s="212"/>
      <c r="J14" s="212">
        <v>1</v>
      </c>
      <c r="K14" s="212"/>
      <c r="L14" s="212" t="s">
        <v>8</v>
      </c>
      <c r="M14" s="212"/>
      <c r="N14" s="212"/>
      <c r="O14" s="212"/>
      <c r="P14" s="212" t="b">
        <f>OR(A6=1,A14=1)</f>
        <v>0</v>
      </c>
      <c r="Q14" s="212">
        <v>1</v>
      </c>
      <c r="R14" s="212"/>
      <c r="S14" s="212"/>
      <c r="T14" s="212"/>
      <c r="U14" s="212"/>
      <c r="V14" s="212"/>
      <c r="W14" s="217" t="b">
        <f>AND(A2=2,A4=1,A18=2)</f>
        <v>0</v>
      </c>
      <c r="X14" s="217">
        <f>IF(W14=TRUE,64,0)</f>
        <v>0</v>
      </c>
      <c r="Y14" s="214">
        <f>IF(W14=TRUE,160,0)</f>
        <v>0</v>
      </c>
      <c r="Z14" s="214" t="b">
        <f>AND(A2=2,A4=2,A18=2)</f>
        <v>0</v>
      </c>
      <c r="AA14" s="217">
        <f>IF(Z14=TRUE,54,0)</f>
        <v>0</v>
      </c>
      <c r="AB14" s="212">
        <f>IF(Z14=TRUE,135,0)</f>
        <v>0</v>
      </c>
      <c r="AC14" s="217" t="b">
        <f>AND(A2=2,A4=3,A18=2)</f>
        <v>0</v>
      </c>
      <c r="AD14" s="217">
        <f>IF(AC14=TRUE,46.8,0)</f>
        <v>0</v>
      </c>
      <c r="AE14" s="212">
        <f>IF(AC14=TRUE,117,0)</f>
        <v>0</v>
      </c>
      <c r="AF14" s="217" t="b">
        <f>AND(A2=2,A4=4,A18=2)</f>
        <v>0</v>
      </c>
      <c r="AG14" s="217">
        <f>IF(AF14=TRUE,58.8,0)</f>
        <v>0</v>
      </c>
      <c r="AH14" s="212">
        <f>IF(AF14=TRUE,147,0)</f>
        <v>0</v>
      </c>
      <c r="AI14" s="217" t="b">
        <f>AND(A2=2,A4=5,A18=2)</f>
        <v>0</v>
      </c>
      <c r="AJ14" s="217">
        <f>IF(AI14=TRUE,51.6,0)</f>
        <v>0</v>
      </c>
      <c r="AK14" s="212">
        <f>IF(AI14=TRUE,129,0)</f>
        <v>0</v>
      </c>
      <c r="AL14" s="217" t="b">
        <f>AND(A2=2,A4=6,A18=2)</f>
        <v>0</v>
      </c>
      <c r="AM14" s="217">
        <f>IF(AL14=TRUE,61.6,0)</f>
        <v>0</v>
      </c>
      <c r="AN14" s="212">
        <f>IF(AL14=TRUE,154,0)</f>
        <v>0</v>
      </c>
      <c r="AO14" s="217" t="b">
        <f>AND(A2=2,A4=7,A18=2)</f>
        <v>0</v>
      </c>
      <c r="AP14" s="217">
        <f>IF(AO14=TRUE,35.6,0)</f>
        <v>0</v>
      </c>
      <c r="AQ14" s="212">
        <f>IF(AO14=TRUE,89,0)</f>
        <v>0</v>
      </c>
      <c r="AR14" s="217"/>
      <c r="AS14" s="217"/>
      <c r="AT14" s="217"/>
      <c r="AU14" s="217"/>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row>
    <row r="15" spans="1:70" ht="15.75">
      <c r="A15" s="212"/>
      <c r="B15" s="212"/>
      <c r="C15" s="212"/>
      <c r="D15" s="212"/>
      <c r="E15" s="212"/>
      <c r="F15" s="212"/>
      <c r="G15" s="212"/>
      <c r="H15" s="212"/>
      <c r="I15" s="212"/>
      <c r="J15" s="212">
        <v>2</v>
      </c>
      <c r="K15" s="212" t="s">
        <v>9</v>
      </c>
      <c r="L15" s="212" t="s">
        <v>32</v>
      </c>
      <c r="M15" s="212"/>
      <c r="N15" s="212"/>
      <c r="O15" s="212"/>
      <c r="P15" s="212"/>
      <c r="Q15" s="212">
        <v>2</v>
      </c>
      <c r="R15" s="224" t="s">
        <v>859</v>
      </c>
      <c r="S15" s="212"/>
      <c r="T15" s="212"/>
      <c r="U15" s="212"/>
      <c r="V15" s="212"/>
      <c r="W15" s="217" t="b">
        <f>AND(A2=2,A4=1,A18=3)</f>
        <v>0</v>
      </c>
      <c r="X15" s="217">
        <f>IF(W15=TRUE,71.2,0)</f>
        <v>0</v>
      </c>
      <c r="Y15" s="214">
        <f>IF(W15=TRUE,178,0)</f>
        <v>0</v>
      </c>
      <c r="Z15" s="214" t="b">
        <f>AND(A2=2,A4=2,A18=3)</f>
        <v>0</v>
      </c>
      <c r="AA15" s="217">
        <f>IF(Z15=TRUE,60,0)</f>
        <v>0</v>
      </c>
      <c r="AB15" s="212">
        <f>IF(Z15=TRUE,150,0)</f>
        <v>0</v>
      </c>
      <c r="AC15" s="217" t="b">
        <f>AND(A2=2,A4=3,A18=3)</f>
        <v>0</v>
      </c>
      <c r="AD15" s="217">
        <f>IF(AC15=TRUE,50.4,0)</f>
        <v>0</v>
      </c>
      <c r="AE15" s="212">
        <f>IF(AC15=TRUE,126,0)</f>
        <v>0</v>
      </c>
      <c r="AF15" s="217" t="b">
        <f>AND(A2=2,A4=4,A18=3)</f>
        <v>0</v>
      </c>
      <c r="AG15" s="217">
        <f>IF(AF15=TRUE,64,0)</f>
        <v>0</v>
      </c>
      <c r="AH15" s="212">
        <f>IF(AF15=TRUE,160,0)</f>
        <v>0</v>
      </c>
      <c r="AI15" s="217" t="b">
        <f>AND(A2=2,A4=5,A18=3)</f>
        <v>0</v>
      </c>
      <c r="AJ15" s="217">
        <f>IF(AI15=TRUE,58,0)</f>
        <v>0</v>
      </c>
      <c r="AK15" s="212">
        <f>IF(AI15=TRUE,145,0)</f>
        <v>0</v>
      </c>
      <c r="AL15" s="217" t="b">
        <f>AND(A2=2,A4=6,A18=3)</f>
        <v>0</v>
      </c>
      <c r="AM15" s="217">
        <f>IF(AL15=TRUE,69.2,0)</f>
        <v>0</v>
      </c>
      <c r="AN15" s="212">
        <f>IF(AL15=TRUE,173,0)</f>
        <v>0</v>
      </c>
      <c r="AO15" s="217" t="b">
        <f>AND(A2=2,A4=7,A18=3)</f>
        <v>0</v>
      </c>
      <c r="AP15" s="217">
        <f>IF(AO15=TRUE,41.6,0)</f>
        <v>0</v>
      </c>
      <c r="AQ15" s="212">
        <f>IF(AO15=TRUE,104,0)</f>
        <v>0</v>
      </c>
      <c r="AR15" s="217"/>
      <c r="AS15" s="217"/>
      <c r="AT15" s="217"/>
      <c r="AU15" s="217"/>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row>
    <row r="16" spans="1:70" ht="15.75">
      <c r="A16" s="212"/>
      <c r="B16" s="212"/>
      <c r="C16" s="212"/>
      <c r="D16" s="212"/>
      <c r="E16" s="212"/>
      <c r="F16" s="212"/>
      <c r="G16" s="212"/>
      <c r="H16" s="212"/>
      <c r="I16" s="212"/>
      <c r="J16" s="212">
        <v>3</v>
      </c>
      <c r="K16" s="212" t="s">
        <v>10</v>
      </c>
      <c r="L16" s="212" t="s">
        <v>33</v>
      </c>
      <c r="M16" s="212"/>
      <c r="N16" s="212"/>
      <c r="O16" s="212"/>
      <c r="P16" s="212"/>
      <c r="Q16" s="212">
        <v>3</v>
      </c>
      <c r="R16" s="224" t="s">
        <v>860</v>
      </c>
      <c r="S16" s="212"/>
      <c r="T16" s="212"/>
      <c r="U16" s="212"/>
      <c r="V16" s="212"/>
      <c r="W16" s="217" t="b">
        <f>AND(A2=2,A4=1,A18=4)</f>
        <v>0</v>
      </c>
      <c r="X16" s="217">
        <f>IF(W16=TRUE,104.8,0)</f>
        <v>0</v>
      </c>
      <c r="Y16" s="214">
        <f>IF(W16=TRUE,262,0)</f>
        <v>0</v>
      </c>
      <c r="Z16" s="214" t="b">
        <f>AND(A2=2,A4=2,A18=4)</f>
        <v>0</v>
      </c>
      <c r="AA16" s="217">
        <f>IF(Z16=TRUE,89.6,0)</f>
        <v>0</v>
      </c>
      <c r="AB16" s="212">
        <f>IF(Z16=TRUE,224,0)</f>
        <v>0</v>
      </c>
      <c r="AC16" s="217" t="b">
        <f>AND(A2=2,A4=3,A18=4)</f>
        <v>0</v>
      </c>
      <c r="AD16" s="217">
        <f>IF(AC16=TRUE,74.8,0)</f>
        <v>0</v>
      </c>
      <c r="AE16" s="212">
        <f>IF(AC16=TRUE,187,0)</f>
        <v>0</v>
      </c>
      <c r="AF16" s="217" t="b">
        <f>AND(A2=2,A4=4,A18=4)</f>
        <v>0</v>
      </c>
      <c r="AG16" s="217">
        <f>IF(AF16=TRUE,89.6,0)</f>
        <v>0</v>
      </c>
      <c r="AH16" s="212">
        <f>IF(AF16=TRUE,224,0)</f>
        <v>0</v>
      </c>
      <c r="AI16" s="217" t="b">
        <f>AND(A2=2,A4=5,A18=4)</f>
        <v>0</v>
      </c>
      <c r="AJ16" s="217">
        <f>IF(AI16=TRUE,74,0)</f>
        <v>0</v>
      </c>
      <c r="AK16" s="212">
        <f>IF(AI16=TRUE,185,0)</f>
        <v>0</v>
      </c>
      <c r="AL16" s="217" t="b">
        <f>AND(A2=2,A4=6,A18=4)</f>
        <v>0</v>
      </c>
      <c r="AM16" s="217">
        <f>IF(AL16=TRUE,82.8,0)</f>
        <v>0</v>
      </c>
      <c r="AN16" s="212">
        <f>IF(AL16=TRUE,207,0)</f>
        <v>0</v>
      </c>
      <c r="AO16" s="217" t="b">
        <f>AND(A2=2,A4=7,A18=4)</f>
        <v>0</v>
      </c>
      <c r="AP16" s="217">
        <f>IF(AO16=TRUE,49.2,0)</f>
        <v>0</v>
      </c>
      <c r="AQ16" s="212">
        <f>IF(AO16=TRUE,123,0)</f>
        <v>0</v>
      </c>
      <c r="AR16" s="217"/>
      <c r="AS16" s="217"/>
      <c r="AT16" s="217"/>
      <c r="AU16" s="217"/>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row>
    <row r="17" spans="1:70" ht="15.75">
      <c r="A17" s="211" t="s">
        <v>11</v>
      </c>
      <c r="B17" s="212"/>
      <c r="C17" s="212"/>
      <c r="D17" s="212"/>
      <c r="E17" s="212"/>
      <c r="F17" s="212"/>
      <c r="G17" s="212"/>
      <c r="H17" s="212"/>
      <c r="I17" s="212"/>
      <c r="J17" s="212"/>
      <c r="K17" s="212"/>
      <c r="L17" s="212"/>
      <c r="M17" s="212"/>
      <c r="N17" s="212"/>
      <c r="O17" s="212"/>
      <c r="P17" s="212"/>
      <c r="Q17" s="212">
        <v>4</v>
      </c>
      <c r="R17" s="224" t="s">
        <v>861</v>
      </c>
      <c r="S17" s="212"/>
      <c r="T17" s="212"/>
      <c r="U17" s="212"/>
      <c r="V17" s="212"/>
      <c r="W17" s="217" t="b">
        <f>AND(A2=2,A4=1,A18=5)</f>
        <v>0</v>
      </c>
      <c r="X17" s="217">
        <f>IF(W17=TRUE,140.4,0)</f>
        <v>0</v>
      </c>
      <c r="Y17" s="214">
        <f>IF(W17=TRUE,351,0)</f>
        <v>0</v>
      </c>
      <c r="Z17" s="214" t="b">
        <f>AND(A2=2,A4=2,A18=5)</f>
        <v>0</v>
      </c>
      <c r="AA17" s="217">
        <f>IF(Z17=TRUE,117.2,0)</f>
        <v>0</v>
      </c>
      <c r="AB17" s="212">
        <f>IF(Z17=TRUE,293,0)</f>
        <v>0</v>
      </c>
      <c r="AC17" s="217" t="b">
        <f>AND(A2=2,A4=3,A18=5)</f>
        <v>0</v>
      </c>
      <c r="AD17" s="217">
        <f>IF(AC17=TRUE,99.2,0)</f>
        <v>0</v>
      </c>
      <c r="AE17" s="212">
        <f>IF(AD17=TRUE,248,0)</f>
        <v>0</v>
      </c>
      <c r="AF17" s="217" t="b">
        <f>AND(A2=2,A4=4,A18=5)</f>
        <v>0</v>
      </c>
      <c r="AG17" s="217">
        <f>IF(AF17=TRUE,114.4,0)</f>
        <v>0</v>
      </c>
      <c r="AH17" s="212">
        <f>IF(AF17=TRUE,286,0)</f>
        <v>0</v>
      </c>
      <c r="AI17" s="217" t="b">
        <f>AND(A2=2,A4=5,A18=5)</f>
        <v>0</v>
      </c>
      <c r="AJ17" s="217">
        <f>IF(AI17=TRUE,91.2,0)</f>
        <v>0</v>
      </c>
      <c r="AK17" s="212">
        <f>IF(AI17=TRUE,228,0)</f>
        <v>0</v>
      </c>
      <c r="AL17" s="217" t="b">
        <f>AND(A2=2,A4=6,A18=5)</f>
        <v>0</v>
      </c>
      <c r="AM17" s="217">
        <f>IF(AL17=TRUE,95.2,0)</f>
        <v>0</v>
      </c>
      <c r="AN17" s="212">
        <f>IF(AL17=TRUE,238,0)</f>
        <v>0</v>
      </c>
      <c r="AO17" s="217" t="b">
        <f>AND(A2=2,A4=7,A18=5)</f>
        <v>0</v>
      </c>
      <c r="AP17" s="217">
        <f>IF(AO17=TRUE,58,0)</f>
        <v>0</v>
      </c>
      <c r="AQ17" s="212">
        <f>IF(AO17=TRUE,145,0)</f>
        <v>0</v>
      </c>
      <c r="AR17" s="217"/>
      <c r="AS17" s="217"/>
      <c r="AT17" s="217"/>
      <c r="AU17" s="217"/>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row>
    <row r="18" spans="1:70" ht="15.75">
      <c r="A18" s="212">
        <v>3</v>
      </c>
      <c r="B18" s="211">
        <f>IF(A18=1,"X","")</f>
      </c>
      <c r="C18" s="211">
        <f>IF(A18=2,"X","")</f>
      </c>
      <c r="D18" s="211" t="str">
        <f>IF(A18=3,"X","")</f>
        <v>X</v>
      </c>
      <c r="E18" s="211">
        <f>IF(A18=4,"X","")</f>
      </c>
      <c r="F18" s="211">
        <f>IF(A18=5,"X","")</f>
      </c>
      <c r="G18" s="212"/>
      <c r="H18" s="212"/>
      <c r="I18" s="212"/>
      <c r="J18" s="212"/>
      <c r="K18" s="212">
        <v>1</v>
      </c>
      <c r="L18" s="212" t="s">
        <v>36</v>
      </c>
      <c r="M18" s="212"/>
      <c r="N18" s="212"/>
      <c r="O18" s="212"/>
      <c r="P18" s="212"/>
      <c r="Q18" s="212">
        <v>5</v>
      </c>
      <c r="R18" s="224" t="s">
        <v>862</v>
      </c>
      <c r="S18" s="212"/>
      <c r="T18" s="212"/>
      <c r="U18" s="212"/>
      <c r="V18" s="212"/>
      <c r="W18" s="217"/>
      <c r="X18" s="212"/>
      <c r="Y18" s="214"/>
      <c r="Z18" s="214"/>
      <c r="AA18" s="212"/>
      <c r="AB18" s="212"/>
      <c r="AC18" s="212"/>
      <c r="AD18" s="212"/>
      <c r="AE18" s="217"/>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row>
    <row r="19" spans="1:70" ht="15.75">
      <c r="A19" s="212" t="str">
        <f>CHOOSE(A18,L18,L19,L20,L21,L22)</f>
        <v>Komfortos, összkomfortos</v>
      </c>
      <c r="B19" s="212"/>
      <c r="C19" s="212"/>
      <c r="D19" s="212"/>
      <c r="E19" s="212"/>
      <c r="F19" s="212"/>
      <c r="G19" s="212"/>
      <c r="H19" s="212"/>
      <c r="I19" s="212"/>
      <c r="J19" s="212"/>
      <c r="K19" s="212">
        <v>2</v>
      </c>
      <c r="L19" s="212" t="s">
        <v>37</v>
      </c>
      <c r="M19" s="212"/>
      <c r="N19" s="212"/>
      <c r="O19" s="212"/>
      <c r="P19" s="212"/>
      <c r="Q19" s="212">
        <v>6</v>
      </c>
      <c r="R19" s="224" t="s">
        <v>863</v>
      </c>
      <c r="S19" s="212"/>
      <c r="T19" s="212"/>
      <c r="U19" s="212"/>
      <c r="V19" s="212"/>
      <c r="W19" s="212"/>
      <c r="X19" s="212"/>
      <c r="Y19" s="214"/>
      <c r="Z19" s="214"/>
      <c r="AA19" s="212"/>
      <c r="AB19" s="217"/>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row>
    <row r="20" spans="1:70" ht="15.75">
      <c r="A20" s="212"/>
      <c r="B20" s="212"/>
      <c r="C20" s="212"/>
      <c r="D20" s="212"/>
      <c r="E20" s="212"/>
      <c r="F20" s="212"/>
      <c r="G20" s="212"/>
      <c r="H20" s="212"/>
      <c r="I20" s="212"/>
      <c r="J20" s="212"/>
      <c r="K20" s="212">
        <v>3</v>
      </c>
      <c r="L20" s="212" t="s">
        <v>38</v>
      </c>
      <c r="M20" s="212"/>
      <c r="N20" s="212"/>
      <c r="O20" s="212"/>
      <c r="P20" s="212"/>
      <c r="Q20" s="212">
        <v>7</v>
      </c>
      <c r="R20" s="224" t="s">
        <v>864</v>
      </c>
      <c r="S20" s="212"/>
      <c r="T20" s="212"/>
      <c r="U20" s="212"/>
      <c r="V20" s="212"/>
      <c r="W20" s="212"/>
      <c r="X20" s="212"/>
      <c r="Y20" s="214"/>
      <c r="Z20" s="214"/>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row>
    <row r="21" spans="1:70" ht="15.75">
      <c r="A21" s="212"/>
      <c r="B21" s="212"/>
      <c r="C21" s="212"/>
      <c r="D21" s="212"/>
      <c r="E21" s="212"/>
      <c r="F21" s="212"/>
      <c r="G21" s="212"/>
      <c r="H21" s="212"/>
      <c r="I21" s="212"/>
      <c r="J21" s="212"/>
      <c r="K21" s="212">
        <v>4</v>
      </c>
      <c r="L21" s="212" t="s">
        <v>39</v>
      </c>
      <c r="M21" s="212"/>
      <c r="N21" s="212"/>
      <c r="O21" s="212"/>
      <c r="P21" s="212"/>
      <c r="Q21" s="212">
        <v>8</v>
      </c>
      <c r="R21" s="224" t="s">
        <v>865</v>
      </c>
      <c r="S21" s="212"/>
      <c r="T21" s="212"/>
      <c r="U21" s="212"/>
      <c r="V21" s="212"/>
      <c r="W21" s="212"/>
      <c r="X21" s="212"/>
      <c r="Y21" s="214"/>
      <c r="Z21" s="214"/>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row>
    <row r="22" spans="1:70" ht="15.75">
      <c r="A22" s="212"/>
      <c r="B22" s="212"/>
      <c r="C22" s="212"/>
      <c r="D22" s="212"/>
      <c r="E22" s="212"/>
      <c r="F22" s="212"/>
      <c r="G22" s="212"/>
      <c r="H22" s="212"/>
      <c r="I22" s="212"/>
      <c r="J22" s="212"/>
      <c r="K22" s="212">
        <v>5</v>
      </c>
      <c r="L22" s="212" t="s">
        <v>40</v>
      </c>
      <c r="M22" s="212"/>
      <c r="N22" s="212"/>
      <c r="O22" s="212"/>
      <c r="P22" s="212"/>
      <c r="Q22" s="212">
        <v>9</v>
      </c>
      <c r="R22" s="224" t="s">
        <v>866</v>
      </c>
      <c r="S22" s="212"/>
      <c r="T22" s="212"/>
      <c r="U22" s="212"/>
      <c r="V22" s="212"/>
      <c r="W22" s="212"/>
      <c r="X22" s="212"/>
      <c r="Y22" s="214"/>
      <c r="Z22" s="214"/>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row>
    <row r="23" spans="1:70" ht="15.75">
      <c r="A23" s="212"/>
      <c r="B23" s="212"/>
      <c r="C23" s="212"/>
      <c r="D23" s="212"/>
      <c r="E23" s="212"/>
      <c r="F23" s="212"/>
      <c r="G23" s="212"/>
      <c r="H23" s="212"/>
      <c r="I23" s="212"/>
      <c r="J23" s="212"/>
      <c r="K23" s="212"/>
      <c r="L23" s="212"/>
      <c r="M23" s="212"/>
      <c r="N23" s="212"/>
      <c r="O23" s="212"/>
      <c r="P23" s="212"/>
      <c r="Q23" s="212">
        <v>10</v>
      </c>
      <c r="R23" s="224" t="s">
        <v>867</v>
      </c>
      <c r="S23" s="212"/>
      <c r="T23" s="212"/>
      <c r="U23" s="212"/>
      <c r="V23" s="212"/>
      <c r="W23" s="212"/>
      <c r="X23" s="212"/>
      <c r="Y23" s="527" t="s">
        <v>67</v>
      </c>
      <c r="Z23" s="527"/>
      <c r="AA23" s="528" t="s">
        <v>81</v>
      </c>
      <c r="AB23" s="528"/>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row>
    <row r="24" spans="1:70" ht="15.75">
      <c r="A24" s="211" t="s">
        <v>13</v>
      </c>
      <c r="B24" s="212"/>
      <c r="C24" s="212"/>
      <c r="D24" s="212"/>
      <c r="E24" s="212"/>
      <c r="F24" s="212"/>
      <c r="G24" s="212"/>
      <c r="H24" s="212"/>
      <c r="I24" s="212"/>
      <c r="J24" s="212"/>
      <c r="K24" s="212"/>
      <c r="L24" s="212"/>
      <c r="M24" s="212"/>
      <c r="N24" s="212"/>
      <c r="O24" s="212"/>
      <c r="P24" s="212"/>
      <c r="Q24" s="212">
        <v>11</v>
      </c>
      <c r="R24" s="224" t="s">
        <v>868</v>
      </c>
      <c r="S24" s="212"/>
      <c r="T24" s="212"/>
      <c r="U24" s="212"/>
      <c r="V24" s="211" t="s">
        <v>228</v>
      </c>
      <c r="W24" s="211" t="s">
        <v>49</v>
      </c>
      <c r="X24" s="212"/>
      <c r="Y24" s="214"/>
      <c r="Z24" s="214" t="s">
        <v>58</v>
      </c>
      <c r="AA24" s="212" t="s">
        <v>59</v>
      </c>
      <c r="AB24" s="212"/>
      <c r="AC24" s="212" t="s">
        <v>217</v>
      </c>
      <c r="AD24" s="212" t="s">
        <v>59</v>
      </c>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row>
    <row r="25" spans="1:70" ht="15.75">
      <c r="A25" s="212">
        <v>6</v>
      </c>
      <c r="B25" s="211">
        <f>IF(A25=1,"X","")</f>
      </c>
      <c r="C25" s="211">
        <f>IF(A25=2,"X","")</f>
      </c>
      <c r="D25" s="211">
        <f>IF(A25=3,"X","")</f>
      </c>
      <c r="E25" s="211">
        <f>IF(A25=4,"X","")</f>
      </c>
      <c r="F25" s="211">
        <f>IF(A25=5,"X","")</f>
      </c>
      <c r="G25" s="211" t="str">
        <f>IF(A25=6,"X","")</f>
        <v>X</v>
      </c>
      <c r="H25" s="211"/>
      <c r="I25" s="211"/>
      <c r="J25" s="212">
        <v>1</v>
      </c>
      <c r="K25" s="212" t="s">
        <v>1</v>
      </c>
      <c r="L25" s="212" t="s">
        <v>43</v>
      </c>
      <c r="M25" s="212"/>
      <c r="N25" s="212"/>
      <c r="O25" s="212"/>
      <c r="P25" s="212"/>
      <c r="Q25" s="212">
        <v>12</v>
      </c>
      <c r="R25" s="224" t="s">
        <v>869</v>
      </c>
      <c r="S25" s="212"/>
      <c r="T25" s="212" t="s">
        <v>64</v>
      </c>
      <c r="U25" s="212"/>
      <c r="V25" s="212"/>
      <c r="W25" s="212"/>
      <c r="X25" s="212"/>
      <c r="Y25" s="214" t="b">
        <f>AND(A10=1,A25=1)</f>
        <v>0</v>
      </c>
      <c r="Z25" s="214">
        <f>IF(Y25=TRUE,0.58,0)</f>
        <v>0</v>
      </c>
      <c r="AA25" s="212">
        <f>IF(Y25=TRUE,0.77,0)</f>
        <v>0</v>
      </c>
      <c r="AB25" s="212" t="b">
        <f>AND(A10=2,A25=1)</f>
        <v>0</v>
      </c>
      <c r="AC25" s="212">
        <f>IF(AB25=TRUE,0.62,0)</f>
        <v>0</v>
      </c>
      <c r="AD25" s="212">
        <f>IF(AB25=TRUE,0.97,0)</f>
        <v>0</v>
      </c>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row>
    <row r="26" spans="1:70" ht="15.75">
      <c r="A26" s="212" t="str">
        <f>CHOOSE(A25,K25,K26,K27,K28,K29,K30)</f>
        <v>F</v>
      </c>
      <c r="B26" s="212">
        <v>1</v>
      </c>
      <c r="C26" s="212">
        <v>2</v>
      </c>
      <c r="D26" s="212">
        <v>3</v>
      </c>
      <c r="E26" s="212">
        <v>4</v>
      </c>
      <c r="F26" s="212">
        <v>5</v>
      </c>
      <c r="G26" s="212">
        <v>6</v>
      </c>
      <c r="H26" s="212"/>
      <c r="I26" s="212"/>
      <c r="J26" s="212">
        <v>2</v>
      </c>
      <c r="K26" s="212" t="s">
        <v>2</v>
      </c>
      <c r="L26" s="212" t="s">
        <v>44</v>
      </c>
      <c r="M26" s="212"/>
      <c r="N26" s="212"/>
      <c r="O26" s="212"/>
      <c r="P26" s="212"/>
      <c r="Q26" s="212"/>
      <c r="R26" s="212"/>
      <c r="S26" s="212"/>
      <c r="T26" s="212" t="s">
        <v>65</v>
      </c>
      <c r="U26" s="211"/>
      <c r="V26" s="212"/>
      <c r="W26" s="212"/>
      <c r="X26" s="212"/>
      <c r="Y26" s="214" t="b">
        <f>AND(A10=1,A25=2)</f>
        <v>0</v>
      </c>
      <c r="Z26" s="214">
        <f>IF(Y26=TRUE,0.54,0)</f>
        <v>0</v>
      </c>
      <c r="AA26" s="212">
        <f>IF(Y26=TRUE,0.72,0)</f>
        <v>0</v>
      </c>
      <c r="AB26" s="212" t="b">
        <f>AND(A10=2,A25=2)</f>
        <v>0</v>
      </c>
      <c r="AC26" s="212">
        <f>IF(AB26=TRUE,0.57,0)</f>
        <v>0</v>
      </c>
      <c r="AD26" s="212">
        <f>IF(AB26=TRUE,0.86,0)</f>
        <v>0</v>
      </c>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row>
    <row r="27" spans="1:70" ht="15.75">
      <c r="A27" s="212"/>
      <c r="B27" s="212" t="s">
        <v>1</v>
      </c>
      <c r="C27" s="212" t="s">
        <v>2</v>
      </c>
      <c r="D27" s="212" t="s">
        <v>3</v>
      </c>
      <c r="E27" s="212" t="s">
        <v>4</v>
      </c>
      <c r="F27" s="212" t="s">
        <v>5</v>
      </c>
      <c r="G27" s="212" t="s">
        <v>6</v>
      </c>
      <c r="H27" s="212"/>
      <c r="I27" s="212"/>
      <c r="J27" s="212">
        <v>3</v>
      </c>
      <c r="K27" s="212" t="s">
        <v>3</v>
      </c>
      <c r="L27" s="212" t="s">
        <v>45</v>
      </c>
      <c r="M27" s="212"/>
      <c r="N27" s="212"/>
      <c r="O27" s="212"/>
      <c r="P27" s="212"/>
      <c r="Q27" s="212"/>
      <c r="R27" s="212"/>
      <c r="S27" s="212"/>
      <c r="T27" s="212"/>
      <c r="U27" s="212"/>
      <c r="V27" s="212"/>
      <c r="W27" s="212"/>
      <c r="X27" s="212"/>
      <c r="Y27" s="214" t="b">
        <f>AND(A10=1,A25=3)</f>
        <v>0</v>
      </c>
      <c r="Z27" s="214">
        <f>IF(Y27=TRUE,0.41,0)</f>
        <v>0</v>
      </c>
      <c r="AA27" s="212">
        <f>IF(Y27=TRUE,0.53,0)</f>
        <v>0</v>
      </c>
      <c r="AB27" s="212" t="b">
        <f>AND(A10=2,A25=3)</f>
        <v>0</v>
      </c>
      <c r="AC27" s="212">
        <f>IF(AB27=TRUE,0.41,0)</f>
        <v>0</v>
      </c>
      <c r="AD27" s="212">
        <f>IF(AB27=TRUE,0.61,0)</f>
        <v>0</v>
      </c>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row>
    <row r="28" spans="1:70" ht="15.75">
      <c r="A28" s="212"/>
      <c r="B28" s="212"/>
      <c r="C28" s="212"/>
      <c r="D28" s="212"/>
      <c r="E28" s="212"/>
      <c r="F28" s="212"/>
      <c r="G28" s="212"/>
      <c r="H28" s="212"/>
      <c r="I28" s="212"/>
      <c r="J28" s="212">
        <v>4</v>
      </c>
      <c r="K28" s="212" t="s">
        <v>4</v>
      </c>
      <c r="L28" s="212" t="s">
        <v>46</v>
      </c>
      <c r="M28" s="212"/>
      <c r="N28" s="212"/>
      <c r="O28" s="212"/>
      <c r="P28" s="212"/>
      <c r="Q28" s="212"/>
      <c r="R28" s="212"/>
      <c r="S28" s="212"/>
      <c r="T28" s="212"/>
      <c r="U28" s="212"/>
      <c r="V28" s="212"/>
      <c r="W28" s="212"/>
      <c r="X28" s="212"/>
      <c r="Y28" s="214" t="b">
        <f>AND(A10=1,A25=4)</f>
        <v>0</v>
      </c>
      <c r="Z28" s="214">
        <f>IF(Y28=TRUE,0.37,0)</f>
        <v>0</v>
      </c>
      <c r="AA28" s="212">
        <f>IF(Y28=TRUE,0.45,0)</f>
        <v>0</v>
      </c>
      <c r="AB28" s="212" t="b">
        <f>AND(A10=2,A25=4)</f>
        <v>0</v>
      </c>
      <c r="AC28" s="212">
        <f>IF(AB28=TRUE,0.37,0)</f>
        <v>0</v>
      </c>
      <c r="AD28" s="212">
        <f>IF(AB28=TRUE,0.52,0)</f>
        <v>0</v>
      </c>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row>
    <row r="29" spans="1:70" ht="15.75">
      <c r="A29" s="212"/>
      <c r="B29" s="212"/>
      <c r="C29" s="212"/>
      <c r="D29" s="212"/>
      <c r="E29" s="212"/>
      <c r="F29" s="212"/>
      <c r="G29" s="212"/>
      <c r="H29" s="212"/>
      <c r="I29" s="212"/>
      <c r="J29" s="212">
        <v>5</v>
      </c>
      <c r="K29" s="212" t="s">
        <v>5</v>
      </c>
      <c r="L29" s="212" t="s">
        <v>47</v>
      </c>
      <c r="M29" s="212"/>
      <c r="N29" s="212"/>
      <c r="O29" s="212"/>
      <c r="P29" s="212"/>
      <c r="Q29" s="212"/>
      <c r="R29" s="212"/>
      <c r="S29" s="212"/>
      <c r="T29" s="212"/>
      <c r="U29" s="212"/>
      <c r="V29" s="212"/>
      <c r="W29" s="212"/>
      <c r="X29" s="212"/>
      <c r="Y29" s="214" t="b">
        <f>AND(A10=1,A25=5)</f>
        <v>0</v>
      </c>
      <c r="Z29" s="214">
        <f>IF(Y29=TRUE,0.33,0)</f>
        <v>0</v>
      </c>
      <c r="AA29" s="212">
        <f>IF(Y29=TRUE,0.41,0)</f>
        <v>0</v>
      </c>
      <c r="AB29" s="212" t="b">
        <f>AND(A10=2,A25=5)</f>
        <v>0</v>
      </c>
      <c r="AC29" s="212">
        <f>IF(AB29=TRUE,0.31,0)</f>
        <v>0</v>
      </c>
      <c r="AD29" s="212">
        <f>IF(AB29=TRUE,0.44,0)</f>
        <v>0</v>
      </c>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row>
    <row r="30" spans="1:70" ht="15.75">
      <c r="A30" s="212"/>
      <c r="B30" s="212"/>
      <c r="C30" s="212"/>
      <c r="D30" s="212"/>
      <c r="E30" s="212"/>
      <c r="F30" s="212"/>
      <c r="G30" s="212"/>
      <c r="H30" s="212"/>
      <c r="I30" s="212"/>
      <c r="J30" s="212">
        <v>6</v>
      </c>
      <c r="K30" s="212" t="s">
        <v>6</v>
      </c>
      <c r="L30" s="212" t="s">
        <v>48</v>
      </c>
      <c r="M30" s="212"/>
      <c r="N30" s="212"/>
      <c r="O30" s="212"/>
      <c r="P30" s="212"/>
      <c r="Q30" s="212"/>
      <c r="R30" s="212"/>
      <c r="S30" s="212"/>
      <c r="T30" s="212"/>
      <c r="U30" s="212"/>
      <c r="V30" s="212"/>
      <c r="W30" s="212" t="s">
        <v>58</v>
      </c>
      <c r="X30" s="212" t="s">
        <v>59</v>
      </c>
      <c r="Y30" s="214" t="b">
        <f>AND(A10=1,A25=6)</f>
        <v>1</v>
      </c>
      <c r="Z30" s="214">
        <f>IF(Y30=TRUE,0.32,0)</f>
        <v>0.32</v>
      </c>
      <c r="AA30" s="212">
        <f>IF(Y30=TRUE,0.38,0)</f>
        <v>0.38</v>
      </c>
      <c r="AB30" s="212" t="b">
        <f>AND(A10=2,A25=6)</f>
        <v>0</v>
      </c>
      <c r="AC30" s="212">
        <f>IF(AB30=TRUE,0.29,0)</f>
        <v>0</v>
      </c>
      <c r="AD30" s="212">
        <f>IF(AB30=TRUE,0.41,0)</f>
        <v>0</v>
      </c>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row>
    <row r="31" spans="1:70" ht="15.75">
      <c r="A31" s="212"/>
      <c r="B31" s="212"/>
      <c r="C31" s="212"/>
      <c r="D31" s="212"/>
      <c r="E31" s="212"/>
      <c r="F31" s="212"/>
      <c r="G31" s="212"/>
      <c r="H31" s="212"/>
      <c r="I31" s="212"/>
      <c r="J31" s="212"/>
      <c r="K31" s="212"/>
      <c r="L31" s="212"/>
      <c r="M31" s="212"/>
      <c r="N31" s="212"/>
      <c r="O31" s="212"/>
      <c r="P31" s="212"/>
      <c r="Q31" s="212"/>
      <c r="R31" s="212"/>
      <c r="S31" s="212"/>
      <c r="T31" s="212"/>
      <c r="U31" s="211" t="s">
        <v>228</v>
      </c>
      <c r="V31" s="212" t="s">
        <v>55</v>
      </c>
      <c r="W31" s="212">
        <f>SUM(Z25:Z30,AC25:AC30)</f>
        <v>0.32</v>
      </c>
      <c r="X31" s="212">
        <f>SUM(AA25:AA30,AD25:AD30)</f>
        <v>0.38</v>
      </c>
      <c r="Y31" s="214"/>
      <c r="Z31" s="214"/>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row>
    <row r="32" spans="1:70" ht="15.75">
      <c r="A32" s="212"/>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4"/>
      <c r="Z32" s="214"/>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row>
    <row r="33" spans="1:70" ht="15.75">
      <c r="A33" s="211" t="s">
        <v>50</v>
      </c>
      <c r="B33" s="212"/>
      <c r="C33" s="212"/>
      <c r="D33" s="212"/>
      <c r="E33" s="212"/>
      <c r="F33" s="212"/>
      <c r="G33" s="212"/>
      <c r="H33" s="212"/>
      <c r="I33" s="212"/>
      <c r="J33" s="212"/>
      <c r="K33" s="212"/>
      <c r="L33" s="212"/>
      <c r="M33" s="212"/>
      <c r="N33" s="212"/>
      <c r="O33" s="212"/>
      <c r="P33" s="212"/>
      <c r="Q33" s="212"/>
      <c r="R33" s="212"/>
      <c r="S33" s="212"/>
      <c r="T33" s="212"/>
      <c r="U33" s="212"/>
      <c r="V33" s="211" t="s">
        <v>229</v>
      </c>
      <c r="W33" s="211" t="s">
        <v>230</v>
      </c>
      <c r="X33" s="212"/>
      <c r="Y33" s="214" t="s">
        <v>237</v>
      </c>
      <c r="Z33" s="214"/>
      <c r="AA33" s="212" t="s">
        <v>55</v>
      </c>
      <c r="AB33" s="212">
        <f>SUM(AA34:AA36,AE34:AE36,AI34:AI36)</f>
        <v>0.16</v>
      </c>
      <c r="AC33" s="212"/>
      <c r="AD33" s="212"/>
      <c r="AE33" s="212"/>
      <c r="AF33" s="212"/>
      <c r="AG33" s="212"/>
      <c r="AH33" s="212"/>
      <c r="AI33" s="212"/>
      <c r="AJ33" s="212" t="s">
        <v>241</v>
      </c>
      <c r="AK33" s="212"/>
      <c r="AL33" s="212" t="s">
        <v>242</v>
      </c>
      <c r="AM33" s="212">
        <f>SUM(AK34:AK36,AM34:AM36)</f>
        <v>0.16</v>
      </c>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row>
    <row r="34" spans="1:70" ht="15.75">
      <c r="A34" s="212">
        <v>3</v>
      </c>
      <c r="B34" s="212"/>
      <c r="C34" s="212"/>
      <c r="D34" s="212"/>
      <c r="E34" s="212"/>
      <c r="F34" s="212"/>
      <c r="G34" s="212"/>
      <c r="H34" s="212"/>
      <c r="I34" s="212"/>
      <c r="J34" s="212"/>
      <c r="K34" s="212">
        <v>1</v>
      </c>
      <c r="L34" s="212" t="s">
        <v>89</v>
      </c>
      <c r="M34" s="212"/>
      <c r="N34" s="212"/>
      <c r="O34" s="212"/>
      <c r="P34" s="212"/>
      <c r="Q34" s="212"/>
      <c r="R34" s="212"/>
      <c r="S34" s="212"/>
      <c r="T34" s="212"/>
      <c r="U34" s="212"/>
      <c r="V34" s="212"/>
      <c r="W34" s="212"/>
      <c r="X34" s="212" t="s">
        <v>231</v>
      </c>
      <c r="Y34" s="214" t="b">
        <f>OR(A4=2,A4=3,A4=7)</f>
        <v>0</v>
      </c>
      <c r="Z34" s="214" t="b">
        <f>AND(Y34=TRUE,A34=2)</f>
        <v>0</v>
      </c>
      <c r="AA34" s="212">
        <f>IF(Z34=TRUE,0.12,0)</f>
        <v>0</v>
      </c>
      <c r="AB34" s="212" t="s">
        <v>234</v>
      </c>
      <c r="AC34" s="212" t="b">
        <f>OR(A4=1,A4=5)</f>
        <v>1</v>
      </c>
      <c r="AD34" s="212" t="b">
        <f>AND(AC34=TRUE,A34=2)</f>
        <v>0</v>
      </c>
      <c r="AE34" s="212">
        <f>IF(AD34=TRUE,0.11,0)</f>
        <v>0</v>
      </c>
      <c r="AF34" s="212" t="s">
        <v>238</v>
      </c>
      <c r="AG34" s="212" t="b">
        <f>OR(A4=4,A4=6)</f>
        <v>0</v>
      </c>
      <c r="AH34" s="212" t="b">
        <f>IF(AG34=TRUE,A34=2)</f>
        <v>0</v>
      </c>
      <c r="AI34" s="212">
        <f>IF(AH34=TRUE,0.1,0)</f>
        <v>0</v>
      </c>
      <c r="AJ34" s="212" t="b">
        <f>AND(A14=2,A34=2)</f>
        <v>0</v>
      </c>
      <c r="AK34" s="212">
        <f>IF(AJ34=TRUE,0.11,0)</f>
        <v>0</v>
      </c>
      <c r="AL34" s="212" t="b">
        <f>AND(A14=3,A34=2)</f>
        <v>0</v>
      </c>
      <c r="AM34" s="212">
        <f>IF(AL34=TRUE,0.12,0)</f>
        <v>0</v>
      </c>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row>
    <row r="35" spans="1:70" ht="15.75">
      <c r="A35" s="212"/>
      <c r="B35" s="212"/>
      <c r="C35" s="212"/>
      <c r="D35" s="212"/>
      <c r="E35" s="212"/>
      <c r="F35" s="212"/>
      <c r="G35" s="212"/>
      <c r="H35" s="212"/>
      <c r="I35" s="212"/>
      <c r="J35" s="212"/>
      <c r="K35" s="212">
        <v>2</v>
      </c>
      <c r="L35" s="212" t="s">
        <v>51</v>
      </c>
      <c r="M35" s="212"/>
      <c r="N35" s="212"/>
      <c r="O35" s="212"/>
      <c r="P35" s="212"/>
      <c r="Q35" s="212"/>
      <c r="R35" s="212"/>
      <c r="S35" s="212"/>
      <c r="T35" s="212"/>
      <c r="U35" s="212"/>
      <c r="V35" s="212"/>
      <c r="W35" s="212"/>
      <c r="X35" s="212" t="s">
        <v>232</v>
      </c>
      <c r="Y35" s="214" t="b">
        <f>OR(A4=2,A4=3,A4=7)</f>
        <v>0</v>
      </c>
      <c r="Z35" s="214" t="b">
        <f>AND(Y35=TRUE,A34=3)</f>
        <v>0</v>
      </c>
      <c r="AA35" s="212">
        <f>IF(Z35=TRUE,0.18,0)</f>
        <v>0</v>
      </c>
      <c r="AB35" s="212" t="s">
        <v>235</v>
      </c>
      <c r="AC35" s="212" t="b">
        <f>OR(A4=1,A4=5)</f>
        <v>1</v>
      </c>
      <c r="AD35" s="212" t="b">
        <f>AND(AC35=TRUE,A34=3)</f>
        <v>1</v>
      </c>
      <c r="AE35" s="212">
        <f>IF(AD35=TRUE,0.16,0)</f>
        <v>0.16</v>
      </c>
      <c r="AF35" s="212" t="s">
        <v>239</v>
      </c>
      <c r="AG35" s="212" t="b">
        <f>OR(A4=4,A4=6)</f>
        <v>0</v>
      </c>
      <c r="AH35" s="212" t="b">
        <f>IF(AG35=TRUE,A34=3)</f>
        <v>0</v>
      </c>
      <c r="AI35" s="212">
        <f>IF(AH35=TRUE,0.14,0)</f>
        <v>0</v>
      </c>
      <c r="AJ35" s="212" t="b">
        <f>AND(A14=2,A34=3)</f>
        <v>1</v>
      </c>
      <c r="AK35" s="212">
        <f>IF(AJ35=TRUE,0.16,0)</f>
        <v>0.16</v>
      </c>
      <c r="AL35" s="212" t="b">
        <f>AND(A14=3,A34=3)</f>
        <v>0</v>
      </c>
      <c r="AM35" s="212">
        <f>IF(AL35=TRUE,0.18,0)</f>
        <v>0</v>
      </c>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row>
    <row r="36" spans="1:70" ht="15.75">
      <c r="A36" s="211" t="str">
        <f>IF(A34&gt;1,"X","")</f>
        <v>X</v>
      </c>
      <c r="B36" s="212"/>
      <c r="C36" s="212" t="s">
        <v>90</v>
      </c>
      <c r="D36" s="212"/>
      <c r="E36" s="212"/>
      <c r="F36" s="212"/>
      <c r="G36" s="212"/>
      <c r="H36" s="212"/>
      <c r="I36" s="212"/>
      <c r="J36" s="212"/>
      <c r="K36" s="212">
        <v>3</v>
      </c>
      <c r="L36" s="212" t="s">
        <v>52</v>
      </c>
      <c r="M36" s="212"/>
      <c r="N36" s="212"/>
      <c r="O36" s="212"/>
      <c r="P36" s="212"/>
      <c r="Q36" s="212"/>
      <c r="R36" s="212"/>
      <c r="S36" s="212"/>
      <c r="T36" s="212"/>
      <c r="U36" s="212"/>
      <c r="V36" s="212"/>
      <c r="W36" s="212"/>
      <c r="X36" s="212" t="s">
        <v>233</v>
      </c>
      <c r="Y36" s="214" t="b">
        <f>OR(A4=2,A4=3,A4=7)</f>
        <v>0</v>
      </c>
      <c r="Z36" s="214" t="b">
        <f>AND(Y36=TRUE,A34=4)</f>
        <v>0</v>
      </c>
      <c r="AA36" s="212">
        <f>IF(Z36=TRUE,0.22,0)</f>
        <v>0</v>
      </c>
      <c r="AB36" s="212" t="s">
        <v>236</v>
      </c>
      <c r="AC36" s="212" t="b">
        <f>OR(A4=1,A4=5)</f>
        <v>1</v>
      </c>
      <c r="AD36" s="212" t="b">
        <f>AND(AC36=TRUE,A34=4)</f>
        <v>0</v>
      </c>
      <c r="AE36" s="212">
        <f>IF(AD36=TRUE,0.2,0)</f>
        <v>0</v>
      </c>
      <c r="AF36" s="212" t="s">
        <v>240</v>
      </c>
      <c r="AG36" s="212" t="b">
        <f>OR(A4=4,A4=6)</f>
        <v>0</v>
      </c>
      <c r="AH36" s="212" t="b">
        <f>AND(AG36=TRUE,A34=4)</f>
        <v>0</v>
      </c>
      <c r="AI36" s="212">
        <f>IF(AH36=TRUE,0.18,0)</f>
        <v>0</v>
      </c>
      <c r="AJ36" s="212" t="b">
        <f>AND(A14=2,A34=4)</f>
        <v>0</v>
      </c>
      <c r="AK36" s="212">
        <f>IF(AJ36=TRUE,0.2,0)</f>
        <v>0</v>
      </c>
      <c r="AL36" s="212" t="b">
        <f>AND(A14=3,A34=4)</f>
        <v>0</v>
      </c>
      <c r="AM36" s="212">
        <f>IF(AL36=TRUE,0.22,0)</f>
        <v>0</v>
      </c>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row>
    <row r="37" spans="1:70" ht="15.75">
      <c r="A37" s="211">
        <f>IF(A34=1,"X","")</f>
      </c>
      <c r="B37" s="212"/>
      <c r="C37" s="212" t="s">
        <v>89</v>
      </c>
      <c r="D37" s="212"/>
      <c r="E37" s="212"/>
      <c r="F37" s="212"/>
      <c r="G37" s="212"/>
      <c r="H37" s="212"/>
      <c r="I37" s="212"/>
      <c r="J37" s="212"/>
      <c r="K37" s="212">
        <v>4</v>
      </c>
      <c r="L37" s="212" t="s">
        <v>53</v>
      </c>
      <c r="M37" s="212"/>
      <c r="N37" s="212"/>
      <c r="O37" s="212"/>
      <c r="P37" s="212"/>
      <c r="Q37" s="212"/>
      <c r="R37" s="212"/>
      <c r="S37" s="212"/>
      <c r="T37" s="212"/>
      <c r="U37" s="212"/>
      <c r="V37" s="212"/>
      <c r="W37" s="212"/>
      <c r="X37" s="212"/>
      <c r="Y37" s="214"/>
      <c r="Z37" s="214"/>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row>
    <row r="38" spans="1:70" ht="16.5" thickBot="1">
      <c r="A38" s="212"/>
      <c r="B38" s="212"/>
      <c r="C38" s="212"/>
      <c r="D38" s="212"/>
      <c r="E38" s="212"/>
      <c r="F38" s="212"/>
      <c r="G38" s="212"/>
      <c r="H38" s="212"/>
      <c r="I38" s="212"/>
      <c r="J38" s="212"/>
      <c r="K38" s="212"/>
      <c r="L38" s="212"/>
      <c r="M38" s="212"/>
      <c r="N38" s="212"/>
      <c r="O38" s="212"/>
      <c r="P38" s="212"/>
      <c r="Q38" s="212"/>
      <c r="R38" s="212"/>
      <c r="S38" s="212"/>
      <c r="T38" s="212" t="s">
        <v>66</v>
      </c>
      <c r="U38" s="212"/>
      <c r="V38" s="212"/>
      <c r="W38" s="212"/>
      <c r="X38" s="212"/>
      <c r="Y38" s="214"/>
      <c r="Z38" s="214"/>
      <c r="AA38" s="212"/>
      <c r="AB38" s="212"/>
      <c r="AC38" s="212"/>
      <c r="AD38" s="212"/>
      <c r="AE38" s="212"/>
      <c r="AF38" s="212"/>
      <c r="AG38" s="212"/>
      <c r="AH38" s="534" t="s">
        <v>1555</v>
      </c>
      <c r="AI38" s="534"/>
      <c r="AJ38" s="212"/>
      <c r="AK38" s="212"/>
      <c r="AL38" s="212"/>
      <c r="AM38" s="212"/>
      <c r="AN38" s="212"/>
      <c r="AO38" s="212"/>
      <c r="AP38" s="237" t="s">
        <v>1559</v>
      </c>
      <c r="AQ38" s="237"/>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row>
    <row r="39" spans="1:70" ht="17.25" thickBot="1" thickTop="1">
      <c r="A39" s="212"/>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4"/>
      <c r="Z39" s="214"/>
      <c r="AA39" s="212"/>
      <c r="AB39" s="212"/>
      <c r="AC39" s="212"/>
      <c r="AD39" s="212"/>
      <c r="AE39" s="212"/>
      <c r="AF39" s="212"/>
      <c r="AG39" s="212"/>
      <c r="AH39" s="535" t="s">
        <v>729</v>
      </c>
      <c r="AI39" s="537" t="s">
        <v>1030</v>
      </c>
      <c r="AJ39" s="538"/>
      <c r="AK39" s="538"/>
      <c r="AL39" s="538"/>
      <c r="AM39" s="539"/>
      <c r="AN39" s="227">
        <f>CHOOSE(A2,AN40,AN53)</f>
        <v>195</v>
      </c>
      <c r="AO39" s="212"/>
      <c r="AP39" s="296">
        <v>2114</v>
      </c>
      <c r="AQ39" s="227" t="str">
        <f>_xlfn.IFERROR(VLOOKUP(Adatfelvétel!G47,AP39:AP106,1,FALSE),"NINCS")</f>
        <v>NINCS</v>
      </c>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row>
    <row r="40" spans="1:70" ht="17.25" thickBot="1" thickTop="1">
      <c r="A40" s="211" t="s">
        <v>56</v>
      </c>
      <c r="B40" s="212"/>
      <c r="C40" s="212"/>
      <c r="D40" s="212"/>
      <c r="E40" s="212"/>
      <c r="F40" s="212"/>
      <c r="G40" s="212"/>
      <c r="H40" s="212"/>
      <c r="I40" s="212"/>
      <c r="J40" s="212"/>
      <c r="K40" s="212"/>
      <c r="L40" s="212"/>
      <c r="M40" s="212"/>
      <c r="N40" s="212" t="s">
        <v>55</v>
      </c>
      <c r="O40" s="212" t="s">
        <v>58</v>
      </c>
      <c r="P40" s="212" t="s">
        <v>59</v>
      </c>
      <c r="Q40" s="212"/>
      <c r="R40" s="212"/>
      <c r="S40" s="212"/>
      <c r="T40" s="212"/>
      <c r="U40" s="212"/>
      <c r="V40" s="212"/>
      <c r="W40" s="211" t="s">
        <v>57</v>
      </c>
      <c r="X40" s="212"/>
      <c r="Y40" s="214"/>
      <c r="Z40" s="214"/>
      <c r="AA40" s="212"/>
      <c r="AB40" s="212"/>
      <c r="AC40" s="212"/>
      <c r="AD40" s="212"/>
      <c r="AE40" s="212"/>
      <c r="AF40" s="212"/>
      <c r="AG40" s="212"/>
      <c r="AH40" s="536"/>
      <c r="AI40" s="228" t="s">
        <v>1031</v>
      </c>
      <c r="AJ40" s="228" t="s">
        <v>1032</v>
      </c>
      <c r="AK40" s="228" t="s">
        <v>1033</v>
      </c>
      <c r="AL40" s="228" t="s">
        <v>1034</v>
      </c>
      <c r="AM40" s="228" t="s">
        <v>1035</v>
      </c>
      <c r="AN40" s="229">
        <f>INDEX(sajatAjanlott,$A$4,$A$18)/1000</f>
        <v>195</v>
      </c>
      <c r="AO40" s="212"/>
      <c r="AP40" s="296">
        <v>2118</v>
      </c>
      <c r="AQ40" s="237"/>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row>
    <row r="41" spans="1:70" ht="17.25" thickBot="1" thickTop="1">
      <c r="A41" s="212">
        <v>1</v>
      </c>
      <c r="B41" s="212"/>
      <c r="C41" s="212"/>
      <c r="D41" s="212"/>
      <c r="E41" s="212"/>
      <c r="F41" s="212"/>
      <c r="G41" s="212"/>
      <c r="H41" s="212"/>
      <c r="I41" s="212"/>
      <c r="J41" s="212"/>
      <c r="K41" s="212">
        <v>1</v>
      </c>
      <c r="L41" s="212" t="s">
        <v>90</v>
      </c>
      <c r="M41" s="212"/>
      <c r="N41" s="212"/>
      <c r="O41" s="212">
        <f>IF(A41=1,0.24,0)</f>
        <v>0.24</v>
      </c>
      <c r="P41" s="212">
        <f>IF(A41=1,0.12,0)</f>
        <v>0.12</v>
      </c>
      <c r="Q41" s="212"/>
      <c r="R41" s="212"/>
      <c r="S41" s="212"/>
      <c r="T41" s="212"/>
      <c r="U41" s="212"/>
      <c r="V41" s="212"/>
      <c r="W41" s="212" t="s">
        <v>58</v>
      </c>
      <c r="X41" s="212">
        <v>0.24</v>
      </c>
      <c r="Y41" s="214" t="s">
        <v>59</v>
      </c>
      <c r="Z41" s="214">
        <v>0.12</v>
      </c>
      <c r="AA41" s="212"/>
      <c r="AB41" s="212"/>
      <c r="AC41" s="212"/>
      <c r="AD41" s="212"/>
      <c r="AE41" s="212"/>
      <c r="AF41" s="212"/>
      <c r="AG41" s="212"/>
      <c r="AH41" s="230" t="s">
        <v>1036</v>
      </c>
      <c r="AI41" s="287">
        <v>138000</v>
      </c>
      <c r="AJ41" s="288">
        <v>175000</v>
      </c>
      <c r="AK41" s="288">
        <v>195000</v>
      </c>
      <c r="AL41" s="288">
        <v>286000</v>
      </c>
      <c r="AM41" s="288">
        <v>382000</v>
      </c>
      <c r="AN41" s="212"/>
      <c r="AO41" s="212"/>
      <c r="AP41" s="296">
        <v>2251</v>
      </c>
      <c r="AQ41" s="237"/>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row>
    <row r="42" spans="1:70" ht="17.25" thickBot="1" thickTop="1">
      <c r="A42" s="211" t="str">
        <f>IF(A41=1,"X","")</f>
        <v>X</v>
      </c>
      <c r="B42" s="212"/>
      <c r="C42" s="212" t="s">
        <v>90</v>
      </c>
      <c r="D42" s="212"/>
      <c r="E42" s="212"/>
      <c r="F42" s="212"/>
      <c r="G42" s="212"/>
      <c r="H42" s="212"/>
      <c r="I42" s="212"/>
      <c r="J42" s="212"/>
      <c r="K42" s="212">
        <v>2</v>
      </c>
      <c r="L42" s="212" t="s">
        <v>89</v>
      </c>
      <c r="M42" s="212"/>
      <c r="N42" s="212"/>
      <c r="O42" s="212"/>
      <c r="P42" s="212"/>
      <c r="Q42" s="212"/>
      <c r="R42" s="212"/>
      <c r="S42" s="212"/>
      <c r="T42" s="212"/>
      <c r="U42" s="212"/>
      <c r="V42" s="212"/>
      <c r="W42" s="212"/>
      <c r="X42" s="212"/>
      <c r="Y42" s="214"/>
      <c r="Z42" s="214"/>
      <c r="AA42" s="212"/>
      <c r="AB42" s="212"/>
      <c r="AC42" s="212"/>
      <c r="AD42" s="212"/>
      <c r="AE42" s="212"/>
      <c r="AF42" s="212"/>
      <c r="AG42" s="212"/>
      <c r="AH42" s="230" t="s">
        <v>1037</v>
      </c>
      <c r="AI42" s="289">
        <v>115000</v>
      </c>
      <c r="AJ42" s="290">
        <v>148000</v>
      </c>
      <c r="AK42" s="290">
        <v>164000</v>
      </c>
      <c r="AL42" s="290">
        <v>244000</v>
      </c>
      <c r="AM42" s="290">
        <v>320000</v>
      </c>
      <c r="AN42" s="212"/>
      <c r="AO42" s="212"/>
      <c r="AP42" s="296">
        <v>2458</v>
      </c>
      <c r="AQ42" s="237"/>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row>
    <row r="43" spans="1:70" ht="17.25" thickBot="1" thickTop="1">
      <c r="A43" s="211">
        <f>IF(A41=2,"X","")</f>
      </c>
      <c r="B43" s="212"/>
      <c r="C43" s="212" t="s">
        <v>89</v>
      </c>
      <c r="D43" s="212"/>
      <c r="E43" s="212"/>
      <c r="F43" s="212"/>
      <c r="G43" s="212"/>
      <c r="H43" s="212"/>
      <c r="I43" s="212"/>
      <c r="J43" s="212"/>
      <c r="K43" s="212"/>
      <c r="L43" s="212"/>
      <c r="M43" s="212"/>
      <c r="N43" s="212"/>
      <c r="O43" s="212"/>
      <c r="P43" s="212"/>
      <c r="Q43" s="212"/>
      <c r="R43" s="212"/>
      <c r="S43" s="212"/>
      <c r="T43" s="212"/>
      <c r="U43" s="212"/>
      <c r="V43" s="212"/>
      <c r="W43" s="212"/>
      <c r="X43" s="212"/>
      <c r="Y43" s="214"/>
      <c r="Z43" s="214"/>
      <c r="AA43" s="212"/>
      <c r="AB43" s="212"/>
      <c r="AC43" s="212"/>
      <c r="AD43" s="212"/>
      <c r="AE43" s="212"/>
      <c r="AF43" s="212"/>
      <c r="AG43" s="212"/>
      <c r="AH43" s="230" t="s">
        <v>1038</v>
      </c>
      <c r="AI43" s="289">
        <v>101000</v>
      </c>
      <c r="AJ43" s="290">
        <v>128000</v>
      </c>
      <c r="AK43" s="290">
        <v>138000</v>
      </c>
      <c r="AL43" s="290">
        <v>204000</v>
      </c>
      <c r="AM43" s="290">
        <v>271000</v>
      </c>
      <c r="AN43" s="212"/>
      <c r="AO43" s="212"/>
      <c r="AP43" s="296">
        <v>2465</v>
      </c>
      <c r="AQ43" s="237"/>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row>
    <row r="44" spans="1:70" ht="17.25" thickBot="1" thickTop="1">
      <c r="A44" s="211" t="s">
        <v>60</v>
      </c>
      <c r="B44" s="212"/>
      <c r="C44" s="212"/>
      <c r="D44" s="212"/>
      <c r="E44" s="212"/>
      <c r="F44" s="212"/>
      <c r="G44" s="212"/>
      <c r="H44" s="212"/>
      <c r="I44" s="212"/>
      <c r="J44" s="212"/>
      <c r="K44" s="212"/>
      <c r="L44" s="212"/>
      <c r="M44" s="212"/>
      <c r="N44" s="212"/>
      <c r="O44" s="212"/>
      <c r="P44" s="212"/>
      <c r="Q44" s="212"/>
      <c r="R44" s="212"/>
      <c r="S44" s="212"/>
      <c r="T44" s="212"/>
      <c r="U44" s="212"/>
      <c r="V44" s="212"/>
      <c r="W44" s="212"/>
      <c r="X44" s="211" t="s">
        <v>34</v>
      </c>
      <c r="Y44" s="214"/>
      <c r="Z44" s="225" t="s">
        <v>58</v>
      </c>
      <c r="AA44" s="226" t="s">
        <v>59</v>
      </c>
      <c r="AB44" s="212"/>
      <c r="AC44" s="212"/>
      <c r="AD44" s="212"/>
      <c r="AE44" s="212"/>
      <c r="AF44" s="212"/>
      <c r="AG44" s="212"/>
      <c r="AH44" s="230" t="s">
        <v>1039</v>
      </c>
      <c r="AI44" s="289">
        <v>128000</v>
      </c>
      <c r="AJ44" s="290">
        <v>161000</v>
      </c>
      <c r="AK44" s="290">
        <v>175000</v>
      </c>
      <c r="AL44" s="290">
        <v>244000</v>
      </c>
      <c r="AM44" s="290">
        <v>312000</v>
      </c>
      <c r="AN44" s="212"/>
      <c r="AO44" s="212"/>
      <c r="AP44" s="296">
        <v>2672</v>
      </c>
      <c r="AQ44" s="237"/>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row>
    <row r="45" spans="1:70" ht="17.25" thickBot="1" thickTop="1">
      <c r="A45" s="212">
        <v>3</v>
      </c>
      <c r="B45" s="211">
        <f>IF(A45=2,"X","")</f>
      </c>
      <c r="C45" s="211" t="str">
        <f>IF(A45=3,"X","")</f>
        <v>X</v>
      </c>
      <c r="D45" s="211">
        <f>IF(A45=4,"X","")</f>
      </c>
      <c r="E45" s="212"/>
      <c r="F45" s="212"/>
      <c r="G45" s="212"/>
      <c r="H45" s="212"/>
      <c r="I45" s="212"/>
      <c r="J45" s="212"/>
      <c r="K45" s="212">
        <v>1</v>
      </c>
      <c r="L45" s="212" t="s">
        <v>89</v>
      </c>
      <c r="M45" s="212"/>
      <c r="N45" s="212"/>
      <c r="O45" s="212"/>
      <c r="P45" s="212"/>
      <c r="Q45" s="212"/>
      <c r="R45" s="212"/>
      <c r="S45" s="212"/>
      <c r="T45" s="212"/>
      <c r="U45" s="212"/>
      <c r="V45" s="212"/>
      <c r="W45" s="212"/>
      <c r="X45" s="212" t="b">
        <f>OR(A4=4,A4=5,A4=6)</f>
        <v>0</v>
      </c>
      <c r="Y45" s="214" t="b">
        <f>AND(X45=TRUE,A45=2)</f>
        <v>0</v>
      </c>
      <c r="Z45" s="214">
        <f>IF(Y45=TRUE,0.74,0)</f>
        <v>0</v>
      </c>
      <c r="AA45" s="212">
        <f>IF(Y45=TRUE,0.39,0)</f>
        <v>0</v>
      </c>
      <c r="AB45" s="212"/>
      <c r="AC45" s="212"/>
      <c r="AD45" s="212"/>
      <c r="AE45" s="212"/>
      <c r="AF45" s="212"/>
      <c r="AG45" s="212"/>
      <c r="AH45" s="230" t="s">
        <v>1040</v>
      </c>
      <c r="AI45" s="289">
        <v>114000</v>
      </c>
      <c r="AJ45" s="290">
        <v>141000</v>
      </c>
      <c r="AK45" s="290">
        <v>159000</v>
      </c>
      <c r="AL45" s="290">
        <v>202000</v>
      </c>
      <c r="AM45" s="290">
        <v>249000</v>
      </c>
      <c r="AN45" s="212"/>
      <c r="AO45" s="212"/>
      <c r="AP45" s="296">
        <v>2724</v>
      </c>
      <c r="AQ45" s="237"/>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row>
    <row r="46" spans="1:70" ht="17.25" thickBot="1" thickTop="1">
      <c r="A46" s="212"/>
      <c r="B46" s="212"/>
      <c r="C46" s="212"/>
      <c r="D46" s="212"/>
      <c r="E46" s="212"/>
      <c r="F46" s="212"/>
      <c r="G46" s="212"/>
      <c r="H46" s="212"/>
      <c r="I46" s="212"/>
      <c r="J46" s="212"/>
      <c r="K46" s="212">
        <v>2</v>
      </c>
      <c r="L46" s="212" t="s">
        <v>61</v>
      </c>
      <c r="M46" s="212"/>
      <c r="N46" s="212"/>
      <c r="O46" s="212"/>
      <c r="P46" s="212"/>
      <c r="Q46" s="212"/>
      <c r="R46" s="212"/>
      <c r="S46" s="212"/>
      <c r="T46" s="212"/>
      <c r="U46" s="212"/>
      <c r="V46" s="212"/>
      <c r="W46" s="212"/>
      <c r="X46" s="212"/>
      <c r="Y46" s="214" t="b">
        <f>AND(X45=TRUE,A45=3)</f>
        <v>0</v>
      </c>
      <c r="Z46" s="214">
        <f>IF(Y46=TRUE,0.51,0)</f>
        <v>0</v>
      </c>
      <c r="AA46" s="212">
        <f>IF(Y46=TRUE,0.24,0)</f>
        <v>0</v>
      </c>
      <c r="AB46" s="212"/>
      <c r="AC46" s="212"/>
      <c r="AD46" s="212"/>
      <c r="AE46" s="212"/>
      <c r="AF46" s="212"/>
      <c r="AG46" s="212"/>
      <c r="AH46" s="230" t="s">
        <v>1041</v>
      </c>
      <c r="AI46" s="289">
        <v>134000</v>
      </c>
      <c r="AJ46" s="290">
        <v>168000</v>
      </c>
      <c r="AK46" s="290">
        <v>189000</v>
      </c>
      <c r="AL46" s="290">
        <v>226000</v>
      </c>
      <c r="AM46" s="290">
        <v>260000</v>
      </c>
      <c r="AN46" s="212"/>
      <c r="AO46" s="212"/>
      <c r="AP46" s="296">
        <v>2852</v>
      </c>
      <c r="AQ46" s="237"/>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row>
    <row r="47" spans="1:70" ht="17.25" thickBot="1" thickTop="1">
      <c r="A47" s="211" t="str">
        <f>IF(A45&gt;1,"X","")</f>
        <v>X</v>
      </c>
      <c r="B47" s="212"/>
      <c r="C47" s="212" t="s">
        <v>90</v>
      </c>
      <c r="D47" s="212"/>
      <c r="E47" s="212"/>
      <c r="F47" s="212"/>
      <c r="G47" s="212"/>
      <c r="H47" s="212"/>
      <c r="I47" s="212"/>
      <c r="J47" s="212"/>
      <c r="K47" s="212">
        <v>3</v>
      </c>
      <c r="L47" s="212" t="s">
        <v>62</v>
      </c>
      <c r="M47" s="212"/>
      <c r="N47" s="212"/>
      <c r="O47" s="212"/>
      <c r="P47" s="212"/>
      <c r="Q47" s="212"/>
      <c r="R47" s="212"/>
      <c r="S47" s="212"/>
      <c r="T47" s="212"/>
      <c r="U47" s="212"/>
      <c r="V47" s="212"/>
      <c r="W47" s="212"/>
      <c r="X47" s="212"/>
      <c r="Y47" s="214" t="b">
        <f>AND(X45=TRUE,A45=4)</f>
        <v>0</v>
      </c>
      <c r="Z47" s="214">
        <f>IF(Y47=TRUE,0.46,0)</f>
        <v>0</v>
      </c>
      <c r="AA47" s="212">
        <f>IF(Y47=TRUE,0.22,0)</f>
        <v>0</v>
      </c>
      <c r="AB47" s="212"/>
      <c r="AC47" s="212"/>
      <c r="AD47" s="212"/>
      <c r="AE47" s="212"/>
      <c r="AF47" s="212"/>
      <c r="AG47" s="212"/>
      <c r="AH47" s="230" t="s">
        <v>1042</v>
      </c>
      <c r="AI47" s="289">
        <v>78000</v>
      </c>
      <c r="AJ47" s="290">
        <v>98000</v>
      </c>
      <c r="AK47" s="290">
        <v>114000</v>
      </c>
      <c r="AL47" s="290">
        <v>134000</v>
      </c>
      <c r="AM47" s="290">
        <v>159000</v>
      </c>
      <c r="AN47" s="212"/>
      <c r="AO47" s="212"/>
      <c r="AP47" s="296">
        <v>3034</v>
      </c>
      <c r="AQ47" s="237"/>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row>
    <row r="48" spans="1:70" ht="17.25" thickBot="1" thickTop="1">
      <c r="A48" s="211">
        <f>IF(A45=1,"X","")</f>
      </c>
      <c r="B48" s="212"/>
      <c r="C48" s="212" t="s">
        <v>89</v>
      </c>
      <c r="D48" s="212"/>
      <c r="E48" s="212"/>
      <c r="F48" s="212"/>
      <c r="G48" s="212"/>
      <c r="H48" s="212"/>
      <c r="I48" s="212"/>
      <c r="J48" s="212"/>
      <c r="K48" s="212">
        <v>4</v>
      </c>
      <c r="L48" s="212" t="s">
        <v>63</v>
      </c>
      <c r="M48" s="212"/>
      <c r="N48" s="212"/>
      <c r="O48" s="212"/>
      <c r="P48" s="212"/>
      <c r="Q48" s="212"/>
      <c r="R48" s="212"/>
      <c r="S48" s="212"/>
      <c r="T48" s="212"/>
      <c r="U48" s="212"/>
      <c r="V48" s="212"/>
      <c r="W48" s="212"/>
      <c r="X48" s="212"/>
      <c r="Y48" s="214" t="b">
        <f>AND(X45=FALSE,A45=2)</f>
        <v>0</v>
      </c>
      <c r="Z48" s="214">
        <f>IF(Y48=TRUE,0.5,0)</f>
        <v>0</v>
      </c>
      <c r="AA48" s="212">
        <f>IF(Y48=TRUE,0.24,0)</f>
        <v>0</v>
      </c>
      <c r="AB48" s="212"/>
      <c r="AC48" s="212" t="s">
        <v>772</v>
      </c>
      <c r="AD48" s="212"/>
      <c r="AE48" s="212"/>
      <c r="AF48" s="212"/>
      <c r="AG48" s="212"/>
      <c r="AH48" s="230" t="s">
        <v>1043</v>
      </c>
      <c r="AI48" s="289">
        <v>87000</v>
      </c>
      <c r="AJ48" s="289">
        <v>87000</v>
      </c>
      <c r="AK48" s="289">
        <v>87000</v>
      </c>
      <c r="AL48" s="289">
        <v>87000</v>
      </c>
      <c r="AM48" s="289">
        <v>87000</v>
      </c>
      <c r="AN48" s="212">
        <f>CHOOSE($A$18,AI48,AJ48,AK48,AL48,AM48)</f>
        <v>87000</v>
      </c>
      <c r="AO48" s="212"/>
      <c r="AP48" s="296">
        <v>3035</v>
      </c>
      <c r="AQ48" s="237"/>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row>
    <row r="49" spans="1:70" ht="17.25" thickBot="1" thickTop="1">
      <c r="A49" s="212">
        <f>CHOOSE(A45,"",1,2,3)</f>
        <v>2</v>
      </c>
      <c r="B49" s="212"/>
      <c r="C49" s="212"/>
      <c r="D49" s="212"/>
      <c r="E49" s="212"/>
      <c r="F49" s="212"/>
      <c r="G49" s="212"/>
      <c r="H49" s="212"/>
      <c r="I49" s="212"/>
      <c r="J49" s="212"/>
      <c r="K49" s="212"/>
      <c r="L49" s="212"/>
      <c r="M49" s="212"/>
      <c r="N49" s="212"/>
      <c r="O49" s="212"/>
      <c r="P49" s="212"/>
      <c r="Q49" s="212"/>
      <c r="R49" s="212"/>
      <c r="S49" s="212"/>
      <c r="T49" s="212"/>
      <c r="U49" s="212"/>
      <c r="V49" s="212"/>
      <c r="W49" s="211"/>
      <c r="X49" s="212"/>
      <c r="Y49" s="214" t="b">
        <f>AND(X45=FALSE,A45=3)</f>
        <v>1</v>
      </c>
      <c r="Z49" s="214">
        <f>IF(Y49=TRUE,0.34,0)</f>
        <v>0.34</v>
      </c>
      <c r="AA49" s="212">
        <f>IF(Y49=TRUE,0.16,0)</f>
        <v>0.16</v>
      </c>
      <c r="AB49" s="212"/>
      <c r="AC49" s="212" t="s">
        <v>80</v>
      </c>
      <c r="AD49" s="212" t="s">
        <v>773</v>
      </c>
      <c r="AE49" s="212" t="s">
        <v>774</v>
      </c>
      <c r="AF49" s="212" t="s">
        <v>250</v>
      </c>
      <c r="AG49" s="212"/>
      <c r="AH49" s="230" t="s">
        <v>1044</v>
      </c>
      <c r="AI49" s="291">
        <v>70000</v>
      </c>
      <c r="AJ49" s="292">
        <v>70000</v>
      </c>
      <c r="AK49" s="292">
        <v>70000</v>
      </c>
      <c r="AL49" s="292">
        <v>70000</v>
      </c>
      <c r="AM49" s="292">
        <v>70000</v>
      </c>
      <c r="AN49" s="212">
        <f>CHOOSE($A$18,AI49,AJ49,AK49,AL49,AM49)</f>
        <v>70000</v>
      </c>
      <c r="AO49" s="212"/>
      <c r="AP49" s="296">
        <v>3053</v>
      </c>
      <c r="AQ49" s="237"/>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row>
    <row r="50" spans="1:70" ht="17.25" thickBot="1" thickTop="1">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4" t="b">
        <f>AND(X45=FALSE,A45=4)</f>
        <v>0</v>
      </c>
      <c r="Z50" s="214">
        <f>IF(Y50=TRUE,0.3,0)</f>
        <v>0</v>
      </c>
      <c r="AA50" s="212">
        <f>IF(Y50=TRUE,0.15,0)</f>
        <v>0</v>
      </c>
      <c r="AB50" s="212"/>
      <c r="AC50" s="212" t="s">
        <v>248</v>
      </c>
      <c r="AD50" s="212" t="s">
        <v>2</v>
      </c>
      <c r="AE50" s="212" t="s">
        <v>1</v>
      </c>
      <c r="AF50" s="220">
        <v>200000</v>
      </c>
      <c r="AG50" s="212"/>
      <c r="AH50" s="534" t="s">
        <v>1556</v>
      </c>
      <c r="AI50" s="534"/>
      <c r="AJ50" s="212"/>
      <c r="AK50" s="220"/>
      <c r="AL50" s="212"/>
      <c r="AM50" s="212"/>
      <c r="AN50" s="212"/>
      <c r="AO50" s="212"/>
      <c r="AP50" s="296">
        <v>3063</v>
      </c>
      <c r="AQ50" s="237"/>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row>
    <row r="51" spans="1:70" ht="17.25" thickBot="1" thickTop="1">
      <c r="A51" s="212"/>
      <c r="B51" s="212"/>
      <c r="C51" s="212"/>
      <c r="D51" s="212"/>
      <c r="E51" s="212"/>
      <c r="F51" s="212"/>
      <c r="G51" s="212"/>
      <c r="H51" s="212"/>
      <c r="I51" s="212"/>
      <c r="J51" s="212"/>
      <c r="K51" s="212"/>
      <c r="L51" s="212"/>
      <c r="M51" s="212"/>
      <c r="N51" s="212"/>
      <c r="O51" s="212"/>
      <c r="P51" s="212"/>
      <c r="Q51" s="212"/>
      <c r="R51" s="212"/>
      <c r="S51" s="212"/>
      <c r="T51" s="212"/>
      <c r="U51" s="212"/>
      <c r="V51" s="212"/>
      <c r="W51" s="211" t="s">
        <v>243</v>
      </c>
      <c r="X51" s="212"/>
      <c r="Y51" s="214"/>
      <c r="Z51" s="214">
        <f>SUM(Z45:Z50)</f>
        <v>0.34</v>
      </c>
      <c r="AA51" s="212">
        <f>SUM(AA45:AA50)</f>
        <v>0.16</v>
      </c>
      <c r="AB51" s="212"/>
      <c r="AC51" s="212" t="s">
        <v>248</v>
      </c>
      <c r="AD51" s="212" t="s">
        <v>3</v>
      </c>
      <c r="AE51" s="212" t="s">
        <v>1</v>
      </c>
      <c r="AF51" s="220">
        <v>500000</v>
      </c>
      <c r="AG51" s="212"/>
      <c r="AH51" s="535" t="s">
        <v>729</v>
      </c>
      <c r="AI51" s="537" t="s">
        <v>1030</v>
      </c>
      <c r="AJ51" s="538"/>
      <c r="AK51" s="538"/>
      <c r="AL51" s="538"/>
      <c r="AM51" s="539"/>
      <c r="AN51" s="212"/>
      <c r="AO51" s="212"/>
      <c r="AP51" s="296">
        <v>3077</v>
      </c>
      <c r="AQ51" s="237"/>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row>
    <row r="52" spans="1:70" ht="17.25" thickBot="1" thickTop="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4"/>
      <c r="Z52" s="214"/>
      <c r="AA52" s="212"/>
      <c r="AB52" s="212"/>
      <c r="AC52" s="212" t="s">
        <v>248</v>
      </c>
      <c r="AD52" s="212" t="s">
        <v>4</v>
      </c>
      <c r="AE52" s="212" t="s">
        <v>1</v>
      </c>
      <c r="AF52" s="220">
        <v>1000000</v>
      </c>
      <c r="AG52" s="212"/>
      <c r="AH52" s="536"/>
      <c r="AI52" s="228" t="s">
        <v>1031</v>
      </c>
      <c r="AJ52" s="228" t="s">
        <v>1032</v>
      </c>
      <c r="AK52" s="228" t="s">
        <v>1033</v>
      </c>
      <c r="AL52" s="228" t="s">
        <v>1034</v>
      </c>
      <c r="AM52" s="228" t="s">
        <v>1035</v>
      </c>
      <c r="AN52" s="212"/>
      <c r="AO52" s="212"/>
      <c r="AP52" s="296">
        <v>3163</v>
      </c>
      <c r="AQ52" s="237"/>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row>
    <row r="53" spans="1:70" ht="17.25" thickBot="1" thickTop="1">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4"/>
      <c r="Z53" s="214"/>
      <c r="AA53" s="212"/>
      <c r="AB53" s="212"/>
      <c r="AC53" s="212" t="s">
        <v>248</v>
      </c>
      <c r="AD53" s="212" t="s">
        <v>5</v>
      </c>
      <c r="AE53" s="212" t="s">
        <v>1</v>
      </c>
      <c r="AF53" s="220">
        <v>4000000</v>
      </c>
      <c r="AG53" s="212"/>
      <c r="AH53" s="230" t="s">
        <v>1036</v>
      </c>
      <c r="AI53" s="287">
        <v>55200</v>
      </c>
      <c r="AJ53" s="288">
        <v>70000</v>
      </c>
      <c r="AK53" s="288">
        <v>78000</v>
      </c>
      <c r="AL53" s="288">
        <v>114400</v>
      </c>
      <c r="AM53" s="288">
        <v>152800</v>
      </c>
      <c r="AN53" s="229">
        <f>INDEX(berlemenyAjanlott,$A$4,$A$18)/1000</f>
        <v>78</v>
      </c>
      <c r="AO53" s="212"/>
      <c r="AP53" s="296">
        <v>3165</v>
      </c>
      <c r="AQ53" s="237"/>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row>
    <row r="54" spans="1:70" ht="17.25" thickBot="1" thickTop="1">
      <c r="A54" s="211" t="s">
        <v>68</v>
      </c>
      <c r="B54" s="212"/>
      <c r="C54" s="212"/>
      <c r="D54" s="212"/>
      <c r="E54" s="212"/>
      <c r="F54" s="212"/>
      <c r="G54" s="212"/>
      <c r="H54" s="212"/>
      <c r="I54" s="212"/>
      <c r="J54" s="212"/>
      <c r="K54" s="212"/>
      <c r="L54" s="212"/>
      <c r="M54" s="212"/>
      <c r="N54" s="212"/>
      <c r="O54" s="212"/>
      <c r="P54" s="212"/>
      <c r="Q54" s="212"/>
      <c r="R54" s="212"/>
      <c r="S54" s="212"/>
      <c r="T54" s="212"/>
      <c r="U54" s="212"/>
      <c r="V54" s="212"/>
      <c r="W54" s="211" t="s">
        <v>73</v>
      </c>
      <c r="X54" s="212"/>
      <c r="Y54" s="214"/>
      <c r="Z54" s="214"/>
      <c r="AA54" s="212"/>
      <c r="AB54" s="212"/>
      <c r="AC54" s="212" t="s">
        <v>248</v>
      </c>
      <c r="AD54" s="212" t="s">
        <v>6</v>
      </c>
      <c r="AE54" s="212" t="s">
        <v>1</v>
      </c>
      <c r="AF54" s="220">
        <v>10000000</v>
      </c>
      <c r="AG54" s="212"/>
      <c r="AH54" s="230" t="s">
        <v>1037</v>
      </c>
      <c r="AI54" s="289">
        <v>46000</v>
      </c>
      <c r="AJ54" s="290">
        <v>59200</v>
      </c>
      <c r="AK54" s="290">
        <v>65600</v>
      </c>
      <c r="AL54" s="290">
        <v>97600</v>
      </c>
      <c r="AM54" s="290">
        <v>128000</v>
      </c>
      <c r="AN54" s="212"/>
      <c r="AO54" s="212"/>
      <c r="AP54" s="296">
        <v>3182</v>
      </c>
      <c r="AQ54" s="237"/>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row>
    <row r="55" spans="1:70" ht="17.25" thickBot="1" thickTop="1">
      <c r="A55" s="212">
        <v>1</v>
      </c>
      <c r="B55" s="212"/>
      <c r="C55" s="212"/>
      <c r="D55" s="211" t="str">
        <f>VLOOKUP(A55,J55:K64,2,FALSE)</f>
        <v>Nem kérem</v>
      </c>
      <c r="E55" s="212"/>
      <c r="F55" s="212"/>
      <c r="G55" s="212"/>
      <c r="H55" s="212"/>
      <c r="I55" s="212"/>
      <c r="J55" s="212">
        <v>1</v>
      </c>
      <c r="K55" s="212" t="s">
        <v>89</v>
      </c>
      <c r="L55" s="212"/>
      <c r="M55" s="212"/>
      <c r="N55" s="212" t="s">
        <v>267</v>
      </c>
      <c r="O55" s="212" t="s">
        <v>264</v>
      </c>
      <c r="P55" s="212"/>
      <c r="Q55" s="212"/>
      <c r="R55" s="212"/>
      <c r="S55" s="212"/>
      <c r="T55" s="212"/>
      <c r="U55" s="212"/>
      <c r="V55" s="212"/>
      <c r="W55" s="212">
        <f>IF(A55&gt;1,15,0)</f>
        <v>0</v>
      </c>
      <c r="X55" s="212"/>
      <c r="Y55" s="214"/>
      <c r="Z55" s="214"/>
      <c r="AA55" s="212"/>
      <c r="AB55" s="212"/>
      <c r="AC55" s="212" t="s">
        <v>248</v>
      </c>
      <c r="AD55" s="212" t="s">
        <v>2</v>
      </c>
      <c r="AE55" s="212" t="s">
        <v>2</v>
      </c>
      <c r="AF55" s="220">
        <v>1000000</v>
      </c>
      <c r="AG55" s="212"/>
      <c r="AH55" s="230" t="s">
        <v>1038</v>
      </c>
      <c r="AI55" s="289">
        <v>40400</v>
      </c>
      <c r="AJ55" s="290">
        <v>51200</v>
      </c>
      <c r="AK55" s="290">
        <v>55200</v>
      </c>
      <c r="AL55" s="290">
        <v>81600</v>
      </c>
      <c r="AM55" s="290">
        <v>108400</v>
      </c>
      <c r="AN55" s="212"/>
      <c r="AO55" s="212"/>
      <c r="AP55" s="296">
        <v>3186</v>
      </c>
      <c r="AQ55" s="237"/>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row>
    <row r="56" spans="1:70" ht="17.25" thickBot="1" thickTop="1">
      <c r="A56" s="211">
        <f>IF(A55&gt;1,"X","")</f>
      </c>
      <c r="B56" s="212"/>
      <c r="C56" s="212" t="s">
        <v>90</v>
      </c>
      <c r="D56" s="212"/>
      <c r="E56" s="212"/>
      <c r="F56" s="212"/>
      <c r="G56" s="212"/>
      <c r="H56" s="212"/>
      <c r="I56" s="212"/>
      <c r="J56" s="212">
        <v>2</v>
      </c>
      <c r="K56" s="212" t="s">
        <v>169</v>
      </c>
      <c r="L56" s="212"/>
      <c r="M56" s="212"/>
      <c r="N56" s="212"/>
      <c r="O56" s="212"/>
      <c r="P56" s="212"/>
      <c r="Q56" s="212"/>
      <c r="R56" s="212"/>
      <c r="S56" s="212"/>
      <c r="T56" s="212"/>
      <c r="U56" s="212"/>
      <c r="V56" s="212"/>
      <c r="W56" s="212"/>
      <c r="X56" s="212"/>
      <c r="Y56" s="214"/>
      <c r="Z56" s="214"/>
      <c r="AA56" s="212"/>
      <c r="AB56" s="212"/>
      <c r="AC56" s="212" t="s">
        <v>248</v>
      </c>
      <c r="AD56" s="212" t="s">
        <v>3</v>
      </c>
      <c r="AE56" s="212" t="s">
        <v>2</v>
      </c>
      <c r="AF56" s="220">
        <v>2000000</v>
      </c>
      <c r="AG56" s="212"/>
      <c r="AH56" s="230" t="s">
        <v>1039</v>
      </c>
      <c r="AI56" s="289">
        <v>51200</v>
      </c>
      <c r="AJ56" s="290">
        <v>64400</v>
      </c>
      <c r="AK56" s="290">
        <v>70000</v>
      </c>
      <c r="AL56" s="290">
        <v>97600</v>
      </c>
      <c r="AM56" s="290">
        <v>124800</v>
      </c>
      <c r="AN56" s="212"/>
      <c r="AO56" s="212"/>
      <c r="AP56" s="296">
        <v>3282</v>
      </c>
      <c r="AQ56" s="237"/>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row>
    <row r="57" spans="1:70" ht="17.25" thickBot="1" thickTop="1">
      <c r="A57" s="211" t="str">
        <f>IF(A55=1,"X","")</f>
        <v>X</v>
      </c>
      <c r="B57" s="212"/>
      <c r="C57" s="212" t="s">
        <v>89</v>
      </c>
      <c r="D57" s="212"/>
      <c r="E57" s="212"/>
      <c r="F57" s="212"/>
      <c r="G57" s="212"/>
      <c r="H57" s="212"/>
      <c r="I57" s="212"/>
      <c r="J57" s="212">
        <v>3</v>
      </c>
      <c r="K57" s="237" t="s">
        <v>1224</v>
      </c>
      <c r="L57" s="212"/>
      <c r="M57" s="212"/>
      <c r="N57" s="212"/>
      <c r="O57" s="212"/>
      <c r="P57" s="212"/>
      <c r="Q57" s="212"/>
      <c r="R57" s="212"/>
      <c r="S57" s="212"/>
      <c r="T57" s="212"/>
      <c r="U57" s="212"/>
      <c r="V57" s="212"/>
      <c r="W57" s="212"/>
      <c r="X57" s="212"/>
      <c r="Y57" s="214"/>
      <c r="Z57" s="214"/>
      <c r="AA57" s="212"/>
      <c r="AB57" s="212"/>
      <c r="AC57" s="212" t="s">
        <v>248</v>
      </c>
      <c r="AD57" s="212" t="s">
        <v>4</v>
      </c>
      <c r="AE57" s="212" t="s">
        <v>2</v>
      </c>
      <c r="AF57" s="220">
        <v>10000000</v>
      </c>
      <c r="AG57" s="212"/>
      <c r="AH57" s="230" t="s">
        <v>1040</v>
      </c>
      <c r="AI57" s="289">
        <v>45600</v>
      </c>
      <c r="AJ57" s="290">
        <v>56400</v>
      </c>
      <c r="AK57" s="290">
        <v>63600</v>
      </c>
      <c r="AL57" s="290">
        <v>80800</v>
      </c>
      <c r="AM57" s="290">
        <v>99600</v>
      </c>
      <c r="AN57" s="212"/>
      <c r="AO57" s="212"/>
      <c r="AP57" s="296">
        <v>3294</v>
      </c>
      <c r="AQ57" s="237"/>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row>
    <row r="58" spans="1:70" ht="17.25" thickBot="1" thickTop="1">
      <c r="A58" s="211"/>
      <c r="B58" s="212"/>
      <c r="C58" s="212"/>
      <c r="D58" s="212"/>
      <c r="E58" s="212"/>
      <c r="F58" s="212"/>
      <c r="G58" s="212"/>
      <c r="H58" s="212"/>
      <c r="I58" s="212"/>
      <c r="J58" s="212">
        <v>4</v>
      </c>
      <c r="K58" s="212" t="s">
        <v>346</v>
      </c>
      <c r="L58" s="212"/>
      <c r="M58" s="212"/>
      <c r="N58" s="212"/>
      <c r="O58" s="212"/>
      <c r="P58" s="212"/>
      <c r="Q58" s="212"/>
      <c r="R58" s="212"/>
      <c r="S58" s="212"/>
      <c r="T58" s="212"/>
      <c r="U58" s="212"/>
      <c r="V58" s="212"/>
      <c r="W58" s="212"/>
      <c r="X58" s="212"/>
      <c r="Y58" s="214"/>
      <c r="Z58" s="214"/>
      <c r="AA58" s="212"/>
      <c r="AB58" s="212"/>
      <c r="AC58" s="212" t="s">
        <v>248</v>
      </c>
      <c r="AD58" s="212" t="s">
        <v>5</v>
      </c>
      <c r="AE58" s="212" t="s">
        <v>2</v>
      </c>
      <c r="AF58" s="220">
        <v>20000000</v>
      </c>
      <c r="AG58" s="212"/>
      <c r="AH58" s="230" t="s">
        <v>1041</v>
      </c>
      <c r="AI58" s="289">
        <v>53600</v>
      </c>
      <c r="AJ58" s="290">
        <v>67200</v>
      </c>
      <c r="AK58" s="290">
        <v>75600</v>
      </c>
      <c r="AL58" s="290">
        <v>90400</v>
      </c>
      <c r="AM58" s="290">
        <v>104000</v>
      </c>
      <c r="AN58" s="212"/>
      <c r="AO58" s="212"/>
      <c r="AP58" s="296">
        <v>3563</v>
      </c>
      <c r="AQ58" s="237"/>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row>
    <row r="59" spans="1:70" ht="17.25" thickBot="1" thickTop="1">
      <c r="A59" s="211">
        <f>IF(A55=2,"X","")</f>
      </c>
      <c r="B59" s="212"/>
      <c r="C59" s="212" t="s">
        <v>218</v>
      </c>
      <c r="D59" s="212"/>
      <c r="E59" s="212"/>
      <c r="F59" s="212"/>
      <c r="G59" s="212"/>
      <c r="H59" s="212"/>
      <c r="I59" s="212"/>
      <c r="J59" s="212">
        <v>5</v>
      </c>
      <c r="K59" s="237" t="s">
        <v>1225</v>
      </c>
      <c r="L59" s="212"/>
      <c r="M59" s="212"/>
      <c r="N59" s="212"/>
      <c r="O59" s="212"/>
      <c r="P59" s="212"/>
      <c r="Q59" s="212"/>
      <c r="R59" s="212"/>
      <c r="S59" s="212"/>
      <c r="T59" s="212"/>
      <c r="U59" s="212"/>
      <c r="V59" s="212"/>
      <c r="W59" s="212">
        <f>(IF(A55&gt;2,O61,SUM(U61:U63)))*1000</f>
        <v>0</v>
      </c>
      <c r="X59" s="212"/>
      <c r="Y59" s="214"/>
      <c r="Z59" s="214"/>
      <c r="AA59" s="212"/>
      <c r="AB59" s="212"/>
      <c r="AC59" s="212" t="s">
        <v>248</v>
      </c>
      <c r="AD59" s="212" t="s">
        <v>6</v>
      </c>
      <c r="AE59" s="212" t="s">
        <v>2</v>
      </c>
      <c r="AF59" s="220">
        <v>40000000</v>
      </c>
      <c r="AG59" s="212"/>
      <c r="AH59" s="230" t="s">
        <v>1042</v>
      </c>
      <c r="AI59" s="289">
        <v>31200</v>
      </c>
      <c r="AJ59" s="290">
        <v>39200</v>
      </c>
      <c r="AK59" s="290">
        <v>45600</v>
      </c>
      <c r="AL59" s="290">
        <v>53600</v>
      </c>
      <c r="AM59" s="290">
        <v>63600</v>
      </c>
      <c r="AN59" s="212"/>
      <c r="AO59" s="212"/>
      <c r="AP59" s="296">
        <v>3564</v>
      </c>
      <c r="AQ59" s="237"/>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row>
    <row r="60" spans="1:70" ht="17.25" thickBot="1" thickTop="1">
      <c r="A60" s="211">
        <f>IF(A55&gt;2,"X","")</f>
      </c>
      <c r="B60" s="212"/>
      <c r="C60" s="212" t="s">
        <v>219</v>
      </c>
      <c r="D60" s="212"/>
      <c r="E60" s="212"/>
      <c r="F60" s="212"/>
      <c r="G60" s="212"/>
      <c r="H60" s="212"/>
      <c r="I60" s="212"/>
      <c r="J60" s="212">
        <v>6</v>
      </c>
      <c r="K60" s="212" t="s">
        <v>347</v>
      </c>
      <c r="L60" s="212"/>
      <c r="M60" s="212"/>
      <c r="N60" s="212"/>
      <c r="O60" s="212"/>
      <c r="P60" s="212"/>
      <c r="Q60" s="219"/>
      <c r="R60" s="219"/>
      <c r="S60" s="293" t="s">
        <v>72</v>
      </c>
      <c r="T60" s="219"/>
      <c r="U60" s="219"/>
      <c r="V60" s="212"/>
      <c r="W60" s="212"/>
      <c r="X60" s="212"/>
      <c r="Y60" s="214"/>
      <c r="Z60" s="214"/>
      <c r="AA60" s="212"/>
      <c r="AB60" s="212"/>
      <c r="AC60" s="212" t="s">
        <v>248</v>
      </c>
      <c r="AD60" s="212" t="s">
        <v>2</v>
      </c>
      <c r="AE60" s="212" t="s">
        <v>246</v>
      </c>
      <c r="AF60" s="220">
        <v>4800000</v>
      </c>
      <c r="AG60" s="212"/>
      <c r="AH60" s="230" t="s">
        <v>1043</v>
      </c>
      <c r="AI60" s="289">
        <v>34800</v>
      </c>
      <c r="AJ60" s="290">
        <v>34800</v>
      </c>
      <c r="AK60" s="290">
        <v>34800</v>
      </c>
      <c r="AL60" s="290">
        <v>34800</v>
      </c>
      <c r="AM60" s="290">
        <v>34800</v>
      </c>
      <c r="AN60" s="212">
        <f>CHOOSE($A$18,AI60,AJ60,AK60,AL60,AM60)</f>
        <v>34800</v>
      </c>
      <c r="AO60" s="212"/>
      <c r="AP60" s="296">
        <v>3608</v>
      </c>
      <c r="AQ60" s="237"/>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row>
    <row r="61" spans="1:70" ht="17.25" thickBot="1" thickTop="1">
      <c r="A61" s="211"/>
      <c r="B61" s="212"/>
      <c r="C61" s="212"/>
      <c r="D61" s="212"/>
      <c r="E61" s="212"/>
      <c r="F61" s="212"/>
      <c r="G61" s="212"/>
      <c r="H61" s="212"/>
      <c r="I61" s="212"/>
      <c r="J61" s="212">
        <v>7</v>
      </c>
      <c r="K61" s="237" t="s">
        <v>1226</v>
      </c>
      <c r="L61" s="212"/>
      <c r="M61" s="212"/>
      <c r="N61" s="212">
        <f>CHOOSE(A55,0,0,2,2,3,3,4,4,5,5)</f>
        <v>0</v>
      </c>
      <c r="O61" s="220">
        <f>IF(MOD(A55,2)=1,(N185)*N61/100,(N185+N186)*N61/100)</f>
        <v>0</v>
      </c>
      <c r="P61" s="212"/>
      <c r="Q61" s="532" t="s">
        <v>69</v>
      </c>
      <c r="R61" s="533"/>
      <c r="S61" s="294">
        <v>8100</v>
      </c>
      <c r="T61" s="219">
        <f>Díjkalkuláció!Q80</f>
        <v>0</v>
      </c>
      <c r="U61" s="294">
        <f>Díjkalkuláció!Q82</f>
        <v>0</v>
      </c>
      <c r="V61" s="220"/>
      <c r="W61" s="212"/>
      <c r="X61" s="212"/>
      <c r="Y61" s="214"/>
      <c r="Z61" s="214"/>
      <c r="AA61" s="212"/>
      <c r="AB61" s="212"/>
      <c r="AC61" s="212" t="s">
        <v>248</v>
      </c>
      <c r="AD61" s="212" t="s">
        <v>3</v>
      </c>
      <c r="AE61" s="212" t="s">
        <v>246</v>
      </c>
      <c r="AF61" s="220">
        <v>12000000</v>
      </c>
      <c r="AG61" s="212"/>
      <c r="AH61" s="230" t="s">
        <v>1044</v>
      </c>
      <c r="AI61" s="291">
        <v>28000</v>
      </c>
      <c r="AJ61" s="292">
        <v>28000</v>
      </c>
      <c r="AK61" s="292">
        <v>28000</v>
      </c>
      <c r="AL61" s="292">
        <v>28000</v>
      </c>
      <c r="AM61" s="292">
        <v>28000</v>
      </c>
      <c r="AN61" s="212">
        <f>CHOOSE($A$18,AI61,AJ61,AK61,AL61,AM61)</f>
        <v>28000</v>
      </c>
      <c r="AO61" s="212"/>
      <c r="AP61" s="296">
        <v>3751</v>
      </c>
      <c r="AQ61" s="237"/>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row>
    <row r="62" spans="1:70" ht="16.5" thickTop="1">
      <c r="A62" s="211"/>
      <c r="B62" s="212"/>
      <c r="C62" s="212"/>
      <c r="D62" s="212"/>
      <c r="E62" s="212"/>
      <c r="F62" s="212"/>
      <c r="G62" s="212"/>
      <c r="H62" s="212"/>
      <c r="I62" s="212"/>
      <c r="J62" s="212">
        <v>8</v>
      </c>
      <c r="K62" s="212" t="s">
        <v>348</v>
      </c>
      <c r="L62" s="212"/>
      <c r="M62" s="212"/>
      <c r="N62" s="212"/>
      <c r="O62" s="220">
        <f>SUM(Díjkalkuláció!Q82:Y82)</f>
        <v>0</v>
      </c>
      <c r="P62" s="212"/>
      <c r="Q62" s="532" t="s">
        <v>70</v>
      </c>
      <c r="R62" s="533"/>
      <c r="S62" s="294">
        <v>10800</v>
      </c>
      <c r="T62" s="219">
        <f>Díjkalkuláció!T80</f>
        <v>0</v>
      </c>
      <c r="U62" s="294">
        <f>Díjkalkuláció!T82</f>
        <v>0</v>
      </c>
      <c r="V62" s="220"/>
      <c r="W62" s="212"/>
      <c r="X62" s="212"/>
      <c r="Y62" s="214"/>
      <c r="Z62" s="214"/>
      <c r="AA62" s="212"/>
      <c r="AB62" s="212"/>
      <c r="AC62" s="212" t="s">
        <v>248</v>
      </c>
      <c r="AD62" s="212" t="s">
        <v>4</v>
      </c>
      <c r="AE62" s="212" t="s">
        <v>246</v>
      </c>
      <c r="AF62" s="220">
        <v>24000000</v>
      </c>
      <c r="AG62" s="212"/>
      <c r="AH62" s="212"/>
      <c r="AI62" s="212"/>
      <c r="AJ62" s="212"/>
      <c r="AK62" s="212"/>
      <c r="AL62" s="212"/>
      <c r="AM62" s="212"/>
      <c r="AN62" s="212"/>
      <c r="AO62" s="212"/>
      <c r="AP62" s="296">
        <v>3752</v>
      </c>
      <c r="AQ62" s="237"/>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row>
    <row r="63" spans="1:70" ht="15.75">
      <c r="A63" s="211"/>
      <c r="B63" s="212"/>
      <c r="C63" s="212"/>
      <c r="D63" s="212"/>
      <c r="E63" s="212"/>
      <c r="F63" s="212"/>
      <c r="G63" s="212"/>
      <c r="H63" s="212"/>
      <c r="I63" s="212"/>
      <c r="J63" s="212">
        <v>9</v>
      </c>
      <c r="K63" s="237" t="s">
        <v>1227</v>
      </c>
      <c r="L63" s="212"/>
      <c r="M63" s="212"/>
      <c r="N63" s="212"/>
      <c r="O63" s="220">
        <f>SUM(O61:O62)</f>
        <v>0</v>
      </c>
      <c r="P63" s="212"/>
      <c r="Q63" s="532" t="s">
        <v>71</v>
      </c>
      <c r="R63" s="533"/>
      <c r="S63" s="294">
        <v>15200</v>
      </c>
      <c r="T63" s="219">
        <f>Díjkalkuláció!W80</f>
        <v>0</v>
      </c>
      <c r="U63" s="294">
        <f>Díjkalkuláció!W82</f>
        <v>0</v>
      </c>
      <c r="V63" s="220"/>
      <c r="W63" s="212"/>
      <c r="X63" s="212"/>
      <c r="Y63" s="214"/>
      <c r="Z63" s="214"/>
      <c r="AA63" s="212"/>
      <c r="AB63" s="212"/>
      <c r="AC63" s="212" t="s">
        <v>248</v>
      </c>
      <c r="AD63" s="212" t="s">
        <v>5</v>
      </c>
      <c r="AE63" s="212" t="s">
        <v>246</v>
      </c>
      <c r="AF63" s="220">
        <v>48000000</v>
      </c>
      <c r="AG63" s="212"/>
      <c r="AH63" s="212"/>
      <c r="AI63" s="212"/>
      <c r="AJ63" s="212"/>
      <c r="AK63" s="212"/>
      <c r="AL63" s="212"/>
      <c r="AM63" s="212"/>
      <c r="AN63" s="212"/>
      <c r="AO63" s="212"/>
      <c r="AP63" s="296">
        <v>3754</v>
      </c>
      <c r="AQ63" s="237"/>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row>
    <row r="64" spans="1:70" ht="15.75">
      <c r="A64" s="212"/>
      <c r="B64" s="212"/>
      <c r="C64" s="212"/>
      <c r="D64" s="212"/>
      <c r="E64" s="212"/>
      <c r="F64" s="212"/>
      <c r="G64" s="212"/>
      <c r="H64" s="212"/>
      <c r="I64" s="212"/>
      <c r="J64" s="212">
        <v>10</v>
      </c>
      <c r="K64" s="212" t="s">
        <v>349</v>
      </c>
      <c r="L64" s="212"/>
      <c r="M64" s="212"/>
      <c r="N64" s="212"/>
      <c r="O64" s="212"/>
      <c r="P64" s="212"/>
      <c r="Q64" s="212"/>
      <c r="R64" s="212"/>
      <c r="S64" s="212"/>
      <c r="T64" s="212"/>
      <c r="U64" s="212"/>
      <c r="V64" s="212"/>
      <c r="W64" s="212"/>
      <c r="X64" s="212"/>
      <c r="Y64" s="214"/>
      <c r="Z64" s="214"/>
      <c r="AA64" s="212"/>
      <c r="AB64" s="212"/>
      <c r="AC64" s="212" t="s">
        <v>248</v>
      </c>
      <c r="AD64" s="212" t="s">
        <v>6</v>
      </c>
      <c r="AE64" s="212" t="s">
        <v>246</v>
      </c>
      <c r="AF64" s="220">
        <f>(Díjkalkuláció!AB61+Díjkalkuláció!AB67+Díjkalkuláció!AB70)*1000</f>
        <v>0</v>
      </c>
      <c r="AG64" s="212"/>
      <c r="AH64" s="212"/>
      <c r="AI64" s="212"/>
      <c r="AJ64" s="212"/>
      <c r="AK64" s="212"/>
      <c r="AL64" s="212"/>
      <c r="AM64" s="212"/>
      <c r="AN64" s="212"/>
      <c r="AO64" s="212"/>
      <c r="AP64" s="296">
        <v>3794</v>
      </c>
      <c r="AQ64" s="237"/>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row>
    <row r="65" spans="1:70" ht="15.75">
      <c r="A65" s="211" t="s">
        <v>74</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4"/>
      <c r="Z65" s="214"/>
      <c r="AA65" s="212"/>
      <c r="AB65" s="212"/>
      <c r="AC65" s="212" t="s">
        <v>249</v>
      </c>
      <c r="AD65" s="212" t="s">
        <v>3</v>
      </c>
      <c r="AE65" s="212" t="s">
        <v>246</v>
      </c>
      <c r="AF65" s="220">
        <v>300000</v>
      </c>
      <c r="AG65" s="212"/>
      <c r="AH65" s="212"/>
      <c r="AI65" s="212"/>
      <c r="AJ65" s="212"/>
      <c r="AK65" s="212"/>
      <c r="AL65" s="212"/>
      <c r="AM65" s="212"/>
      <c r="AN65" s="212"/>
      <c r="AO65" s="212"/>
      <c r="AP65" s="296">
        <v>3841</v>
      </c>
      <c r="AQ65" s="237"/>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row>
    <row r="66" spans="1:70" ht="15.75">
      <c r="A66" s="212">
        <v>2</v>
      </c>
      <c r="B66" s="212"/>
      <c r="C66" s="212"/>
      <c r="D66" s="212"/>
      <c r="E66" s="212"/>
      <c r="F66" s="212"/>
      <c r="G66" s="212"/>
      <c r="H66" s="212"/>
      <c r="I66" s="212"/>
      <c r="J66" s="212">
        <v>1</v>
      </c>
      <c r="K66" s="212" t="s">
        <v>90</v>
      </c>
      <c r="L66" s="212"/>
      <c r="M66" s="212" t="b">
        <f>AND(A55=1,A66=1)</f>
        <v>0</v>
      </c>
      <c r="N66" s="212"/>
      <c r="O66" s="212">
        <f>IF(M66=TRUE,0,0)</f>
        <v>0</v>
      </c>
      <c r="P66" s="212"/>
      <c r="Q66" s="212"/>
      <c r="R66" s="212"/>
      <c r="S66" s="212"/>
      <c r="T66" s="212"/>
      <c r="U66" s="212"/>
      <c r="V66" s="212"/>
      <c r="W66" s="212"/>
      <c r="X66" s="212"/>
      <c r="Y66" s="214"/>
      <c r="Z66" s="214"/>
      <c r="AA66" s="212"/>
      <c r="AB66" s="212"/>
      <c r="AC66" s="212" t="s">
        <v>249</v>
      </c>
      <c r="AD66" s="212" t="s">
        <v>4</v>
      </c>
      <c r="AE66" s="212" t="s">
        <v>246</v>
      </c>
      <c r="AF66" s="220">
        <v>500000</v>
      </c>
      <c r="AG66" s="212"/>
      <c r="AH66" s="212"/>
      <c r="AI66" s="212"/>
      <c r="AJ66" s="212"/>
      <c r="AK66" s="212"/>
      <c r="AL66" s="212"/>
      <c r="AM66" s="212"/>
      <c r="AN66" s="212"/>
      <c r="AO66" s="212"/>
      <c r="AP66" s="296">
        <v>3842</v>
      </c>
      <c r="AQ66" s="237"/>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row>
    <row r="67" spans="1:70" ht="15.75">
      <c r="A67" s="211">
        <f>IF(A66=1,"X","")</f>
      </c>
      <c r="B67" s="212"/>
      <c r="C67" s="212" t="s">
        <v>90</v>
      </c>
      <c r="D67" s="212"/>
      <c r="E67" s="212"/>
      <c r="F67" s="212"/>
      <c r="G67" s="212"/>
      <c r="H67" s="212"/>
      <c r="I67" s="212"/>
      <c r="J67" s="212">
        <v>2</v>
      </c>
      <c r="K67" s="212" t="s">
        <v>89</v>
      </c>
      <c r="L67" s="212"/>
      <c r="M67" s="212" t="b">
        <f>AND(A55&gt;1,A66=1)</f>
        <v>0</v>
      </c>
      <c r="N67" s="212"/>
      <c r="O67" s="212">
        <f>IF(M67=TRUE,100,0)</f>
        <v>0</v>
      </c>
      <c r="P67" s="212"/>
      <c r="Q67" s="212"/>
      <c r="R67" s="212"/>
      <c r="S67" s="212"/>
      <c r="T67" s="212"/>
      <c r="U67" s="212"/>
      <c r="V67" s="212"/>
      <c r="W67" s="212"/>
      <c r="X67" s="212"/>
      <c r="Y67" s="214"/>
      <c r="Z67" s="214"/>
      <c r="AA67" s="212"/>
      <c r="AB67" s="212"/>
      <c r="AC67" s="212" t="s">
        <v>249</v>
      </c>
      <c r="AD67" s="212" t="s">
        <v>5</v>
      </c>
      <c r="AE67" s="212" t="s">
        <v>246</v>
      </c>
      <c r="AF67" s="220">
        <v>1000000</v>
      </c>
      <c r="AG67" s="212"/>
      <c r="AH67" s="212"/>
      <c r="AI67" s="212"/>
      <c r="AJ67" s="212"/>
      <c r="AK67" s="212"/>
      <c r="AL67" s="212"/>
      <c r="AM67" s="212"/>
      <c r="AN67" s="212"/>
      <c r="AO67" s="212"/>
      <c r="AP67" s="296">
        <v>3848</v>
      </c>
      <c r="AQ67" s="237"/>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row>
    <row r="68" spans="1:70" ht="15.75">
      <c r="A68" s="211" t="str">
        <f>IF(A66=2,"X","")</f>
        <v>X</v>
      </c>
      <c r="B68" s="212"/>
      <c r="C68" s="212" t="s">
        <v>89</v>
      </c>
      <c r="D68" s="212"/>
      <c r="E68" s="212"/>
      <c r="F68" s="212"/>
      <c r="G68" s="212"/>
      <c r="H68" s="212"/>
      <c r="I68" s="212"/>
      <c r="J68" s="212"/>
      <c r="K68" s="212"/>
      <c r="L68" s="212"/>
      <c r="M68" s="212" t="b">
        <f>AND(A55=1,A66&gt;1)</f>
        <v>1</v>
      </c>
      <c r="N68" s="212"/>
      <c r="O68" s="212">
        <f>IF(M68=TRUE,0,0)</f>
        <v>0</v>
      </c>
      <c r="P68" s="212"/>
      <c r="Q68" s="212"/>
      <c r="R68" s="212"/>
      <c r="S68" s="212"/>
      <c r="T68" s="212"/>
      <c r="U68" s="212"/>
      <c r="V68" s="212"/>
      <c r="W68" s="212"/>
      <c r="X68" s="212"/>
      <c r="Y68" s="214"/>
      <c r="Z68" s="214"/>
      <c r="AA68" s="212"/>
      <c r="AB68" s="212"/>
      <c r="AC68" s="212" t="s">
        <v>249</v>
      </c>
      <c r="AD68" s="212" t="s">
        <v>6</v>
      </c>
      <c r="AE68" s="212" t="s">
        <v>246</v>
      </c>
      <c r="AF68" s="220">
        <v>1000000</v>
      </c>
      <c r="AG68" s="212"/>
      <c r="AH68" s="212"/>
      <c r="AI68" s="212"/>
      <c r="AJ68" s="212"/>
      <c r="AK68" s="212"/>
      <c r="AL68" s="212"/>
      <c r="AM68" s="212"/>
      <c r="AN68" s="212"/>
      <c r="AO68" s="212"/>
      <c r="AP68" s="296">
        <v>3849</v>
      </c>
      <c r="AQ68" s="237"/>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row>
    <row r="69" spans="1:70" ht="15.75">
      <c r="A69" s="212"/>
      <c r="B69" s="212"/>
      <c r="C69" s="212"/>
      <c r="D69" s="212"/>
      <c r="E69" s="212"/>
      <c r="F69" s="212"/>
      <c r="G69" s="212"/>
      <c r="H69" s="212"/>
      <c r="I69" s="212"/>
      <c r="J69" s="212"/>
      <c r="K69" s="212"/>
      <c r="L69" s="212"/>
      <c r="M69" s="212"/>
      <c r="N69" s="211" t="s">
        <v>73</v>
      </c>
      <c r="O69" s="212">
        <f>SUM(O66:O68)</f>
        <v>0</v>
      </c>
      <c r="P69" s="212"/>
      <c r="Q69" s="212"/>
      <c r="R69" s="212"/>
      <c r="S69" s="212"/>
      <c r="T69" s="212"/>
      <c r="U69" s="212"/>
      <c r="V69" s="212"/>
      <c r="W69" s="212"/>
      <c r="X69" s="212"/>
      <c r="Y69" s="214"/>
      <c r="Z69" s="214"/>
      <c r="AA69" s="212"/>
      <c r="AB69" s="212"/>
      <c r="AC69" s="212"/>
      <c r="AD69" s="212"/>
      <c r="AE69" s="212"/>
      <c r="AF69" s="212"/>
      <c r="AG69" s="212"/>
      <c r="AH69" s="212"/>
      <c r="AI69" s="212"/>
      <c r="AJ69" s="212"/>
      <c r="AK69" s="212"/>
      <c r="AL69" s="212"/>
      <c r="AM69" s="212"/>
      <c r="AN69" s="212"/>
      <c r="AO69" s="212"/>
      <c r="AP69" s="296">
        <v>3971</v>
      </c>
      <c r="AQ69" s="237"/>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row>
    <row r="70" spans="1:70" ht="15.75">
      <c r="A70" s="211" t="s">
        <v>76</v>
      </c>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4"/>
      <c r="Z70" s="214"/>
      <c r="AA70" s="212"/>
      <c r="AB70" s="212"/>
      <c r="AC70" s="212"/>
      <c r="AD70" s="212"/>
      <c r="AE70" s="212"/>
      <c r="AF70" s="212"/>
      <c r="AG70" s="212"/>
      <c r="AH70" s="212"/>
      <c r="AI70" s="212"/>
      <c r="AJ70" s="212"/>
      <c r="AK70" s="212"/>
      <c r="AL70" s="212"/>
      <c r="AM70" s="212"/>
      <c r="AN70" s="212"/>
      <c r="AO70" s="212"/>
      <c r="AP70" s="296">
        <v>3985</v>
      </c>
      <c r="AQ70" s="237"/>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row>
    <row r="71" spans="1:70" ht="15.75">
      <c r="A71" s="212">
        <v>2</v>
      </c>
      <c r="B71" s="212"/>
      <c r="C71" s="211">
        <f>IF(A71=1,"X","")</f>
      </c>
      <c r="D71" s="212" t="s">
        <v>90</v>
      </c>
      <c r="E71" s="212"/>
      <c r="F71" s="212"/>
      <c r="G71" s="212"/>
      <c r="H71" s="212"/>
      <c r="I71" s="212"/>
      <c r="J71" s="212"/>
      <c r="K71" s="212"/>
      <c r="L71" s="211" t="s">
        <v>77</v>
      </c>
      <c r="M71" s="212"/>
      <c r="N71" s="212"/>
      <c r="O71" s="212"/>
      <c r="P71" s="212"/>
      <c r="Q71" s="212"/>
      <c r="R71" s="212"/>
      <c r="S71" s="211" t="s">
        <v>247</v>
      </c>
      <c r="T71" s="212"/>
      <c r="U71" s="212"/>
      <c r="V71" s="212"/>
      <c r="W71" s="212"/>
      <c r="X71" s="212" t="s">
        <v>248</v>
      </c>
      <c r="Y71" s="214" t="s">
        <v>245</v>
      </c>
      <c r="Z71" s="214" t="s">
        <v>2</v>
      </c>
      <c r="AA71" s="212" t="s">
        <v>246</v>
      </c>
      <c r="AB71" s="212" t="s">
        <v>249</v>
      </c>
      <c r="AC71" s="212" t="s">
        <v>245</v>
      </c>
      <c r="AD71" s="212" t="s">
        <v>2</v>
      </c>
      <c r="AE71" s="212" t="s">
        <v>246</v>
      </c>
      <c r="AF71" s="212" t="s">
        <v>1</v>
      </c>
      <c r="AG71" s="212" t="s">
        <v>2</v>
      </c>
      <c r="AH71" s="212" t="s">
        <v>246</v>
      </c>
      <c r="AI71" s="212" t="s">
        <v>251</v>
      </c>
      <c r="AJ71" s="212"/>
      <c r="AK71" s="212"/>
      <c r="AL71" s="212"/>
      <c r="AM71" s="212"/>
      <c r="AN71" s="212"/>
      <c r="AO71" s="212"/>
      <c r="AP71" s="296">
        <v>4097</v>
      </c>
      <c r="AQ71" s="237"/>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row>
    <row r="72" spans="1:70" ht="15.75">
      <c r="A72" s="212"/>
      <c r="B72" s="212"/>
      <c r="C72" s="211" t="str">
        <f>IF(A71=2,"X","")</f>
        <v>X</v>
      </c>
      <c r="D72" s="212" t="s">
        <v>89</v>
      </c>
      <c r="E72" s="212"/>
      <c r="F72" s="212"/>
      <c r="G72" s="212"/>
      <c r="H72" s="212"/>
      <c r="I72" s="212"/>
      <c r="J72" s="212">
        <v>1</v>
      </c>
      <c r="K72" s="212" t="s">
        <v>90</v>
      </c>
      <c r="L72" s="212">
        <v>1</v>
      </c>
      <c r="M72" s="212" t="s">
        <v>180</v>
      </c>
      <c r="N72" s="212"/>
      <c r="O72" s="212"/>
      <c r="P72" s="212"/>
      <c r="Q72" s="212"/>
      <c r="R72" s="212"/>
      <c r="S72" s="212"/>
      <c r="T72" s="212"/>
      <c r="U72" s="212"/>
      <c r="V72" s="212"/>
      <c r="W72" s="212"/>
      <c r="X72" s="212" t="b">
        <f>AND(A10=1,A73=1)</f>
        <v>1</v>
      </c>
      <c r="Y72" s="214">
        <f>IF(X72=TRUE,200,0)</f>
        <v>200</v>
      </c>
      <c r="Z72" s="214">
        <f>IF(X72=TRUE,1000,0)</f>
        <v>1000</v>
      </c>
      <c r="AA72" s="220">
        <f>IF(X72=TRUE,4800,0)</f>
        <v>4800</v>
      </c>
      <c r="AB72" s="212" t="b">
        <f>AND(A10=2,A73=1)</f>
        <v>0</v>
      </c>
      <c r="AC72" s="212">
        <v>0</v>
      </c>
      <c r="AD72" s="212">
        <v>0</v>
      </c>
      <c r="AE72" s="220">
        <v>0</v>
      </c>
      <c r="AF72" s="220">
        <f>SUM(Y72:Y77,AC72:AC77)</f>
        <v>200</v>
      </c>
      <c r="AG72" s="212"/>
      <c r="AH72" s="212"/>
      <c r="AI72" s="212">
        <f>IF(A79=1,200,0)</f>
        <v>200</v>
      </c>
      <c r="AJ72" s="212"/>
      <c r="AK72" s="212"/>
      <c r="AL72" s="212"/>
      <c r="AM72" s="212"/>
      <c r="AN72" s="212"/>
      <c r="AO72" s="212"/>
      <c r="AP72" s="296">
        <v>4177</v>
      </c>
      <c r="AQ72" s="237"/>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row>
    <row r="73" spans="1:70" ht="15.75">
      <c r="A73" s="212">
        <v>1</v>
      </c>
      <c r="B73" s="212"/>
      <c r="C73" s="212" t="s">
        <v>220</v>
      </c>
      <c r="D73" s="212"/>
      <c r="E73" s="212"/>
      <c r="F73" s="212"/>
      <c r="G73" s="212"/>
      <c r="H73" s="212"/>
      <c r="I73" s="212"/>
      <c r="J73" s="212">
        <v>2</v>
      </c>
      <c r="K73" s="212" t="s">
        <v>89</v>
      </c>
      <c r="L73" s="212">
        <v>2</v>
      </c>
      <c r="M73" s="212" t="s">
        <v>181</v>
      </c>
      <c r="N73" s="212"/>
      <c r="O73" s="212"/>
      <c r="P73" s="212"/>
      <c r="Q73" s="212"/>
      <c r="R73" s="212"/>
      <c r="S73" s="212"/>
      <c r="T73" s="212"/>
      <c r="U73" s="212"/>
      <c r="V73" s="212"/>
      <c r="W73" s="212"/>
      <c r="X73" s="212" t="b">
        <f>AND(A10=1,A73=2)</f>
        <v>0</v>
      </c>
      <c r="Y73" s="214">
        <f>IF(X73=TRUE,500,0)</f>
        <v>0</v>
      </c>
      <c r="Z73" s="214">
        <f>IF(X73=TRUE,2000,0)</f>
        <v>0</v>
      </c>
      <c r="AA73" s="220">
        <f>IF(X73=TRUE,12000,0)</f>
        <v>0</v>
      </c>
      <c r="AB73" s="212" t="b">
        <f>AND(A10=2,A73=2)</f>
        <v>0</v>
      </c>
      <c r="AC73" s="212">
        <v>0</v>
      </c>
      <c r="AD73" s="212">
        <v>0</v>
      </c>
      <c r="AE73" s="220">
        <f>IF(AB73=TRUE,300,0)</f>
        <v>0</v>
      </c>
      <c r="AF73" s="212"/>
      <c r="AG73" s="220"/>
      <c r="AH73" s="212"/>
      <c r="AI73" s="212">
        <f>IF(A79=2,1000,0)</f>
        <v>0</v>
      </c>
      <c r="AJ73" s="212"/>
      <c r="AK73" s="212"/>
      <c r="AL73" s="212"/>
      <c r="AM73" s="212"/>
      <c r="AN73" s="212"/>
      <c r="AO73" s="212"/>
      <c r="AP73" s="296">
        <v>4325</v>
      </c>
      <c r="AQ73" s="237"/>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row>
    <row r="74" spans="1:70" ht="15.75">
      <c r="A74" s="212" t="str">
        <f>CHOOSE(A73,"B","C","D","E","F","F")</f>
        <v>B</v>
      </c>
      <c r="B74" s="211" t="str">
        <f>IF(A73=1,"X","")</f>
        <v>X</v>
      </c>
      <c r="C74" s="211">
        <f>IF(A73=2,"X","")</f>
      </c>
      <c r="D74" s="211">
        <f>IF(A73=3,"X","")</f>
      </c>
      <c r="E74" s="211">
        <f>IF(A73=4,"X","")</f>
      </c>
      <c r="F74" s="211">
        <f>IF(C75=TRUE,"X","")</f>
      </c>
      <c r="G74" s="212"/>
      <c r="H74" s="212"/>
      <c r="I74" s="212"/>
      <c r="J74" s="212"/>
      <c r="K74" s="212"/>
      <c r="L74" s="212">
        <v>3</v>
      </c>
      <c r="M74" s="212" t="s">
        <v>769</v>
      </c>
      <c r="N74" s="212"/>
      <c r="O74" s="212"/>
      <c r="P74" s="212"/>
      <c r="Q74" s="212"/>
      <c r="R74" s="212"/>
      <c r="S74" s="212"/>
      <c r="T74" s="212"/>
      <c r="U74" s="212"/>
      <c r="V74" s="212"/>
      <c r="W74" s="212"/>
      <c r="X74" s="212" t="b">
        <f>AND(A10=1,A73=3)</f>
        <v>0</v>
      </c>
      <c r="Y74" s="214">
        <f>IF(X74=TRUE,1000,0)</f>
        <v>0</v>
      </c>
      <c r="Z74" s="214">
        <f>IF(X74=TRUE,10000,0)</f>
        <v>0</v>
      </c>
      <c r="AA74" s="220">
        <f>IF(X74=TRUE,24000,0)</f>
        <v>0</v>
      </c>
      <c r="AB74" s="212" t="b">
        <f>AND(A10=2,A73=3)</f>
        <v>0</v>
      </c>
      <c r="AC74" s="212">
        <v>0</v>
      </c>
      <c r="AD74" s="212">
        <v>0</v>
      </c>
      <c r="AE74" s="220">
        <f>IF(AB74=TRUE,500,0)</f>
        <v>0</v>
      </c>
      <c r="AF74" s="220"/>
      <c r="AG74" s="220"/>
      <c r="AH74" s="212"/>
      <c r="AI74" s="212">
        <f>IF(A79=3,2000,0)</f>
        <v>0</v>
      </c>
      <c r="AJ74" s="212"/>
      <c r="AK74" s="212"/>
      <c r="AL74" s="212"/>
      <c r="AM74" s="212"/>
      <c r="AN74" s="212"/>
      <c r="AO74" s="212"/>
      <c r="AP74" s="296">
        <v>4333</v>
      </c>
      <c r="AQ74" s="237"/>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row>
    <row r="75" spans="1:70" ht="15.75">
      <c r="A75" s="212"/>
      <c r="B75" s="212"/>
      <c r="C75" s="528" t="b">
        <f>OR(A73=5,A73=6)</f>
        <v>0</v>
      </c>
      <c r="D75" s="528"/>
      <c r="E75" s="212"/>
      <c r="F75" s="212"/>
      <c r="G75" s="212"/>
      <c r="H75" s="212"/>
      <c r="I75" s="212"/>
      <c r="J75" s="212"/>
      <c r="K75" s="212"/>
      <c r="L75" s="212">
        <v>4</v>
      </c>
      <c r="M75" s="212" t="s">
        <v>182</v>
      </c>
      <c r="N75" s="212"/>
      <c r="O75" s="212"/>
      <c r="P75" s="212"/>
      <c r="Q75" s="212"/>
      <c r="R75" s="212"/>
      <c r="S75" s="212"/>
      <c r="T75" s="212"/>
      <c r="U75" s="212"/>
      <c r="V75" s="212"/>
      <c r="W75" s="212"/>
      <c r="X75" s="212" t="b">
        <f>AND(A10=1,A73=4)</f>
        <v>0</v>
      </c>
      <c r="Y75" s="214">
        <f>IF(X75=TRUE,4000,0)</f>
        <v>0</v>
      </c>
      <c r="Z75" s="214">
        <f>IF(X75=TRUE,20000,0)</f>
        <v>0</v>
      </c>
      <c r="AA75" s="220">
        <f>IF(X75=TRUE,48000,0)</f>
        <v>0</v>
      </c>
      <c r="AB75" s="212" t="b">
        <f>AND(A10=2,A73=4)</f>
        <v>0</v>
      </c>
      <c r="AC75" s="212">
        <v>0</v>
      </c>
      <c r="AD75" s="212">
        <v>0</v>
      </c>
      <c r="AE75" s="220">
        <f>IF(AB75=TRUE,1000,0)</f>
        <v>0</v>
      </c>
      <c r="AF75" s="220"/>
      <c r="AG75" s="220"/>
      <c r="AH75" s="212"/>
      <c r="AI75" s="212">
        <f>IF(A79=4,10000,0)</f>
        <v>0</v>
      </c>
      <c r="AJ75" s="212"/>
      <c r="AK75" s="212"/>
      <c r="AL75" s="212"/>
      <c r="AM75" s="212"/>
      <c r="AN75" s="212"/>
      <c r="AO75" s="212"/>
      <c r="AP75" s="296">
        <v>4334</v>
      </c>
      <c r="AQ75" s="237"/>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row>
    <row r="76" spans="1:70" ht="15.75">
      <c r="A76" s="212"/>
      <c r="B76" s="212"/>
      <c r="C76" s="212"/>
      <c r="D76" s="212"/>
      <c r="E76" s="212"/>
      <c r="F76" s="212"/>
      <c r="G76" s="212"/>
      <c r="H76" s="212"/>
      <c r="I76" s="212"/>
      <c r="J76" s="212"/>
      <c r="K76" s="212"/>
      <c r="L76" s="212">
        <v>5</v>
      </c>
      <c r="M76" s="212" t="s">
        <v>770</v>
      </c>
      <c r="N76" s="212"/>
      <c r="O76" s="212"/>
      <c r="P76" s="212"/>
      <c r="Q76" s="212"/>
      <c r="R76" s="212"/>
      <c r="S76" s="212"/>
      <c r="T76" s="212"/>
      <c r="U76" s="212"/>
      <c r="V76" s="212"/>
      <c r="W76" s="212"/>
      <c r="X76" s="212" t="b">
        <f>AND(A10=1,A73=5)</f>
        <v>0</v>
      </c>
      <c r="Y76" s="214">
        <f>IF(X76=TRUE,10000,0)</f>
        <v>0</v>
      </c>
      <c r="Z76" s="214">
        <f>IF(X76=TRUE,40000,0)</f>
        <v>0</v>
      </c>
      <c r="AA76" s="220">
        <f>IF(X76=TRUE,1000000,0)</f>
        <v>0</v>
      </c>
      <c r="AB76" s="212" t="b">
        <f>AND(A10=2,A73=5)</f>
        <v>0</v>
      </c>
      <c r="AC76" s="212">
        <v>0</v>
      </c>
      <c r="AD76" s="212">
        <v>0</v>
      </c>
      <c r="AE76" s="220">
        <f>IF(AB76=TRUE,1000,0)</f>
        <v>0</v>
      </c>
      <c r="AF76" s="220"/>
      <c r="AG76" s="220"/>
      <c r="AH76" s="212"/>
      <c r="AI76" s="212"/>
      <c r="AJ76" s="212"/>
      <c r="AK76" s="212"/>
      <c r="AL76" s="212"/>
      <c r="AM76" s="212"/>
      <c r="AN76" s="212"/>
      <c r="AO76" s="212"/>
      <c r="AP76" s="296">
        <v>4372</v>
      </c>
      <c r="AQ76" s="237"/>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row>
    <row r="77" spans="1:70" ht="15.75">
      <c r="A77" s="212"/>
      <c r="B77" s="212"/>
      <c r="C77" s="212"/>
      <c r="D77" s="212"/>
      <c r="E77" s="212"/>
      <c r="F77" s="212"/>
      <c r="G77" s="212"/>
      <c r="H77" s="212"/>
      <c r="I77" s="212"/>
      <c r="J77" s="212"/>
      <c r="K77" s="212"/>
      <c r="L77" s="212">
        <v>6</v>
      </c>
      <c r="M77" s="212" t="s">
        <v>311</v>
      </c>
      <c r="N77" s="212"/>
      <c r="O77" s="212"/>
      <c r="P77" s="212"/>
      <c r="Q77" s="212"/>
      <c r="R77" s="212"/>
      <c r="S77" s="212"/>
      <c r="T77" s="212"/>
      <c r="U77" s="212"/>
      <c r="V77" s="212"/>
      <c r="W77" s="212"/>
      <c r="X77" s="212" t="b">
        <f>AND(A10=1,A73=6)</f>
        <v>0</v>
      </c>
      <c r="Y77" s="214">
        <f>IF(X77=TRUE,10000,0)</f>
        <v>0</v>
      </c>
      <c r="Z77" s="214">
        <f>IF(X77=TRUE,40000,0)</f>
        <v>0</v>
      </c>
      <c r="AA77" s="220">
        <f>IF(X77=TRUE,1000000,0)</f>
        <v>0</v>
      </c>
      <c r="AB77" s="212" t="b">
        <f>AND(A10=2,A73=6)</f>
        <v>0</v>
      </c>
      <c r="AC77" s="212">
        <v>0</v>
      </c>
      <c r="AD77" s="212">
        <v>0</v>
      </c>
      <c r="AE77" s="220">
        <v>0</v>
      </c>
      <c r="AF77" s="220">
        <f>IF(AI77&lt;=AF72,AI77,AF72)</f>
        <v>200</v>
      </c>
      <c r="AG77" s="220">
        <f>SUM(Z72:Z77,AD72:AD77)</f>
        <v>1000</v>
      </c>
      <c r="AH77" s="220">
        <f>SUM(AA72:AA77,AE72:AE77)</f>
        <v>4800</v>
      </c>
      <c r="AI77" s="212">
        <f>SUM(AI72:AI76)</f>
        <v>200</v>
      </c>
      <c r="AJ77" s="212"/>
      <c r="AK77" s="212"/>
      <c r="AL77" s="212"/>
      <c r="AM77" s="212"/>
      <c r="AN77" s="212"/>
      <c r="AO77" s="212"/>
      <c r="AP77" s="296">
        <v>4374</v>
      </c>
      <c r="AQ77" s="237"/>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row>
    <row r="78" spans="1:70" ht="15.75">
      <c r="A78" s="211" t="s">
        <v>78</v>
      </c>
      <c r="B78" s="212"/>
      <c r="C78" s="212"/>
      <c r="D78" s="212"/>
      <c r="E78" s="212"/>
      <c r="F78" s="212"/>
      <c r="G78" s="212"/>
      <c r="H78" s="212"/>
      <c r="I78" s="212"/>
      <c r="J78" s="212"/>
      <c r="K78" s="212"/>
      <c r="L78" s="212"/>
      <c r="M78" s="212"/>
      <c r="N78" s="212"/>
      <c r="O78" s="212"/>
      <c r="P78" s="212"/>
      <c r="Q78" s="212"/>
      <c r="R78" s="212"/>
      <c r="S78" s="212"/>
      <c r="T78" s="212"/>
      <c r="U78" s="212"/>
      <c r="V78" s="211"/>
      <c r="W78" s="212"/>
      <c r="X78" s="212"/>
      <c r="Y78" s="214"/>
      <c r="Z78" s="214"/>
      <c r="AA78" s="212"/>
      <c r="AB78" s="212"/>
      <c r="AC78" s="212"/>
      <c r="AD78" s="212"/>
      <c r="AE78" s="212"/>
      <c r="AF78" s="212"/>
      <c r="AG78" s="212"/>
      <c r="AH78" s="212"/>
      <c r="AI78" s="212"/>
      <c r="AJ78" s="212"/>
      <c r="AK78" s="212"/>
      <c r="AL78" s="212"/>
      <c r="AM78" s="212"/>
      <c r="AN78" s="212"/>
      <c r="AO78" s="212"/>
      <c r="AP78" s="296">
        <v>4375</v>
      </c>
      <c r="AQ78" s="237"/>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row>
    <row r="79" spans="1:70" ht="15.75">
      <c r="A79" s="212">
        <v>1</v>
      </c>
      <c r="B79" s="211" t="str">
        <f>IF(A79=1,"X","")</f>
        <v>X</v>
      </c>
      <c r="C79" s="211">
        <f>IF(A79=2,"X","")</f>
      </c>
      <c r="D79" s="211">
        <f>IF(A79=3,"X","")</f>
      </c>
      <c r="E79" s="211">
        <f>IF(A79=4,"X","")</f>
      </c>
      <c r="F79" s="212"/>
      <c r="G79" s="212"/>
      <c r="H79" s="212"/>
      <c r="I79" s="212"/>
      <c r="J79" s="212">
        <v>1</v>
      </c>
      <c r="K79" s="212" t="s">
        <v>16</v>
      </c>
      <c r="L79" s="212" t="s">
        <v>272</v>
      </c>
      <c r="M79" s="212"/>
      <c r="N79" s="212"/>
      <c r="O79" s="212"/>
      <c r="P79" s="212"/>
      <c r="Q79" s="212"/>
      <c r="R79" s="212"/>
      <c r="S79" s="212"/>
      <c r="T79" s="212"/>
      <c r="U79" s="212"/>
      <c r="V79" s="220"/>
      <c r="W79" s="212"/>
      <c r="X79" s="212"/>
      <c r="Y79" s="214"/>
      <c r="Z79" s="214"/>
      <c r="AA79" s="212"/>
      <c r="AB79" s="212"/>
      <c r="AC79" s="212"/>
      <c r="AD79" s="212"/>
      <c r="AE79" s="212"/>
      <c r="AF79" s="212"/>
      <c r="AG79" s="212"/>
      <c r="AH79" s="212"/>
      <c r="AI79" s="212"/>
      <c r="AJ79" s="212"/>
      <c r="AK79" s="212"/>
      <c r="AL79" s="212"/>
      <c r="AM79" s="212"/>
      <c r="AN79" s="212"/>
      <c r="AO79" s="212"/>
      <c r="AP79" s="296">
        <v>4445</v>
      </c>
      <c r="AQ79" s="237"/>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row>
    <row r="80" spans="1:70" ht="15.75">
      <c r="A80" s="212" t="str">
        <f>CHOOSE(A79,K79,K80,K81,K82)</f>
        <v>NIN</v>
      </c>
      <c r="B80" s="212"/>
      <c r="C80" s="212"/>
      <c r="D80" s="212"/>
      <c r="E80" s="212"/>
      <c r="F80" s="212"/>
      <c r="G80" s="212"/>
      <c r="H80" s="212"/>
      <c r="I80" s="212"/>
      <c r="J80" s="212">
        <v>2</v>
      </c>
      <c r="K80" s="212" t="s">
        <v>17</v>
      </c>
      <c r="L80" s="212" t="s">
        <v>271</v>
      </c>
      <c r="M80" s="212"/>
      <c r="N80" s="212"/>
      <c r="O80" s="212"/>
      <c r="P80" s="212"/>
      <c r="Q80" s="212"/>
      <c r="R80" s="212"/>
      <c r="S80" s="212"/>
      <c r="T80" s="212"/>
      <c r="U80" s="212"/>
      <c r="V80" s="220"/>
      <c r="W80" s="212"/>
      <c r="X80" s="212"/>
      <c r="Y80" s="214"/>
      <c r="Z80" s="214"/>
      <c r="AA80" s="212"/>
      <c r="AB80" s="212"/>
      <c r="AC80" s="212"/>
      <c r="AD80" s="212"/>
      <c r="AE80" s="212"/>
      <c r="AF80" s="212"/>
      <c r="AG80" s="212"/>
      <c r="AH80" s="212"/>
      <c r="AI80" s="212"/>
      <c r="AJ80" s="212"/>
      <c r="AK80" s="212"/>
      <c r="AL80" s="212"/>
      <c r="AM80" s="212"/>
      <c r="AN80" s="212"/>
      <c r="AO80" s="212"/>
      <c r="AP80" s="296">
        <v>4467</v>
      </c>
      <c r="AQ80" s="237"/>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row>
    <row r="81" spans="1:70" ht="15.75">
      <c r="A81" s="212"/>
      <c r="B81" s="212"/>
      <c r="C81" s="212"/>
      <c r="D81" s="212"/>
      <c r="E81" s="212"/>
      <c r="F81" s="212"/>
      <c r="G81" s="212"/>
      <c r="H81" s="212"/>
      <c r="I81" s="212"/>
      <c r="J81" s="212">
        <v>3</v>
      </c>
      <c r="K81" s="212" t="s">
        <v>18</v>
      </c>
      <c r="L81" s="212" t="s">
        <v>270</v>
      </c>
      <c r="M81" s="212"/>
      <c r="N81" s="212"/>
      <c r="O81" s="212"/>
      <c r="P81" s="212"/>
      <c r="Q81" s="212"/>
      <c r="R81" s="212"/>
      <c r="S81" s="212"/>
      <c r="T81" s="212"/>
      <c r="U81" s="212"/>
      <c r="V81" s="220"/>
      <c r="W81" s="212"/>
      <c r="X81" s="212"/>
      <c r="Y81" s="214"/>
      <c r="Z81" s="214"/>
      <c r="AA81" s="212"/>
      <c r="AB81" s="212"/>
      <c r="AC81" s="212"/>
      <c r="AD81" s="212"/>
      <c r="AE81" s="212"/>
      <c r="AF81" s="212"/>
      <c r="AG81" s="212"/>
      <c r="AH81" s="212"/>
      <c r="AI81" s="212"/>
      <c r="AJ81" s="212"/>
      <c r="AK81" s="212"/>
      <c r="AL81" s="212"/>
      <c r="AM81" s="212"/>
      <c r="AN81" s="212"/>
      <c r="AO81" s="212"/>
      <c r="AP81" s="296">
        <v>4472</v>
      </c>
      <c r="AQ81" s="237"/>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row>
    <row r="82" spans="1:70" ht="15.75">
      <c r="A82" s="212"/>
      <c r="B82" s="212"/>
      <c r="C82" s="212"/>
      <c r="D82" s="212"/>
      <c r="E82" s="212"/>
      <c r="F82" s="212"/>
      <c r="G82" s="212"/>
      <c r="H82" s="212"/>
      <c r="I82" s="212"/>
      <c r="J82" s="212">
        <v>4</v>
      </c>
      <c r="K82" s="212" t="s">
        <v>19</v>
      </c>
      <c r="L82" s="212" t="s">
        <v>269</v>
      </c>
      <c r="M82" s="212"/>
      <c r="N82" s="212"/>
      <c r="O82" s="212"/>
      <c r="P82" s="212"/>
      <c r="Q82" s="212"/>
      <c r="R82" s="212"/>
      <c r="S82" s="212"/>
      <c r="T82" s="212"/>
      <c r="U82" s="212"/>
      <c r="V82" s="220"/>
      <c r="W82" s="212"/>
      <c r="X82" s="212"/>
      <c r="Y82" s="214"/>
      <c r="Z82" s="214"/>
      <c r="AA82" s="212"/>
      <c r="AB82" s="212"/>
      <c r="AC82" s="212"/>
      <c r="AD82" s="212"/>
      <c r="AE82" s="212"/>
      <c r="AF82" s="212"/>
      <c r="AG82" s="212"/>
      <c r="AH82" s="212"/>
      <c r="AI82" s="212"/>
      <c r="AJ82" s="212"/>
      <c r="AK82" s="212"/>
      <c r="AL82" s="212"/>
      <c r="AM82" s="212"/>
      <c r="AN82" s="212"/>
      <c r="AO82" s="212"/>
      <c r="AP82" s="296">
        <v>4475</v>
      </c>
      <c r="AQ82" s="237"/>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row>
    <row r="83" spans="1:70" ht="15.75">
      <c r="A83" s="211" t="s">
        <v>79</v>
      </c>
      <c r="B83" s="212"/>
      <c r="C83" s="212"/>
      <c r="D83" s="212"/>
      <c r="E83" s="212"/>
      <c r="F83" s="212"/>
      <c r="G83" s="212"/>
      <c r="H83" s="212"/>
      <c r="I83" s="212"/>
      <c r="J83" s="212"/>
      <c r="K83" s="212"/>
      <c r="L83" s="212"/>
      <c r="M83" s="212"/>
      <c r="N83" s="212"/>
      <c r="O83" s="211" t="s">
        <v>252</v>
      </c>
      <c r="P83" s="212"/>
      <c r="Q83" s="212" t="s">
        <v>1</v>
      </c>
      <c r="R83" s="212"/>
      <c r="S83" s="212" t="s">
        <v>2</v>
      </c>
      <c r="T83" s="212"/>
      <c r="U83" s="212" t="s">
        <v>254</v>
      </c>
      <c r="V83" s="212"/>
      <c r="W83" s="212" t="s">
        <v>255</v>
      </c>
      <c r="X83" s="212"/>
      <c r="Y83" s="214"/>
      <c r="Z83" s="214"/>
      <c r="AA83" s="212"/>
      <c r="AB83" s="212"/>
      <c r="AC83" s="212"/>
      <c r="AD83" s="212"/>
      <c r="AE83" s="212"/>
      <c r="AF83" s="212"/>
      <c r="AG83" s="212"/>
      <c r="AH83" s="212"/>
      <c r="AI83" s="212"/>
      <c r="AJ83" s="212"/>
      <c r="AK83" s="212"/>
      <c r="AL83" s="212"/>
      <c r="AM83" s="212"/>
      <c r="AN83" s="212"/>
      <c r="AO83" s="212"/>
      <c r="AP83" s="296">
        <v>4501</v>
      </c>
      <c r="AQ83" s="237"/>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row>
    <row r="84" spans="1:70" ht="15.75">
      <c r="A84" s="212">
        <v>4</v>
      </c>
      <c r="B84" s="211">
        <f>IF(A84=1,"X","")</f>
      </c>
      <c r="C84" s="211">
        <f>IF(A84=2,"X","")</f>
      </c>
      <c r="D84" s="211">
        <f>IF(A84=3,"X","")</f>
      </c>
      <c r="E84" s="211" t="str">
        <f>IF(A84=4,"X","")</f>
        <v>X</v>
      </c>
      <c r="F84" s="212"/>
      <c r="G84" s="212"/>
      <c r="H84" s="212"/>
      <c r="I84" s="212"/>
      <c r="J84" s="212">
        <v>1</v>
      </c>
      <c r="K84" s="212" t="s">
        <v>1</v>
      </c>
      <c r="L84" s="212" t="s">
        <v>20</v>
      </c>
      <c r="M84" s="212" t="s">
        <v>1</v>
      </c>
      <c r="N84" s="212"/>
      <c r="O84" s="212"/>
      <c r="P84" s="212" t="b">
        <f>AND(A71=1,A84=1,A10=1)</f>
        <v>0</v>
      </c>
      <c r="Q84" s="212">
        <f>IF(P84=TRUE,1.29,0)</f>
        <v>0</v>
      </c>
      <c r="R84" s="212" t="b">
        <f>AND(A71=1,A10=1,A84=1)</f>
        <v>0</v>
      </c>
      <c r="S84" s="212">
        <f>IF(R84=TRUE,1.1,0)</f>
        <v>0</v>
      </c>
      <c r="T84" s="212" t="b">
        <f>AND(A71=1,A10=1,A84=1)</f>
        <v>0</v>
      </c>
      <c r="U84" s="212">
        <f>IF(T84=TRUE,0.91,0)</f>
        <v>0</v>
      </c>
      <c r="V84" s="212" t="b">
        <f>AND(A71=1,A10=2,A84=1)</f>
        <v>0</v>
      </c>
      <c r="W84" s="212">
        <f>IF(V84=TRUE,17.47,0)</f>
        <v>0</v>
      </c>
      <c r="X84" s="212"/>
      <c r="Y84" s="214"/>
      <c r="Z84" s="214"/>
      <c r="AA84" s="212"/>
      <c r="AB84" s="212"/>
      <c r="AC84" s="212"/>
      <c r="AD84" s="212"/>
      <c r="AE84" s="212"/>
      <c r="AF84" s="212"/>
      <c r="AG84" s="212"/>
      <c r="AH84" s="212"/>
      <c r="AI84" s="212"/>
      <c r="AJ84" s="212"/>
      <c r="AK84" s="212"/>
      <c r="AL84" s="212"/>
      <c r="AM84" s="212"/>
      <c r="AN84" s="212"/>
      <c r="AO84" s="212"/>
      <c r="AP84" s="296">
        <v>4545</v>
      </c>
      <c r="AQ84" s="237"/>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row>
    <row r="85" spans="1:70" ht="15.75">
      <c r="A85" s="212" t="str">
        <f>CHOOSE(A84,L84,L85,L86,L87)</f>
        <v>Budapest</v>
      </c>
      <c r="B85" s="212"/>
      <c r="C85" s="212"/>
      <c r="D85" s="212"/>
      <c r="E85" s="212"/>
      <c r="F85" s="212"/>
      <c r="G85" s="212"/>
      <c r="H85" s="212"/>
      <c r="I85" s="212"/>
      <c r="J85" s="212">
        <v>2</v>
      </c>
      <c r="K85" s="212" t="s">
        <v>2</v>
      </c>
      <c r="L85" s="212" t="s">
        <v>21</v>
      </c>
      <c r="M85" s="212" t="s">
        <v>2</v>
      </c>
      <c r="N85" s="212"/>
      <c r="O85" s="212"/>
      <c r="P85" s="212" t="b">
        <f>AND(A71=1,A10=1,A84=2)</f>
        <v>0</v>
      </c>
      <c r="Q85" s="212">
        <f>IF(P85=TRUE,1.29,0)</f>
        <v>0</v>
      </c>
      <c r="R85" s="212" t="b">
        <f>AND(A71=1,A10=1,A84=2)</f>
        <v>0</v>
      </c>
      <c r="S85" s="212">
        <f>IF(R85=TRUE,1.1,0)</f>
        <v>0</v>
      </c>
      <c r="T85" s="212" t="b">
        <f>AND(A71=1,A10=1,A84=2)</f>
        <v>0</v>
      </c>
      <c r="U85" s="212">
        <f>IF(T85=TRUE,0.91,0)</f>
        <v>0</v>
      </c>
      <c r="V85" s="212" t="b">
        <f>AND(A71=1,A10=2,A84=2)</f>
        <v>0</v>
      </c>
      <c r="W85" s="212">
        <f>IF(V85=TRUE,17.47,0)</f>
        <v>0</v>
      </c>
      <c r="X85" s="212"/>
      <c r="Y85" s="214"/>
      <c r="Z85" s="214"/>
      <c r="AA85" s="212"/>
      <c r="AB85" s="212" t="s">
        <v>420</v>
      </c>
      <c r="AC85" s="231">
        <f ca="1">TODAY()</f>
        <v>41380</v>
      </c>
      <c r="AD85" s="212"/>
      <c r="AE85" s="212"/>
      <c r="AF85" s="212"/>
      <c r="AG85" s="212"/>
      <c r="AH85" s="212"/>
      <c r="AI85" s="212"/>
      <c r="AJ85" s="212"/>
      <c r="AK85" s="212"/>
      <c r="AL85" s="212"/>
      <c r="AM85" s="212"/>
      <c r="AN85" s="212"/>
      <c r="AO85" s="212"/>
      <c r="AP85" s="296">
        <v>4564</v>
      </c>
      <c r="AQ85" s="237"/>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row>
    <row r="86" spans="1:70" ht="15.75">
      <c r="A86" s="212" t="str">
        <f>VLOOKUP(A85,$L$84:$M$87,2,FALSE)</f>
        <v>D</v>
      </c>
      <c r="B86" s="212"/>
      <c r="C86" s="212"/>
      <c r="D86" s="212"/>
      <c r="E86" s="212"/>
      <c r="F86" s="212"/>
      <c r="G86" s="212"/>
      <c r="H86" s="212"/>
      <c r="I86" s="212"/>
      <c r="J86" s="212">
        <v>3</v>
      </c>
      <c r="K86" s="212" t="s">
        <v>3</v>
      </c>
      <c r="L86" s="212" t="s">
        <v>22</v>
      </c>
      <c r="M86" s="212" t="s">
        <v>3</v>
      </c>
      <c r="N86" s="212"/>
      <c r="O86" s="212"/>
      <c r="P86" s="212" t="b">
        <f>AND(A71=1,A10=1,A84=3)</f>
        <v>0</v>
      </c>
      <c r="Q86" s="212">
        <f>IF(P86=TRUE,1.36,0)</f>
        <v>0</v>
      </c>
      <c r="R86" s="212" t="b">
        <f>AND(A71=1,A10=1,A84=3)</f>
        <v>0</v>
      </c>
      <c r="S86" s="212">
        <f>IF(R86=TRUE,1.17,0)</f>
        <v>0</v>
      </c>
      <c r="T86" s="212" t="b">
        <f>AND(A71=1,A10=1,A84=3)</f>
        <v>0</v>
      </c>
      <c r="U86" s="212">
        <f>IF(T86=TRUE,0.97,0)</f>
        <v>0</v>
      </c>
      <c r="V86" s="212" t="b">
        <f>AND(A71=1,A10=2,A84=3)</f>
        <v>0</v>
      </c>
      <c r="W86" s="212">
        <f>IF(V86=TRUE,14.56,0)</f>
        <v>0</v>
      </c>
      <c r="X86" s="212"/>
      <c r="Y86" s="214"/>
      <c r="Z86" s="214"/>
      <c r="AA86" s="212"/>
      <c r="AB86" s="212"/>
      <c r="AC86" s="212"/>
      <c r="AD86" s="212"/>
      <c r="AE86" s="212"/>
      <c r="AF86" s="212"/>
      <c r="AG86" s="212"/>
      <c r="AH86" s="212"/>
      <c r="AI86" s="212"/>
      <c r="AJ86" s="212"/>
      <c r="AK86" s="212"/>
      <c r="AL86" s="212"/>
      <c r="AM86" s="212"/>
      <c r="AN86" s="212"/>
      <c r="AO86" s="212"/>
      <c r="AP86" s="296">
        <v>4623</v>
      </c>
      <c r="AQ86" s="237"/>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row>
    <row r="87" spans="1:70" ht="15.75">
      <c r="A87" s="212"/>
      <c r="B87" s="212"/>
      <c r="C87" s="212"/>
      <c r="D87" s="212"/>
      <c r="E87" s="212"/>
      <c r="F87" s="212"/>
      <c r="G87" s="212"/>
      <c r="H87" s="212"/>
      <c r="I87" s="212"/>
      <c r="J87" s="212">
        <v>4</v>
      </c>
      <c r="K87" s="212" t="s">
        <v>4</v>
      </c>
      <c r="L87" s="212" t="s">
        <v>0</v>
      </c>
      <c r="M87" s="212" t="s">
        <v>4</v>
      </c>
      <c r="N87" s="212"/>
      <c r="O87" s="212"/>
      <c r="P87" s="212" t="b">
        <f>AND(A71=1,A10=1,A84=4)</f>
        <v>0</v>
      </c>
      <c r="Q87" s="212">
        <f>IF(P87=TRUE,4.56,0)</f>
        <v>0</v>
      </c>
      <c r="R87" s="212" t="b">
        <f>AND(A71=1,A10=1,A84=4)</f>
        <v>0</v>
      </c>
      <c r="S87" s="212">
        <f>IF(R87=TRUE,3.91,0)</f>
        <v>0</v>
      </c>
      <c r="T87" s="212" t="b">
        <f>AND(A71=1,A10=1,A84=4)</f>
        <v>0</v>
      </c>
      <c r="U87" s="212">
        <f>IF(T87=TRUE,3.26,0)</f>
        <v>0</v>
      </c>
      <c r="V87" s="212" t="b">
        <f>AND(A71=1,A10=2,A84=4)</f>
        <v>0</v>
      </c>
      <c r="W87" s="212">
        <f>IF(V87=TRUE,20.3,0)</f>
        <v>0</v>
      </c>
      <c r="X87" s="212"/>
      <c r="Y87" s="214"/>
      <c r="Z87" s="214"/>
      <c r="AA87" s="212"/>
      <c r="AB87" s="212"/>
      <c r="AC87" s="212"/>
      <c r="AD87" s="212"/>
      <c r="AE87" s="212"/>
      <c r="AF87" s="212"/>
      <c r="AG87" s="212"/>
      <c r="AH87" s="212"/>
      <c r="AI87" s="212"/>
      <c r="AJ87" s="212"/>
      <c r="AK87" s="212"/>
      <c r="AL87" s="212"/>
      <c r="AM87" s="212"/>
      <c r="AN87" s="212"/>
      <c r="AO87" s="212"/>
      <c r="AP87" s="296">
        <v>4646</v>
      </c>
      <c r="AQ87" s="237"/>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row>
    <row r="88" spans="1:70" ht="15.75">
      <c r="A88" s="212"/>
      <c r="B88" s="212"/>
      <c r="C88" s="212"/>
      <c r="D88" s="212"/>
      <c r="E88" s="212"/>
      <c r="F88" s="212"/>
      <c r="G88" s="212"/>
      <c r="H88" s="212"/>
      <c r="I88" s="212"/>
      <c r="J88" s="212"/>
      <c r="K88" s="212"/>
      <c r="L88" s="212"/>
      <c r="M88" s="212"/>
      <c r="N88" s="212"/>
      <c r="O88" s="212"/>
      <c r="P88" s="212"/>
      <c r="Q88" s="212">
        <f>IF(A10=2,0,0)</f>
        <v>0</v>
      </c>
      <c r="R88" s="212"/>
      <c r="S88" s="212">
        <f>IF(A10=2,0,0)</f>
        <v>0</v>
      </c>
      <c r="T88" s="212"/>
      <c r="U88" s="212"/>
      <c r="V88" s="212"/>
      <c r="W88" s="212"/>
      <c r="X88" s="212"/>
      <c r="Y88" s="214"/>
      <c r="Z88" s="214"/>
      <c r="AA88" s="212"/>
      <c r="AB88" s="212"/>
      <c r="AC88" s="212"/>
      <c r="AD88" s="212"/>
      <c r="AE88" s="212"/>
      <c r="AF88" s="212"/>
      <c r="AG88" s="212"/>
      <c r="AH88" s="212"/>
      <c r="AI88" s="212"/>
      <c r="AJ88" s="212"/>
      <c r="AK88" s="212"/>
      <c r="AL88" s="212"/>
      <c r="AM88" s="212"/>
      <c r="AN88" s="212"/>
      <c r="AO88" s="212"/>
      <c r="AP88" s="296">
        <v>4731</v>
      </c>
      <c r="AQ88" s="237"/>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row>
    <row r="89" spans="1:70" ht="15.75">
      <c r="A89" s="212"/>
      <c r="B89" s="212"/>
      <c r="C89" s="212"/>
      <c r="D89" s="212"/>
      <c r="E89" s="212"/>
      <c r="F89" s="212"/>
      <c r="G89" s="212"/>
      <c r="H89" s="212"/>
      <c r="I89" s="212"/>
      <c r="J89" s="212"/>
      <c r="K89" s="212"/>
      <c r="L89" s="212"/>
      <c r="M89" s="212"/>
      <c r="N89" s="212"/>
      <c r="O89" s="211"/>
      <c r="P89" s="212" t="s">
        <v>253</v>
      </c>
      <c r="Q89" s="212">
        <f>SUM(Q84:Q88)</f>
        <v>0</v>
      </c>
      <c r="R89" s="212"/>
      <c r="S89" s="212">
        <f>SUM(S84:S88)</f>
        <v>0</v>
      </c>
      <c r="T89" s="212"/>
      <c r="U89" s="212"/>
      <c r="V89" s="212"/>
      <c r="W89" s="212">
        <f>SUM(W84:W88,U84:U88)</f>
        <v>0</v>
      </c>
      <c r="X89" s="212"/>
      <c r="Y89" s="214"/>
      <c r="Z89" s="214"/>
      <c r="AA89" s="212"/>
      <c r="AB89" s="212"/>
      <c r="AC89" s="212"/>
      <c r="AD89" s="212"/>
      <c r="AE89" s="212"/>
      <c r="AF89" s="212"/>
      <c r="AG89" s="212"/>
      <c r="AH89" s="212"/>
      <c r="AI89" s="212"/>
      <c r="AJ89" s="212"/>
      <c r="AK89" s="212"/>
      <c r="AL89" s="212"/>
      <c r="AM89" s="212"/>
      <c r="AN89" s="212"/>
      <c r="AO89" s="212"/>
      <c r="AP89" s="296">
        <v>4752</v>
      </c>
      <c r="AQ89" s="237"/>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row>
    <row r="90" spans="1:70" ht="15.75">
      <c r="A90" s="212"/>
      <c r="B90" s="212"/>
      <c r="C90" s="212"/>
      <c r="D90" s="212"/>
      <c r="E90" s="212"/>
      <c r="F90" s="212"/>
      <c r="G90" s="212"/>
      <c r="H90" s="212"/>
      <c r="I90" s="212"/>
      <c r="J90" s="212"/>
      <c r="K90" s="212"/>
      <c r="L90" s="212"/>
      <c r="M90" s="212"/>
      <c r="N90" s="212"/>
      <c r="O90" s="212"/>
      <c r="P90" s="212"/>
      <c r="Q90" s="212"/>
      <c r="R90" s="212"/>
      <c r="S90" s="212"/>
      <c r="T90" s="212"/>
      <c r="U90" s="212"/>
      <c r="V90" s="212"/>
      <c r="W90" s="212"/>
      <c r="X90" s="212"/>
      <c r="Y90" s="214"/>
      <c r="Z90" s="214"/>
      <c r="AA90" s="212"/>
      <c r="AB90" s="212"/>
      <c r="AC90" s="212"/>
      <c r="AD90" s="212"/>
      <c r="AE90" s="212"/>
      <c r="AF90" s="212"/>
      <c r="AG90" s="212"/>
      <c r="AH90" s="212"/>
      <c r="AI90" s="212"/>
      <c r="AJ90" s="212"/>
      <c r="AK90" s="212"/>
      <c r="AL90" s="212"/>
      <c r="AM90" s="212"/>
      <c r="AN90" s="212"/>
      <c r="AO90" s="212"/>
      <c r="AP90" s="296">
        <v>4841</v>
      </c>
      <c r="AQ90" s="237"/>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row>
    <row r="91" spans="1:70" ht="15.75">
      <c r="A91" s="530"/>
      <c r="B91" s="530"/>
      <c r="C91" s="530"/>
      <c r="D91" s="530"/>
      <c r="E91" s="530"/>
      <c r="F91" s="530"/>
      <c r="G91" s="530"/>
      <c r="H91" s="530"/>
      <c r="I91" s="530"/>
      <c r="J91" s="530"/>
      <c r="K91" s="212"/>
      <c r="L91" s="212"/>
      <c r="M91" s="212"/>
      <c r="N91" s="212"/>
      <c r="O91" s="212"/>
      <c r="P91" s="212"/>
      <c r="Q91" s="212"/>
      <c r="R91" s="212"/>
      <c r="S91" s="212"/>
      <c r="T91" s="212"/>
      <c r="U91" s="212"/>
      <c r="V91" s="212"/>
      <c r="W91" s="212"/>
      <c r="X91" s="212"/>
      <c r="Y91" s="214"/>
      <c r="Z91" s="214"/>
      <c r="AA91" s="212"/>
      <c r="AB91" s="212"/>
      <c r="AC91" s="212"/>
      <c r="AD91" s="212"/>
      <c r="AE91" s="212"/>
      <c r="AF91" s="212"/>
      <c r="AG91" s="212"/>
      <c r="AH91" s="212"/>
      <c r="AI91" s="212"/>
      <c r="AJ91" s="212"/>
      <c r="AK91" s="212"/>
      <c r="AL91" s="212"/>
      <c r="AM91" s="212"/>
      <c r="AN91" s="212"/>
      <c r="AO91" s="212"/>
      <c r="AP91" s="296">
        <v>4842</v>
      </c>
      <c r="AQ91" s="237"/>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row>
    <row r="92" spans="1:70" ht="15.75">
      <c r="A92" s="531"/>
      <c r="B92" s="531"/>
      <c r="C92" s="531"/>
      <c r="D92" s="531"/>
      <c r="E92" s="212"/>
      <c r="F92" s="212"/>
      <c r="G92" s="212"/>
      <c r="H92" s="212"/>
      <c r="I92" s="212"/>
      <c r="J92" s="212"/>
      <c r="K92" s="212"/>
      <c r="L92" s="212"/>
      <c r="M92" s="212"/>
      <c r="N92" s="212"/>
      <c r="O92" s="212"/>
      <c r="P92" s="212"/>
      <c r="Q92" s="212"/>
      <c r="R92" s="212"/>
      <c r="S92" s="212"/>
      <c r="T92" s="212"/>
      <c r="U92" s="212"/>
      <c r="V92" s="212"/>
      <c r="W92" s="212"/>
      <c r="X92" s="212"/>
      <c r="Y92" s="214"/>
      <c r="Z92" s="214"/>
      <c r="AA92" s="212"/>
      <c r="AB92" s="212"/>
      <c r="AC92" s="212"/>
      <c r="AD92" s="212"/>
      <c r="AE92" s="212"/>
      <c r="AF92" s="212"/>
      <c r="AG92" s="212"/>
      <c r="AH92" s="212"/>
      <c r="AI92" s="212"/>
      <c r="AJ92" s="212"/>
      <c r="AK92" s="212"/>
      <c r="AL92" s="212"/>
      <c r="AM92" s="212"/>
      <c r="AN92" s="212"/>
      <c r="AO92" s="212"/>
      <c r="AP92" s="296">
        <v>4921</v>
      </c>
      <c r="AQ92" s="237"/>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row>
    <row r="93" spans="1:70" ht="15.75">
      <c r="A93" s="212"/>
      <c r="B93" s="212"/>
      <c r="C93" s="212"/>
      <c r="D93" s="212"/>
      <c r="E93" s="212"/>
      <c r="F93" s="212"/>
      <c r="G93" s="212"/>
      <c r="H93" s="212"/>
      <c r="I93" s="212"/>
      <c r="J93" s="212"/>
      <c r="K93" s="212" t="str">
        <f>CONCATENATE(egyutt," fő)")</f>
        <v>0 fő)</v>
      </c>
      <c r="L93" s="212"/>
      <c r="M93" s="212"/>
      <c r="N93" s="212"/>
      <c r="O93" s="212"/>
      <c r="P93" s="212"/>
      <c r="Q93" s="212"/>
      <c r="R93" s="212"/>
      <c r="S93" s="212"/>
      <c r="T93" s="212"/>
      <c r="U93" s="212"/>
      <c r="V93" s="212"/>
      <c r="W93" s="212"/>
      <c r="X93" s="212"/>
      <c r="Y93" s="214"/>
      <c r="Z93" s="214"/>
      <c r="AA93" s="212"/>
      <c r="AB93" s="212"/>
      <c r="AC93" s="212"/>
      <c r="AD93" s="212"/>
      <c r="AE93" s="212"/>
      <c r="AF93" s="212"/>
      <c r="AG93" s="212"/>
      <c r="AH93" s="212"/>
      <c r="AI93" s="212"/>
      <c r="AJ93" s="212"/>
      <c r="AK93" s="212"/>
      <c r="AL93" s="212"/>
      <c r="AM93" s="212"/>
      <c r="AN93" s="212"/>
      <c r="AO93" s="212"/>
      <c r="AP93" s="296">
        <v>4945</v>
      </c>
      <c r="AQ93" s="237"/>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row>
    <row r="94" spans="1:70" ht="15.75">
      <c r="A94" s="212"/>
      <c r="B94" s="212"/>
      <c r="C94" s="212"/>
      <c r="D94" s="212"/>
      <c r="E94" s="212"/>
      <c r="F94" s="212"/>
      <c r="G94" s="212"/>
      <c r="H94" s="212"/>
      <c r="I94" s="212"/>
      <c r="J94" s="212"/>
      <c r="K94" s="212"/>
      <c r="L94" s="212"/>
      <c r="M94" s="212"/>
      <c r="N94" s="212"/>
      <c r="O94" s="211"/>
      <c r="P94" s="212"/>
      <c r="Q94" s="212"/>
      <c r="R94" s="212"/>
      <c r="S94" s="212"/>
      <c r="T94" s="212"/>
      <c r="U94" s="212"/>
      <c r="V94" s="212"/>
      <c r="W94" s="212"/>
      <c r="X94" s="212"/>
      <c r="Y94" s="214"/>
      <c r="Z94" s="214"/>
      <c r="AA94" s="212"/>
      <c r="AB94" s="212"/>
      <c r="AC94" s="212"/>
      <c r="AD94" s="212"/>
      <c r="AE94" s="212"/>
      <c r="AF94" s="212"/>
      <c r="AG94" s="212"/>
      <c r="AH94" s="212"/>
      <c r="AI94" s="212"/>
      <c r="AJ94" s="212"/>
      <c r="AK94" s="212"/>
      <c r="AL94" s="212"/>
      <c r="AM94" s="212"/>
      <c r="AN94" s="212"/>
      <c r="AO94" s="212"/>
      <c r="AP94" s="296">
        <v>4967</v>
      </c>
      <c r="AQ94" s="237"/>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row>
    <row r="95" spans="1:70" ht="15.75">
      <c r="A95" s="212"/>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4"/>
      <c r="Z95" s="214"/>
      <c r="AA95" s="212"/>
      <c r="AB95" s="212"/>
      <c r="AC95" s="212"/>
      <c r="AD95" s="212"/>
      <c r="AE95" s="212"/>
      <c r="AF95" s="212"/>
      <c r="AG95" s="212"/>
      <c r="AH95" s="212"/>
      <c r="AI95" s="212"/>
      <c r="AJ95" s="212"/>
      <c r="AK95" s="212"/>
      <c r="AL95" s="212"/>
      <c r="AM95" s="212"/>
      <c r="AN95" s="212"/>
      <c r="AO95" s="212"/>
      <c r="AP95" s="296">
        <v>4969</v>
      </c>
      <c r="AQ95" s="237"/>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row>
    <row r="96" spans="1:70" ht="15.75">
      <c r="A96" s="212"/>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4"/>
      <c r="Z96" s="214"/>
      <c r="AA96" s="212"/>
      <c r="AB96" s="212"/>
      <c r="AC96" s="212"/>
      <c r="AD96" s="212"/>
      <c r="AE96" s="212"/>
      <c r="AF96" s="212"/>
      <c r="AG96" s="212"/>
      <c r="AH96" s="212"/>
      <c r="AI96" s="212"/>
      <c r="AJ96" s="212"/>
      <c r="AK96" s="212"/>
      <c r="AL96" s="212"/>
      <c r="AM96" s="212"/>
      <c r="AN96" s="212"/>
      <c r="AO96" s="212"/>
      <c r="AP96" s="296">
        <v>5142</v>
      </c>
      <c r="AQ96" s="237"/>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row>
    <row r="97" spans="1:70" ht="15.75">
      <c r="A97" s="212"/>
      <c r="B97" s="212"/>
      <c r="C97" s="212"/>
      <c r="D97" s="212"/>
      <c r="E97" s="212"/>
      <c r="F97" s="212"/>
      <c r="G97" s="212"/>
      <c r="H97" s="212"/>
      <c r="I97" s="212"/>
      <c r="J97" s="212"/>
      <c r="K97" s="212"/>
      <c r="L97" s="212"/>
      <c r="M97" s="212"/>
      <c r="N97" s="212"/>
      <c r="O97" s="212"/>
      <c r="P97" s="212"/>
      <c r="Q97" s="212"/>
      <c r="R97" s="212"/>
      <c r="S97" s="212"/>
      <c r="T97" s="212"/>
      <c r="U97" s="212"/>
      <c r="V97" s="212"/>
      <c r="W97" s="212"/>
      <c r="X97" s="212"/>
      <c r="Y97" s="214"/>
      <c r="Z97" s="214"/>
      <c r="AA97" s="212"/>
      <c r="AB97" s="212"/>
      <c r="AC97" s="212"/>
      <c r="AD97" s="212"/>
      <c r="AE97" s="212"/>
      <c r="AF97" s="212"/>
      <c r="AG97" s="212"/>
      <c r="AH97" s="212"/>
      <c r="AI97" s="212"/>
      <c r="AJ97" s="212"/>
      <c r="AK97" s="212"/>
      <c r="AL97" s="212"/>
      <c r="AM97" s="212"/>
      <c r="AN97" s="212"/>
      <c r="AO97" s="212"/>
      <c r="AP97" s="296">
        <v>5143</v>
      </c>
      <c r="AQ97" s="237"/>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row>
    <row r="98" spans="1:70" ht="15.75">
      <c r="A98" s="212"/>
      <c r="B98" s="212"/>
      <c r="C98" s="212"/>
      <c r="D98" s="212"/>
      <c r="E98" s="212"/>
      <c r="F98" s="212"/>
      <c r="G98" s="212"/>
      <c r="H98" s="212"/>
      <c r="I98" s="212"/>
      <c r="J98" s="212"/>
      <c r="K98" s="212"/>
      <c r="L98" s="212"/>
      <c r="M98" s="212"/>
      <c r="N98" s="212"/>
      <c r="O98" s="212"/>
      <c r="P98" s="212"/>
      <c r="Q98" s="212"/>
      <c r="R98" s="212"/>
      <c r="S98" s="212"/>
      <c r="T98" s="212"/>
      <c r="U98" s="212"/>
      <c r="V98" s="212"/>
      <c r="W98" s="212"/>
      <c r="X98" s="212"/>
      <c r="Y98" s="214"/>
      <c r="Z98" s="214"/>
      <c r="AA98" s="212"/>
      <c r="AB98" s="212"/>
      <c r="AC98" s="212"/>
      <c r="AD98" s="212"/>
      <c r="AE98" s="212"/>
      <c r="AF98" s="212"/>
      <c r="AG98" s="212"/>
      <c r="AH98" s="212"/>
      <c r="AI98" s="212"/>
      <c r="AJ98" s="212"/>
      <c r="AK98" s="212"/>
      <c r="AL98" s="212"/>
      <c r="AM98" s="212"/>
      <c r="AN98" s="212"/>
      <c r="AO98" s="212"/>
      <c r="AP98" s="296">
        <v>5232</v>
      </c>
      <c r="AQ98" s="237"/>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row>
    <row r="99" spans="1:70" ht="15.75">
      <c r="A99" s="212"/>
      <c r="B99" s="212"/>
      <c r="C99" s="212"/>
      <c r="D99" s="212"/>
      <c r="E99" s="212"/>
      <c r="F99" s="212"/>
      <c r="G99" s="212"/>
      <c r="H99" s="212"/>
      <c r="I99" s="212"/>
      <c r="J99" s="212"/>
      <c r="K99" s="212"/>
      <c r="L99" s="212"/>
      <c r="M99" s="212"/>
      <c r="N99" s="212"/>
      <c r="O99" s="212"/>
      <c r="P99" s="212"/>
      <c r="Q99" s="212"/>
      <c r="R99" s="212"/>
      <c r="S99" s="212"/>
      <c r="T99" s="212"/>
      <c r="U99" s="212"/>
      <c r="V99" s="212"/>
      <c r="W99" s="212"/>
      <c r="X99" s="212"/>
      <c r="Y99" s="214"/>
      <c r="Z99" s="214"/>
      <c r="AA99" s="212"/>
      <c r="AB99" s="212"/>
      <c r="AC99" s="212"/>
      <c r="AD99" s="212"/>
      <c r="AE99" s="212"/>
      <c r="AF99" s="212"/>
      <c r="AG99" s="212"/>
      <c r="AH99" s="212"/>
      <c r="AI99" s="212"/>
      <c r="AJ99" s="212"/>
      <c r="AK99" s="212"/>
      <c r="AL99" s="212"/>
      <c r="AM99" s="212"/>
      <c r="AN99" s="212"/>
      <c r="AO99" s="212"/>
      <c r="AP99" s="296">
        <v>5234</v>
      </c>
      <c r="AQ99" s="237"/>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row>
    <row r="100" spans="1:70" ht="15.75">
      <c r="A100" s="211" t="s">
        <v>82</v>
      </c>
      <c r="B100" s="212"/>
      <c r="C100" s="212"/>
      <c r="D100" s="212"/>
      <c r="E100" s="212"/>
      <c r="F100" s="212"/>
      <c r="G100" s="212"/>
      <c r="H100" s="212"/>
      <c r="I100" s="212"/>
      <c r="J100" s="212" t="b">
        <f>AND(A71=2,A101=1)</f>
        <v>0</v>
      </c>
      <c r="K100" s="212"/>
      <c r="L100" s="212"/>
      <c r="M100" s="212"/>
      <c r="N100" s="212"/>
      <c r="O100" s="211" t="s">
        <v>83</v>
      </c>
      <c r="P100" s="212"/>
      <c r="Q100" s="212"/>
      <c r="R100" s="212"/>
      <c r="S100" s="212"/>
      <c r="T100" s="212"/>
      <c r="U100" s="212"/>
      <c r="V100" s="212"/>
      <c r="W100" s="212"/>
      <c r="X100" s="212"/>
      <c r="Y100" s="214"/>
      <c r="Z100" s="214"/>
      <c r="AA100" s="212"/>
      <c r="AB100" s="212"/>
      <c r="AC100" s="212"/>
      <c r="AD100" s="212"/>
      <c r="AE100" s="212"/>
      <c r="AF100" s="212"/>
      <c r="AG100" s="212"/>
      <c r="AH100" s="212"/>
      <c r="AI100" s="212"/>
      <c r="AJ100" s="212"/>
      <c r="AK100" s="212"/>
      <c r="AL100" s="212"/>
      <c r="AM100" s="212"/>
      <c r="AN100" s="212"/>
      <c r="AO100" s="212"/>
      <c r="AP100" s="296">
        <v>6346</v>
      </c>
      <c r="AQ100" s="237"/>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row>
    <row r="101" spans="1:70" ht="15.75">
      <c r="A101" s="212">
        <v>2</v>
      </c>
      <c r="B101" s="212"/>
      <c r="C101" s="211">
        <f>IF(A101=1,"X","")</f>
      </c>
      <c r="D101" s="212" t="s">
        <v>90</v>
      </c>
      <c r="E101" s="212"/>
      <c r="F101" s="212"/>
      <c r="G101" s="212"/>
      <c r="H101" s="212"/>
      <c r="I101" s="212"/>
      <c r="J101" s="212"/>
      <c r="K101" s="212"/>
      <c r="L101" s="212"/>
      <c r="M101" s="212"/>
      <c r="N101" s="212"/>
      <c r="O101" s="212">
        <f>IF(A101=1,0.06,0)</f>
        <v>0</v>
      </c>
      <c r="P101" s="212"/>
      <c r="Q101" s="212"/>
      <c r="R101" s="212"/>
      <c r="S101" s="212"/>
      <c r="T101" s="212"/>
      <c r="U101" s="212"/>
      <c r="V101" s="212"/>
      <c r="W101" s="212"/>
      <c r="X101" s="212"/>
      <c r="Y101" s="214"/>
      <c r="Z101" s="214"/>
      <c r="AA101" s="212"/>
      <c r="AB101" s="212"/>
      <c r="AC101" s="212"/>
      <c r="AD101" s="212"/>
      <c r="AE101" s="212"/>
      <c r="AF101" s="212"/>
      <c r="AG101" s="212"/>
      <c r="AH101" s="212"/>
      <c r="AI101" s="212"/>
      <c r="AJ101" s="212"/>
      <c r="AK101" s="212"/>
      <c r="AL101" s="212"/>
      <c r="AM101" s="212"/>
      <c r="AN101" s="212"/>
      <c r="AO101" s="212"/>
      <c r="AP101" s="296">
        <v>7086</v>
      </c>
      <c r="AQ101" s="237"/>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row>
    <row r="102" spans="1:70" ht="15.75">
      <c r="A102" s="212"/>
      <c r="B102" s="212"/>
      <c r="C102" s="211" t="str">
        <f>IF(A101=2,"X","")</f>
        <v>X</v>
      </c>
      <c r="D102" s="212" t="s">
        <v>89</v>
      </c>
      <c r="E102" s="212"/>
      <c r="F102" s="212"/>
      <c r="G102" s="212"/>
      <c r="H102" s="212"/>
      <c r="I102" s="212"/>
      <c r="J102" s="212"/>
      <c r="K102" s="212"/>
      <c r="L102" s="212"/>
      <c r="M102" s="212"/>
      <c r="N102" s="212"/>
      <c r="O102" s="212"/>
      <c r="P102" s="212"/>
      <c r="Q102" s="212"/>
      <c r="R102" s="212"/>
      <c r="S102" s="212"/>
      <c r="T102" s="212"/>
      <c r="U102" s="212"/>
      <c r="V102" s="212"/>
      <c r="W102" s="212"/>
      <c r="X102" s="212"/>
      <c r="Y102" s="214"/>
      <c r="Z102" s="214"/>
      <c r="AA102" s="212"/>
      <c r="AB102" s="212"/>
      <c r="AC102" s="212"/>
      <c r="AD102" s="212"/>
      <c r="AE102" s="212"/>
      <c r="AF102" s="212"/>
      <c r="AG102" s="212"/>
      <c r="AH102" s="212"/>
      <c r="AI102" s="212"/>
      <c r="AJ102" s="212"/>
      <c r="AK102" s="212"/>
      <c r="AL102" s="212"/>
      <c r="AM102" s="212"/>
      <c r="AN102" s="212"/>
      <c r="AO102" s="212"/>
      <c r="AP102" s="296">
        <v>7712</v>
      </c>
      <c r="AQ102" s="237"/>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row>
    <row r="103" spans="1:70" ht="15.75">
      <c r="A103" s="211" t="s">
        <v>84</v>
      </c>
      <c r="B103" s="212"/>
      <c r="C103" s="212"/>
      <c r="D103" s="212"/>
      <c r="E103" s="212"/>
      <c r="F103" s="212"/>
      <c r="G103" s="212"/>
      <c r="H103" s="212"/>
      <c r="I103" s="212"/>
      <c r="J103" s="212"/>
      <c r="K103" s="212"/>
      <c r="L103" s="212"/>
      <c r="M103" s="212"/>
      <c r="N103" s="212" t="s">
        <v>291</v>
      </c>
      <c r="O103" s="212"/>
      <c r="P103" s="212"/>
      <c r="Q103" s="211" t="s">
        <v>87</v>
      </c>
      <c r="R103" s="212"/>
      <c r="S103" s="212" t="s">
        <v>256</v>
      </c>
      <c r="T103" s="212">
        <f>IF(A104&lt;3,0,0)</f>
        <v>0</v>
      </c>
      <c r="U103" s="212" t="s">
        <v>248</v>
      </c>
      <c r="V103" s="212" t="s">
        <v>249</v>
      </c>
      <c r="W103" s="212"/>
      <c r="X103" s="212"/>
      <c r="Y103" s="214"/>
      <c r="Z103" s="214">
        <v>1</v>
      </c>
      <c r="AA103" s="212" t="s">
        <v>89</v>
      </c>
      <c r="AB103" s="212"/>
      <c r="AC103" s="212"/>
      <c r="AD103" s="212"/>
      <c r="AE103" s="212"/>
      <c r="AF103" s="212"/>
      <c r="AG103" s="212"/>
      <c r="AH103" s="212"/>
      <c r="AI103" s="212"/>
      <c r="AJ103" s="212"/>
      <c r="AK103" s="212"/>
      <c r="AL103" s="212"/>
      <c r="AM103" s="212"/>
      <c r="AN103" s="212"/>
      <c r="AO103" s="212"/>
      <c r="AP103" s="296">
        <v>7824</v>
      </c>
      <c r="AQ103" s="237"/>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row>
    <row r="104" spans="1:70" ht="15.75">
      <c r="A104" s="212">
        <v>1</v>
      </c>
      <c r="B104" s="212"/>
      <c r="C104" s="211">
        <f>IF(A104&gt;1,"X","")</f>
      </c>
      <c r="D104" s="212" t="s">
        <v>90</v>
      </c>
      <c r="E104" s="212"/>
      <c r="F104" s="212"/>
      <c r="G104" s="212"/>
      <c r="H104" s="212"/>
      <c r="I104" s="212"/>
      <c r="J104" s="212">
        <v>1</v>
      </c>
      <c r="K104" s="212" t="s">
        <v>85</v>
      </c>
      <c r="L104" s="212"/>
      <c r="M104" s="212"/>
      <c r="N104" s="212" t="b">
        <f>AND(A104&gt;1,(Díjkalkuláció!I133+Díjkalkuláció!I134)&gt;4000)</f>
        <v>0</v>
      </c>
      <c r="O104" s="212"/>
      <c r="P104" s="212"/>
      <c r="Q104" s="212">
        <f>IF(A104&gt;1,1.37,0)</f>
        <v>0</v>
      </c>
      <c r="R104" s="212"/>
      <c r="S104" s="212"/>
      <c r="T104" s="212">
        <f>IF(A104=3,1.37,0)</f>
        <v>0</v>
      </c>
      <c r="U104" s="212">
        <f>SUM(T103:T104)</f>
        <v>0</v>
      </c>
      <c r="V104" s="212">
        <f>IF(A104=4,50,0)</f>
        <v>0</v>
      </c>
      <c r="W104" s="212">
        <f>SUM(U104:V104)</f>
        <v>0</v>
      </c>
      <c r="X104" s="212"/>
      <c r="Y104" s="214"/>
      <c r="Z104" s="214">
        <v>2</v>
      </c>
      <c r="AA104" s="212" t="s">
        <v>202</v>
      </c>
      <c r="AB104" s="212"/>
      <c r="AC104" s="212"/>
      <c r="AD104" s="212"/>
      <c r="AE104" s="212"/>
      <c r="AF104" s="212"/>
      <c r="AG104" s="212"/>
      <c r="AH104" s="212"/>
      <c r="AI104" s="212"/>
      <c r="AJ104" s="212"/>
      <c r="AK104" s="212"/>
      <c r="AL104" s="212"/>
      <c r="AM104" s="212"/>
      <c r="AN104" s="212"/>
      <c r="AO104" s="212"/>
      <c r="AP104" s="296">
        <v>7826</v>
      </c>
      <c r="AQ104" s="237"/>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row>
    <row r="105" spans="1:70" ht="15.75">
      <c r="A105" s="212">
        <f>IF(A104=4,2,A104)</f>
        <v>1</v>
      </c>
      <c r="B105" s="212"/>
      <c r="C105" s="211" t="str">
        <f>IF(A104=1,"X","")</f>
        <v>X</v>
      </c>
      <c r="D105" s="212" t="s">
        <v>89</v>
      </c>
      <c r="E105" s="212"/>
      <c r="F105" s="212"/>
      <c r="G105" s="212"/>
      <c r="H105" s="212"/>
      <c r="I105" s="212"/>
      <c r="J105" s="212">
        <v>2</v>
      </c>
      <c r="K105" s="212" t="s">
        <v>86</v>
      </c>
      <c r="L105" s="212"/>
      <c r="M105" s="212"/>
      <c r="N105" s="212" t="b">
        <f>AND(A104&gt;1,Díjkalkuláció!I135&gt;1000)</f>
        <v>0</v>
      </c>
      <c r="O105" s="212"/>
      <c r="P105" s="212"/>
      <c r="Q105" s="212">
        <f>IF(A104&gt;1,1.37,0)</f>
        <v>0</v>
      </c>
      <c r="R105" s="212"/>
      <c r="S105" s="212"/>
      <c r="T105" s="212">
        <f>IF(A104=3,1.37,0)</f>
        <v>0</v>
      </c>
      <c r="U105" s="212">
        <f>SUM(T105,T103)</f>
        <v>0</v>
      </c>
      <c r="V105" s="212"/>
      <c r="W105" s="212">
        <f>SUM(U105:V105)</f>
        <v>0</v>
      </c>
      <c r="X105" s="212"/>
      <c r="Y105" s="214"/>
      <c r="Z105" s="214">
        <v>3</v>
      </c>
      <c r="AA105" s="212" t="s">
        <v>200</v>
      </c>
      <c r="AB105" s="212"/>
      <c r="AC105" s="212"/>
      <c r="AD105" s="212"/>
      <c r="AE105" s="212"/>
      <c r="AF105" s="212"/>
      <c r="AG105" s="212"/>
      <c r="AH105" s="212"/>
      <c r="AI105" s="212"/>
      <c r="AJ105" s="212"/>
      <c r="AK105" s="212"/>
      <c r="AL105" s="212"/>
      <c r="AM105" s="212"/>
      <c r="AN105" s="212"/>
      <c r="AO105" s="212"/>
      <c r="AP105" s="296">
        <v>7954</v>
      </c>
      <c r="AQ105" s="237"/>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row>
    <row r="106" spans="1:70" ht="15.75">
      <c r="A106" s="212"/>
      <c r="B106" s="212"/>
      <c r="C106" s="211">
        <f>IF(A104&gt;2,"X","")</f>
      </c>
      <c r="D106" s="212" t="s">
        <v>221</v>
      </c>
      <c r="E106" s="212"/>
      <c r="F106" s="212"/>
      <c r="G106" s="212"/>
      <c r="H106" s="212"/>
      <c r="I106" s="212"/>
      <c r="J106" s="212">
        <v>3</v>
      </c>
      <c r="K106" s="212" t="s">
        <v>23</v>
      </c>
      <c r="L106" s="212"/>
      <c r="M106" s="212"/>
      <c r="N106" s="212"/>
      <c r="O106" s="212"/>
      <c r="P106" s="212"/>
      <c r="Q106" s="212">
        <f>IF(A104&gt;1,2.63,0)</f>
        <v>0</v>
      </c>
      <c r="R106" s="212"/>
      <c r="S106" s="212"/>
      <c r="T106" s="212">
        <f>IF(A104=3,2.63,0)</f>
        <v>0</v>
      </c>
      <c r="U106" s="212">
        <f>SUM(T106,T103)</f>
        <v>0</v>
      </c>
      <c r="V106" s="212"/>
      <c r="W106" s="212"/>
      <c r="X106" s="212"/>
      <c r="Y106" s="214"/>
      <c r="Z106" s="214">
        <v>4</v>
      </c>
      <c r="AA106" s="212" t="s">
        <v>201</v>
      </c>
      <c r="AB106" s="212"/>
      <c r="AC106" s="212"/>
      <c r="AD106" s="212"/>
      <c r="AE106" s="212"/>
      <c r="AF106" s="212"/>
      <c r="AG106" s="212"/>
      <c r="AH106" s="212"/>
      <c r="AI106" s="212"/>
      <c r="AJ106" s="212"/>
      <c r="AK106" s="212"/>
      <c r="AL106" s="212"/>
      <c r="AM106" s="212"/>
      <c r="AN106" s="212"/>
      <c r="AO106" s="212"/>
      <c r="AP106" s="296">
        <v>8125</v>
      </c>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row>
    <row r="107" spans="1:70" ht="15.75">
      <c r="A107" s="212"/>
      <c r="B107" s="212"/>
      <c r="C107" s="211">
        <f>IF(A104=2,"X","")</f>
      </c>
      <c r="D107" s="212" t="s">
        <v>222</v>
      </c>
      <c r="E107" s="212"/>
      <c r="F107" s="212"/>
      <c r="G107" s="212"/>
      <c r="H107" s="212"/>
      <c r="I107" s="212"/>
      <c r="J107" s="212"/>
      <c r="K107" s="212"/>
      <c r="L107" s="212"/>
      <c r="M107" s="212"/>
      <c r="N107" s="212"/>
      <c r="O107" s="212"/>
      <c r="P107" s="212"/>
      <c r="Q107" s="212"/>
      <c r="R107" s="212"/>
      <c r="S107" s="212"/>
      <c r="T107" s="212"/>
      <c r="U107" s="212"/>
      <c r="V107" s="212"/>
      <c r="W107" s="212"/>
      <c r="X107" s="212"/>
      <c r="Y107" s="214"/>
      <c r="Z107" s="214"/>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row>
    <row r="108" spans="1:70" ht="15.75">
      <c r="A108" s="212"/>
      <c r="B108" s="212"/>
      <c r="C108" s="212"/>
      <c r="D108" s="212"/>
      <c r="E108" s="212"/>
      <c r="F108" s="212"/>
      <c r="G108" s="212"/>
      <c r="H108" s="212"/>
      <c r="I108" s="212"/>
      <c r="J108" s="212"/>
      <c r="K108" s="212"/>
      <c r="L108" s="212"/>
      <c r="M108" s="212"/>
      <c r="N108" s="212"/>
      <c r="O108" s="212"/>
      <c r="P108" s="212"/>
      <c r="Q108" s="212"/>
      <c r="R108" s="212"/>
      <c r="S108" s="212"/>
      <c r="T108" s="212"/>
      <c r="U108" s="212"/>
      <c r="V108" s="212"/>
      <c r="W108" s="212"/>
      <c r="X108" s="212"/>
      <c r="Y108" s="214"/>
      <c r="Z108" s="214" t="str">
        <f>VLOOKUP($A$104,$Z$103:$AA$106,2,FALSE)</f>
        <v>Nem kérem</v>
      </c>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row>
    <row r="109" spans="1:70" ht="15.75">
      <c r="A109" s="212">
        <v>1</v>
      </c>
      <c r="B109" s="212"/>
      <c r="C109" s="212" t="s">
        <v>77</v>
      </c>
      <c r="D109" s="212"/>
      <c r="E109" s="212"/>
      <c r="F109" s="212"/>
      <c r="G109" s="212"/>
      <c r="H109" s="212"/>
      <c r="I109" s="212"/>
      <c r="J109" s="212"/>
      <c r="K109" s="212" t="b">
        <f>OR(A104=3,A104=4)</f>
        <v>0</v>
      </c>
      <c r="L109" s="212"/>
      <c r="M109" s="212"/>
      <c r="N109" s="212"/>
      <c r="O109" s="212"/>
      <c r="P109" s="212"/>
      <c r="Q109" s="211" t="s">
        <v>292</v>
      </c>
      <c r="R109" s="212"/>
      <c r="S109" s="212" t="s">
        <v>248</v>
      </c>
      <c r="T109" s="212" t="s">
        <v>249</v>
      </c>
      <c r="U109" s="212"/>
      <c r="V109" s="212"/>
      <c r="W109" s="212"/>
      <c r="X109" s="212"/>
      <c r="Y109" s="214"/>
      <c r="Z109" s="214"/>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row>
    <row r="110" spans="1:70" ht="15.75">
      <c r="A110" s="212"/>
      <c r="B110" s="212"/>
      <c r="C110" s="212"/>
      <c r="D110" s="212"/>
      <c r="E110" s="212"/>
      <c r="F110" s="212"/>
      <c r="G110" s="212"/>
      <c r="H110" s="212"/>
      <c r="I110" s="212"/>
      <c r="J110" s="212"/>
      <c r="K110" s="212"/>
      <c r="L110" s="212"/>
      <c r="M110" s="212"/>
      <c r="N110" s="212"/>
      <c r="O110" s="212"/>
      <c r="P110" s="212"/>
      <c r="Q110" s="212"/>
      <c r="R110" s="212"/>
      <c r="S110" s="212" t="b">
        <f>AND(A104=3,A109=1,(Díjkalkuláció!I133+Díjkalkuláció!I134+Díjkalkuláció!I135)&gt;4800)</f>
        <v>0</v>
      </c>
      <c r="T110" s="212" t="b">
        <f>AND(A109=1,A104=4)</f>
        <v>0</v>
      </c>
      <c r="U110" s="212">
        <f>IF(T110=TRUE,0,0)</f>
        <v>0</v>
      </c>
      <c r="V110" s="212"/>
      <c r="W110" s="212"/>
      <c r="X110" s="212"/>
      <c r="Y110" s="214"/>
      <c r="Z110" s="214"/>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row>
    <row r="111" spans="1:70" ht="15.75">
      <c r="A111" s="212"/>
      <c r="B111" s="212"/>
      <c r="C111" s="232" t="str">
        <f>VLOOKUP(A109,L72:M77,2,FALSE)</f>
        <v>"B" Minimális mechanikai védelem</v>
      </c>
      <c r="D111" s="212"/>
      <c r="E111" s="212"/>
      <c r="F111" s="212"/>
      <c r="G111" s="212"/>
      <c r="H111" s="212"/>
      <c r="I111" s="212"/>
      <c r="J111" s="212"/>
      <c r="K111" s="212"/>
      <c r="L111" s="212"/>
      <c r="M111" s="212"/>
      <c r="N111" s="212"/>
      <c r="O111" s="212"/>
      <c r="P111" s="212"/>
      <c r="Q111" s="212"/>
      <c r="R111" s="212"/>
      <c r="S111" s="212"/>
      <c r="T111" s="212" t="b">
        <f>AND(A109=2,A104=4)</f>
        <v>0</v>
      </c>
      <c r="U111" s="212">
        <f>IF(T111=TRUE,300,0)</f>
        <v>0</v>
      </c>
      <c r="V111" s="212"/>
      <c r="W111" s="212"/>
      <c r="X111" s="212"/>
      <c r="Y111" s="214"/>
      <c r="Z111" s="214"/>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row>
    <row r="112" spans="1:70" ht="15.75">
      <c r="A112" s="212"/>
      <c r="B112" s="212"/>
      <c r="C112" s="212"/>
      <c r="D112" s="212"/>
      <c r="E112" s="212"/>
      <c r="F112" s="212"/>
      <c r="G112" s="212"/>
      <c r="H112" s="212"/>
      <c r="I112" s="212"/>
      <c r="J112" s="212"/>
      <c r="K112" s="212"/>
      <c r="L112" s="212"/>
      <c r="M112" s="212"/>
      <c r="N112" s="212"/>
      <c r="O112" s="212"/>
      <c r="P112" s="212"/>
      <c r="Q112" s="212"/>
      <c r="R112" s="212"/>
      <c r="S112" s="212"/>
      <c r="T112" s="212" t="b">
        <f>AND(A109=3,A104=4)</f>
        <v>0</v>
      </c>
      <c r="U112" s="212">
        <f>IF(T112=TRUE,500,0)</f>
        <v>0</v>
      </c>
      <c r="V112" s="212"/>
      <c r="W112" s="212"/>
      <c r="X112" s="212"/>
      <c r="Y112" s="214"/>
      <c r="Z112" s="214"/>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row>
    <row r="113" spans="1:70" ht="15.75">
      <c r="A113" s="212"/>
      <c r="B113" s="212"/>
      <c r="C113" s="212"/>
      <c r="D113" s="212"/>
      <c r="E113" s="212"/>
      <c r="F113" s="212"/>
      <c r="G113" s="212"/>
      <c r="H113" s="212"/>
      <c r="I113" s="212"/>
      <c r="J113" s="212"/>
      <c r="K113" s="212"/>
      <c r="L113" s="212"/>
      <c r="M113" s="212"/>
      <c r="N113" s="212"/>
      <c r="O113" s="212"/>
      <c r="P113" s="212"/>
      <c r="Q113" s="212"/>
      <c r="R113" s="212"/>
      <c r="S113" s="212"/>
      <c r="T113" s="212" t="b">
        <f>AND(A109=4,A104=4)</f>
        <v>0</v>
      </c>
      <c r="U113" s="212">
        <f>IF(T113=TRUE,1000,0)</f>
        <v>0</v>
      </c>
      <c r="V113" s="212"/>
      <c r="W113" s="212"/>
      <c r="X113" s="212"/>
      <c r="Y113" s="214"/>
      <c r="Z113" s="214" t="str">
        <f>CONCATENATE(Adatfelvétel!G21," ",Adatfelvétel!G22," ",Adatfelvétel!G23)</f>
        <v>  </v>
      </c>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row>
    <row r="114" spans="1:70" ht="15.75">
      <c r="A114" s="212"/>
      <c r="B114" s="212"/>
      <c r="C114" s="212"/>
      <c r="D114" s="212"/>
      <c r="E114" s="212"/>
      <c r="F114" s="212"/>
      <c r="G114" s="212"/>
      <c r="H114" s="212"/>
      <c r="I114" s="212"/>
      <c r="J114" s="212"/>
      <c r="K114" s="212"/>
      <c r="L114" s="212"/>
      <c r="M114" s="212"/>
      <c r="N114" s="212"/>
      <c r="O114" s="212"/>
      <c r="P114" s="212"/>
      <c r="Q114" s="212"/>
      <c r="R114" s="212"/>
      <c r="S114" s="212"/>
      <c r="T114" s="212" t="b">
        <f>AND(A109=5,A104=4)</f>
        <v>0</v>
      </c>
      <c r="U114" s="212">
        <f>IF(T114=TRUE,1000,0)</f>
        <v>0</v>
      </c>
      <c r="V114" s="212"/>
      <c r="W114" s="212"/>
      <c r="X114" s="212"/>
      <c r="Y114" s="214"/>
      <c r="Z114" s="214" t="str">
        <f>CONCATENATE(Adatfelvétel!G24," ",Adatfelvétel!G25," ",Adatfelvétel!G26)</f>
        <v>  </v>
      </c>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row>
    <row r="115" spans="1:70" ht="15.75">
      <c r="A115" s="212"/>
      <c r="B115" s="212"/>
      <c r="C115" s="212"/>
      <c r="D115" s="212"/>
      <c r="E115" s="212"/>
      <c r="F115" s="212"/>
      <c r="G115" s="212"/>
      <c r="H115" s="212"/>
      <c r="I115" s="212"/>
      <c r="J115" s="212"/>
      <c r="K115" s="212"/>
      <c r="L115" s="212"/>
      <c r="M115" s="212"/>
      <c r="N115" s="212"/>
      <c r="O115" s="212"/>
      <c r="P115" s="212"/>
      <c r="Q115" s="212"/>
      <c r="R115" s="212"/>
      <c r="S115" s="212"/>
      <c r="T115" s="212" t="b">
        <f>AND(A109=6,A104=4)</f>
        <v>0</v>
      </c>
      <c r="U115" s="212">
        <f>IF(T115=TRUE,1000,0)</f>
        <v>0</v>
      </c>
      <c r="V115" s="212"/>
      <c r="W115" s="212"/>
      <c r="X115" s="212"/>
      <c r="Y115" s="214"/>
      <c r="Z115" s="214" t="str">
        <f>CONCATENATE(Adatfelvétel!G35," ",Adatfelvétel!G36," ",Adatfelvétel!G37)</f>
        <v>  </v>
      </c>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row>
    <row r="116" spans="1:70" ht="15.75">
      <c r="A116" s="212"/>
      <c r="B116" s="212"/>
      <c r="C116" s="212"/>
      <c r="D116" s="212"/>
      <c r="E116" s="212"/>
      <c r="F116" s="212"/>
      <c r="G116" s="212"/>
      <c r="H116" s="212"/>
      <c r="I116" s="212"/>
      <c r="J116" s="212"/>
      <c r="K116" s="212"/>
      <c r="L116" s="212"/>
      <c r="M116" s="212"/>
      <c r="N116" s="212"/>
      <c r="O116" s="212"/>
      <c r="P116" s="212"/>
      <c r="Q116" s="212"/>
      <c r="R116" s="212"/>
      <c r="S116" s="212"/>
      <c r="T116" s="212" t="s">
        <v>250</v>
      </c>
      <c r="U116" s="212">
        <f>SUM(U110:U115)</f>
        <v>0</v>
      </c>
      <c r="V116" s="212"/>
      <c r="W116" s="212"/>
      <c r="X116" s="212"/>
      <c r="Y116" s="214"/>
      <c r="Z116" s="214" t="str">
        <f>CONCATENATE(Adatfelvétel!G46," ",Adatfelvétel!G47," ",Adatfelvétel!G48," ",Adatfelvétel!G49)</f>
        <v>   </v>
      </c>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row>
    <row r="117" spans="1:70" ht="15.75">
      <c r="A117" s="212"/>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4"/>
      <c r="Z117" s="214"/>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row>
    <row r="118" spans="1:70" ht="15.75">
      <c r="A118" s="212"/>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4"/>
      <c r="Z118" s="214"/>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row>
    <row r="119" spans="1:70" ht="15.75">
      <c r="A119" s="211" t="s">
        <v>88</v>
      </c>
      <c r="B119" s="212"/>
      <c r="C119" s="212"/>
      <c r="D119" s="212"/>
      <c r="E119" s="212"/>
      <c r="F119" s="212"/>
      <c r="G119" s="212"/>
      <c r="H119" s="212"/>
      <c r="I119" s="212"/>
      <c r="J119" s="212"/>
      <c r="K119" s="212"/>
      <c r="L119" s="212"/>
      <c r="M119" s="212"/>
      <c r="N119" s="212"/>
      <c r="O119" s="212"/>
      <c r="P119" s="211" t="s">
        <v>73</v>
      </c>
      <c r="Q119" s="212"/>
      <c r="R119" s="212" t="s">
        <v>257</v>
      </c>
      <c r="S119" s="212"/>
      <c r="T119" s="212"/>
      <c r="U119" s="212"/>
      <c r="V119" s="212"/>
      <c r="W119" s="212"/>
      <c r="X119" s="212"/>
      <c r="Y119" s="214"/>
      <c r="Z119" s="214"/>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row>
    <row r="120" spans="1:70" ht="15.75">
      <c r="A120" s="212">
        <v>2</v>
      </c>
      <c r="B120" s="212"/>
      <c r="C120" s="211">
        <f>IF(A120=1,"X","")</f>
      </c>
      <c r="D120" s="212" t="s">
        <v>90</v>
      </c>
      <c r="E120" s="212"/>
      <c r="F120" s="212"/>
      <c r="G120" s="212"/>
      <c r="H120" s="212"/>
      <c r="I120" s="212"/>
      <c r="J120" s="212" t="b">
        <f>AND(A71=1,A120=1)</f>
        <v>0</v>
      </c>
      <c r="K120" s="212"/>
      <c r="L120" s="212"/>
      <c r="M120" s="212"/>
      <c r="N120" s="212" t="b">
        <f>AND(A71=1,A120=1)</f>
        <v>0</v>
      </c>
      <c r="O120" s="212">
        <f>IF(N120=TRUE,4.4,1.9)</f>
        <v>1.9</v>
      </c>
      <c r="P120" s="212">
        <f>IF(A120=2,0,O120)</f>
        <v>0</v>
      </c>
      <c r="Q120" s="212">
        <f>IF(A73=1,500,IF(A73&gt;1,1000))</f>
        <v>500</v>
      </c>
      <c r="R120" s="212">
        <f>IF(A120=2,0,Q120)</f>
        <v>0</v>
      </c>
      <c r="S120" s="212"/>
      <c r="T120" s="212"/>
      <c r="U120" s="212"/>
      <c r="V120" s="212"/>
      <c r="W120" s="212"/>
      <c r="X120" s="212"/>
      <c r="Y120" s="214"/>
      <c r="Z120" s="214"/>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row>
    <row r="121" spans="1:70" ht="15.75">
      <c r="A121" s="212"/>
      <c r="B121" s="212"/>
      <c r="C121" s="211" t="str">
        <f>IF(A120=2,"X","")</f>
        <v>X</v>
      </c>
      <c r="D121" s="212" t="s">
        <v>89</v>
      </c>
      <c r="E121" s="212"/>
      <c r="F121" s="212"/>
      <c r="G121" s="212"/>
      <c r="H121" s="212"/>
      <c r="I121" s="212"/>
      <c r="J121" s="212"/>
      <c r="K121" s="212"/>
      <c r="L121" s="212"/>
      <c r="M121" s="212"/>
      <c r="N121" s="212"/>
      <c r="O121" s="212"/>
      <c r="P121" s="212"/>
      <c r="Q121" s="212"/>
      <c r="R121" s="212"/>
      <c r="S121" s="212"/>
      <c r="T121" s="212"/>
      <c r="U121" s="212"/>
      <c r="V121" s="212"/>
      <c r="W121" s="212"/>
      <c r="X121" s="212"/>
      <c r="Y121" s="214"/>
      <c r="Z121" s="214"/>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row>
    <row r="122" spans="1:70" ht="15.75">
      <c r="A122" s="212">
        <v>2</v>
      </c>
      <c r="B122" s="212"/>
      <c r="C122" s="212" t="s">
        <v>77</v>
      </c>
      <c r="D122" s="212"/>
      <c r="E122" s="212"/>
      <c r="F122" s="212"/>
      <c r="G122" s="212"/>
      <c r="H122" s="212"/>
      <c r="I122" s="212"/>
      <c r="J122" s="212" t="b">
        <f>IF(A120=1,(Díjkalkuláció!I142+Díjkalkuláció!I143)&gt;2000)</f>
        <v>0</v>
      </c>
      <c r="K122" s="212"/>
      <c r="L122" s="212"/>
      <c r="M122" s="212"/>
      <c r="N122" s="212"/>
      <c r="O122" s="212"/>
      <c r="P122" s="212"/>
      <c r="Q122" s="212"/>
      <c r="R122" s="212"/>
      <c r="S122" s="212"/>
      <c r="T122" s="212"/>
      <c r="U122" s="212"/>
      <c r="V122" s="212"/>
      <c r="W122" s="212"/>
      <c r="X122" s="220">
        <f>SUM(Díjkalkuláció!AB49:AG70)</f>
        <v>0</v>
      </c>
      <c r="Y122" s="214"/>
      <c r="Z122" s="214"/>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row>
    <row r="123" spans="1:70" ht="15.75">
      <c r="A123" s="212"/>
      <c r="B123" s="212"/>
      <c r="C123" s="212"/>
      <c r="D123" s="212"/>
      <c r="E123" s="212"/>
      <c r="F123" s="212"/>
      <c r="G123" s="212"/>
      <c r="H123" s="212"/>
      <c r="I123" s="212"/>
      <c r="J123" s="212"/>
      <c r="K123" s="212"/>
      <c r="L123" s="212"/>
      <c r="M123" s="212"/>
      <c r="N123" s="212"/>
      <c r="O123" s="212"/>
      <c r="P123" s="212"/>
      <c r="Q123" s="212"/>
      <c r="R123" s="212"/>
      <c r="S123" s="212"/>
      <c r="T123" s="212"/>
      <c r="U123" s="212"/>
      <c r="V123" s="212"/>
      <c r="W123" s="212"/>
      <c r="X123" s="212"/>
      <c r="Y123" s="214"/>
      <c r="Z123" s="214"/>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row>
    <row r="124" spans="1:70" ht="15.75">
      <c r="A124" s="212"/>
      <c r="B124" s="529">
        <f>IF(A120=2,"",Díjkalkuláció!J140)</f>
      </c>
      <c r="C124" s="529"/>
      <c r="D124" s="529"/>
      <c r="E124" s="529"/>
      <c r="F124" s="529"/>
      <c r="G124" s="529"/>
      <c r="H124" s="529"/>
      <c r="I124" s="529"/>
      <c r="J124" s="212"/>
      <c r="K124" s="212"/>
      <c r="L124" s="212"/>
      <c r="M124" s="212"/>
      <c r="N124" s="212"/>
      <c r="O124" s="212"/>
      <c r="P124" s="212"/>
      <c r="Q124" s="212"/>
      <c r="R124" s="212"/>
      <c r="S124" s="212"/>
      <c r="T124" s="212"/>
      <c r="U124" s="212"/>
      <c r="V124" s="212"/>
      <c r="W124" s="212"/>
      <c r="X124" s="212"/>
      <c r="Y124" s="214"/>
      <c r="Z124" s="214"/>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row>
    <row r="125" spans="1:70" ht="15.75">
      <c r="A125" s="211" t="s">
        <v>24</v>
      </c>
      <c r="B125" s="212"/>
      <c r="C125" s="212"/>
      <c r="D125" s="212"/>
      <c r="E125" s="212"/>
      <c r="F125" s="212"/>
      <c r="G125" s="212"/>
      <c r="H125" s="212"/>
      <c r="I125" s="212"/>
      <c r="J125" s="212"/>
      <c r="K125" s="212"/>
      <c r="L125" s="212"/>
      <c r="M125" s="212"/>
      <c r="N125" s="212"/>
      <c r="O125" s="212"/>
      <c r="P125" s="211" t="s">
        <v>91</v>
      </c>
      <c r="Q125" s="212"/>
      <c r="R125" s="212"/>
      <c r="S125" s="212"/>
      <c r="T125" s="212"/>
      <c r="U125" s="212"/>
      <c r="V125" s="212"/>
      <c r="W125" s="212"/>
      <c r="X125" s="212"/>
      <c r="Y125" s="214"/>
      <c r="Z125" s="214"/>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row>
    <row r="126" spans="1:70" ht="15.75">
      <c r="A126" s="212">
        <v>2</v>
      </c>
      <c r="B126" s="212"/>
      <c r="C126" s="211">
        <f>IF(A126=1,"X","")</f>
      </c>
      <c r="D126" s="212" t="s">
        <v>90</v>
      </c>
      <c r="E126" s="212"/>
      <c r="F126" s="212"/>
      <c r="G126" s="212"/>
      <c r="H126" s="212"/>
      <c r="I126" s="212"/>
      <c r="J126" s="212">
        <v>1</v>
      </c>
      <c r="K126" s="212" t="s">
        <v>90</v>
      </c>
      <c r="L126" s="212"/>
      <c r="M126" s="212"/>
      <c r="N126" s="212"/>
      <c r="O126" s="212"/>
      <c r="P126" s="212">
        <f>IF(A126=1,650,0)</f>
        <v>0</v>
      </c>
      <c r="Q126" s="212"/>
      <c r="R126" s="212"/>
      <c r="S126" s="212"/>
      <c r="T126" s="212"/>
      <c r="U126" s="212"/>
      <c r="V126" s="212"/>
      <c r="W126" s="212"/>
      <c r="X126" s="212"/>
      <c r="Y126" s="214"/>
      <c r="Z126" s="214"/>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row>
    <row r="127" spans="1:70" ht="15.75">
      <c r="A127" s="212"/>
      <c r="B127" s="212"/>
      <c r="C127" s="211" t="str">
        <f>IF(A126=2,"X","")</f>
        <v>X</v>
      </c>
      <c r="D127" s="212" t="s">
        <v>89</v>
      </c>
      <c r="E127" s="212"/>
      <c r="F127" s="212"/>
      <c r="G127" s="212"/>
      <c r="H127" s="212"/>
      <c r="I127" s="212"/>
      <c r="J127" s="212">
        <v>2</v>
      </c>
      <c r="K127" s="212" t="s">
        <v>89</v>
      </c>
      <c r="L127" s="212"/>
      <c r="M127" s="212"/>
      <c r="N127" s="212"/>
      <c r="O127" s="212"/>
      <c r="P127" s="212"/>
      <c r="Q127" s="212"/>
      <c r="R127" s="212"/>
      <c r="S127" s="212"/>
      <c r="T127" s="212"/>
      <c r="U127" s="212"/>
      <c r="V127" s="212"/>
      <c r="W127" s="212"/>
      <c r="X127" s="212"/>
      <c r="Y127" s="214"/>
      <c r="Z127" s="214"/>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row>
    <row r="128" spans="1:70" ht="15.75">
      <c r="A128" s="212"/>
      <c r="B128" s="212"/>
      <c r="C128" s="212"/>
      <c r="D128" s="212"/>
      <c r="E128" s="212"/>
      <c r="F128" s="212"/>
      <c r="G128" s="212"/>
      <c r="H128" s="212"/>
      <c r="I128" s="212"/>
      <c r="J128" s="212"/>
      <c r="K128" s="212"/>
      <c r="L128" s="212"/>
      <c r="M128" s="212"/>
      <c r="N128" s="212"/>
      <c r="O128" s="212"/>
      <c r="P128" s="212"/>
      <c r="Q128" s="212"/>
      <c r="R128" s="212"/>
      <c r="S128" s="212"/>
      <c r="T128" s="212"/>
      <c r="U128" s="212"/>
      <c r="V128" s="233"/>
      <c r="W128" s="212" t="str">
        <f>CONCATENATE(Díjkalkuláció!AD133," ",Díjkalkuláció!AD134,", ",Díjkalkuláció!AD135,)</f>
        <v> , </v>
      </c>
      <c r="X128" s="212"/>
      <c r="Y128" s="214"/>
      <c r="Z128" s="214"/>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row>
    <row r="129" spans="1:70" ht="15.75">
      <c r="A129" s="211" t="s">
        <v>92</v>
      </c>
      <c r="B129" s="212"/>
      <c r="C129" s="212"/>
      <c r="D129" s="212"/>
      <c r="E129" s="212"/>
      <c r="F129" s="212"/>
      <c r="G129" s="212"/>
      <c r="H129" s="212"/>
      <c r="I129" s="212"/>
      <c r="J129" s="212"/>
      <c r="K129" s="212"/>
      <c r="L129" s="212"/>
      <c r="M129" s="212"/>
      <c r="N129" s="212"/>
      <c r="O129" s="212"/>
      <c r="P129" s="211" t="s">
        <v>91</v>
      </c>
      <c r="Q129" s="212"/>
      <c r="R129" s="212"/>
      <c r="S129" s="212"/>
      <c r="T129" s="212"/>
      <c r="U129" s="212"/>
      <c r="V129" s="233"/>
      <c r="W129" s="212"/>
      <c r="X129" s="212"/>
      <c r="Y129" s="214"/>
      <c r="Z129" s="214"/>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row>
    <row r="130" spans="1:70" ht="15.75">
      <c r="A130" s="212">
        <v>2</v>
      </c>
      <c r="B130" s="212"/>
      <c r="C130" s="211">
        <f>IF(A130=1,"X","")</f>
      </c>
      <c r="D130" s="212" t="s">
        <v>90</v>
      </c>
      <c r="E130" s="212"/>
      <c r="F130" s="212"/>
      <c r="G130" s="212"/>
      <c r="H130" s="212"/>
      <c r="I130" s="212"/>
      <c r="J130" s="212">
        <v>1</v>
      </c>
      <c r="K130" s="212" t="s">
        <v>90</v>
      </c>
      <c r="L130" s="212"/>
      <c r="M130" s="212"/>
      <c r="N130" s="212"/>
      <c r="O130" s="212"/>
      <c r="P130" s="212">
        <f>IF(A130=1,10000,0)</f>
        <v>0</v>
      </c>
      <c r="Q130" s="212"/>
      <c r="R130" s="212"/>
      <c r="S130" s="212"/>
      <c r="T130" s="212"/>
      <c r="U130" s="212"/>
      <c r="V130" s="233"/>
      <c r="W130" s="212"/>
      <c r="X130" s="212"/>
      <c r="Y130" s="214"/>
      <c r="Z130" s="214"/>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row>
    <row r="131" spans="1:70" ht="15.75">
      <c r="A131" s="212"/>
      <c r="B131" s="212"/>
      <c r="C131" s="211" t="str">
        <f>IF(A130=2,"X","")</f>
        <v>X</v>
      </c>
      <c r="D131" s="212" t="s">
        <v>89</v>
      </c>
      <c r="E131" s="212"/>
      <c r="F131" s="212"/>
      <c r="G131" s="212"/>
      <c r="H131" s="212"/>
      <c r="I131" s="212"/>
      <c r="J131" s="212">
        <v>2</v>
      </c>
      <c r="K131" s="212" t="s">
        <v>89</v>
      </c>
      <c r="L131" s="212"/>
      <c r="M131" s="212"/>
      <c r="N131" s="212"/>
      <c r="O131" s="212"/>
      <c r="P131" s="212"/>
      <c r="Q131" s="212"/>
      <c r="R131" s="212"/>
      <c r="S131" s="212"/>
      <c r="T131" s="212"/>
      <c r="U131" s="212"/>
      <c r="V131" s="233"/>
      <c r="W131" s="212"/>
      <c r="X131" s="212"/>
      <c r="Y131" s="214"/>
      <c r="Z131" s="214"/>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row>
    <row r="132" spans="1:70" ht="15.75">
      <c r="A132" s="212"/>
      <c r="B132" s="212"/>
      <c r="C132" s="212"/>
      <c r="D132" s="212"/>
      <c r="E132" s="212"/>
      <c r="F132" s="212"/>
      <c r="G132" s="212"/>
      <c r="H132" s="212"/>
      <c r="I132" s="212"/>
      <c r="J132" s="212"/>
      <c r="K132" s="212"/>
      <c r="L132" s="212"/>
      <c r="M132" s="212"/>
      <c r="N132" s="212"/>
      <c r="O132" s="212"/>
      <c r="P132" s="212"/>
      <c r="Q132" s="212"/>
      <c r="R132" s="212"/>
      <c r="S132" s="212"/>
      <c r="T132" s="212"/>
      <c r="U132" s="212"/>
      <c r="V132" s="212"/>
      <c r="W132" s="212"/>
      <c r="X132" s="212"/>
      <c r="Y132" s="214"/>
      <c r="Z132" s="214"/>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row>
    <row r="133" spans="1:70" ht="15.75">
      <c r="A133" s="211" t="s">
        <v>93</v>
      </c>
      <c r="B133" s="212"/>
      <c r="C133" s="212"/>
      <c r="D133" s="212"/>
      <c r="E133" s="212"/>
      <c r="F133" s="212"/>
      <c r="G133" s="212"/>
      <c r="H133" s="212"/>
      <c r="I133" s="212"/>
      <c r="J133" s="212"/>
      <c r="K133" s="212"/>
      <c r="L133" s="212"/>
      <c r="M133" s="212"/>
      <c r="N133" s="212"/>
      <c r="O133" s="212"/>
      <c r="P133" s="212"/>
      <c r="Q133" s="212"/>
      <c r="R133" s="212" t="s">
        <v>257</v>
      </c>
      <c r="S133" s="212"/>
      <c r="T133" s="212"/>
      <c r="U133" s="212"/>
      <c r="V133" s="212"/>
      <c r="W133" s="212"/>
      <c r="X133" s="212"/>
      <c r="Y133" s="214"/>
      <c r="Z133" s="214"/>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row>
    <row r="134" spans="1:70" ht="15.75">
      <c r="A134" s="212">
        <v>2</v>
      </c>
      <c r="B134" s="212"/>
      <c r="C134" s="211">
        <f>IF(A134=1,"X","")</f>
      </c>
      <c r="D134" s="212" t="s">
        <v>90</v>
      </c>
      <c r="E134" s="212"/>
      <c r="F134" s="212"/>
      <c r="G134" s="212"/>
      <c r="H134" s="212"/>
      <c r="I134" s="212"/>
      <c r="J134" s="212">
        <v>1</v>
      </c>
      <c r="K134" s="212" t="s">
        <v>90</v>
      </c>
      <c r="L134" s="212"/>
      <c r="M134" s="212" t="b">
        <f>AND(A134=1,Díjkalkuláció!AA106&gt;100)</f>
        <v>0</v>
      </c>
      <c r="N134" s="212"/>
      <c r="O134" s="212"/>
      <c r="P134" s="211" t="s">
        <v>75</v>
      </c>
      <c r="Q134" s="212"/>
      <c r="R134" s="212">
        <v>100</v>
      </c>
      <c r="S134" s="212"/>
      <c r="T134" s="212"/>
      <c r="U134" s="212"/>
      <c r="V134" s="212"/>
      <c r="W134" s="212"/>
      <c r="X134" s="212"/>
      <c r="Y134" s="214"/>
      <c r="Z134" s="214"/>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row>
    <row r="135" spans="1:70" ht="15.75">
      <c r="A135" s="212"/>
      <c r="B135" s="212"/>
      <c r="C135" s="211" t="str">
        <f>IF(A134=2,"X","")</f>
        <v>X</v>
      </c>
      <c r="D135" s="212" t="s">
        <v>89</v>
      </c>
      <c r="E135" s="212"/>
      <c r="F135" s="212"/>
      <c r="G135" s="212"/>
      <c r="H135" s="212"/>
      <c r="I135" s="212"/>
      <c r="J135" s="212">
        <v>2</v>
      </c>
      <c r="K135" s="212" t="s">
        <v>89</v>
      </c>
      <c r="L135" s="212"/>
      <c r="M135" s="212"/>
      <c r="N135" s="212"/>
      <c r="O135" s="212"/>
      <c r="P135" s="212">
        <f>IF(A134=1,150,0)</f>
        <v>0</v>
      </c>
      <c r="Q135" s="212"/>
      <c r="R135" s="212"/>
      <c r="S135" s="212"/>
      <c r="T135" s="212"/>
      <c r="U135" s="212"/>
      <c r="V135" s="212"/>
      <c r="W135" s="212"/>
      <c r="X135" s="212"/>
      <c r="Y135" s="214"/>
      <c r="Z135" s="214"/>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row>
    <row r="136" spans="1:70" ht="15.75">
      <c r="A136" s="212"/>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4"/>
      <c r="Z136" s="214"/>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row>
    <row r="137" spans="1:70" ht="15.75">
      <c r="A137" s="211" t="s">
        <v>94</v>
      </c>
      <c r="B137" s="212"/>
      <c r="C137" s="212"/>
      <c r="D137" s="212"/>
      <c r="E137" s="212"/>
      <c r="F137" s="212"/>
      <c r="G137" s="212"/>
      <c r="H137" s="212"/>
      <c r="I137" s="212"/>
      <c r="J137" s="212"/>
      <c r="K137" s="212"/>
      <c r="L137" s="212"/>
      <c r="M137" s="212"/>
      <c r="N137" s="212"/>
      <c r="O137" s="212"/>
      <c r="P137" s="211" t="s">
        <v>73</v>
      </c>
      <c r="Q137" s="212"/>
      <c r="R137" s="212"/>
      <c r="S137" s="212"/>
      <c r="T137" s="212"/>
      <c r="U137" s="212"/>
      <c r="V137" s="212"/>
      <c r="W137" s="212"/>
      <c r="X137" s="212"/>
      <c r="Y137" s="214"/>
      <c r="Z137" s="214"/>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row>
    <row r="138" spans="1:70" ht="15.75">
      <c r="A138" s="212">
        <v>2</v>
      </c>
      <c r="B138" s="212"/>
      <c r="C138" s="211">
        <f>IF(A138=1,"X","")</f>
      </c>
      <c r="D138" s="212" t="s">
        <v>90</v>
      </c>
      <c r="E138" s="212"/>
      <c r="F138" s="212"/>
      <c r="G138" s="212"/>
      <c r="H138" s="212"/>
      <c r="I138" s="212"/>
      <c r="J138" s="212">
        <v>1</v>
      </c>
      <c r="K138" s="212" t="s">
        <v>90</v>
      </c>
      <c r="L138" s="212"/>
      <c r="M138" s="212"/>
      <c r="N138" s="212"/>
      <c r="O138" s="212"/>
      <c r="P138" s="212">
        <f>IF(A138=1,0.08,0)</f>
        <v>0</v>
      </c>
      <c r="Q138" s="212"/>
      <c r="R138" s="212"/>
      <c r="S138" s="212"/>
      <c r="T138" s="212"/>
      <c r="U138" s="212"/>
      <c r="V138" s="212"/>
      <c r="W138" s="212"/>
      <c r="X138" s="212"/>
      <c r="Y138" s="214"/>
      <c r="Z138" s="214"/>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row>
    <row r="139" spans="1:70" ht="15.75">
      <c r="A139" s="212"/>
      <c r="B139" s="212"/>
      <c r="C139" s="211" t="str">
        <f>IF(A138=2,"X","")</f>
        <v>X</v>
      </c>
      <c r="D139" s="212" t="s">
        <v>89</v>
      </c>
      <c r="E139" s="212"/>
      <c r="F139" s="212"/>
      <c r="G139" s="212"/>
      <c r="H139" s="212"/>
      <c r="I139" s="212"/>
      <c r="J139" s="212">
        <v>2</v>
      </c>
      <c r="K139" s="212" t="s">
        <v>89</v>
      </c>
      <c r="L139" s="212"/>
      <c r="M139" s="212"/>
      <c r="N139" s="212"/>
      <c r="O139" s="212"/>
      <c r="P139" s="212"/>
      <c r="Q139" s="212"/>
      <c r="R139" s="212"/>
      <c r="S139" s="212"/>
      <c r="T139" s="212"/>
      <c r="U139" s="212"/>
      <c r="V139" s="212"/>
      <c r="W139" s="212"/>
      <c r="X139" s="212"/>
      <c r="Y139" s="214"/>
      <c r="Z139" s="214"/>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row>
    <row r="140" spans="1:70" ht="15.75">
      <c r="A140" s="21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4"/>
      <c r="Z140" s="214"/>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row>
    <row r="141" spans="1:70" ht="15.75">
      <c r="A141" s="211" t="s">
        <v>95</v>
      </c>
      <c r="B141" s="212"/>
      <c r="C141" s="212"/>
      <c r="D141" s="212"/>
      <c r="E141" s="212"/>
      <c r="F141" s="212"/>
      <c r="G141" s="212"/>
      <c r="H141" s="212"/>
      <c r="I141" s="212"/>
      <c r="J141" s="212"/>
      <c r="K141" s="212"/>
      <c r="L141" s="212"/>
      <c r="M141" s="212"/>
      <c r="N141" s="212"/>
      <c r="O141" s="212" t="s">
        <v>284</v>
      </c>
      <c r="P141" s="212"/>
      <c r="Q141" s="212"/>
      <c r="R141" s="212"/>
      <c r="S141" s="212"/>
      <c r="T141" s="212"/>
      <c r="U141" s="219" t="s">
        <v>250</v>
      </c>
      <c r="V141" s="234" t="s">
        <v>282</v>
      </c>
      <c r="W141" s="219" t="s">
        <v>285</v>
      </c>
      <c r="X141" s="212"/>
      <c r="Y141" s="214"/>
      <c r="Z141" s="214"/>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row>
    <row r="142" spans="1:70" ht="15.75">
      <c r="A142" s="212"/>
      <c r="B142" s="212"/>
      <c r="C142" s="211">
        <f>IF(A144&gt;1,"X","")</f>
      </c>
      <c r="D142" s="212" t="s">
        <v>90</v>
      </c>
      <c r="E142" s="212"/>
      <c r="F142" s="212"/>
      <c r="G142" s="212"/>
      <c r="H142" s="212"/>
      <c r="I142" s="212"/>
      <c r="J142" s="212" t="s">
        <v>96</v>
      </c>
      <c r="K142" s="212"/>
      <c r="L142" s="212"/>
      <c r="M142" s="212"/>
      <c r="N142" s="212"/>
      <c r="O142" s="235" t="s">
        <v>282</v>
      </c>
      <c r="P142" s="212"/>
      <c r="Q142" s="212" t="s">
        <v>283</v>
      </c>
      <c r="R142" s="212"/>
      <c r="S142" s="212"/>
      <c r="T142" s="212"/>
      <c r="U142" s="219">
        <v>5</v>
      </c>
      <c r="V142" s="219">
        <v>870</v>
      </c>
      <c r="W142" s="219">
        <v>1006</v>
      </c>
      <c r="X142" s="212"/>
      <c r="Y142" s="214"/>
      <c r="Z142" s="214"/>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row>
    <row r="143" spans="1:70" ht="15.75">
      <c r="A143" s="212"/>
      <c r="B143" s="212"/>
      <c r="C143" s="211" t="str">
        <f>IF(A144=1,"X","")</f>
        <v>X</v>
      </c>
      <c r="D143" s="212" t="s">
        <v>89</v>
      </c>
      <c r="E143" s="212"/>
      <c r="F143" s="212"/>
      <c r="G143" s="212"/>
      <c r="H143" s="212"/>
      <c r="I143" s="212"/>
      <c r="J143" s="212">
        <v>1</v>
      </c>
      <c r="K143" s="212" t="s">
        <v>89</v>
      </c>
      <c r="L143" s="212"/>
      <c r="M143" s="212"/>
      <c r="N143" s="212"/>
      <c r="O143" s="212" t="b">
        <f>AND(A144=2,Díjkalkuláció!M117&lt;=4)</f>
        <v>0</v>
      </c>
      <c r="P143" s="212">
        <f>IF(O143=TRUE,V142,0)</f>
        <v>0</v>
      </c>
      <c r="Q143" s="212" t="b">
        <f>AND(A144=2,Díjkalkuláció!M117&gt;4)</f>
        <v>0</v>
      </c>
      <c r="R143" s="212">
        <f>IF(Q143=TRUE,W142,0)</f>
        <v>0</v>
      </c>
      <c r="S143" s="212"/>
      <c r="T143" s="212"/>
      <c r="U143" s="219">
        <v>15</v>
      </c>
      <c r="V143" s="219">
        <v>1286</v>
      </c>
      <c r="W143" s="219">
        <v>1486</v>
      </c>
      <c r="X143" s="212"/>
      <c r="Y143" s="214"/>
      <c r="Z143" s="214"/>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row>
    <row r="144" spans="1:70" ht="15.75">
      <c r="A144" s="212">
        <v>1</v>
      </c>
      <c r="B144" s="212"/>
      <c r="C144" s="212"/>
      <c r="D144" s="212"/>
      <c r="E144" s="212"/>
      <c r="F144" s="212"/>
      <c r="G144" s="212"/>
      <c r="H144" s="212"/>
      <c r="I144" s="212"/>
      <c r="J144" s="212">
        <v>2</v>
      </c>
      <c r="K144" s="220">
        <v>5000000</v>
      </c>
      <c r="L144" s="212"/>
      <c r="M144" s="212"/>
      <c r="N144" s="212"/>
      <c r="O144" s="212" t="b">
        <f>AND(A144=3,Díjkalkuláció!M117&lt;=4)</f>
        <v>0</v>
      </c>
      <c r="P144" s="212">
        <f>IF(O144=TRUE,V143,0)</f>
        <v>0</v>
      </c>
      <c r="Q144" s="212" t="b">
        <f>AND(A144=3,Díjkalkuláció!M117&gt;4)</f>
        <v>0</v>
      </c>
      <c r="R144" s="212">
        <f>IF(Q144=TRUE,W143,0)</f>
        <v>0</v>
      </c>
      <c r="S144" s="212"/>
      <c r="T144" s="212"/>
      <c r="U144" s="219">
        <v>25</v>
      </c>
      <c r="V144" s="219">
        <v>1478</v>
      </c>
      <c r="W144" s="219">
        <v>1710</v>
      </c>
      <c r="X144" s="212"/>
      <c r="Y144" s="214"/>
      <c r="Z144" s="214"/>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row>
    <row r="145" spans="1:70" ht="15.75">
      <c r="A145" s="212"/>
      <c r="B145" s="212"/>
      <c r="C145" s="212"/>
      <c r="D145" s="212"/>
      <c r="E145" s="212"/>
      <c r="F145" s="212"/>
      <c r="G145" s="212"/>
      <c r="H145" s="212"/>
      <c r="I145" s="212"/>
      <c r="J145" s="212">
        <v>3</v>
      </c>
      <c r="K145" s="220">
        <v>15000000</v>
      </c>
      <c r="L145" s="212"/>
      <c r="M145" s="212"/>
      <c r="N145" s="212"/>
      <c r="O145" s="212" t="b">
        <f>AND(A144=4,Díjkalkuláció!M117&lt;=4)</f>
        <v>0</v>
      </c>
      <c r="P145" s="212">
        <f>IF(O145=TRUE,V144,0)</f>
        <v>0</v>
      </c>
      <c r="Q145" s="212" t="b">
        <f>AND(A144=4,Díjkalkuláció!M117&gt;4)</f>
        <v>0</v>
      </c>
      <c r="R145" s="212">
        <f>IF(Q145=TRUE,W144,0)</f>
        <v>0</v>
      </c>
      <c r="S145" s="212"/>
      <c r="T145" s="212"/>
      <c r="U145" s="219">
        <v>50</v>
      </c>
      <c r="V145" s="219">
        <v>1740</v>
      </c>
      <c r="W145" s="219">
        <v>2012</v>
      </c>
      <c r="X145" s="212"/>
      <c r="Y145" s="214"/>
      <c r="Z145" s="214"/>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row>
    <row r="146" spans="1:70" ht="15.75">
      <c r="A146" s="212">
        <v>1</v>
      </c>
      <c r="B146" s="212"/>
      <c r="C146" s="211" t="str">
        <f>IF(A146=1,"1-4","5 felett")</f>
        <v>1-4</v>
      </c>
      <c r="D146" s="211"/>
      <c r="E146" s="211"/>
      <c r="F146" s="212"/>
      <c r="G146" s="212"/>
      <c r="H146" s="212"/>
      <c r="I146" s="212"/>
      <c r="J146" s="212">
        <v>4</v>
      </c>
      <c r="K146" s="220">
        <v>25000000</v>
      </c>
      <c r="L146" s="212"/>
      <c r="M146" s="212"/>
      <c r="N146" s="212"/>
      <c r="O146" s="212" t="b">
        <f>AND(A144=5,Díjkalkuláció!M117&lt;=4)</f>
        <v>0</v>
      </c>
      <c r="P146" s="212">
        <f>IF(O146=TRUE,V145,0)</f>
        <v>0</v>
      </c>
      <c r="Q146" s="212" t="b">
        <f>AND(A144=5,Díjkalkuláció!M117&gt;4)</f>
        <v>0</v>
      </c>
      <c r="R146" s="212">
        <f>IF(Q146=TRUE,W145,0)</f>
        <v>0</v>
      </c>
      <c r="S146" s="212"/>
      <c r="T146" s="212"/>
      <c r="U146" s="219">
        <v>100</v>
      </c>
      <c r="V146" s="219">
        <v>2349</v>
      </c>
      <c r="W146" s="219">
        <v>2716</v>
      </c>
      <c r="X146" s="212"/>
      <c r="Y146" s="214"/>
      <c r="Z146" s="214"/>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row>
    <row r="147" spans="1:70" ht="15.75">
      <c r="A147" s="212" t="s">
        <v>313</v>
      </c>
      <c r="B147" s="212"/>
      <c r="C147" s="212"/>
      <c r="D147" s="212"/>
      <c r="E147" s="212">
        <f>Díjkalkuláció!M117</f>
        <v>0</v>
      </c>
      <c r="F147" s="212"/>
      <c r="G147" s="212"/>
      <c r="H147" s="212"/>
      <c r="I147" s="212"/>
      <c r="J147" s="212">
        <v>5</v>
      </c>
      <c r="K147" s="220">
        <v>50000000</v>
      </c>
      <c r="L147" s="212"/>
      <c r="M147" s="212"/>
      <c r="N147" s="212"/>
      <c r="O147" s="212" t="b">
        <f>AND(A144=6,Díjkalkuláció!M117&lt;=4)</f>
        <v>0</v>
      </c>
      <c r="P147" s="212">
        <f>IF(O147=TRUE,V146,0)</f>
        <v>0</v>
      </c>
      <c r="Q147" s="212" t="b">
        <f>AND(A144=6,Díjkalkuláció!M117&gt;4)</f>
        <v>0</v>
      </c>
      <c r="R147" s="212">
        <f>IF(Q147=TRUE,W146,0)</f>
        <v>0</v>
      </c>
      <c r="S147" s="212"/>
      <c r="T147" s="212"/>
      <c r="U147" s="212"/>
      <c r="V147" s="212"/>
      <c r="W147" s="212"/>
      <c r="X147" s="212"/>
      <c r="Y147" s="214"/>
      <c r="Z147" s="214"/>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row>
    <row r="148" spans="1:70" ht="15.75">
      <c r="A148" s="212" t="s">
        <v>223</v>
      </c>
      <c r="B148" s="212"/>
      <c r="C148" s="212"/>
      <c r="D148" s="212">
        <f>IF(A144=2,5,IF(A144=3,15,IF(A144=4,25,IF(A144=5,50,IF(A144=6,100,0)))))</f>
        <v>0</v>
      </c>
      <c r="E148" s="212"/>
      <c r="F148" s="212"/>
      <c r="G148" s="212"/>
      <c r="H148" s="212"/>
      <c r="I148" s="212"/>
      <c r="J148" s="212">
        <v>6</v>
      </c>
      <c r="K148" s="220">
        <v>100000000</v>
      </c>
      <c r="L148" s="212"/>
      <c r="M148" s="212"/>
      <c r="N148" s="212" t="s">
        <v>265</v>
      </c>
      <c r="O148" s="220">
        <f>SUM(P143:P147,R143:R147)</f>
        <v>0</v>
      </c>
      <c r="P148" s="212"/>
      <c r="Q148" s="212"/>
      <c r="R148" s="212"/>
      <c r="S148" s="212"/>
      <c r="T148" s="212"/>
      <c r="U148" s="212"/>
      <c r="V148" s="212"/>
      <c r="W148" s="212"/>
      <c r="X148" s="212"/>
      <c r="Y148" s="214"/>
      <c r="Z148" s="214"/>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row>
    <row r="149" spans="1:70" ht="15.75">
      <c r="A149" s="528" t="b">
        <f>AND(A144&gt;1,Díjkalkuláció!M117&lt;1)</f>
        <v>0</v>
      </c>
      <c r="B149" s="528"/>
      <c r="C149" s="528"/>
      <c r="D149" s="212"/>
      <c r="E149" s="212"/>
      <c r="F149" s="212"/>
      <c r="G149" s="212"/>
      <c r="H149" s="212"/>
      <c r="I149" s="212"/>
      <c r="J149" s="214" t="str">
        <f>VLOOKUP(A144,J143:K148,2,FALSE)</f>
        <v>Nem kérem</v>
      </c>
      <c r="K149" s="212"/>
      <c r="L149" s="212"/>
      <c r="M149" s="212"/>
      <c r="N149" s="212"/>
      <c r="O149" s="212"/>
      <c r="P149" s="212"/>
      <c r="Q149" s="212"/>
      <c r="R149" s="212"/>
      <c r="S149" s="212"/>
      <c r="T149" s="212"/>
      <c r="U149" s="212"/>
      <c r="V149" s="212"/>
      <c r="W149" s="212"/>
      <c r="X149" s="212"/>
      <c r="Y149" s="214"/>
      <c r="Z149" s="214"/>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row>
    <row r="150" spans="1:70" ht="15.75">
      <c r="A150" s="211" t="s">
        <v>97</v>
      </c>
      <c r="B150" s="212"/>
      <c r="C150" s="212"/>
      <c r="D150" s="212"/>
      <c r="E150" s="212"/>
      <c r="F150" s="212"/>
      <c r="G150" s="212"/>
      <c r="H150" s="212"/>
      <c r="I150" s="212"/>
      <c r="J150" s="212"/>
      <c r="K150" s="212"/>
      <c r="L150" s="212"/>
      <c r="M150" s="212"/>
      <c r="N150" s="212" t="s">
        <v>265</v>
      </c>
      <c r="O150" s="220">
        <f>IF(A151=1,0.5*O148,0)</f>
        <v>0</v>
      </c>
      <c r="P150" s="212"/>
      <c r="Q150" s="212"/>
      <c r="R150" s="212"/>
      <c r="S150" s="212"/>
      <c r="T150" s="212"/>
      <c r="U150" s="212"/>
      <c r="V150" s="212"/>
      <c r="W150" s="212"/>
      <c r="X150" s="212"/>
      <c r="Y150" s="214"/>
      <c r="Z150" s="214"/>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row>
    <row r="151" spans="1:70" ht="15.75">
      <c r="A151" s="212">
        <v>2</v>
      </c>
      <c r="B151" s="212"/>
      <c r="C151" s="211">
        <f>IF(A151=1,"X","")</f>
      </c>
      <c r="D151" s="212" t="s">
        <v>90</v>
      </c>
      <c r="E151" s="212"/>
      <c r="F151" s="212"/>
      <c r="G151" s="212"/>
      <c r="H151" s="212"/>
      <c r="I151" s="212"/>
      <c r="J151" s="212">
        <v>1</v>
      </c>
      <c r="K151" s="212" t="s">
        <v>14</v>
      </c>
      <c r="L151" s="212" t="b">
        <f>AND(A144=1,A151=1)</f>
        <v>0</v>
      </c>
      <c r="M151" s="212"/>
      <c r="N151" s="212"/>
      <c r="O151" s="212"/>
      <c r="P151" s="212"/>
      <c r="Q151" s="212"/>
      <c r="R151" s="212"/>
      <c r="S151" s="212"/>
      <c r="T151" s="212"/>
      <c r="U151" s="212"/>
      <c r="V151" s="212"/>
      <c r="W151" s="212"/>
      <c r="X151" s="212"/>
      <c r="Y151" s="214"/>
      <c r="Z151" s="214"/>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row>
    <row r="152" spans="1:70" ht="15.75">
      <c r="A152" s="212"/>
      <c r="B152" s="212"/>
      <c r="C152" s="211" t="str">
        <f>IF(A151=2,"X","")</f>
        <v>X</v>
      </c>
      <c r="D152" s="212" t="s">
        <v>89</v>
      </c>
      <c r="E152" s="212"/>
      <c r="F152" s="212"/>
      <c r="G152" s="212"/>
      <c r="H152" s="212"/>
      <c r="I152" s="212"/>
      <c r="J152" s="212">
        <v>2</v>
      </c>
      <c r="K152" s="212" t="s">
        <v>15</v>
      </c>
      <c r="L152" s="212"/>
      <c r="M152" s="212"/>
      <c r="N152" s="212"/>
      <c r="O152" s="212"/>
      <c r="P152" s="212"/>
      <c r="Q152" s="212"/>
      <c r="R152" s="212"/>
      <c r="S152" s="212"/>
      <c r="T152" s="212"/>
      <c r="U152" s="212"/>
      <c r="V152" s="212"/>
      <c r="W152" s="212"/>
      <c r="X152" s="212"/>
      <c r="Y152" s="214"/>
      <c r="Z152" s="214"/>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row>
    <row r="153" spans="1:70" ht="15.75">
      <c r="A153" s="212"/>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4"/>
      <c r="Z153" s="214"/>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row>
    <row r="154" spans="1:70" ht="15.75">
      <c r="A154" s="211" t="s">
        <v>98</v>
      </c>
      <c r="B154" s="212"/>
      <c r="C154" s="212"/>
      <c r="D154" s="212"/>
      <c r="E154" s="212"/>
      <c r="F154" s="212"/>
      <c r="G154" s="212"/>
      <c r="H154" s="212"/>
      <c r="I154" s="212"/>
      <c r="J154" s="212"/>
      <c r="K154" s="212"/>
      <c r="L154" s="212"/>
      <c r="M154" s="212"/>
      <c r="N154" s="212"/>
      <c r="O154" s="212"/>
      <c r="P154" s="212"/>
      <c r="Q154" s="212"/>
      <c r="R154" s="212"/>
      <c r="S154" s="212"/>
      <c r="T154" s="212"/>
      <c r="U154" s="212"/>
      <c r="V154" s="212"/>
      <c r="W154" s="212"/>
      <c r="X154" s="212"/>
      <c r="Y154" s="214"/>
      <c r="Z154" s="214"/>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row>
    <row r="155" spans="1:70" ht="15.75">
      <c r="A155" s="212">
        <v>2</v>
      </c>
      <c r="B155" s="212"/>
      <c r="C155" s="211">
        <f>IF(A155=1,"X","")</f>
      </c>
      <c r="D155" s="212" t="s">
        <v>90</v>
      </c>
      <c r="E155" s="212"/>
      <c r="F155" s="212"/>
      <c r="G155" s="212"/>
      <c r="H155" s="212"/>
      <c r="I155" s="212"/>
      <c r="J155" s="212">
        <v>1</v>
      </c>
      <c r="K155" s="212" t="s">
        <v>14</v>
      </c>
      <c r="L155" s="212" t="b">
        <f>AND(A144=1,A155=1)</f>
        <v>0</v>
      </c>
      <c r="M155" s="212" t="b">
        <f>AND(A144&gt;1,A155=1)</f>
        <v>0</v>
      </c>
      <c r="N155" s="212" t="s">
        <v>265</v>
      </c>
      <c r="O155" s="220">
        <f>IF(M155=TRUE,2000,0)</f>
        <v>0</v>
      </c>
      <c r="P155" s="212"/>
      <c r="Q155" s="212"/>
      <c r="R155" s="212"/>
      <c r="S155" s="212"/>
      <c r="T155" s="212"/>
      <c r="U155" s="212"/>
      <c r="V155" s="212"/>
      <c r="W155" s="212"/>
      <c r="X155" s="212"/>
      <c r="Y155" s="214"/>
      <c r="Z155" s="214"/>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row>
    <row r="156" spans="1:70" ht="15.75">
      <c r="A156" s="212"/>
      <c r="B156" s="212"/>
      <c r="C156" s="211" t="str">
        <f>IF(A155=2,"X","")</f>
        <v>X</v>
      </c>
      <c r="D156" s="212" t="s">
        <v>89</v>
      </c>
      <c r="E156" s="212"/>
      <c r="F156" s="212"/>
      <c r="G156" s="212"/>
      <c r="H156" s="212"/>
      <c r="I156" s="212"/>
      <c r="J156" s="212">
        <v>2</v>
      </c>
      <c r="K156" s="212" t="s">
        <v>15</v>
      </c>
      <c r="L156" s="212"/>
      <c r="M156" s="212"/>
      <c r="N156" s="212"/>
      <c r="O156" s="212"/>
      <c r="P156" s="212"/>
      <c r="Q156" s="212"/>
      <c r="R156" s="212"/>
      <c r="S156" s="212"/>
      <c r="T156" s="212"/>
      <c r="U156" s="212"/>
      <c r="V156" s="212"/>
      <c r="W156" s="212"/>
      <c r="X156" s="212">
        <f>IF(Díjkalkuláció!AB36&gt;0,CONCATENATE(Díjkalkuláció!C36," - ",Díjkalkuláció!H36),"")</f>
      </c>
      <c r="Y156" s="214"/>
      <c r="Z156" s="214"/>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row>
    <row r="157" spans="1:70" ht="15.75">
      <c r="A157" s="212"/>
      <c r="B157" s="212"/>
      <c r="C157" s="212"/>
      <c r="D157" s="212"/>
      <c r="E157" s="212"/>
      <c r="F157" s="212"/>
      <c r="G157" s="212"/>
      <c r="H157" s="212"/>
      <c r="I157" s="212"/>
      <c r="J157" s="212"/>
      <c r="K157" s="212"/>
      <c r="L157" s="212"/>
      <c r="M157" s="212"/>
      <c r="N157" s="212"/>
      <c r="O157" s="212"/>
      <c r="P157" s="212"/>
      <c r="Q157" s="212"/>
      <c r="R157" s="212"/>
      <c r="S157" s="212"/>
      <c r="T157" s="212"/>
      <c r="U157" s="212"/>
      <c r="V157" s="212"/>
      <c r="W157" s="212"/>
      <c r="X157" s="212">
        <f>IF(Díjkalkuláció!AB37&gt;0,CONCATENATE(Díjkalkuláció!C37," - ",Díjkalkuláció!H37),"")</f>
      </c>
      <c r="Y157" s="214"/>
      <c r="Z157" s="214"/>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row>
    <row r="158" spans="1:70" ht="15.75">
      <c r="A158" s="211" t="s">
        <v>99</v>
      </c>
      <c r="B158" s="212"/>
      <c r="C158" s="212"/>
      <c r="D158" s="212"/>
      <c r="E158" s="212"/>
      <c r="F158" s="212"/>
      <c r="G158" s="212"/>
      <c r="H158" s="212"/>
      <c r="I158" s="212"/>
      <c r="J158" s="212"/>
      <c r="K158" s="212"/>
      <c r="L158" s="212"/>
      <c r="M158" s="211" t="s">
        <v>101</v>
      </c>
      <c r="N158" s="212"/>
      <c r="O158" s="212"/>
      <c r="P158" s="212"/>
      <c r="Q158" s="212"/>
      <c r="R158" s="212"/>
      <c r="S158" s="212"/>
      <c r="T158" s="212"/>
      <c r="U158" s="212"/>
      <c r="V158" s="212"/>
      <c r="W158" s="212"/>
      <c r="X158" s="212">
        <f>IF(Díjkalkuláció!AB38&gt;0,CONCATENATE(Díjkalkuláció!C38," - ",Díjkalkuláció!H38),"")</f>
      </c>
      <c r="Y158" s="214"/>
      <c r="Z158" s="214"/>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row>
    <row r="159" spans="1:70" ht="15.75">
      <c r="A159" s="212"/>
      <c r="B159" s="212"/>
      <c r="C159" s="212"/>
      <c r="D159" s="212"/>
      <c r="E159" s="212"/>
      <c r="F159" s="212"/>
      <c r="G159" s="212"/>
      <c r="H159" s="212"/>
      <c r="I159" s="212"/>
      <c r="J159" s="212" t="s">
        <v>100</v>
      </c>
      <c r="K159" s="212"/>
      <c r="L159" s="212"/>
      <c r="M159" s="212" t="s">
        <v>102</v>
      </c>
      <c r="N159" s="212"/>
      <c r="O159" s="212"/>
      <c r="P159" s="212"/>
      <c r="Q159" s="220">
        <v>175000</v>
      </c>
      <c r="R159" s="212"/>
      <c r="S159" s="212" t="s">
        <v>287</v>
      </c>
      <c r="T159" s="220">
        <v>1600</v>
      </c>
      <c r="U159" s="212"/>
      <c r="V159" s="212"/>
      <c r="W159" s="212"/>
      <c r="X159" s="212">
        <f>IF(Díjkalkuláció!AB39&gt;0,CONCATENATE(Díjkalkuláció!C39," - ",Díjkalkuláció!H39),"")</f>
      </c>
      <c r="Y159" s="214"/>
      <c r="Z159" s="214"/>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row>
    <row r="160" spans="1:70" ht="15.75">
      <c r="A160" s="212">
        <v>1</v>
      </c>
      <c r="B160" s="212"/>
      <c r="C160" s="212"/>
      <c r="D160" s="212">
        <f>IF(A160=2,1,IF(A160=3,2,IF(A160=4,3,IF(A160=5,4,IF(A160=6,5,0)))))</f>
        <v>0</v>
      </c>
      <c r="E160" s="211" t="s">
        <v>224</v>
      </c>
      <c r="F160" s="212"/>
      <c r="G160" s="212"/>
      <c r="H160" s="212"/>
      <c r="I160" s="212"/>
      <c r="J160" s="212">
        <v>1</v>
      </c>
      <c r="K160" s="212" t="s">
        <v>89</v>
      </c>
      <c r="L160" s="212"/>
      <c r="M160" s="212" t="s">
        <v>103</v>
      </c>
      <c r="N160" s="212"/>
      <c r="O160" s="212"/>
      <c r="P160" s="212"/>
      <c r="Q160" s="220">
        <v>175000</v>
      </c>
      <c r="R160" s="212"/>
      <c r="S160" s="212"/>
      <c r="T160" s="212"/>
      <c r="U160" s="212"/>
      <c r="V160" s="212"/>
      <c r="W160" s="212"/>
      <c r="X160" s="212">
        <f>IF(Díjkalkuláció!AB40&gt;0,CONCATENATE(Díjkalkuláció!C40," - ",Díjkalkuláció!H40),"")</f>
      </c>
      <c r="Y160" s="214"/>
      <c r="Z160" s="214"/>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row>
    <row r="161" spans="1:70" ht="15.75">
      <c r="A161" s="212"/>
      <c r="B161" s="212"/>
      <c r="C161" s="212">
        <f>Díjkalkuláció!AB124</f>
        <v>0</v>
      </c>
      <c r="D161" s="212" t="s">
        <v>225</v>
      </c>
      <c r="E161" s="212"/>
      <c r="F161" s="212"/>
      <c r="G161" s="212"/>
      <c r="H161" s="212"/>
      <c r="I161" s="212"/>
      <c r="J161" s="212">
        <v>2</v>
      </c>
      <c r="K161" s="212" t="s">
        <v>195</v>
      </c>
      <c r="L161" s="212"/>
      <c r="M161" s="212" t="s">
        <v>104</v>
      </c>
      <c r="N161" s="212"/>
      <c r="O161" s="212"/>
      <c r="P161" s="212"/>
      <c r="Q161" s="220">
        <v>350000</v>
      </c>
      <c r="R161" s="212"/>
      <c r="S161" s="212"/>
      <c r="T161" s="212"/>
      <c r="U161" s="212"/>
      <c r="V161" s="212"/>
      <c r="W161" s="212"/>
      <c r="X161" s="212"/>
      <c r="Y161" s="214"/>
      <c r="Z161" s="214"/>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row>
    <row r="162" spans="1:70" ht="15.75">
      <c r="A162" s="212"/>
      <c r="B162" s="212"/>
      <c r="C162" s="212">
        <f>COUNTA(Adatfelvétel!G52:G60)</f>
        <v>0</v>
      </c>
      <c r="D162" s="212" t="s">
        <v>353</v>
      </c>
      <c r="E162" s="212"/>
      <c r="F162" s="212"/>
      <c r="G162" s="212"/>
      <c r="H162" s="212"/>
      <c r="I162" s="212"/>
      <c r="J162" s="212">
        <v>3</v>
      </c>
      <c r="K162" s="212" t="s">
        <v>196</v>
      </c>
      <c r="L162" s="212"/>
      <c r="M162" s="212" t="s">
        <v>105</v>
      </c>
      <c r="N162" s="212"/>
      <c r="O162" s="212"/>
      <c r="P162" s="212"/>
      <c r="Q162" s="220">
        <v>7000</v>
      </c>
      <c r="R162" s="212"/>
      <c r="S162" s="212"/>
      <c r="T162" s="212"/>
      <c r="U162" s="212"/>
      <c r="V162" s="212"/>
      <c r="W162" s="212"/>
      <c r="X162" s="212"/>
      <c r="Y162" s="214"/>
      <c r="Z162" s="214"/>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row>
    <row r="163" spans="1:70" ht="15.75">
      <c r="A163" s="212"/>
      <c r="B163" s="212"/>
      <c r="C163" s="211">
        <f>IF(A160&gt;1,"X","")</f>
      </c>
      <c r="D163" s="212" t="s">
        <v>90</v>
      </c>
      <c r="E163" s="212"/>
      <c r="F163" s="212"/>
      <c r="G163" s="212"/>
      <c r="H163" s="212"/>
      <c r="I163" s="212"/>
      <c r="J163" s="212">
        <v>4</v>
      </c>
      <c r="K163" s="212" t="s">
        <v>197</v>
      </c>
      <c r="L163" s="212"/>
      <c r="M163" s="212" t="s">
        <v>106</v>
      </c>
      <c r="N163" s="212"/>
      <c r="O163" s="212"/>
      <c r="P163" s="212"/>
      <c r="Q163" s="220">
        <v>350000</v>
      </c>
      <c r="R163" s="212"/>
      <c r="S163" s="212"/>
      <c r="T163" s="212"/>
      <c r="U163" s="212"/>
      <c r="V163" s="212"/>
      <c r="W163" s="212"/>
      <c r="X163" s="212"/>
      <c r="Y163" s="214"/>
      <c r="Z163" s="214"/>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row>
    <row r="164" spans="1:70" ht="15.75">
      <c r="A164" s="212"/>
      <c r="B164" s="212"/>
      <c r="C164" s="211" t="str">
        <f>IF(A160=1,"X","")</f>
        <v>X</v>
      </c>
      <c r="D164" s="212" t="s">
        <v>89</v>
      </c>
      <c r="E164" s="212"/>
      <c r="F164" s="212"/>
      <c r="G164" s="212"/>
      <c r="H164" s="212"/>
      <c r="I164" s="212"/>
      <c r="J164" s="212">
        <v>5</v>
      </c>
      <c r="K164" s="212" t="s">
        <v>198</v>
      </c>
      <c r="L164" s="212"/>
      <c r="M164" s="212" t="s">
        <v>107</v>
      </c>
      <c r="N164" s="212"/>
      <c r="O164" s="212"/>
      <c r="P164" s="212"/>
      <c r="Q164" s="220">
        <v>50000</v>
      </c>
      <c r="R164" s="212"/>
      <c r="S164" s="212"/>
      <c r="T164" s="212"/>
      <c r="U164" s="212"/>
      <c r="V164" s="212"/>
      <c r="W164" s="212"/>
      <c r="X164" s="212"/>
      <c r="Y164" s="214"/>
      <c r="Z164" s="214"/>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row>
    <row r="165" spans="1:70" ht="15.75">
      <c r="A165" s="212"/>
      <c r="B165" s="212"/>
      <c r="C165" s="212"/>
      <c r="D165" s="212"/>
      <c r="E165" s="212"/>
      <c r="F165" s="212"/>
      <c r="G165" s="212"/>
      <c r="H165" s="212"/>
      <c r="I165" s="212"/>
      <c r="J165" s="212">
        <v>6</v>
      </c>
      <c r="K165" s="212" t="s">
        <v>199</v>
      </c>
      <c r="L165" s="212"/>
      <c r="M165" s="212" t="s">
        <v>108</v>
      </c>
      <c r="N165" s="212"/>
      <c r="O165" s="212"/>
      <c r="P165" s="212"/>
      <c r="Q165" s="220">
        <v>7000</v>
      </c>
      <c r="R165" s="212"/>
      <c r="S165" s="212"/>
      <c r="T165" s="212"/>
      <c r="U165" s="212"/>
      <c r="V165" s="212"/>
      <c r="W165" s="212"/>
      <c r="X165" s="212"/>
      <c r="Y165" s="214"/>
      <c r="Z165" s="214"/>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row>
    <row r="166" spans="1:70" ht="15.75">
      <c r="A166" s="528" t="b">
        <f>AND(A160&gt;1,Díjkalkuláció!AB124&lt;1)</f>
        <v>0</v>
      </c>
      <c r="B166" s="528"/>
      <c r="C166" s="528"/>
      <c r="D166" s="212"/>
      <c r="E166" s="212"/>
      <c r="F166" s="212"/>
      <c r="G166" s="212"/>
      <c r="H166" s="212"/>
      <c r="I166" s="212"/>
      <c r="J166" s="212"/>
      <c r="K166" s="212"/>
      <c r="L166" s="212"/>
      <c r="M166" s="212" t="s">
        <v>109</v>
      </c>
      <c r="N166" s="212"/>
      <c r="O166" s="212"/>
      <c r="P166" s="212"/>
      <c r="Q166" s="220">
        <v>3000</v>
      </c>
      <c r="R166" s="212"/>
      <c r="S166" s="212"/>
      <c r="T166" s="212"/>
      <c r="U166" s="212"/>
      <c r="V166" s="212"/>
      <c r="W166" s="212"/>
      <c r="X166" s="212"/>
      <c r="Y166" s="214"/>
      <c r="Z166" s="214"/>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row>
    <row r="167" spans="1:70" ht="15.75">
      <c r="A167" s="212" t="s">
        <v>224</v>
      </c>
      <c r="B167" s="212"/>
      <c r="C167" s="212"/>
      <c r="D167" s="212">
        <f>IF(A160=2,1,IF(A160=3,2,IF(A160=4,3,IF(A160=5,4,IF(A160=6,5,IF(A160=1,0))))))</f>
        <v>0</v>
      </c>
      <c r="E167" s="212"/>
      <c r="F167" s="212"/>
      <c r="G167" s="212"/>
      <c r="H167" s="212"/>
      <c r="I167" s="212"/>
      <c r="J167" s="212" t="s">
        <v>265</v>
      </c>
      <c r="K167" s="220">
        <f>D167*Díjkalkuláció!AB124*Számolótábla!T159</f>
        <v>0</v>
      </c>
      <c r="L167" s="212"/>
      <c r="M167" s="212" t="s">
        <v>110</v>
      </c>
      <c r="N167" s="212"/>
      <c r="O167" s="212"/>
      <c r="P167" s="212"/>
      <c r="Q167" s="220">
        <v>14000</v>
      </c>
      <c r="R167" s="212"/>
      <c r="S167" s="212"/>
      <c r="T167" s="212">
        <f>IF(C161&lt;1,"",D167)</f>
      </c>
      <c r="U167" s="212"/>
      <c r="V167" s="212"/>
      <c r="W167" s="212"/>
      <c r="X167" s="212"/>
      <c r="Y167" s="214"/>
      <c r="Z167" s="214"/>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row>
    <row r="168" spans="1:70" ht="15.75">
      <c r="A168" s="212">
        <v>1</v>
      </c>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4"/>
      <c r="Z168" s="214"/>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row>
    <row r="169" spans="1:70" ht="15.75">
      <c r="A169" s="211" t="s">
        <v>111</v>
      </c>
      <c r="B169" s="212"/>
      <c r="C169" s="212"/>
      <c r="D169" s="212"/>
      <c r="E169" s="212"/>
      <c r="F169" s="212"/>
      <c r="G169" s="212"/>
      <c r="H169" s="212"/>
      <c r="I169" s="212"/>
      <c r="J169" s="212"/>
      <c r="K169" s="212"/>
      <c r="L169" s="212"/>
      <c r="M169" s="211" t="s">
        <v>113</v>
      </c>
      <c r="N169" s="212"/>
      <c r="O169" s="212"/>
      <c r="P169" s="212"/>
      <c r="Q169" s="212"/>
      <c r="R169" s="212"/>
      <c r="S169" s="212"/>
      <c r="T169" s="212"/>
      <c r="U169" s="212"/>
      <c r="V169" s="212"/>
      <c r="W169" s="212"/>
      <c r="X169" s="212"/>
      <c r="Y169" s="214"/>
      <c r="Z169" s="214"/>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row>
    <row r="170" spans="1:70" ht="15.75">
      <c r="A170" s="212">
        <f>A168+1</f>
        <v>2</v>
      </c>
      <c r="B170" s="212" t="str">
        <f>CHOOSE(A170,E171,E172,E173,E174)</f>
        <v>Negyedéves</v>
      </c>
      <c r="C170" s="212"/>
      <c r="D170" s="236">
        <f>IF(A170=1,1,IF(A170=2,0.98,IF(A170=3,0.94,IF(A170=4,0.9))))</f>
        <v>0.98</v>
      </c>
      <c r="E170" s="211" t="s">
        <v>224</v>
      </c>
      <c r="F170" s="212"/>
      <c r="G170" s="212"/>
      <c r="H170" s="212"/>
      <c r="I170" s="212"/>
      <c r="J170" s="212">
        <v>1</v>
      </c>
      <c r="K170" s="212" t="s">
        <v>112</v>
      </c>
      <c r="L170" s="212"/>
      <c r="M170" s="212">
        <v>0</v>
      </c>
      <c r="N170" s="212"/>
      <c r="O170" s="212" t="s">
        <v>368</v>
      </c>
      <c r="P170" s="212"/>
      <c r="Q170" s="212">
        <v>0</v>
      </c>
      <c r="R170" s="212"/>
      <c r="S170" s="212"/>
      <c r="T170" s="212"/>
      <c r="U170" s="212"/>
      <c r="V170" s="212"/>
      <c r="W170" s="212"/>
      <c r="X170" s="212"/>
      <c r="Y170" s="214"/>
      <c r="Z170" s="214"/>
      <c r="AA170" s="212" t="b">
        <f>AND(A176&lt;&gt;4,A170=1)</f>
        <v>0</v>
      </c>
      <c r="AB170" s="236">
        <f>IF(AA170=TRUE,1,0)</f>
        <v>0</v>
      </c>
      <c r="AC170" s="212" t="b">
        <f>AND(A176=4,A170=1)</f>
        <v>0</v>
      </c>
      <c r="AD170" s="236">
        <f>IF(AC170=TRUE,1,0)</f>
        <v>0</v>
      </c>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row>
    <row r="171" spans="1:70" ht="15.75">
      <c r="A171" s="212">
        <f>A170</f>
        <v>2</v>
      </c>
      <c r="B171" s="212"/>
      <c r="C171" s="211">
        <f>IF(A170=1,"X","")</f>
      </c>
      <c r="D171" s="236"/>
      <c r="E171" s="212" t="s">
        <v>112</v>
      </c>
      <c r="F171" s="212"/>
      <c r="G171" s="212"/>
      <c r="H171" s="212"/>
      <c r="I171" s="212"/>
      <c r="J171" s="212">
        <v>2</v>
      </c>
      <c r="K171" s="212" t="s">
        <v>114</v>
      </c>
      <c r="L171" s="212"/>
      <c r="M171" s="212">
        <v>2</v>
      </c>
      <c r="N171" s="212"/>
      <c r="O171" s="212"/>
      <c r="P171" s="212"/>
      <c r="Q171" s="212"/>
      <c r="R171" s="212"/>
      <c r="S171" s="212"/>
      <c r="T171" s="212"/>
      <c r="U171" s="212"/>
      <c r="V171" s="212"/>
      <c r="W171" s="212"/>
      <c r="X171" s="212"/>
      <c r="Y171" s="214"/>
      <c r="Z171" s="214"/>
      <c r="AA171" s="212" t="b">
        <f>AND(A176&lt;&gt;4,A170=2)</f>
        <v>1</v>
      </c>
      <c r="AB171" s="236">
        <f>IF(AA171=TRUE,0.98,0)</f>
        <v>0.98</v>
      </c>
      <c r="AC171" s="212" t="b">
        <f>AND(A176=4,A170=2)</f>
        <v>0</v>
      </c>
      <c r="AD171" s="236">
        <f>IF(AC171=TRUE,0.93,0)</f>
        <v>0</v>
      </c>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row>
    <row r="172" spans="1:70" ht="15.75">
      <c r="A172" s="212"/>
      <c r="B172" s="212"/>
      <c r="C172" s="211" t="str">
        <f>IF(A170=2,"X","")</f>
        <v>X</v>
      </c>
      <c r="D172" s="236"/>
      <c r="E172" s="212" t="s">
        <v>114</v>
      </c>
      <c r="F172" s="212"/>
      <c r="G172" s="212"/>
      <c r="H172" s="212"/>
      <c r="I172" s="212"/>
      <c r="J172" s="212">
        <v>3</v>
      </c>
      <c r="K172" s="212" t="s">
        <v>115</v>
      </c>
      <c r="L172" s="212"/>
      <c r="M172" s="212">
        <v>6</v>
      </c>
      <c r="N172" s="212"/>
      <c r="O172" s="212"/>
      <c r="P172" s="212"/>
      <c r="Q172" s="212"/>
      <c r="R172" s="212"/>
      <c r="S172" s="212"/>
      <c r="T172" s="212"/>
      <c r="U172" s="212"/>
      <c r="V172" s="212"/>
      <c r="W172" s="212"/>
      <c r="X172" s="212"/>
      <c r="Y172" s="214"/>
      <c r="Z172" s="214"/>
      <c r="AA172" s="212" t="b">
        <f>AND(A176&lt;&gt;4,A170=3)</f>
        <v>0</v>
      </c>
      <c r="AB172" s="236">
        <f>IF(AA172=TRUE,0.94,0)</f>
        <v>0</v>
      </c>
      <c r="AC172" s="212" t="b">
        <f>AND(A176=4,A170=3)</f>
        <v>0</v>
      </c>
      <c r="AD172" s="236">
        <f>IF(AC172=TRUE,0.89,0)</f>
        <v>0</v>
      </c>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row>
    <row r="173" spans="1:70" ht="15.75">
      <c r="A173" s="212"/>
      <c r="B173" s="212"/>
      <c r="C173" s="211">
        <f>IF(A170=3,"X","")</f>
      </c>
      <c r="D173" s="236"/>
      <c r="E173" s="212" t="s">
        <v>226</v>
      </c>
      <c r="F173" s="212"/>
      <c r="G173" s="212"/>
      <c r="H173" s="212"/>
      <c r="I173" s="212"/>
      <c r="J173" s="212">
        <v>4</v>
      </c>
      <c r="K173" s="212" t="s">
        <v>116</v>
      </c>
      <c r="L173" s="212"/>
      <c r="M173" s="212">
        <v>10</v>
      </c>
      <c r="N173" s="212"/>
      <c r="O173" s="212"/>
      <c r="P173" s="212"/>
      <c r="Q173" s="212"/>
      <c r="R173" s="212"/>
      <c r="S173" s="212"/>
      <c r="T173" s="212"/>
      <c r="U173" s="212"/>
      <c r="V173" s="212"/>
      <c r="W173" s="212"/>
      <c r="X173" s="212"/>
      <c r="Y173" s="214"/>
      <c r="Z173" s="214"/>
      <c r="AA173" s="212" t="b">
        <f>AND(A176&lt;&gt;4,A170=4)</f>
        <v>0</v>
      </c>
      <c r="AB173" s="236">
        <f>IF(AA173=TRUE,0.9,0)</f>
        <v>0</v>
      </c>
      <c r="AC173" s="212" t="b">
        <f>AND(A176=4,A170=4)</f>
        <v>0</v>
      </c>
      <c r="AD173" s="236">
        <f>IF(AC173=TRUE,0.85,0)</f>
        <v>0</v>
      </c>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row>
    <row r="174" spans="1:70" ht="15.75">
      <c r="A174" s="212"/>
      <c r="B174" s="212"/>
      <c r="C174" s="211">
        <f>IF(A170=4,"X","")</f>
      </c>
      <c r="D174" s="236"/>
      <c r="E174" s="212" t="s">
        <v>116</v>
      </c>
      <c r="F174" s="212"/>
      <c r="G174" s="212"/>
      <c r="H174" s="212"/>
      <c r="I174" s="212"/>
      <c r="J174" s="212"/>
      <c r="K174" s="212"/>
      <c r="L174" s="212"/>
      <c r="M174" s="212"/>
      <c r="N174" s="212"/>
      <c r="O174" s="212"/>
      <c r="P174" s="212"/>
      <c r="Q174" s="212"/>
      <c r="R174" s="212"/>
      <c r="S174" s="212"/>
      <c r="T174" s="212"/>
      <c r="U174" s="212"/>
      <c r="V174" s="212"/>
      <c r="W174" s="212"/>
      <c r="X174" s="212"/>
      <c r="Y174" s="214"/>
      <c r="Z174" s="214"/>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row>
    <row r="175" spans="1:70" ht="15.75">
      <c r="A175" s="212"/>
      <c r="B175" s="212"/>
      <c r="C175" s="212"/>
      <c r="D175" s="236"/>
      <c r="E175" s="212"/>
      <c r="F175" s="212"/>
      <c r="G175" s="212"/>
      <c r="H175" s="212"/>
      <c r="I175" s="212"/>
      <c r="J175" s="211" t="s">
        <v>117</v>
      </c>
      <c r="K175" s="212"/>
      <c r="L175" s="212"/>
      <c r="M175" s="212"/>
      <c r="N175" s="212"/>
      <c r="O175" s="212"/>
      <c r="P175" s="212"/>
      <c r="Q175" s="212"/>
      <c r="R175" s="212"/>
      <c r="S175" s="212"/>
      <c r="T175" s="212"/>
      <c r="U175" s="212"/>
      <c r="V175" s="212"/>
      <c r="W175" s="212"/>
      <c r="X175" s="212"/>
      <c r="Y175" s="214"/>
      <c r="Z175" s="214"/>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row>
    <row r="176" spans="1:70" ht="15.75">
      <c r="A176" s="212">
        <v>1</v>
      </c>
      <c r="B176" s="212" t="str">
        <f>CHOOSE(A176,E177,E178,E179,E180)</f>
        <v>Postai csekk</v>
      </c>
      <c r="C176" s="212"/>
      <c r="D176" s="236"/>
      <c r="E176" s="211" t="s">
        <v>224</v>
      </c>
      <c r="F176" s="212"/>
      <c r="G176" s="212"/>
      <c r="H176" s="212"/>
      <c r="I176" s="212"/>
      <c r="J176" s="212">
        <v>1</v>
      </c>
      <c r="K176" s="212" t="s">
        <v>118</v>
      </c>
      <c r="L176" s="212"/>
      <c r="M176" s="212"/>
      <c r="N176" s="212"/>
      <c r="O176" s="212"/>
      <c r="P176" s="212"/>
      <c r="Q176" s="212"/>
      <c r="R176" s="212"/>
      <c r="S176" s="212"/>
      <c r="T176" s="212"/>
      <c r="U176" s="212"/>
      <c r="V176" s="212"/>
      <c r="W176" s="212"/>
      <c r="X176" s="212"/>
      <c r="Y176" s="214"/>
      <c r="Z176" s="214"/>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row>
    <row r="177" spans="1:70" ht="15.75">
      <c r="A177" s="212"/>
      <c r="B177" s="212"/>
      <c r="C177" s="211" t="str">
        <f>IF(A176=1,"X","")</f>
        <v>X</v>
      </c>
      <c r="D177" s="236"/>
      <c r="E177" s="212" t="s">
        <v>118</v>
      </c>
      <c r="F177" s="212"/>
      <c r="G177" s="212"/>
      <c r="H177" s="212"/>
      <c r="I177" s="212"/>
      <c r="J177" s="212">
        <v>2</v>
      </c>
      <c r="K177" s="212" t="s">
        <v>119</v>
      </c>
      <c r="L177" s="212"/>
      <c r="M177" s="212"/>
      <c r="N177" s="212"/>
      <c r="O177" s="212"/>
      <c r="P177" s="212"/>
      <c r="Q177" s="212"/>
      <c r="R177" s="212"/>
      <c r="S177" s="212"/>
      <c r="T177" s="212"/>
      <c r="U177" s="212"/>
      <c r="V177" s="212"/>
      <c r="W177" s="212"/>
      <c r="X177" s="212"/>
      <c r="Y177" s="214"/>
      <c r="Z177" s="214"/>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row>
    <row r="178" spans="1:70" ht="15.75">
      <c r="A178" s="212"/>
      <c r="B178" s="212"/>
      <c r="C178" s="211">
        <f>IF(A176=2,"X","")</f>
      </c>
      <c r="D178" s="236"/>
      <c r="E178" s="212" t="s">
        <v>227</v>
      </c>
      <c r="F178" s="212"/>
      <c r="G178" s="212"/>
      <c r="H178" s="212"/>
      <c r="I178" s="212"/>
      <c r="J178" s="212">
        <v>3</v>
      </c>
      <c r="K178" s="212" t="s">
        <v>120</v>
      </c>
      <c r="L178" s="212"/>
      <c r="M178" s="212"/>
      <c r="N178" s="212"/>
      <c r="O178" s="212"/>
      <c r="P178" s="212"/>
      <c r="Q178" s="212"/>
      <c r="R178" s="212"/>
      <c r="S178" s="212"/>
      <c r="T178" s="212"/>
      <c r="U178" s="212"/>
      <c r="V178" s="212"/>
      <c r="W178" s="212"/>
      <c r="X178" s="212"/>
      <c r="Y178" s="214"/>
      <c r="Z178" s="214"/>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row>
    <row r="179" spans="1:70" ht="15.75">
      <c r="A179" s="212"/>
      <c r="B179" s="212"/>
      <c r="C179" s="211">
        <f>IF(A176=3,"X","")</f>
      </c>
      <c r="D179" s="236"/>
      <c r="E179" s="212" t="s">
        <v>120</v>
      </c>
      <c r="F179" s="212"/>
      <c r="G179" s="212"/>
      <c r="H179" s="212"/>
      <c r="I179" s="212"/>
      <c r="J179" s="212">
        <v>4</v>
      </c>
      <c r="K179" s="212" t="s">
        <v>121</v>
      </c>
      <c r="L179" s="212"/>
      <c r="M179" s="212"/>
      <c r="N179" s="212"/>
      <c r="O179" s="212"/>
      <c r="P179" s="212"/>
      <c r="Q179" s="212"/>
      <c r="R179" s="212"/>
      <c r="S179" s="212"/>
      <c r="T179" s="212"/>
      <c r="U179" s="212"/>
      <c r="V179" s="212"/>
      <c r="W179" s="212"/>
      <c r="X179" s="212"/>
      <c r="Y179" s="214"/>
      <c r="Z179" s="214"/>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row>
    <row r="180" spans="1:70" ht="15.75">
      <c r="A180" s="212"/>
      <c r="B180" s="212"/>
      <c r="C180" s="211">
        <f>IF(A176=4,"X","")</f>
      </c>
      <c r="D180" s="236"/>
      <c r="E180" s="237" t="s">
        <v>1028</v>
      </c>
      <c r="F180" s="212"/>
      <c r="G180" s="212"/>
      <c r="H180" s="212"/>
      <c r="I180" s="212"/>
      <c r="J180" s="212"/>
      <c r="K180" s="212"/>
      <c r="L180" s="212"/>
      <c r="M180" s="212"/>
      <c r="N180" s="212"/>
      <c r="O180" s="212"/>
      <c r="P180" s="212"/>
      <c r="Q180" s="212"/>
      <c r="R180" s="212"/>
      <c r="S180" s="212"/>
      <c r="T180" s="212"/>
      <c r="U180" s="212"/>
      <c r="V180" s="212"/>
      <c r="W180" s="212"/>
      <c r="X180" s="212"/>
      <c r="Y180" s="214"/>
      <c r="Z180" s="214"/>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row>
    <row r="181" spans="1:70" ht="15.75">
      <c r="A181" s="212"/>
      <c r="B181" s="212"/>
      <c r="C181" s="212"/>
      <c r="D181" s="236">
        <f>SUM(AB170:AB173,AD170:AD173)</f>
        <v>0.98</v>
      </c>
      <c r="E181" s="211" t="s">
        <v>224</v>
      </c>
      <c r="F181" s="212"/>
      <c r="G181" s="212"/>
      <c r="H181" s="212"/>
      <c r="I181" s="212"/>
      <c r="J181" s="236"/>
      <c r="K181" s="212"/>
      <c r="L181" s="212"/>
      <c r="M181" s="212"/>
      <c r="N181" s="212"/>
      <c r="O181" s="212"/>
      <c r="P181" s="212"/>
      <c r="Q181" s="212"/>
      <c r="R181" s="212"/>
      <c r="S181" s="212"/>
      <c r="T181" s="212"/>
      <c r="U181" s="212"/>
      <c r="V181" s="212"/>
      <c r="W181" s="212"/>
      <c r="X181" s="212"/>
      <c r="Y181" s="214"/>
      <c r="Z181" s="214"/>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row>
    <row r="182" spans="1:70" ht="15.75">
      <c r="A182" s="212"/>
      <c r="B182" s="212"/>
      <c r="C182" s="212"/>
      <c r="D182" s="236"/>
      <c r="E182" s="212"/>
      <c r="F182" s="212"/>
      <c r="G182" s="212"/>
      <c r="H182" s="212"/>
      <c r="I182" s="212"/>
      <c r="J182" s="212"/>
      <c r="K182" s="212"/>
      <c r="L182" s="212"/>
      <c r="M182" s="212"/>
      <c r="N182" s="212"/>
      <c r="O182" s="212"/>
      <c r="P182" s="212"/>
      <c r="Q182" s="212"/>
      <c r="R182" s="212"/>
      <c r="S182" s="212"/>
      <c r="T182" s="212"/>
      <c r="U182" s="212"/>
      <c r="V182" s="212"/>
      <c r="W182" s="212"/>
      <c r="X182" s="212"/>
      <c r="Y182" s="214"/>
      <c r="Z182" s="214"/>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row>
    <row r="183" spans="1:70" ht="15.75">
      <c r="A183" s="212"/>
      <c r="B183" s="212"/>
      <c r="C183" s="212"/>
      <c r="D183" s="212"/>
      <c r="E183" s="212"/>
      <c r="F183" s="212"/>
      <c r="G183" s="212"/>
      <c r="H183" s="212"/>
      <c r="I183" s="212"/>
      <c r="J183" s="211" t="s">
        <v>263</v>
      </c>
      <c r="K183" s="212"/>
      <c r="L183" s="212" t="s">
        <v>250</v>
      </c>
      <c r="M183" s="212"/>
      <c r="N183" s="212" t="s">
        <v>264</v>
      </c>
      <c r="O183" s="212" t="s">
        <v>55</v>
      </c>
      <c r="P183" s="212"/>
      <c r="Q183" s="212" t="s">
        <v>265</v>
      </c>
      <c r="R183" s="212"/>
      <c r="S183" s="212"/>
      <c r="T183" s="212"/>
      <c r="U183" s="212"/>
      <c r="V183" s="212"/>
      <c r="W183" s="212"/>
      <c r="X183" s="212"/>
      <c r="Y183" s="214"/>
      <c r="Z183" s="214"/>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row>
    <row r="184" spans="1:70" ht="15.75">
      <c r="A184" s="212"/>
      <c r="B184" s="212"/>
      <c r="C184" s="212"/>
      <c r="D184" s="212"/>
      <c r="E184" s="212"/>
      <c r="F184" s="212"/>
      <c r="G184" s="212"/>
      <c r="H184" s="212"/>
      <c r="I184" s="212"/>
      <c r="J184" s="237" t="s">
        <v>350</v>
      </c>
      <c r="K184" s="212"/>
      <c r="L184" s="212"/>
      <c r="M184" s="212"/>
      <c r="N184" s="212">
        <f>Díjkalkuláció!AB43</f>
        <v>0</v>
      </c>
      <c r="O184" s="212">
        <f>W31</f>
        <v>0.32</v>
      </c>
      <c r="P184" s="212"/>
      <c r="Q184" s="220">
        <f>N184*O184</f>
        <v>0</v>
      </c>
      <c r="R184" s="212"/>
      <c r="S184" s="212"/>
      <c r="T184" s="212"/>
      <c r="U184" s="212"/>
      <c r="V184" s="212"/>
      <c r="W184" s="237" t="s">
        <v>874</v>
      </c>
      <c r="X184" s="237" t="s">
        <v>880</v>
      </c>
      <c r="Y184" s="237" t="s">
        <v>874</v>
      </c>
      <c r="Z184" s="237" t="s">
        <v>880</v>
      </c>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row>
    <row r="185" spans="1:70" ht="15.75">
      <c r="A185" s="212"/>
      <c r="B185" s="212"/>
      <c r="C185" s="212"/>
      <c r="D185" s="212"/>
      <c r="E185" s="212"/>
      <c r="F185" s="212"/>
      <c r="G185" s="212"/>
      <c r="H185" s="212"/>
      <c r="I185" s="212"/>
      <c r="J185" s="212" t="s">
        <v>34</v>
      </c>
      <c r="K185" s="236"/>
      <c r="L185" s="212"/>
      <c r="M185" s="212"/>
      <c r="N185" s="220">
        <f>Díjkalkuláció!AB28</f>
        <v>0</v>
      </c>
      <c r="O185" s="212">
        <f>W31</f>
        <v>0.32</v>
      </c>
      <c r="P185" s="212"/>
      <c r="Q185" s="220">
        <f>N185*O185</f>
        <v>0</v>
      </c>
      <c r="R185" s="212"/>
      <c r="S185" s="212"/>
      <c r="T185" s="212"/>
      <c r="U185" s="212"/>
      <c r="V185" s="237" t="s">
        <v>263</v>
      </c>
      <c r="W185" s="220">
        <f>N188+N195</f>
        <v>0</v>
      </c>
      <c r="X185" s="220">
        <f>R188+R195</f>
        <v>0</v>
      </c>
      <c r="Y185" s="214">
        <f>IF(X185=0,"",W185)</f>
      </c>
      <c r="Z185" s="214" t="str">
        <f>IF(X185=0,"Nem kérem",X185)</f>
        <v>Nem kérem</v>
      </c>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row>
    <row r="186" spans="1:70" ht="15.75">
      <c r="A186" s="212"/>
      <c r="B186" s="212"/>
      <c r="C186" s="212"/>
      <c r="D186" s="212"/>
      <c r="E186" s="212"/>
      <c r="F186" s="212"/>
      <c r="G186" s="212"/>
      <c r="H186" s="212"/>
      <c r="I186" s="212"/>
      <c r="J186" s="212" t="s">
        <v>35</v>
      </c>
      <c r="K186" s="212"/>
      <c r="L186" s="212"/>
      <c r="M186" s="212"/>
      <c r="N186" s="220">
        <f>Díjkalkuláció!AB42</f>
        <v>0</v>
      </c>
      <c r="O186" s="212">
        <f>W31</f>
        <v>0.32</v>
      </c>
      <c r="P186" s="212"/>
      <c r="Q186" s="220">
        <f>N186*O186</f>
        <v>0</v>
      </c>
      <c r="R186" s="212"/>
      <c r="S186" s="212"/>
      <c r="T186" s="212"/>
      <c r="U186" s="212"/>
      <c r="V186" s="237" t="s">
        <v>50</v>
      </c>
      <c r="W186" s="220">
        <f>N199+N200</f>
        <v>0</v>
      </c>
      <c r="X186" s="220">
        <f>Q199+Q200</f>
        <v>0</v>
      </c>
      <c r="Y186" s="214">
        <f aca="true" t="shared" si="0" ref="Y186:Y209">IF(X186=0,"",W186)</f>
      </c>
      <c r="Z186" s="214" t="str">
        <f aca="true" t="shared" si="1" ref="Z186:Z209">IF(X186=0,"Nem kérem",X186)</f>
        <v>Nem kérem</v>
      </c>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row>
    <row r="187" spans="1:70" ht="15.75">
      <c r="A187" s="212"/>
      <c r="B187" s="212"/>
      <c r="C187" s="212"/>
      <c r="D187" s="212"/>
      <c r="E187" s="212"/>
      <c r="F187" s="212"/>
      <c r="G187" s="212"/>
      <c r="H187" s="212"/>
      <c r="I187" s="212"/>
      <c r="J187" s="212" t="s">
        <v>244</v>
      </c>
      <c r="K187" s="212"/>
      <c r="L187" s="212"/>
      <c r="M187" s="212"/>
      <c r="N187" s="220">
        <f>Díjkalkuláció!AB44</f>
        <v>0</v>
      </c>
      <c r="O187" s="212">
        <f>W31</f>
        <v>0.32</v>
      </c>
      <c r="P187" s="212"/>
      <c r="Q187" s="220">
        <f>N187*O187</f>
        <v>0</v>
      </c>
      <c r="R187" s="212"/>
      <c r="S187" s="212"/>
      <c r="T187" s="212"/>
      <c r="U187" s="212"/>
      <c r="V187" s="237" t="s">
        <v>56</v>
      </c>
      <c r="W187" s="220">
        <f>N202+N203</f>
        <v>0</v>
      </c>
      <c r="X187" s="220">
        <f>Q202+Q203</f>
        <v>0</v>
      </c>
      <c r="Y187" s="214">
        <f t="shared" si="0"/>
      </c>
      <c r="Z187" s="214" t="str">
        <f t="shared" si="1"/>
        <v>Nem kérem</v>
      </c>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row>
    <row r="188" spans="1:70" ht="15.75">
      <c r="A188" s="212"/>
      <c r="B188" s="212"/>
      <c r="C188" s="212"/>
      <c r="D188" s="212"/>
      <c r="E188" s="212"/>
      <c r="F188" s="212"/>
      <c r="G188" s="212"/>
      <c r="H188" s="212"/>
      <c r="I188" s="212"/>
      <c r="J188" s="212" t="s">
        <v>262</v>
      </c>
      <c r="K188" s="212"/>
      <c r="L188" s="212"/>
      <c r="M188" s="212"/>
      <c r="N188" s="220">
        <f>SUM(N184:N187)</f>
        <v>0</v>
      </c>
      <c r="O188" s="212"/>
      <c r="P188" s="212"/>
      <c r="Q188" s="212"/>
      <c r="R188" s="220">
        <f>SUM(Q184:Q187)</f>
        <v>0</v>
      </c>
      <c r="S188" s="212"/>
      <c r="T188" s="212"/>
      <c r="U188" s="212"/>
      <c r="V188" s="237" t="s">
        <v>268</v>
      </c>
      <c r="W188" s="220">
        <f>N205+N206</f>
        <v>0</v>
      </c>
      <c r="X188" s="220">
        <f>Q205+Q206</f>
        <v>0</v>
      </c>
      <c r="Y188" s="214">
        <f t="shared" si="0"/>
      </c>
      <c r="Z188" s="214" t="str">
        <f t="shared" si="1"/>
        <v>Nem kérem</v>
      </c>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row>
    <row r="189" spans="1:70" ht="15.75">
      <c r="A189" s="212"/>
      <c r="B189" s="212"/>
      <c r="C189" s="212"/>
      <c r="D189" s="212"/>
      <c r="E189" s="212"/>
      <c r="F189" s="212"/>
      <c r="G189" s="212"/>
      <c r="H189" s="212"/>
      <c r="I189" s="212"/>
      <c r="J189" s="212" t="s">
        <v>59</v>
      </c>
      <c r="K189" s="212"/>
      <c r="L189" s="212"/>
      <c r="M189" s="212"/>
      <c r="N189" s="212"/>
      <c r="O189" s="212"/>
      <c r="P189" s="212"/>
      <c r="Q189" s="220"/>
      <c r="R189" s="212"/>
      <c r="S189" s="212"/>
      <c r="T189" s="212"/>
      <c r="U189" s="212"/>
      <c r="V189" s="237" t="s">
        <v>266</v>
      </c>
      <c r="W189" s="220">
        <f>N197</f>
        <v>0</v>
      </c>
      <c r="X189" s="220">
        <f>Q197</f>
        <v>0</v>
      </c>
      <c r="Y189" s="214">
        <f t="shared" si="0"/>
      </c>
      <c r="Z189" s="214" t="str">
        <f t="shared" si="1"/>
        <v>Nem kérem</v>
      </c>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row>
    <row r="190" spans="1:70" ht="15.75">
      <c r="A190" s="212"/>
      <c r="B190" s="212"/>
      <c r="C190" s="212"/>
      <c r="D190" s="212"/>
      <c r="E190" s="212"/>
      <c r="F190" s="212"/>
      <c r="G190" s="212"/>
      <c r="H190" s="212"/>
      <c r="I190" s="212"/>
      <c r="J190" s="212" t="s">
        <v>1</v>
      </c>
      <c r="K190" s="212"/>
      <c r="L190" s="212"/>
      <c r="M190" s="212"/>
      <c r="N190" s="220">
        <f>Díjkalkuláció!AB49</f>
        <v>0</v>
      </c>
      <c r="O190" s="212">
        <f>X31</f>
        <v>0.38</v>
      </c>
      <c r="P190" s="212"/>
      <c r="Q190" s="220">
        <f>N190*O190</f>
        <v>0</v>
      </c>
      <c r="R190" s="212"/>
      <c r="S190" s="212"/>
      <c r="T190" s="212"/>
      <c r="U190" s="212"/>
      <c r="V190" s="237" t="s">
        <v>873</v>
      </c>
      <c r="W190" s="220">
        <f>N208</f>
        <v>0</v>
      </c>
      <c r="X190" s="220">
        <f>Q208</f>
        <v>0</v>
      </c>
      <c r="Y190" s="214">
        <f t="shared" si="0"/>
      </c>
      <c r="Z190" s="214" t="str">
        <f t="shared" si="1"/>
        <v>Nem kérem</v>
      </c>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row>
    <row r="191" spans="1:70" ht="15.75">
      <c r="A191" s="212"/>
      <c r="B191" s="212"/>
      <c r="C191" s="212"/>
      <c r="D191" s="212"/>
      <c r="E191" s="212"/>
      <c r="F191" s="212"/>
      <c r="G191" s="212"/>
      <c r="H191" s="212"/>
      <c r="I191" s="212"/>
      <c r="J191" s="212" t="s">
        <v>2</v>
      </c>
      <c r="K191" s="212"/>
      <c r="L191" s="212"/>
      <c r="M191" s="212"/>
      <c r="N191" s="220">
        <f>Díjkalkuláció!AB56</f>
        <v>0</v>
      </c>
      <c r="O191" s="212">
        <f>X31</f>
        <v>0.38</v>
      </c>
      <c r="P191" s="212"/>
      <c r="Q191" s="220">
        <f>N191*O191</f>
        <v>0</v>
      </c>
      <c r="R191" s="212"/>
      <c r="S191" s="212"/>
      <c r="T191" s="212"/>
      <c r="U191" s="212"/>
      <c r="V191" s="237" t="s">
        <v>875</v>
      </c>
      <c r="W191" s="212">
        <f>N210</f>
        <v>0</v>
      </c>
      <c r="X191" s="220">
        <f>Q210</f>
        <v>0</v>
      </c>
      <c r="Y191" s="214">
        <f t="shared" si="0"/>
      </c>
      <c r="Z191" s="214" t="str">
        <f t="shared" si="1"/>
        <v>Nem kérem</v>
      </c>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row>
    <row r="192" spans="1:70" ht="15.75">
      <c r="A192" s="212"/>
      <c r="B192" s="212"/>
      <c r="C192" s="212"/>
      <c r="D192" s="212"/>
      <c r="E192" s="212"/>
      <c r="F192" s="212"/>
      <c r="G192" s="212"/>
      <c r="H192" s="212"/>
      <c r="I192" s="212"/>
      <c r="J192" s="212" t="s">
        <v>3</v>
      </c>
      <c r="K192" s="212"/>
      <c r="L192" s="212"/>
      <c r="M192" s="212"/>
      <c r="N192" s="220">
        <f>Díjkalkuláció!AB61</f>
        <v>0</v>
      </c>
      <c r="O192" s="212">
        <f>X31</f>
        <v>0.38</v>
      </c>
      <c r="P192" s="212"/>
      <c r="Q192" s="220">
        <f>N192*O192</f>
        <v>0</v>
      </c>
      <c r="R192" s="212"/>
      <c r="S192" s="212"/>
      <c r="T192" s="212"/>
      <c r="U192" s="212"/>
      <c r="V192" s="237" t="s">
        <v>876</v>
      </c>
      <c r="W192" s="212">
        <f>N211</f>
        <v>0</v>
      </c>
      <c r="X192" s="220">
        <f>Q211</f>
        <v>0</v>
      </c>
      <c r="Y192" s="214">
        <f t="shared" si="0"/>
      </c>
      <c r="Z192" s="214" t="str">
        <f t="shared" si="1"/>
        <v>Nem kérem</v>
      </c>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row>
    <row r="193" spans="1:70" ht="15.75">
      <c r="A193" s="212"/>
      <c r="B193" s="212"/>
      <c r="C193" s="212"/>
      <c r="D193" s="212"/>
      <c r="E193" s="212"/>
      <c r="F193" s="212"/>
      <c r="G193" s="212"/>
      <c r="H193" s="212"/>
      <c r="I193" s="212"/>
      <c r="J193" s="212" t="s">
        <v>4</v>
      </c>
      <c r="K193" s="212"/>
      <c r="L193" s="212"/>
      <c r="M193" s="212"/>
      <c r="N193" s="220">
        <f>Díjkalkuláció!AB67</f>
        <v>0</v>
      </c>
      <c r="O193" s="212">
        <f>X31</f>
        <v>0.38</v>
      </c>
      <c r="P193" s="212"/>
      <c r="Q193" s="220">
        <f>N193*O193</f>
        <v>0</v>
      </c>
      <c r="R193" s="212"/>
      <c r="S193" s="212"/>
      <c r="T193" s="212"/>
      <c r="U193" s="212"/>
      <c r="V193" s="237" t="s">
        <v>877</v>
      </c>
      <c r="W193" s="212">
        <f>N212</f>
        <v>0</v>
      </c>
      <c r="X193" s="220">
        <f>Q212</f>
        <v>0</v>
      </c>
      <c r="Y193" s="214">
        <f t="shared" si="0"/>
      </c>
      <c r="Z193" s="214" t="str">
        <f t="shared" si="1"/>
        <v>Nem kérem</v>
      </c>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row>
    <row r="194" spans="1:70" ht="15.75">
      <c r="A194" s="212"/>
      <c r="B194" s="212"/>
      <c r="C194" s="212"/>
      <c r="D194" s="212"/>
      <c r="E194" s="212"/>
      <c r="F194" s="212"/>
      <c r="G194" s="212"/>
      <c r="H194" s="212"/>
      <c r="I194" s="212"/>
      <c r="J194" s="212" t="s">
        <v>5</v>
      </c>
      <c r="K194" s="212"/>
      <c r="L194" s="212"/>
      <c r="M194" s="212"/>
      <c r="N194" s="220">
        <f>Díjkalkuláció!AB70</f>
        <v>0</v>
      </c>
      <c r="O194" s="212">
        <f>X31</f>
        <v>0.38</v>
      </c>
      <c r="P194" s="212"/>
      <c r="Q194" s="220">
        <f>N194*O194</f>
        <v>0</v>
      </c>
      <c r="R194" s="212"/>
      <c r="S194" s="212"/>
      <c r="T194" s="212"/>
      <c r="U194" s="212"/>
      <c r="V194" s="237" t="s">
        <v>878</v>
      </c>
      <c r="W194" s="212">
        <f>N213</f>
        <v>0</v>
      </c>
      <c r="X194" s="220">
        <f>Q213</f>
        <v>0</v>
      </c>
      <c r="Y194" s="214">
        <f t="shared" si="0"/>
      </c>
      <c r="Z194" s="214" t="str">
        <f t="shared" si="1"/>
        <v>Nem kérem</v>
      </c>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row>
    <row r="195" spans="1:70" ht="15.75">
      <c r="A195" s="212"/>
      <c r="B195" s="212"/>
      <c r="C195" s="212"/>
      <c r="D195" s="212"/>
      <c r="E195" s="212"/>
      <c r="F195" s="212"/>
      <c r="G195" s="212"/>
      <c r="H195" s="212"/>
      <c r="I195" s="212"/>
      <c r="J195" s="212" t="s">
        <v>261</v>
      </c>
      <c r="K195" s="212"/>
      <c r="L195" s="212"/>
      <c r="M195" s="212"/>
      <c r="N195" s="220">
        <f>SUM(N190:N194)</f>
        <v>0</v>
      </c>
      <c r="O195" s="212"/>
      <c r="P195" s="212"/>
      <c r="Q195" s="212"/>
      <c r="R195" s="220">
        <f>SUM(Q190:Q194)</f>
        <v>0</v>
      </c>
      <c r="S195" s="212"/>
      <c r="T195" s="212"/>
      <c r="U195" s="212"/>
      <c r="V195" s="237" t="s">
        <v>879</v>
      </c>
      <c r="W195" s="212">
        <f>N214</f>
        <v>0</v>
      </c>
      <c r="X195" s="220">
        <f>Q214</f>
        <v>0</v>
      </c>
      <c r="Y195" s="214">
        <f t="shared" si="0"/>
      </c>
      <c r="Z195" s="214" t="str">
        <f t="shared" si="1"/>
        <v>Nem kérem</v>
      </c>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row>
    <row r="196" spans="1:70" ht="15.75">
      <c r="A196" s="212"/>
      <c r="B196" s="212"/>
      <c r="C196" s="212"/>
      <c r="D196" s="212"/>
      <c r="E196" s="212"/>
      <c r="F196" s="212"/>
      <c r="G196" s="212"/>
      <c r="H196" s="212"/>
      <c r="I196" s="212"/>
      <c r="J196" s="211" t="s">
        <v>266</v>
      </c>
      <c r="K196" s="212"/>
      <c r="L196" s="212"/>
      <c r="M196" s="212"/>
      <c r="N196" s="212"/>
      <c r="O196" s="212"/>
      <c r="P196" s="212"/>
      <c r="Q196" s="212"/>
      <c r="R196" s="212"/>
      <c r="S196" s="212"/>
      <c r="T196" s="212"/>
      <c r="U196" s="212"/>
      <c r="V196" s="237" t="s">
        <v>82</v>
      </c>
      <c r="W196" s="220">
        <f>N217</f>
        <v>0</v>
      </c>
      <c r="X196" s="220">
        <f>Q217</f>
        <v>0</v>
      </c>
      <c r="Y196" s="214">
        <f t="shared" si="0"/>
      </c>
      <c r="Z196" s="214" t="str">
        <f t="shared" si="1"/>
        <v>Nem kérem</v>
      </c>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row>
    <row r="197" spans="1:70" ht="15.75">
      <c r="A197" s="212"/>
      <c r="B197" s="212"/>
      <c r="C197" s="212"/>
      <c r="D197" s="212"/>
      <c r="E197" s="212"/>
      <c r="F197" s="212"/>
      <c r="G197" s="212"/>
      <c r="H197" s="212"/>
      <c r="I197" s="212"/>
      <c r="J197" s="212"/>
      <c r="K197" s="212"/>
      <c r="L197" s="212"/>
      <c r="M197" s="212"/>
      <c r="N197" s="220">
        <f>O63</f>
        <v>0</v>
      </c>
      <c r="O197" s="212">
        <v>15</v>
      </c>
      <c r="P197" s="212"/>
      <c r="Q197" s="220">
        <f>N197*O197</f>
        <v>0</v>
      </c>
      <c r="R197" s="212"/>
      <c r="S197" s="212"/>
      <c r="T197" s="212"/>
      <c r="U197" s="212"/>
      <c r="V197" s="237" t="s">
        <v>185</v>
      </c>
      <c r="W197" s="220">
        <f>N219</f>
        <v>0</v>
      </c>
      <c r="X197" s="220">
        <f>Q219</f>
        <v>0</v>
      </c>
      <c r="Y197" s="214">
        <f t="shared" si="0"/>
      </c>
      <c r="Z197" s="214" t="str">
        <f t="shared" si="1"/>
        <v>Nem kérem</v>
      </c>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row>
    <row r="198" spans="1:70" ht="15.75">
      <c r="A198" s="212"/>
      <c r="B198" s="212"/>
      <c r="C198" s="212"/>
      <c r="D198" s="212"/>
      <c r="E198" s="212"/>
      <c r="F198" s="212"/>
      <c r="G198" s="212"/>
      <c r="H198" s="212"/>
      <c r="I198" s="212"/>
      <c r="J198" s="211" t="s">
        <v>50</v>
      </c>
      <c r="K198" s="212"/>
      <c r="L198" s="212"/>
      <c r="M198" s="212"/>
      <c r="N198" s="212"/>
      <c r="O198" s="212"/>
      <c r="P198" s="212"/>
      <c r="Q198" s="212"/>
      <c r="R198" s="212"/>
      <c r="S198" s="212"/>
      <c r="T198" s="212"/>
      <c r="U198" s="212"/>
      <c r="V198" s="237" t="s">
        <v>881</v>
      </c>
      <c r="W198" s="220">
        <f>N221</f>
        <v>0</v>
      </c>
      <c r="X198" s="220">
        <f>Q221</f>
        <v>0</v>
      </c>
      <c r="Y198" s="214">
        <f t="shared" si="0"/>
      </c>
      <c r="Z198" s="214" t="str">
        <f t="shared" si="1"/>
        <v>Nem kérem</v>
      </c>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row>
    <row r="199" spans="1:70" ht="15.75">
      <c r="A199" s="212"/>
      <c r="B199" s="212"/>
      <c r="C199" s="212"/>
      <c r="D199" s="212"/>
      <c r="E199" s="212"/>
      <c r="F199" s="212"/>
      <c r="G199" s="212"/>
      <c r="H199" s="212"/>
      <c r="I199" s="212"/>
      <c r="J199" s="212" t="s">
        <v>126</v>
      </c>
      <c r="K199" s="212"/>
      <c r="L199" s="212"/>
      <c r="M199" s="212"/>
      <c r="N199" s="220">
        <f>N188</f>
        <v>0</v>
      </c>
      <c r="O199" s="212">
        <f>AB33</f>
        <v>0.16</v>
      </c>
      <c r="P199" s="212"/>
      <c r="Q199" s="220">
        <f>N199*O199</f>
        <v>0</v>
      </c>
      <c r="R199" s="212"/>
      <c r="S199" s="212"/>
      <c r="T199" s="212"/>
      <c r="U199" s="212"/>
      <c r="V199" s="237" t="s">
        <v>24</v>
      </c>
      <c r="W199" s="212"/>
      <c r="X199" s="220">
        <f>Q223</f>
        <v>0</v>
      </c>
      <c r="Y199" s="214"/>
      <c r="Z199" s="214" t="str">
        <f t="shared" si="1"/>
        <v>Nem kérem</v>
      </c>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row>
    <row r="200" spans="1:70" ht="15.75">
      <c r="A200" s="212"/>
      <c r="B200" s="212"/>
      <c r="C200" s="212"/>
      <c r="D200" s="212"/>
      <c r="E200" s="212"/>
      <c r="F200" s="212"/>
      <c r="G200" s="212"/>
      <c r="H200" s="212"/>
      <c r="I200" s="212"/>
      <c r="J200" s="212" t="s">
        <v>12</v>
      </c>
      <c r="K200" s="212"/>
      <c r="L200" s="212"/>
      <c r="M200" s="212"/>
      <c r="N200" s="220">
        <f>N195</f>
        <v>0</v>
      </c>
      <c r="O200" s="212">
        <f>O199</f>
        <v>0.16</v>
      </c>
      <c r="P200" s="212"/>
      <c r="Q200" s="220">
        <f>N200*O200</f>
        <v>0</v>
      </c>
      <c r="R200" s="212"/>
      <c r="S200" s="212"/>
      <c r="T200" s="212"/>
      <c r="U200" s="212"/>
      <c r="V200" s="237" t="s">
        <v>280</v>
      </c>
      <c r="W200" s="212"/>
      <c r="X200" s="220">
        <f>Q225</f>
        <v>0</v>
      </c>
      <c r="Y200" s="214"/>
      <c r="Z200" s="214" t="str">
        <f t="shared" si="1"/>
        <v>Nem kérem</v>
      </c>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row>
    <row r="201" spans="1:70" ht="15.75">
      <c r="A201" s="212"/>
      <c r="B201" s="212"/>
      <c r="C201" s="212"/>
      <c r="D201" s="212"/>
      <c r="E201" s="212"/>
      <c r="F201" s="212"/>
      <c r="G201" s="212"/>
      <c r="H201" s="212"/>
      <c r="I201" s="212"/>
      <c r="J201" s="211" t="s">
        <v>56</v>
      </c>
      <c r="K201" s="212"/>
      <c r="L201" s="212"/>
      <c r="M201" s="212"/>
      <c r="N201" s="212"/>
      <c r="O201" s="212"/>
      <c r="P201" s="212"/>
      <c r="Q201" s="220"/>
      <c r="R201" s="212"/>
      <c r="S201" s="212"/>
      <c r="T201" s="212"/>
      <c r="U201" s="212"/>
      <c r="V201" s="237" t="s">
        <v>281</v>
      </c>
      <c r="W201" s="212"/>
      <c r="X201" s="220">
        <f>Q227</f>
        <v>0</v>
      </c>
      <c r="Y201" s="214"/>
      <c r="Z201" s="214" t="str">
        <f t="shared" si="1"/>
        <v>Nem kérem</v>
      </c>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row>
    <row r="202" spans="1:70" ht="15.75">
      <c r="A202" s="212"/>
      <c r="B202" s="212"/>
      <c r="C202" s="212"/>
      <c r="D202" s="212"/>
      <c r="E202" s="212"/>
      <c r="F202" s="212"/>
      <c r="G202" s="212"/>
      <c r="H202" s="212"/>
      <c r="I202" s="212"/>
      <c r="J202" s="212" t="s">
        <v>126</v>
      </c>
      <c r="K202" s="212"/>
      <c r="L202" s="212"/>
      <c r="M202" s="212"/>
      <c r="N202" s="220">
        <f>N188</f>
        <v>0</v>
      </c>
      <c r="O202" s="212">
        <f>O41</f>
        <v>0.24</v>
      </c>
      <c r="P202" s="212"/>
      <c r="Q202" s="220">
        <f>N202*O202</f>
        <v>0</v>
      </c>
      <c r="R202" s="212"/>
      <c r="S202" s="212"/>
      <c r="T202" s="212"/>
      <c r="U202" s="212"/>
      <c r="V202" s="237" t="s">
        <v>1122</v>
      </c>
      <c r="W202" s="212"/>
      <c r="X202" s="220">
        <f>Q228</f>
        <v>0</v>
      </c>
      <c r="Y202" s="214"/>
      <c r="Z202" s="214" t="str">
        <f t="shared" si="1"/>
        <v>Nem kérem</v>
      </c>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row>
    <row r="203" spans="1:70" ht="15.75">
      <c r="A203" s="212"/>
      <c r="B203" s="212"/>
      <c r="C203" s="212"/>
      <c r="D203" s="212"/>
      <c r="E203" s="212"/>
      <c r="F203" s="212"/>
      <c r="G203" s="212"/>
      <c r="H203" s="212"/>
      <c r="I203" s="212"/>
      <c r="J203" s="212" t="s">
        <v>12</v>
      </c>
      <c r="K203" s="212"/>
      <c r="L203" s="212"/>
      <c r="M203" s="212"/>
      <c r="N203" s="220">
        <f>N195</f>
        <v>0</v>
      </c>
      <c r="O203" s="212">
        <f>P41</f>
        <v>0.12</v>
      </c>
      <c r="P203" s="212"/>
      <c r="Q203" s="220">
        <f>N203*O203</f>
        <v>0</v>
      </c>
      <c r="R203" s="212"/>
      <c r="S203" s="212"/>
      <c r="T203" s="212"/>
      <c r="U203" s="212"/>
      <c r="V203" s="237" t="s">
        <v>1123</v>
      </c>
      <c r="W203" s="212"/>
      <c r="X203" s="220">
        <f>Q229</f>
        <v>0</v>
      </c>
      <c r="Y203" s="214"/>
      <c r="Z203" s="214" t="str">
        <f t="shared" si="1"/>
        <v>Nem kérem</v>
      </c>
      <c r="AA203" s="212"/>
      <c r="AB203" s="212"/>
      <c r="AC203" s="212"/>
      <c r="AD203" s="212"/>
      <c r="AE203" s="212"/>
      <c r="AF203" s="212"/>
      <c r="AG203" s="212"/>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c r="BI203" s="212"/>
      <c r="BJ203" s="212"/>
      <c r="BK203" s="212"/>
      <c r="BL203" s="212"/>
      <c r="BM203" s="212"/>
      <c r="BN203" s="212"/>
      <c r="BO203" s="212"/>
      <c r="BP203" s="212"/>
      <c r="BQ203" s="212"/>
      <c r="BR203" s="212"/>
    </row>
    <row r="204" spans="1:70" ht="15.75">
      <c r="A204" s="212"/>
      <c r="B204" s="212"/>
      <c r="C204" s="212"/>
      <c r="D204" s="212"/>
      <c r="E204" s="212"/>
      <c r="F204" s="212"/>
      <c r="G204" s="212"/>
      <c r="H204" s="212"/>
      <c r="I204" s="212"/>
      <c r="J204" s="211" t="s">
        <v>268</v>
      </c>
      <c r="K204" s="212"/>
      <c r="L204" s="212"/>
      <c r="M204" s="212"/>
      <c r="N204" s="212"/>
      <c r="O204" s="212"/>
      <c r="P204" s="212"/>
      <c r="Q204" s="220"/>
      <c r="R204" s="212"/>
      <c r="S204" s="212"/>
      <c r="T204" s="212"/>
      <c r="U204" s="212"/>
      <c r="V204" s="237" t="s">
        <v>286</v>
      </c>
      <c r="W204" s="212"/>
      <c r="X204" s="220">
        <f>Q231</f>
        <v>0</v>
      </c>
      <c r="Y204" s="214"/>
      <c r="Z204" s="214" t="str">
        <f t="shared" si="1"/>
        <v>Nem kérem</v>
      </c>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row>
    <row r="205" spans="1:70" ht="15.75">
      <c r="A205" s="212"/>
      <c r="B205" s="212"/>
      <c r="C205" s="212"/>
      <c r="D205" s="212"/>
      <c r="E205" s="212"/>
      <c r="F205" s="212"/>
      <c r="G205" s="212"/>
      <c r="H205" s="212"/>
      <c r="I205" s="212"/>
      <c r="J205" s="212" t="s">
        <v>126</v>
      </c>
      <c r="K205" s="212"/>
      <c r="L205" s="212"/>
      <c r="M205" s="212"/>
      <c r="N205" s="220">
        <f>N188</f>
        <v>0</v>
      </c>
      <c r="O205" s="212">
        <f>Z51</f>
        <v>0.34</v>
      </c>
      <c r="P205" s="212"/>
      <c r="Q205" s="220">
        <f>N205*O205</f>
        <v>0</v>
      </c>
      <c r="R205" s="212"/>
      <c r="S205" s="212"/>
      <c r="T205" s="212"/>
      <c r="U205" s="212"/>
      <c r="V205" s="237" t="s">
        <v>958</v>
      </c>
      <c r="W205" s="220">
        <f>VLOOKUP($A$104,$I$233:$N$242,6,FALSE)</f>
        <v>0</v>
      </c>
      <c r="X205" s="220">
        <f>VLOOKUP($A$104,$I$233:$Q$242,9,FALSE)</f>
        <v>0</v>
      </c>
      <c r="Y205" s="214">
        <f t="shared" si="0"/>
      </c>
      <c r="Z205" s="214" t="str">
        <f t="shared" si="1"/>
        <v>Nem kérem</v>
      </c>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row>
    <row r="206" spans="1:70" ht="15.75">
      <c r="A206" s="212"/>
      <c r="B206" s="212"/>
      <c r="C206" s="212"/>
      <c r="D206" s="212"/>
      <c r="E206" s="212"/>
      <c r="F206" s="212"/>
      <c r="G206" s="212"/>
      <c r="H206" s="212"/>
      <c r="I206" s="212"/>
      <c r="J206" s="212" t="s">
        <v>12</v>
      </c>
      <c r="K206" s="212"/>
      <c r="L206" s="212"/>
      <c r="M206" s="212"/>
      <c r="N206" s="220">
        <f>N195</f>
        <v>0</v>
      </c>
      <c r="O206" s="212">
        <f>AA51</f>
        <v>0.16</v>
      </c>
      <c r="P206" s="212"/>
      <c r="Q206" s="220">
        <f>N206*O206</f>
        <v>0</v>
      </c>
      <c r="R206" s="212"/>
      <c r="S206" s="212"/>
      <c r="T206" s="212"/>
      <c r="U206" s="212"/>
      <c r="V206" s="237" t="s">
        <v>959</v>
      </c>
      <c r="W206" s="220">
        <f>VLOOKUP($A$105,H233:N241,7,FALSE)</f>
        <v>0</v>
      </c>
      <c r="X206" s="220">
        <f>VLOOKUP($A$105,$H$233:$Q$241,10,FALSE)</f>
        <v>0</v>
      </c>
      <c r="Y206" s="214">
        <f t="shared" si="0"/>
      </c>
      <c r="Z206" s="214" t="str">
        <f t="shared" si="1"/>
        <v>Nem kérem</v>
      </c>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row>
    <row r="207" spans="1:70" ht="15.75">
      <c r="A207" s="212"/>
      <c r="B207" s="212"/>
      <c r="C207" s="212"/>
      <c r="D207" s="212"/>
      <c r="E207" s="212"/>
      <c r="F207" s="212"/>
      <c r="G207" s="212"/>
      <c r="H207" s="212"/>
      <c r="I207" s="212"/>
      <c r="J207" s="211" t="s">
        <v>178</v>
      </c>
      <c r="K207" s="212"/>
      <c r="L207" s="212"/>
      <c r="M207" s="212"/>
      <c r="N207" s="212"/>
      <c r="O207" s="212"/>
      <c r="P207" s="212"/>
      <c r="Q207" s="220"/>
      <c r="R207" s="212"/>
      <c r="S207" s="212"/>
      <c r="T207" s="212"/>
      <c r="U207" s="212"/>
      <c r="V207" s="237" t="s">
        <v>960</v>
      </c>
      <c r="W207" s="220">
        <f>VLOOKUP($A$105,G233:N241,8,FALSE)</f>
        <v>0</v>
      </c>
      <c r="X207" s="220">
        <f>VLOOKUP($A$105,$G$233:$Q$241,11,FALSE)</f>
        <v>0</v>
      </c>
      <c r="Y207" s="214">
        <f t="shared" si="0"/>
      </c>
      <c r="Z207" s="214" t="str">
        <f t="shared" si="1"/>
        <v>Nem kérem</v>
      </c>
      <c r="AA207" s="212"/>
      <c r="AB207" s="212"/>
      <c r="AC207" s="212"/>
      <c r="AD207" s="212"/>
      <c r="AE207" s="212"/>
      <c r="AF207" s="212"/>
      <c r="AG207" s="212"/>
      <c r="AH207" s="212"/>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c r="BI207" s="212"/>
      <c r="BJ207" s="212"/>
      <c r="BK207" s="212"/>
      <c r="BL207" s="212"/>
      <c r="BM207" s="212"/>
      <c r="BN207" s="212"/>
      <c r="BO207" s="212"/>
      <c r="BP207" s="212"/>
      <c r="BQ207" s="212"/>
      <c r="BR207" s="212"/>
    </row>
    <row r="208" spans="1:70" ht="15.75">
      <c r="A208" s="212"/>
      <c r="B208" s="212"/>
      <c r="C208" s="212"/>
      <c r="D208" s="212"/>
      <c r="E208" s="212"/>
      <c r="F208" s="212"/>
      <c r="G208" s="212"/>
      <c r="H208" s="212"/>
      <c r="I208" s="212"/>
      <c r="J208" s="212" t="s">
        <v>133</v>
      </c>
      <c r="K208" s="212"/>
      <c r="L208" s="212"/>
      <c r="M208" s="212"/>
      <c r="N208" s="220">
        <f>Díjkalkuláció!AA98</f>
        <v>0</v>
      </c>
      <c r="O208" s="212">
        <f>O69</f>
        <v>0</v>
      </c>
      <c r="P208" s="212"/>
      <c r="Q208" s="220">
        <f>N208*O208</f>
        <v>0</v>
      </c>
      <c r="R208" s="212"/>
      <c r="S208" s="212"/>
      <c r="T208" s="212"/>
      <c r="U208" s="212"/>
      <c r="V208" s="237" t="s">
        <v>882</v>
      </c>
      <c r="W208" s="220">
        <f>N244</f>
        <v>0</v>
      </c>
      <c r="X208" s="220">
        <f>Q244</f>
        <v>0</v>
      </c>
      <c r="Y208" s="214">
        <f t="shared" si="0"/>
      </c>
      <c r="Z208" s="214" t="str">
        <f t="shared" si="1"/>
        <v>Nem kérem</v>
      </c>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row>
    <row r="209" spans="1:70" ht="15.75">
      <c r="A209" s="212"/>
      <c r="B209" s="212"/>
      <c r="C209" s="212"/>
      <c r="D209" s="212"/>
      <c r="E209" s="212"/>
      <c r="F209" s="212"/>
      <c r="G209" s="212"/>
      <c r="H209" s="212"/>
      <c r="I209" s="212"/>
      <c r="J209" s="211" t="s">
        <v>273</v>
      </c>
      <c r="K209" s="212"/>
      <c r="L209" s="212"/>
      <c r="M209" s="212"/>
      <c r="N209" s="212"/>
      <c r="O209" s="212"/>
      <c r="P209" s="212"/>
      <c r="Q209" s="220"/>
      <c r="R209" s="212"/>
      <c r="S209" s="212"/>
      <c r="T209" s="212"/>
      <c r="U209" s="212"/>
      <c r="V209" s="237" t="s">
        <v>883</v>
      </c>
      <c r="W209" s="220">
        <f>N245</f>
        <v>0</v>
      </c>
      <c r="X209" s="220">
        <f>Q245</f>
        <v>0</v>
      </c>
      <c r="Y209" s="214">
        <f t="shared" si="0"/>
      </c>
      <c r="Z209" s="214" t="str">
        <f t="shared" si="1"/>
        <v>Nem kérem</v>
      </c>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row>
    <row r="210" spans="1:70" ht="15.75">
      <c r="A210" s="212"/>
      <c r="B210" s="212"/>
      <c r="C210" s="212"/>
      <c r="D210" s="212"/>
      <c r="E210" s="212"/>
      <c r="F210" s="212"/>
      <c r="G210" s="212"/>
      <c r="H210" s="212"/>
      <c r="I210" s="212"/>
      <c r="J210" s="212" t="s">
        <v>1</v>
      </c>
      <c r="K210" s="212"/>
      <c r="L210" s="220">
        <f>AF77</f>
        <v>200</v>
      </c>
      <c r="M210" s="220">
        <f>N190</f>
        <v>0</v>
      </c>
      <c r="N210" s="212">
        <f>IF(L210&lt;=M210,L210,M210)</f>
        <v>0</v>
      </c>
      <c r="O210" s="212">
        <f>Q89</f>
        <v>0</v>
      </c>
      <c r="P210" s="212"/>
      <c r="Q210" s="220">
        <f>N210*O210</f>
        <v>0</v>
      </c>
      <c r="R210" s="212"/>
      <c r="S210" s="212"/>
      <c r="T210" s="212"/>
      <c r="U210" s="212"/>
      <c r="V210" s="223" t="s">
        <v>141</v>
      </c>
      <c r="W210" s="212"/>
      <c r="X210" s="220">
        <f>Q247</f>
        <v>0</v>
      </c>
      <c r="Y210" s="214"/>
      <c r="Z210" s="214">
        <f>X210</f>
        <v>0</v>
      </c>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row>
    <row r="211" spans="1:70" ht="15.75">
      <c r="A211" s="212"/>
      <c r="B211" s="212"/>
      <c r="C211" s="212"/>
      <c r="D211" s="212"/>
      <c r="E211" s="212"/>
      <c r="F211" s="212"/>
      <c r="G211" s="212"/>
      <c r="H211" s="212"/>
      <c r="I211" s="212"/>
      <c r="J211" s="212" t="s">
        <v>2</v>
      </c>
      <c r="K211" s="212"/>
      <c r="L211" s="220">
        <f>AG77</f>
        <v>1000</v>
      </c>
      <c r="M211" s="220">
        <f>N191</f>
        <v>0</v>
      </c>
      <c r="N211" s="212">
        <f>IF(L211&lt;=M211,L211,M211)</f>
        <v>0</v>
      </c>
      <c r="O211" s="212">
        <f>S89</f>
        <v>0</v>
      </c>
      <c r="P211" s="212"/>
      <c r="Q211" s="220">
        <f>N211*O211</f>
        <v>0</v>
      </c>
      <c r="R211" s="212"/>
      <c r="S211" s="212"/>
      <c r="T211" s="212"/>
      <c r="U211" s="212"/>
      <c r="V211" s="212"/>
      <c r="W211" s="212"/>
      <c r="X211" s="220"/>
      <c r="Y211" s="214"/>
      <c r="Z211" s="214"/>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row>
    <row r="212" spans="1:70" ht="15.75">
      <c r="A212" s="212"/>
      <c r="B212" s="212"/>
      <c r="C212" s="212"/>
      <c r="D212" s="212"/>
      <c r="E212" s="212"/>
      <c r="F212" s="212"/>
      <c r="G212" s="212"/>
      <c r="H212" s="212"/>
      <c r="I212" s="212"/>
      <c r="J212" s="212" t="s">
        <v>3</v>
      </c>
      <c r="K212" s="212"/>
      <c r="L212" s="212"/>
      <c r="M212" s="220">
        <f>N192</f>
        <v>0</v>
      </c>
      <c r="N212" s="220">
        <f>Díjkalkuláció!P94</f>
        <v>0</v>
      </c>
      <c r="O212" s="212">
        <f>W89</f>
        <v>0</v>
      </c>
      <c r="P212" s="212"/>
      <c r="Q212" s="220">
        <f>N212*O212</f>
        <v>0</v>
      </c>
      <c r="R212" s="212"/>
      <c r="S212" s="212"/>
      <c r="T212" s="212"/>
      <c r="U212" s="212"/>
      <c r="V212" s="212"/>
      <c r="W212" s="212"/>
      <c r="X212" s="220"/>
      <c r="Y212" s="214"/>
      <c r="Z212" s="214"/>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row>
    <row r="213" spans="1:70" ht="15.75">
      <c r="A213" s="212"/>
      <c r="B213" s="212"/>
      <c r="C213" s="212"/>
      <c r="D213" s="212"/>
      <c r="E213" s="212"/>
      <c r="F213" s="212"/>
      <c r="G213" s="212"/>
      <c r="H213" s="212"/>
      <c r="I213" s="212"/>
      <c r="J213" s="212" t="s">
        <v>4</v>
      </c>
      <c r="K213" s="212"/>
      <c r="L213" s="212"/>
      <c r="M213" s="220">
        <f>N193</f>
        <v>0</v>
      </c>
      <c r="N213" s="220">
        <f>Díjkalkuláció!P95</f>
        <v>0</v>
      </c>
      <c r="O213" s="212">
        <f>O212</f>
        <v>0</v>
      </c>
      <c r="P213" s="212"/>
      <c r="Q213" s="220">
        <f>N213*O213</f>
        <v>0</v>
      </c>
      <c r="R213" s="212"/>
      <c r="S213" s="212"/>
      <c r="T213" s="212"/>
      <c r="U213" s="212"/>
      <c r="V213" s="212"/>
      <c r="W213" s="212"/>
      <c r="X213" s="212"/>
      <c r="Y213" s="214"/>
      <c r="Z213" s="214"/>
      <c r="AA213" s="212"/>
      <c r="AB213" s="212"/>
      <c r="AC213" s="212"/>
      <c r="AD213" s="212"/>
      <c r="AE213" s="212"/>
      <c r="AF213" s="212"/>
      <c r="AG213" s="212"/>
      <c r="AH213" s="212"/>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row>
    <row r="214" spans="1:70" ht="15.75">
      <c r="A214" s="212"/>
      <c r="B214" s="212"/>
      <c r="C214" s="212"/>
      <c r="D214" s="212"/>
      <c r="E214" s="212"/>
      <c r="F214" s="212"/>
      <c r="G214" s="212"/>
      <c r="H214" s="212"/>
      <c r="I214" s="212"/>
      <c r="J214" s="212" t="s">
        <v>5</v>
      </c>
      <c r="K214" s="212"/>
      <c r="L214" s="212"/>
      <c r="M214" s="220">
        <f>N194</f>
        <v>0</v>
      </c>
      <c r="N214" s="220">
        <f>Díjkalkuláció!P96</f>
        <v>0</v>
      </c>
      <c r="O214" s="212">
        <f>O213</f>
        <v>0</v>
      </c>
      <c r="P214" s="212"/>
      <c r="Q214" s="220">
        <f>N214*O214</f>
        <v>0</v>
      </c>
      <c r="R214" s="212"/>
      <c r="S214" s="212"/>
      <c r="T214" s="212"/>
      <c r="U214" s="212"/>
      <c r="V214" s="212"/>
      <c r="W214" s="212"/>
      <c r="X214" s="212"/>
      <c r="Y214" s="214"/>
      <c r="Z214" s="214"/>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row>
    <row r="215" spans="1:70" ht="15.75">
      <c r="A215" s="212"/>
      <c r="B215" s="212"/>
      <c r="C215" s="212"/>
      <c r="D215" s="212"/>
      <c r="E215" s="212"/>
      <c r="F215" s="212"/>
      <c r="G215" s="212"/>
      <c r="H215" s="212"/>
      <c r="I215" s="212"/>
      <c r="J215" s="212" t="s">
        <v>274</v>
      </c>
      <c r="K215" s="212"/>
      <c r="L215" s="220">
        <f>AH77</f>
        <v>4800</v>
      </c>
      <c r="M215" s="212"/>
      <c r="N215" s="212"/>
      <c r="O215" s="212"/>
      <c r="P215" s="212"/>
      <c r="Q215" s="220"/>
      <c r="R215" s="212"/>
      <c r="S215" s="212"/>
      <c r="T215" s="212"/>
      <c r="U215" s="212"/>
      <c r="V215" s="212"/>
      <c r="W215" s="212"/>
      <c r="X215" s="212"/>
      <c r="Y215" s="214"/>
      <c r="Z215" s="214"/>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row>
    <row r="216" spans="1:70" ht="15.75">
      <c r="A216" s="212"/>
      <c r="B216" s="212"/>
      <c r="C216" s="212"/>
      <c r="D216" s="212"/>
      <c r="E216" s="212"/>
      <c r="F216" s="212"/>
      <c r="G216" s="212"/>
      <c r="H216" s="212"/>
      <c r="I216" s="212"/>
      <c r="J216" s="211" t="s">
        <v>82</v>
      </c>
      <c r="K216" s="212"/>
      <c r="L216" s="212"/>
      <c r="M216" s="212"/>
      <c r="N216" s="212"/>
      <c r="O216" s="212"/>
      <c r="P216" s="212"/>
      <c r="Q216" s="212"/>
      <c r="R216" s="212"/>
      <c r="S216" s="212"/>
      <c r="T216" s="212"/>
      <c r="U216" s="212"/>
      <c r="V216" s="212"/>
      <c r="W216" s="212"/>
      <c r="X216" s="220"/>
      <c r="Y216" s="214"/>
      <c r="Z216" s="214"/>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row>
    <row r="217" spans="1:70" ht="15.75">
      <c r="A217" s="212"/>
      <c r="B217" s="212"/>
      <c r="C217" s="212"/>
      <c r="D217" s="212"/>
      <c r="E217" s="212"/>
      <c r="F217" s="212"/>
      <c r="G217" s="212"/>
      <c r="H217" s="212"/>
      <c r="I217" s="212"/>
      <c r="J217" s="212" t="s">
        <v>126</v>
      </c>
      <c r="K217" s="212"/>
      <c r="L217" s="212"/>
      <c r="M217" s="212"/>
      <c r="N217" s="220">
        <f>IF(J100=TRUE,0,N188)</f>
        <v>0</v>
      </c>
      <c r="O217" s="212">
        <f>O101</f>
        <v>0</v>
      </c>
      <c r="P217" s="212"/>
      <c r="Q217" s="220">
        <f>N217*O217</f>
        <v>0</v>
      </c>
      <c r="R217" s="212"/>
      <c r="S217" s="212"/>
      <c r="T217" s="212"/>
      <c r="U217" s="212"/>
      <c r="V217" s="212"/>
      <c r="W217" s="212"/>
      <c r="X217" s="212"/>
      <c r="Y217" s="214"/>
      <c r="Z217" s="214"/>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row>
    <row r="218" spans="1:70" ht="15.75">
      <c r="A218" s="212"/>
      <c r="B218" s="212"/>
      <c r="C218" s="212"/>
      <c r="D218" s="212"/>
      <c r="E218" s="212"/>
      <c r="F218" s="212"/>
      <c r="G218" s="212"/>
      <c r="H218" s="212"/>
      <c r="I218" s="212"/>
      <c r="J218" s="211" t="s">
        <v>185</v>
      </c>
      <c r="K218" s="212"/>
      <c r="L218" s="212"/>
      <c r="M218" s="212"/>
      <c r="N218" s="212"/>
      <c r="O218" s="212"/>
      <c r="P218" s="212"/>
      <c r="Q218" s="220"/>
      <c r="R218" s="212"/>
      <c r="S218" s="212"/>
      <c r="T218" s="212"/>
      <c r="U218" s="212"/>
      <c r="V218" s="212"/>
      <c r="W218" s="212"/>
      <c r="X218" s="212"/>
      <c r="Y218" s="214"/>
      <c r="Z218" s="214"/>
      <c r="AA218" s="212"/>
      <c r="AB218" s="212"/>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row>
    <row r="219" spans="1:70" ht="15.75">
      <c r="A219" s="212"/>
      <c r="B219" s="212"/>
      <c r="C219" s="212"/>
      <c r="D219" s="212"/>
      <c r="E219" s="212"/>
      <c r="F219" s="212"/>
      <c r="G219" s="212"/>
      <c r="H219" s="212"/>
      <c r="I219" s="212"/>
      <c r="J219" s="212" t="s">
        <v>126</v>
      </c>
      <c r="K219" s="212"/>
      <c r="L219" s="212"/>
      <c r="M219" s="212"/>
      <c r="N219" s="220">
        <f>N188</f>
        <v>0</v>
      </c>
      <c r="O219" s="212">
        <f>P138</f>
        <v>0</v>
      </c>
      <c r="P219" s="212"/>
      <c r="Q219" s="220">
        <f>N219*O219</f>
        <v>0</v>
      </c>
      <c r="R219" s="212"/>
      <c r="S219" s="212"/>
      <c r="T219" s="212"/>
      <c r="U219" s="212"/>
      <c r="V219" s="212"/>
      <c r="W219" s="212"/>
      <c r="X219" s="212"/>
      <c r="Y219" s="214"/>
      <c r="Z219" s="214"/>
      <c r="AA219" s="212"/>
      <c r="AB219" s="212"/>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c r="AW219" s="212"/>
      <c r="AX219" s="212"/>
      <c r="AY219" s="212"/>
      <c r="AZ219" s="212"/>
      <c r="BA219" s="212"/>
      <c r="BB219" s="212"/>
      <c r="BC219" s="212"/>
      <c r="BD219" s="212"/>
      <c r="BE219" s="212"/>
      <c r="BF219" s="212"/>
      <c r="BG219" s="212"/>
      <c r="BH219" s="212"/>
      <c r="BI219" s="212"/>
      <c r="BJ219" s="212"/>
      <c r="BK219" s="212"/>
      <c r="BL219" s="212"/>
      <c r="BM219" s="212"/>
      <c r="BN219" s="212"/>
      <c r="BO219" s="212"/>
      <c r="BP219" s="212"/>
      <c r="BQ219" s="212"/>
      <c r="BR219" s="212"/>
    </row>
    <row r="220" spans="1:70" ht="15.75">
      <c r="A220" s="212"/>
      <c r="B220" s="212"/>
      <c r="C220" s="212"/>
      <c r="D220" s="212"/>
      <c r="E220" s="212"/>
      <c r="F220" s="212"/>
      <c r="G220" s="212"/>
      <c r="H220" s="212"/>
      <c r="I220" s="212"/>
      <c r="J220" s="211" t="s">
        <v>279</v>
      </c>
      <c r="K220" s="212"/>
      <c r="L220" s="212"/>
      <c r="M220" s="212"/>
      <c r="N220" s="212"/>
      <c r="O220" s="212"/>
      <c r="P220" s="212"/>
      <c r="Q220" s="220"/>
      <c r="R220" s="212"/>
      <c r="S220" s="212"/>
      <c r="T220" s="212"/>
      <c r="U220" s="212"/>
      <c r="V220" s="212"/>
      <c r="W220" s="212"/>
      <c r="X220" s="212"/>
      <c r="Y220" s="214"/>
      <c r="Z220" s="214"/>
      <c r="AA220" s="212"/>
      <c r="AB220" s="212"/>
      <c r="AC220" s="212"/>
      <c r="AD220" s="212"/>
      <c r="AE220" s="212"/>
      <c r="AF220" s="212"/>
      <c r="AG220" s="212"/>
      <c r="AH220" s="212"/>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row>
    <row r="221" spans="1:70" ht="15.75">
      <c r="A221" s="212"/>
      <c r="B221" s="212"/>
      <c r="C221" s="212"/>
      <c r="D221" s="212"/>
      <c r="E221" s="212"/>
      <c r="F221" s="212"/>
      <c r="G221" s="212"/>
      <c r="H221" s="212"/>
      <c r="I221" s="212"/>
      <c r="J221" s="212" t="s">
        <v>133</v>
      </c>
      <c r="K221" s="212"/>
      <c r="L221" s="212"/>
      <c r="M221" s="212"/>
      <c r="N221" s="220">
        <f>IF(A134=2,0,Díjkalkuláció!AA106)</f>
        <v>0</v>
      </c>
      <c r="O221" s="212">
        <f>P135</f>
        <v>0</v>
      </c>
      <c r="P221" s="212"/>
      <c r="Q221" s="220">
        <f>N221*O221</f>
        <v>0</v>
      </c>
      <c r="R221" s="212"/>
      <c r="S221" s="212"/>
      <c r="T221" s="212"/>
      <c r="U221" s="212"/>
      <c r="V221" s="212"/>
      <c r="W221" s="212"/>
      <c r="X221" s="212"/>
      <c r="Y221" s="214"/>
      <c r="Z221" s="214"/>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2"/>
      <c r="BQ221" s="212"/>
      <c r="BR221" s="212"/>
    </row>
    <row r="222" spans="1:70" ht="15.75">
      <c r="A222" s="212"/>
      <c r="B222" s="212"/>
      <c r="C222" s="212"/>
      <c r="D222" s="212"/>
      <c r="E222" s="212"/>
      <c r="F222" s="212"/>
      <c r="G222" s="212"/>
      <c r="H222" s="212"/>
      <c r="I222" s="212"/>
      <c r="J222" s="211" t="s">
        <v>24</v>
      </c>
      <c r="K222" s="212"/>
      <c r="L222" s="212"/>
      <c r="M222" s="212"/>
      <c r="N222" s="212"/>
      <c r="O222" s="212"/>
      <c r="P222" s="212"/>
      <c r="Q222" s="220"/>
      <c r="R222" s="212"/>
      <c r="S222" s="212"/>
      <c r="T222" s="212"/>
      <c r="U222" s="212"/>
      <c r="V222" s="212"/>
      <c r="W222" s="212"/>
      <c r="X222" s="212"/>
      <c r="Y222" s="214"/>
      <c r="Z222" s="214"/>
      <c r="AA222" s="212"/>
      <c r="AB222" s="212"/>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c r="AW222" s="212"/>
      <c r="AX222" s="212"/>
      <c r="AY222" s="212"/>
      <c r="AZ222" s="212"/>
      <c r="BA222" s="212"/>
      <c r="BB222" s="212"/>
      <c r="BC222" s="212"/>
      <c r="BD222" s="212"/>
      <c r="BE222" s="212"/>
      <c r="BF222" s="212"/>
      <c r="BG222" s="212"/>
      <c r="BH222" s="212"/>
      <c r="BI222" s="212"/>
      <c r="BJ222" s="212"/>
      <c r="BK222" s="212"/>
      <c r="BL222" s="212"/>
      <c r="BM222" s="212"/>
      <c r="BN222" s="212"/>
      <c r="BO222" s="212"/>
      <c r="BP222" s="212"/>
      <c r="BQ222" s="212"/>
      <c r="BR222" s="212"/>
    </row>
    <row r="223" spans="1:70" ht="15.75">
      <c r="A223" s="212"/>
      <c r="B223" s="212"/>
      <c r="C223" s="212"/>
      <c r="D223" s="212"/>
      <c r="E223" s="212"/>
      <c r="F223" s="212"/>
      <c r="G223" s="212"/>
      <c r="H223" s="212"/>
      <c r="I223" s="212"/>
      <c r="J223" s="212"/>
      <c r="K223" s="212"/>
      <c r="L223" s="212"/>
      <c r="M223" s="212"/>
      <c r="N223" s="212">
        <v>1</v>
      </c>
      <c r="O223" s="212">
        <f>P126</f>
        <v>0</v>
      </c>
      <c r="P223" s="212"/>
      <c r="Q223" s="220">
        <f>N223*O223</f>
        <v>0</v>
      </c>
      <c r="R223" s="212"/>
      <c r="S223" s="212"/>
      <c r="T223" s="212"/>
      <c r="U223" s="212"/>
      <c r="V223" s="212"/>
      <c r="W223" s="212"/>
      <c r="X223" s="212"/>
      <c r="Y223" s="214"/>
      <c r="Z223" s="214"/>
      <c r="AA223" s="212"/>
      <c r="AB223" s="212"/>
      <c r="AC223" s="212"/>
      <c r="AD223" s="212"/>
      <c r="AE223" s="212"/>
      <c r="AF223" s="212"/>
      <c r="AG223" s="212"/>
      <c r="AH223" s="212"/>
      <c r="AI223" s="212"/>
      <c r="AJ223" s="212"/>
      <c r="AK223" s="212"/>
      <c r="AL223" s="212"/>
      <c r="AM223" s="212"/>
      <c r="AN223" s="212"/>
      <c r="AO223" s="212"/>
      <c r="AP223" s="212"/>
      <c r="AQ223" s="212"/>
      <c r="AR223" s="212"/>
      <c r="AS223" s="212"/>
      <c r="AT223" s="212"/>
      <c r="AU223" s="212"/>
      <c r="AV223" s="212"/>
      <c r="AW223" s="212"/>
      <c r="AX223" s="212"/>
      <c r="AY223" s="212"/>
      <c r="AZ223" s="212"/>
      <c r="BA223" s="212"/>
      <c r="BB223" s="212"/>
      <c r="BC223" s="212"/>
      <c r="BD223" s="212"/>
      <c r="BE223" s="212"/>
      <c r="BF223" s="212"/>
      <c r="BG223" s="212"/>
      <c r="BH223" s="212"/>
      <c r="BI223" s="212"/>
      <c r="BJ223" s="212"/>
      <c r="BK223" s="212"/>
      <c r="BL223" s="212"/>
      <c r="BM223" s="212"/>
      <c r="BN223" s="212"/>
      <c r="BO223" s="212"/>
      <c r="BP223" s="212"/>
      <c r="BQ223" s="212"/>
      <c r="BR223" s="212"/>
    </row>
    <row r="224" spans="1:70" ht="15.75">
      <c r="A224" s="212"/>
      <c r="B224" s="212"/>
      <c r="C224" s="212"/>
      <c r="D224" s="212"/>
      <c r="E224" s="212"/>
      <c r="F224" s="212"/>
      <c r="G224" s="212"/>
      <c r="H224" s="212"/>
      <c r="I224" s="212"/>
      <c r="J224" s="211" t="s">
        <v>280</v>
      </c>
      <c r="K224" s="212"/>
      <c r="L224" s="212"/>
      <c r="M224" s="212"/>
      <c r="N224" s="212"/>
      <c r="O224" s="212"/>
      <c r="P224" s="212"/>
      <c r="Q224" s="220"/>
      <c r="R224" s="212"/>
      <c r="S224" s="212"/>
      <c r="T224" s="212"/>
      <c r="U224" s="212"/>
      <c r="V224" s="212"/>
      <c r="W224" s="212"/>
      <c r="X224" s="212"/>
      <c r="Y224" s="214"/>
      <c r="Z224" s="214"/>
      <c r="AA224" s="212"/>
      <c r="AB224" s="212"/>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row>
    <row r="225" spans="1:70" ht="15.75">
      <c r="A225" s="212"/>
      <c r="B225" s="212"/>
      <c r="C225" s="212"/>
      <c r="D225" s="212"/>
      <c r="E225" s="212"/>
      <c r="F225" s="212"/>
      <c r="G225" s="212"/>
      <c r="H225" s="212"/>
      <c r="I225" s="212"/>
      <c r="J225" s="212"/>
      <c r="K225" s="212"/>
      <c r="L225" s="212"/>
      <c r="M225" s="212"/>
      <c r="N225" s="212">
        <v>1</v>
      </c>
      <c r="O225" s="212">
        <f>P130</f>
        <v>0</v>
      </c>
      <c r="P225" s="212"/>
      <c r="Q225" s="220">
        <f>N225*O225</f>
        <v>0</v>
      </c>
      <c r="R225" s="212"/>
      <c r="S225" s="212"/>
      <c r="T225" s="212"/>
      <c r="U225" s="212"/>
      <c r="V225" s="212"/>
      <c r="W225" s="212"/>
      <c r="X225" s="212"/>
      <c r="Y225" s="214"/>
      <c r="Z225" s="214"/>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row>
    <row r="226" spans="1:70" ht="16.5" thickBot="1">
      <c r="A226" s="212"/>
      <c r="B226" s="212"/>
      <c r="C226" s="212"/>
      <c r="D226" s="212"/>
      <c r="E226" s="212"/>
      <c r="F226" s="212"/>
      <c r="G226" s="212"/>
      <c r="H226" s="212"/>
      <c r="I226" s="212"/>
      <c r="J226" s="211" t="s">
        <v>281</v>
      </c>
      <c r="K226" s="212"/>
      <c r="L226" s="212"/>
      <c r="M226" s="212"/>
      <c r="N226" s="212"/>
      <c r="O226" s="212"/>
      <c r="P226" s="212"/>
      <c r="Q226" s="220"/>
      <c r="R226" s="212"/>
      <c r="S226" s="212"/>
      <c r="T226" s="212"/>
      <c r="U226" s="212"/>
      <c r="V226" s="212"/>
      <c r="W226" s="212"/>
      <c r="X226" s="212"/>
      <c r="Y226" s="214"/>
      <c r="Z226" s="214"/>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row>
    <row r="227" spans="1:70" ht="15.75">
      <c r="A227" s="212"/>
      <c r="B227" s="212"/>
      <c r="C227" s="212"/>
      <c r="D227" s="212"/>
      <c r="E227" s="212"/>
      <c r="F227" s="212"/>
      <c r="G227" s="212"/>
      <c r="H227" s="212"/>
      <c r="I227" s="212"/>
      <c r="J227" s="238" t="s">
        <v>284</v>
      </c>
      <c r="K227" s="239"/>
      <c r="L227" s="239"/>
      <c r="M227" s="239"/>
      <c r="N227" s="239">
        <v>1</v>
      </c>
      <c r="O227" s="240">
        <f>O148</f>
        <v>0</v>
      </c>
      <c r="P227" s="239"/>
      <c r="Q227" s="241">
        <f>N227*O227</f>
        <v>0</v>
      </c>
      <c r="R227" s="212"/>
      <c r="S227" s="212"/>
      <c r="T227" s="212"/>
      <c r="U227" s="212"/>
      <c r="V227" s="212"/>
      <c r="W227" s="212"/>
      <c r="X227" s="212"/>
      <c r="Y227" s="214"/>
      <c r="Z227" s="214"/>
      <c r="AA227" s="212"/>
      <c r="AB227" s="212"/>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row>
    <row r="228" spans="1:70" ht="15.75">
      <c r="A228" s="212"/>
      <c r="B228" s="212"/>
      <c r="C228" s="212"/>
      <c r="D228" s="212"/>
      <c r="E228" s="212"/>
      <c r="F228" s="212"/>
      <c r="G228" s="212"/>
      <c r="H228" s="212"/>
      <c r="I228" s="212"/>
      <c r="J228" s="242" t="s">
        <v>192</v>
      </c>
      <c r="K228" s="243"/>
      <c r="L228" s="243"/>
      <c r="M228" s="243"/>
      <c r="N228" s="243">
        <v>1</v>
      </c>
      <c r="O228" s="244">
        <f>O150</f>
        <v>0</v>
      </c>
      <c r="P228" s="243"/>
      <c r="Q228" s="245">
        <f>N228*O228</f>
        <v>0</v>
      </c>
      <c r="R228" s="212"/>
      <c r="S228" s="212"/>
      <c r="T228" s="212"/>
      <c r="U228" s="212"/>
      <c r="V228" s="212"/>
      <c r="W228" s="212"/>
      <c r="X228" s="212"/>
      <c r="Y228" s="214"/>
      <c r="Z228" s="214"/>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row>
    <row r="229" spans="1:70" ht="16.5" thickBot="1">
      <c r="A229" s="212"/>
      <c r="B229" s="212"/>
      <c r="C229" s="212"/>
      <c r="D229" s="212"/>
      <c r="E229" s="212"/>
      <c r="F229" s="212"/>
      <c r="G229" s="212"/>
      <c r="H229" s="212"/>
      <c r="I229" s="212"/>
      <c r="J229" s="246" t="s">
        <v>98</v>
      </c>
      <c r="K229" s="247"/>
      <c r="L229" s="247"/>
      <c r="M229" s="247"/>
      <c r="N229" s="247">
        <v>1</v>
      </c>
      <c r="O229" s="248">
        <f>O155</f>
        <v>0</v>
      </c>
      <c r="P229" s="247"/>
      <c r="Q229" s="249">
        <f>N229*O229</f>
        <v>0</v>
      </c>
      <c r="R229" s="212"/>
      <c r="S229" s="212"/>
      <c r="T229" s="212"/>
      <c r="U229" s="212"/>
      <c r="V229" s="212"/>
      <c r="W229" s="212"/>
      <c r="X229" s="212"/>
      <c r="Y229" s="214"/>
      <c r="Z229" s="214"/>
      <c r="AA229" s="212"/>
      <c r="AB229" s="212"/>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c r="BI229" s="212"/>
      <c r="BJ229" s="212"/>
      <c r="BK229" s="212"/>
      <c r="BL229" s="212"/>
      <c r="BM229" s="212"/>
      <c r="BN229" s="212"/>
      <c r="BO229" s="212"/>
      <c r="BP229" s="212"/>
      <c r="BQ229" s="212"/>
      <c r="BR229" s="212"/>
    </row>
    <row r="230" spans="1:70" ht="15.75">
      <c r="A230" s="212"/>
      <c r="B230" s="212"/>
      <c r="C230" s="212"/>
      <c r="D230" s="212"/>
      <c r="E230" s="212"/>
      <c r="F230" s="212"/>
      <c r="G230" s="212"/>
      <c r="H230" s="212"/>
      <c r="I230" s="212"/>
      <c r="J230" s="212"/>
      <c r="K230" s="212"/>
      <c r="L230" s="212"/>
      <c r="M230" s="212"/>
      <c r="N230" s="212"/>
      <c r="O230" s="212"/>
      <c r="P230" s="212"/>
      <c r="Q230" s="220"/>
      <c r="R230" s="220">
        <f>SUM(Q227:Q229)</f>
        <v>0</v>
      </c>
      <c r="S230" s="212"/>
      <c r="T230" s="212"/>
      <c r="U230" s="212"/>
      <c r="V230" s="212"/>
      <c r="W230" s="212"/>
      <c r="X230" s="212"/>
      <c r="Y230" s="214"/>
      <c r="Z230" s="214"/>
      <c r="AA230" s="212"/>
      <c r="AB230" s="212"/>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row>
    <row r="231" spans="1:70" ht="15.75">
      <c r="A231" s="212"/>
      <c r="B231" s="212"/>
      <c r="C231" s="212"/>
      <c r="D231" s="212"/>
      <c r="E231" s="212"/>
      <c r="F231" s="212"/>
      <c r="G231" s="212"/>
      <c r="H231" s="212"/>
      <c r="I231" s="212"/>
      <c r="J231" s="211" t="s">
        <v>286</v>
      </c>
      <c r="K231" s="212"/>
      <c r="L231" s="212"/>
      <c r="M231" s="212"/>
      <c r="N231" s="212">
        <v>1</v>
      </c>
      <c r="O231" s="220">
        <f>K167</f>
        <v>0</v>
      </c>
      <c r="P231" s="212"/>
      <c r="Q231" s="220">
        <f>N231*O231</f>
        <v>0</v>
      </c>
      <c r="R231" s="212"/>
      <c r="S231" s="212"/>
      <c r="T231" s="212"/>
      <c r="U231" s="212"/>
      <c r="V231" s="212"/>
      <c r="W231" s="212"/>
      <c r="X231" s="212"/>
      <c r="Y231" s="214"/>
      <c r="Z231" s="214"/>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row>
    <row r="232" spans="1:70" ht="15.75">
      <c r="A232" s="212"/>
      <c r="B232" s="212"/>
      <c r="C232" s="212"/>
      <c r="D232" s="212"/>
      <c r="E232" s="212"/>
      <c r="F232" s="212"/>
      <c r="G232" s="212"/>
      <c r="H232" s="212"/>
      <c r="I232" s="212"/>
      <c r="J232" s="212"/>
      <c r="K232" s="212"/>
      <c r="L232" s="212"/>
      <c r="M232" s="212"/>
      <c r="N232" s="212"/>
      <c r="O232" s="212"/>
      <c r="P232" s="212"/>
      <c r="Q232" s="220"/>
      <c r="R232" s="212"/>
      <c r="S232" s="212"/>
      <c r="T232" s="212"/>
      <c r="U232" s="212"/>
      <c r="V232" s="212"/>
      <c r="W232" s="212"/>
      <c r="X232" s="212"/>
      <c r="Y232" s="214"/>
      <c r="Z232" s="214"/>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row>
    <row r="233" spans="1:70" ht="15.75">
      <c r="A233" s="212"/>
      <c r="B233" s="212"/>
      <c r="C233" s="212"/>
      <c r="D233" s="212"/>
      <c r="E233" s="212"/>
      <c r="F233" s="212"/>
      <c r="G233" s="237">
        <v>1</v>
      </c>
      <c r="H233" s="237">
        <v>1</v>
      </c>
      <c r="I233" s="237">
        <v>1</v>
      </c>
      <c r="J233" s="211" t="s">
        <v>288</v>
      </c>
      <c r="K233" s="212"/>
      <c r="L233" s="212"/>
      <c r="M233" s="212"/>
      <c r="N233" s="212"/>
      <c r="O233" s="212"/>
      <c r="P233" s="212"/>
      <c r="Q233" s="220"/>
      <c r="R233" s="212"/>
      <c r="S233" s="212"/>
      <c r="T233" s="212"/>
      <c r="U233" s="212"/>
      <c r="V233" s="212"/>
      <c r="W233" s="212"/>
      <c r="X233" s="212"/>
      <c r="Y233" s="214"/>
      <c r="Z233" s="214"/>
      <c r="AA233" s="212"/>
      <c r="AB233" s="212"/>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c r="BI233" s="212"/>
      <c r="BJ233" s="212"/>
      <c r="BK233" s="212"/>
      <c r="BL233" s="212"/>
      <c r="BM233" s="212"/>
      <c r="BN233" s="212"/>
      <c r="BO233" s="212"/>
      <c r="BP233" s="212"/>
      <c r="BQ233" s="212"/>
      <c r="BR233" s="212"/>
    </row>
    <row r="234" spans="1:70" ht="15.75">
      <c r="A234" s="212"/>
      <c r="B234" s="212"/>
      <c r="C234" s="212"/>
      <c r="D234" s="212"/>
      <c r="E234" s="212"/>
      <c r="F234" s="212"/>
      <c r="G234" s="237"/>
      <c r="H234" s="237"/>
      <c r="I234" s="237">
        <v>2</v>
      </c>
      <c r="J234" s="212" t="s">
        <v>276</v>
      </c>
      <c r="K234" s="212" t="s">
        <v>289</v>
      </c>
      <c r="L234" s="212"/>
      <c r="M234" s="212"/>
      <c r="N234" s="220">
        <f>IF(A104=1,0,Díjkalkuláció!I133)</f>
        <v>0</v>
      </c>
      <c r="O234" s="212">
        <f>Q104</f>
        <v>0</v>
      </c>
      <c r="P234" s="212"/>
      <c r="Q234" s="220">
        <f>N234*O234</f>
        <v>0</v>
      </c>
      <c r="R234" s="212"/>
      <c r="S234" s="212"/>
      <c r="T234" s="212"/>
      <c r="U234" s="212"/>
      <c r="V234" s="212"/>
      <c r="W234" s="212"/>
      <c r="X234" s="212"/>
      <c r="Y234" s="214"/>
      <c r="Z234" s="214"/>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row>
    <row r="235" spans="1:70" ht="15.75">
      <c r="A235" s="212"/>
      <c r="B235" s="212"/>
      <c r="C235" s="212"/>
      <c r="D235" s="212"/>
      <c r="E235" s="212"/>
      <c r="F235" s="212"/>
      <c r="G235" s="237"/>
      <c r="H235" s="237">
        <v>2</v>
      </c>
      <c r="I235" s="237"/>
      <c r="J235" s="212"/>
      <c r="K235" s="212" t="s">
        <v>290</v>
      </c>
      <c r="L235" s="212"/>
      <c r="M235" s="212"/>
      <c r="N235" s="220">
        <f>IF(A104=1,0,Díjkalkuláció!I134)</f>
        <v>0</v>
      </c>
      <c r="O235" s="212">
        <f>Q105</f>
        <v>0</v>
      </c>
      <c r="P235" s="212"/>
      <c r="Q235" s="220">
        <f>N235*O235</f>
        <v>0</v>
      </c>
      <c r="R235" s="212"/>
      <c r="S235" s="212"/>
      <c r="T235" s="212"/>
      <c r="U235" s="212"/>
      <c r="V235" s="212"/>
      <c r="W235" s="212"/>
      <c r="X235" s="212"/>
      <c r="Y235" s="214"/>
      <c r="Z235" s="214"/>
      <c r="AA235" s="212"/>
      <c r="AB235" s="212"/>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2"/>
      <c r="AY235" s="212"/>
      <c r="AZ235" s="212"/>
      <c r="BA235" s="212"/>
      <c r="BB235" s="212"/>
      <c r="BC235" s="212"/>
      <c r="BD235" s="212"/>
      <c r="BE235" s="212"/>
      <c r="BF235" s="212"/>
      <c r="BG235" s="212"/>
      <c r="BH235" s="212"/>
      <c r="BI235" s="212"/>
      <c r="BJ235" s="212"/>
      <c r="BK235" s="212"/>
      <c r="BL235" s="212"/>
      <c r="BM235" s="212"/>
      <c r="BN235" s="212"/>
      <c r="BO235" s="212"/>
      <c r="BP235" s="212"/>
      <c r="BQ235" s="212"/>
      <c r="BR235" s="212"/>
    </row>
    <row r="236" spans="1:70" ht="15.75">
      <c r="A236" s="212"/>
      <c r="B236" s="212"/>
      <c r="C236" s="212"/>
      <c r="D236" s="212"/>
      <c r="E236" s="212"/>
      <c r="F236" s="212"/>
      <c r="G236" s="237">
        <v>2</v>
      </c>
      <c r="H236" s="237"/>
      <c r="I236" s="237"/>
      <c r="J236" s="212"/>
      <c r="K236" s="212" t="s">
        <v>23</v>
      </c>
      <c r="L236" s="212"/>
      <c r="M236" s="212"/>
      <c r="N236" s="220">
        <f>IF(A104=1,0,Díjkalkuláció!I135)</f>
        <v>0</v>
      </c>
      <c r="O236" s="212">
        <f>Q106</f>
        <v>0</v>
      </c>
      <c r="P236" s="212"/>
      <c r="Q236" s="220">
        <f>N236*O236</f>
        <v>0</v>
      </c>
      <c r="R236" s="212"/>
      <c r="S236" s="212"/>
      <c r="T236" s="212"/>
      <c r="U236" s="212"/>
      <c r="V236" s="212"/>
      <c r="W236" s="212"/>
      <c r="X236" s="212"/>
      <c r="Y236" s="214"/>
      <c r="Z236" s="214"/>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row>
    <row r="237" spans="1:70" ht="15.75">
      <c r="A237" s="212"/>
      <c r="B237" s="212"/>
      <c r="C237" s="212"/>
      <c r="D237" s="212"/>
      <c r="E237" s="212"/>
      <c r="F237" s="212"/>
      <c r="G237" s="237"/>
      <c r="H237" s="237"/>
      <c r="I237" s="237"/>
      <c r="J237" s="212" t="s">
        <v>293</v>
      </c>
      <c r="K237" s="212"/>
      <c r="L237" s="212"/>
      <c r="M237" s="212"/>
      <c r="N237" s="220"/>
      <c r="O237" s="212"/>
      <c r="P237" s="212"/>
      <c r="Q237" s="220"/>
      <c r="R237" s="212"/>
      <c r="S237" s="212"/>
      <c r="T237" s="212"/>
      <c r="U237" s="212"/>
      <c r="V237" s="212"/>
      <c r="W237" s="212"/>
      <c r="X237" s="212"/>
      <c r="Y237" s="214"/>
      <c r="Z237" s="214"/>
      <c r="AA237" s="212"/>
      <c r="AB237" s="212"/>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c r="AW237" s="212"/>
      <c r="AX237" s="212"/>
      <c r="AY237" s="212"/>
      <c r="AZ237" s="212"/>
      <c r="BA237" s="212"/>
      <c r="BB237" s="212"/>
      <c r="BC237" s="212"/>
      <c r="BD237" s="212"/>
      <c r="BE237" s="212"/>
      <c r="BF237" s="212"/>
      <c r="BG237" s="212"/>
      <c r="BH237" s="212"/>
      <c r="BI237" s="212"/>
      <c r="BJ237" s="212"/>
      <c r="BK237" s="212"/>
      <c r="BL237" s="212"/>
      <c r="BM237" s="212"/>
      <c r="BN237" s="212"/>
      <c r="BO237" s="212"/>
      <c r="BP237" s="212"/>
      <c r="BQ237" s="212"/>
      <c r="BR237" s="212"/>
    </row>
    <row r="238" spans="1:70" ht="15.75">
      <c r="A238" s="212"/>
      <c r="B238" s="212"/>
      <c r="C238" s="212"/>
      <c r="D238" s="212"/>
      <c r="E238" s="212"/>
      <c r="F238" s="212"/>
      <c r="G238" s="237"/>
      <c r="H238" s="237"/>
      <c r="I238" s="237">
        <v>3</v>
      </c>
      <c r="J238" s="212"/>
      <c r="K238" s="212" t="s">
        <v>289</v>
      </c>
      <c r="L238" s="212"/>
      <c r="M238" s="212"/>
      <c r="N238" s="220">
        <f>Díjkalkuláció!N133</f>
        <v>0</v>
      </c>
      <c r="O238" s="212">
        <f>U104</f>
        <v>0</v>
      </c>
      <c r="P238" s="212"/>
      <c r="Q238" s="220">
        <f>N238*O238</f>
        <v>0</v>
      </c>
      <c r="R238" s="212"/>
      <c r="S238" s="212"/>
      <c r="T238" s="212"/>
      <c r="U238" s="212"/>
      <c r="V238" s="212"/>
      <c r="W238" s="212"/>
      <c r="X238" s="212"/>
      <c r="Y238" s="214"/>
      <c r="Z238" s="214"/>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row>
    <row r="239" spans="1:70" ht="15.75">
      <c r="A239" s="212"/>
      <c r="B239" s="212"/>
      <c r="C239" s="212"/>
      <c r="D239" s="212"/>
      <c r="E239" s="212"/>
      <c r="F239" s="212"/>
      <c r="G239" s="237"/>
      <c r="H239" s="237">
        <v>3</v>
      </c>
      <c r="I239" s="237"/>
      <c r="J239" s="212"/>
      <c r="K239" s="212" t="s">
        <v>290</v>
      </c>
      <c r="L239" s="212"/>
      <c r="M239" s="212"/>
      <c r="N239" s="220">
        <f>Díjkalkuláció!N134</f>
        <v>0</v>
      </c>
      <c r="O239" s="212">
        <f>U105</f>
        <v>0</v>
      </c>
      <c r="P239" s="212"/>
      <c r="Q239" s="220">
        <f>N239*O239</f>
        <v>0</v>
      </c>
      <c r="R239" s="212"/>
      <c r="S239" s="212"/>
      <c r="T239" s="212"/>
      <c r="U239" s="212"/>
      <c r="V239" s="212"/>
      <c r="W239" s="212"/>
      <c r="X239" s="212"/>
      <c r="Y239" s="214"/>
      <c r="Z239" s="214"/>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c r="BK239" s="212"/>
      <c r="BL239" s="212"/>
      <c r="BM239" s="212"/>
      <c r="BN239" s="212"/>
      <c r="BO239" s="212"/>
      <c r="BP239" s="212"/>
      <c r="BQ239" s="212"/>
      <c r="BR239" s="212"/>
    </row>
    <row r="240" spans="1:70" ht="15.75">
      <c r="A240" s="212"/>
      <c r="B240" s="212"/>
      <c r="C240" s="212"/>
      <c r="D240" s="212"/>
      <c r="E240" s="212"/>
      <c r="F240" s="212"/>
      <c r="G240" s="237">
        <v>3</v>
      </c>
      <c r="H240" s="237"/>
      <c r="I240" s="237"/>
      <c r="J240" s="212"/>
      <c r="K240" s="212" t="s">
        <v>23</v>
      </c>
      <c r="L240" s="212"/>
      <c r="M240" s="212"/>
      <c r="N240" s="220">
        <f>Díjkalkuláció!N135</f>
        <v>0</v>
      </c>
      <c r="O240" s="212">
        <f>U106</f>
        <v>0</v>
      </c>
      <c r="P240" s="212"/>
      <c r="Q240" s="220">
        <f>N240*O240</f>
        <v>0</v>
      </c>
      <c r="R240" s="212"/>
      <c r="S240" s="212"/>
      <c r="T240" s="212"/>
      <c r="U240" s="212"/>
      <c r="V240" s="212"/>
      <c r="W240" s="212"/>
      <c r="X240" s="212"/>
      <c r="Y240" s="214"/>
      <c r="Z240" s="214"/>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c r="BK240" s="212"/>
      <c r="BL240" s="212"/>
      <c r="BM240" s="212"/>
      <c r="BN240" s="212"/>
      <c r="BO240" s="212"/>
      <c r="BP240" s="212"/>
      <c r="BQ240" s="212"/>
      <c r="BR240" s="212"/>
    </row>
    <row r="241" spans="1:70" ht="15.75">
      <c r="A241" s="212"/>
      <c r="B241" s="212"/>
      <c r="C241" s="212"/>
      <c r="D241" s="212"/>
      <c r="E241" s="212"/>
      <c r="F241" s="212"/>
      <c r="G241" s="237">
        <v>4</v>
      </c>
      <c r="H241" s="237">
        <v>4</v>
      </c>
      <c r="I241" s="237"/>
      <c r="J241" s="212" t="s">
        <v>294</v>
      </c>
      <c r="K241" s="212"/>
      <c r="L241" s="212"/>
      <c r="M241" s="212"/>
      <c r="N241" s="212"/>
      <c r="O241" s="212"/>
      <c r="P241" s="212"/>
      <c r="Q241" s="220"/>
      <c r="R241" s="212"/>
      <c r="S241" s="212"/>
      <c r="T241" s="212"/>
      <c r="U241" s="212"/>
      <c r="V241" s="212"/>
      <c r="W241" s="212"/>
      <c r="X241" s="212"/>
      <c r="Y241" s="214"/>
      <c r="Z241" s="214"/>
      <c r="AA241" s="212"/>
      <c r="AB241" s="212"/>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row>
    <row r="242" spans="1:70" ht="15.75">
      <c r="A242" s="212"/>
      <c r="B242" s="212"/>
      <c r="C242" s="212"/>
      <c r="D242" s="212"/>
      <c r="E242" s="212"/>
      <c r="F242" s="212"/>
      <c r="G242" s="237"/>
      <c r="H242" s="237"/>
      <c r="I242" s="237">
        <v>4</v>
      </c>
      <c r="J242" s="212"/>
      <c r="K242" s="212" t="s">
        <v>289</v>
      </c>
      <c r="L242" s="212"/>
      <c r="M242" s="212" t="s">
        <v>314</v>
      </c>
      <c r="N242" s="220">
        <f>Díjkalkuláció!S133</f>
        <v>0</v>
      </c>
      <c r="O242" s="212">
        <f>V104</f>
        <v>0</v>
      </c>
      <c r="P242" s="212"/>
      <c r="Q242" s="220">
        <f>N242*O242</f>
        <v>0</v>
      </c>
      <c r="R242" s="212"/>
      <c r="S242" s="212"/>
      <c r="T242" s="212"/>
      <c r="U242" s="212"/>
      <c r="V242" s="212"/>
      <c r="W242" s="212"/>
      <c r="X242" s="212"/>
      <c r="Y242" s="214"/>
      <c r="Z242" s="214"/>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row>
    <row r="243" spans="1:70" ht="15.75">
      <c r="A243" s="212"/>
      <c r="B243" s="212"/>
      <c r="C243" s="212"/>
      <c r="D243" s="212"/>
      <c r="E243" s="212"/>
      <c r="F243" s="212"/>
      <c r="G243" s="212"/>
      <c r="H243" s="212"/>
      <c r="I243" s="212"/>
      <c r="J243" s="212" t="s">
        <v>295</v>
      </c>
      <c r="K243" s="212"/>
      <c r="L243" s="212"/>
      <c r="M243" s="212"/>
      <c r="N243" s="212"/>
      <c r="O243" s="212"/>
      <c r="P243" s="212"/>
      <c r="Q243" s="220"/>
      <c r="R243" s="220">
        <f>SUM(Q234:Q242)</f>
        <v>0</v>
      </c>
      <c r="S243" s="212"/>
      <c r="T243" s="212"/>
      <c r="U243" s="212"/>
      <c r="V243" s="212"/>
      <c r="W243" s="212"/>
      <c r="X243" s="212"/>
      <c r="Y243" s="214"/>
      <c r="Z243" s="214"/>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2"/>
      <c r="BQ243" s="212"/>
      <c r="BR243" s="212"/>
    </row>
    <row r="244" spans="1:70" ht="15.75">
      <c r="A244" s="212"/>
      <c r="B244" s="212"/>
      <c r="C244" s="212"/>
      <c r="D244" s="212"/>
      <c r="E244" s="212"/>
      <c r="F244" s="212"/>
      <c r="G244" s="212"/>
      <c r="H244" s="212"/>
      <c r="I244" s="212"/>
      <c r="J244" s="212"/>
      <c r="K244" s="212" t="s">
        <v>296</v>
      </c>
      <c r="L244" s="212"/>
      <c r="M244" s="212"/>
      <c r="N244" s="220">
        <f>IF(A120=2,0,Díjkalkuláció!I142)</f>
        <v>0</v>
      </c>
      <c r="O244" s="212">
        <f>P120</f>
        <v>0</v>
      </c>
      <c r="P244" s="212"/>
      <c r="Q244" s="220">
        <f>N244*O244</f>
        <v>0</v>
      </c>
      <c r="R244" s="212"/>
      <c r="S244" s="212"/>
      <c r="T244" s="212"/>
      <c r="U244" s="212"/>
      <c r="V244" s="212"/>
      <c r="W244" s="212"/>
      <c r="X244" s="212"/>
      <c r="Y244" s="214"/>
      <c r="Z244" s="214"/>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2"/>
      <c r="BQ244" s="212"/>
      <c r="BR244" s="212"/>
    </row>
    <row r="245" spans="1:70" ht="15.75">
      <c r="A245" s="212"/>
      <c r="B245" s="212"/>
      <c r="C245" s="212"/>
      <c r="D245" s="212"/>
      <c r="E245" s="212"/>
      <c r="F245" s="212"/>
      <c r="G245" s="212"/>
      <c r="H245" s="212"/>
      <c r="I245" s="212"/>
      <c r="J245" s="212"/>
      <c r="K245" s="212" t="s">
        <v>290</v>
      </c>
      <c r="L245" s="212"/>
      <c r="M245" s="212"/>
      <c r="N245" s="220">
        <f>IF(A120=2,0,Díjkalkuláció!I143)</f>
        <v>0</v>
      </c>
      <c r="O245" s="212">
        <f>P120</f>
        <v>0</v>
      </c>
      <c r="P245" s="212"/>
      <c r="Q245" s="220">
        <f>N245*O245</f>
        <v>0</v>
      </c>
      <c r="R245" s="212"/>
      <c r="S245" s="212"/>
      <c r="T245" s="212"/>
      <c r="U245" s="212"/>
      <c r="V245" s="212"/>
      <c r="W245" s="212"/>
      <c r="X245" s="212"/>
      <c r="Y245" s="214"/>
      <c r="Z245" s="214"/>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2"/>
      <c r="BQ245" s="212"/>
      <c r="BR245" s="212"/>
    </row>
    <row r="246" spans="1:70" ht="15.75">
      <c r="A246" s="212"/>
      <c r="B246" s="212"/>
      <c r="C246" s="212"/>
      <c r="D246" s="212"/>
      <c r="E246" s="212"/>
      <c r="F246" s="212"/>
      <c r="G246" s="212"/>
      <c r="H246" s="212"/>
      <c r="I246" s="212"/>
      <c r="J246" s="212"/>
      <c r="K246" s="212"/>
      <c r="L246" s="212"/>
      <c r="M246" s="212"/>
      <c r="N246" s="220"/>
      <c r="O246" s="212"/>
      <c r="P246" s="212"/>
      <c r="Q246" s="220"/>
      <c r="R246" s="220">
        <f>SUM(Q244:Q245)</f>
        <v>0</v>
      </c>
      <c r="S246" s="212"/>
      <c r="T246" s="212"/>
      <c r="U246" s="212"/>
      <c r="V246" s="212"/>
      <c r="W246" s="212"/>
      <c r="X246" s="212"/>
      <c r="Y246" s="214"/>
      <c r="Z246" s="214"/>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c r="BI246" s="212"/>
      <c r="BJ246" s="212"/>
      <c r="BK246" s="212"/>
      <c r="BL246" s="212"/>
      <c r="BM246" s="212"/>
      <c r="BN246" s="212"/>
      <c r="BO246" s="212"/>
      <c r="BP246" s="212"/>
      <c r="BQ246" s="212"/>
      <c r="BR246" s="212"/>
    </row>
    <row r="247" spans="1:70" ht="15.75">
      <c r="A247" s="212"/>
      <c r="B247" s="212"/>
      <c r="C247" s="212"/>
      <c r="D247" s="236">
        <f>(1-Díjkalkuláció!Y155)</f>
        <v>1</v>
      </c>
      <c r="E247" s="212"/>
      <c r="F247" s="212"/>
      <c r="G247" s="212"/>
      <c r="H247" s="212"/>
      <c r="I247" s="212"/>
      <c r="J247" s="211" t="s">
        <v>297</v>
      </c>
      <c r="K247" s="212"/>
      <c r="L247" s="212"/>
      <c r="M247" s="212"/>
      <c r="N247" s="212"/>
      <c r="O247" s="212"/>
      <c r="P247" s="212"/>
      <c r="Q247" s="220">
        <f>SUM(Q184:Q246)</f>
        <v>0</v>
      </c>
      <c r="R247" s="212"/>
      <c r="S247" s="212"/>
      <c r="T247" s="212"/>
      <c r="U247" s="212"/>
      <c r="V247" s="212"/>
      <c r="W247" s="212"/>
      <c r="X247" s="212"/>
      <c r="Y247" s="214"/>
      <c r="Z247" s="214"/>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c r="BI247" s="212"/>
      <c r="BJ247" s="212"/>
      <c r="BK247" s="212"/>
      <c r="BL247" s="212"/>
      <c r="BM247" s="212"/>
      <c r="BN247" s="212"/>
      <c r="BO247" s="212"/>
      <c r="BP247" s="212"/>
      <c r="BQ247" s="212"/>
      <c r="BR247" s="212"/>
    </row>
    <row r="248" spans="1:70" ht="15.75">
      <c r="A248" s="212"/>
      <c r="B248" s="212"/>
      <c r="C248" s="212"/>
      <c r="D248" s="236">
        <f>(1-IF(AND(Díjkalkuláció!J157&lt;&gt;0,Díjkalkuláció!J157&lt;&gt;5%,Díjkalkuláció!J157&lt;&gt;10%),0,Díjkalkuláció!J157))</f>
        <v>1</v>
      </c>
      <c r="E248" s="212"/>
      <c r="F248" s="212"/>
      <c r="G248" s="212"/>
      <c r="H248" s="212"/>
      <c r="I248" s="212"/>
      <c r="J248" s="212" t="s">
        <v>298</v>
      </c>
      <c r="K248" s="212"/>
      <c r="L248" s="212"/>
      <c r="M248" s="212"/>
      <c r="N248" s="212"/>
      <c r="O248" s="236">
        <f>D181</f>
        <v>0.98</v>
      </c>
      <c r="P248" s="236">
        <f>1-O248</f>
        <v>0.020000000000000018</v>
      </c>
      <c r="Q248" s="212"/>
      <c r="R248" s="212"/>
      <c r="S248" s="212"/>
      <c r="T248" s="212"/>
      <c r="U248" s="212"/>
      <c r="V248" s="212"/>
      <c r="W248" s="212"/>
      <c r="X248" s="212"/>
      <c r="Y248" s="214"/>
      <c r="Z248" s="214"/>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row>
    <row r="249" spans="1:70" ht="15.75">
      <c r="A249" s="212"/>
      <c r="B249" s="212"/>
      <c r="C249" s="212"/>
      <c r="D249" s="236">
        <f>(1-(Díjkalkuláció!Y155+IF(AND(Díjkalkuláció!J157&lt;&gt;0,Díjkalkuláció!J157&lt;&gt;5%,Díjkalkuláció!J157&lt;&gt;10%),0,Díjkalkuláció!J157)))</f>
        <v>1</v>
      </c>
      <c r="E249" s="212"/>
      <c r="F249" s="212"/>
      <c r="G249" s="212"/>
      <c r="H249" s="212"/>
      <c r="I249" s="212"/>
      <c r="J249" s="212" t="s">
        <v>299</v>
      </c>
      <c r="K249" s="212"/>
      <c r="L249" s="212"/>
      <c r="M249" s="212"/>
      <c r="N249" s="212"/>
      <c r="O249" s="212"/>
      <c r="P249" s="212">
        <f>IF(S9&gt;1,"A megújítás/módosítás utáni éves díj a jelen kötvényszámú szerződésen korábban  érvényesített kedvezményekkel tovább csökken.","")</f>
      </c>
      <c r="Q249" s="212"/>
      <c r="R249" s="212"/>
      <c r="S249" s="212"/>
      <c r="T249" s="212"/>
      <c r="U249" s="212"/>
      <c r="V249" s="212"/>
      <c r="W249" s="212"/>
      <c r="X249" s="212"/>
      <c r="Y249" s="214"/>
      <c r="Z249" s="214"/>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row>
    <row r="250" spans="1:70" ht="15.75">
      <c r="A250" s="212"/>
      <c r="B250" s="212"/>
      <c r="C250" s="212"/>
      <c r="D250" s="212"/>
      <c r="E250" s="212"/>
      <c r="F250" s="212"/>
      <c r="G250" s="212"/>
      <c r="H250" s="212"/>
      <c r="I250" s="212"/>
      <c r="J250" s="212" t="s">
        <v>300</v>
      </c>
      <c r="K250" s="212"/>
      <c r="L250" s="212"/>
      <c r="M250" s="212"/>
      <c r="N250" s="212"/>
      <c r="O250" s="212"/>
      <c r="P250" s="212"/>
      <c r="Q250" s="220">
        <f>Q247*O248*D249</f>
        <v>0</v>
      </c>
      <c r="R250" s="212"/>
      <c r="S250" s="212"/>
      <c r="T250" s="212"/>
      <c r="U250" s="212"/>
      <c r="V250" s="212"/>
      <c r="W250" s="212"/>
      <c r="X250" s="212"/>
      <c r="Y250" s="214"/>
      <c r="Z250" s="214"/>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row>
    <row r="251" spans="1:70" ht="15.75">
      <c r="A251" s="212"/>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4"/>
      <c r="Z251" s="214"/>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row>
    <row r="252" spans="1:70" ht="15.75">
      <c r="A252" s="212"/>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4"/>
      <c r="Z252" s="214"/>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c r="BK252" s="212"/>
      <c r="BL252" s="212"/>
      <c r="BM252" s="212"/>
      <c r="BN252" s="212"/>
      <c r="BO252" s="212"/>
      <c r="BP252" s="212"/>
      <c r="BQ252" s="212"/>
      <c r="BR252" s="212"/>
    </row>
    <row r="253" spans="1:70" ht="15.75">
      <c r="A253" s="212"/>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4"/>
      <c r="Z253" s="214"/>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row>
    <row r="254" spans="1:70" ht="15.75">
      <c r="A254" s="212"/>
      <c r="B254" s="212"/>
      <c r="C254" s="212"/>
      <c r="D254" s="212"/>
      <c r="E254" s="212"/>
      <c r="F254" s="212"/>
      <c r="G254" s="212"/>
      <c r="H254" s="212"/>
      <c r="I254" s="212"/>
      <c r="J254" s="212"/>
      <c r="K254" s="212"/>
      <c r="L254" s="212"/>
      <c r="M254" s="212"/>
      <c r="N254" s="212" t="s">
        <v>306</v>
      </c>
      <c r="O254" s="212" t="s">
        <v>307</v>
      </c>
      <c r="P254" s="212"/>
      <c r="Q254" s="212"/>
      <c r="R254" s="212"/>
      <c r="S254" s="212"/>
      <c r="T254" s="212"/>
      <c r="U254" s="212"/>
      <c r="V254" s="212"/>
      <c r="W254" s="212"/>
      <c r="X254" s="212"/>
      <c r="Y254" s="214"/>
      <c r="Z254" s="214"/>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row>
    <row r="255" spans="1:70" ht="15.75">
      <c r="A255" s="212"/>
      <c r="B255" s="212"/>
      <c r="C255" s="212"/>
      <c r="D255" s="212"/>
      <c r="E255" s="212"/>
      <c r="F255" s="212"/>
      <c r="G255" s="212"/>
      <c r="H255" s="212"/>
      <c r="I255" s="212"/>
      <c r="J255" s="212" t="s">
        <v>301</v>
      </c>
      <c r="K255" s="212"/>
      <c r="L255" s="212"/>
      <c r="M255" s="212"/>
      <c r="N255" s="220">
        <f>SUM(Q190:Q194,Q184:Q187)</f>
        <v>0</v>
      </c>
      <c r="O255" s="220">
        <f>N255*O248*D249</f>
        <v>0</v>
      </c>
      <c r="P255" s="212"/>
      <c r="Q255" s="212"/>
      <c r="R255" s="212"/>
      <c r="S255" s="212"/>
      <c r="T255" s="212"/>
      <c r="U255" s="212"/>
      <c r="V255" s="212"/>
      <c r="W255" s="212"/>
      <c r="X255" s="212"/>
      <c r="Y255" s="214"/>
      <c r="Z255" s="214"/>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row>
    <row r="256" spans="1:70" ht="15.75">
      <c r="A256" s="212"/>
      <c r="B256" s="212"/>
      <c r="C256" s="212"/>
      <c r="D256" s="212"/>
      <c r="E256" s="212"/>
      <c r="F256" s="212"/>
      <c r="G256" s="212"/>
      <c r="H256" s="212"/>
      <c r="I256" s="212"/>
      <c r="J256" s="212" t="s">
        <v>50</v>
      </c>
      <c r="K256" s="212"/>
      <c r="L256" s="212"/>
      <c r="M256" s="212"/>
      <c r="N256" s="220">
        <f>SUM(Q199:Q200)</f>
        <v>0</v>
      </c>
      <c r="O256" s="220">
        <f>N256*O248*D249</f>
        <v>0</v>
      </c>
      <c r="P256" s="212"/>
      <c r="Q256" s="212"/>
      <c r="R256" s="212"/>
      <c r="S256" s="212"/>
      <c r="T256" s="212"/>
      <c r="U256" s="212"/>
      <c r="V256" s="212"/>
      <c r="W256" s="212"/>
      <c r="X256" s="212"/>
      <c r="Y256" s="214"/>
      <c r="Z256" s="214"/>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row>
    <row r="257" spans="1:70" ht="15.75">
      <c r="A257" s="212"/>
      <c r="B257" s="212"/>
      <c r="C257" s="212"/>
      <c r="D257" s="212"/>
      <c r="E257" s="212"/>
      <c r="F257" s="212"/>
      <c r="G257" s="212"/>
      <c r="H257" s="212"/>
      <c r="I257" s="212"/>
      <c r="J257" s="212" t="s">
        <v>56</v>
      </c>
      <c r="K257" s="212"/>
      <c r="L257" s="212"/>
      <c r="M257" s="212"/>
      <c r="N257" s="220">
        <f>SUM(Q202:Q203)</f>
        <v>0</v>
      </c>
      <c r="O257" s="220">
        <f>N257*O248*D249</f>
        <v>0</v>
      </c>
      <c r="P257" s="212"/>
      <c r="Q257" s="212"/>
      <c r="R257" s="212"/>
      <c r="S257" s="212"/>
      <c r="T257" s="212"/>
      <c r="U257" s="212"/>
      <c r="V257" s="212"/>
      <c r="W257" s="212"/>
      <c r="X257" s="212"/>
      <c r="Y257" s="214"/>
      <c r="Z257" s="214"/>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row>
    <row r="258" spans="1:70" ht="15.75">
      <c r="A258" s="212"/>
      <c r="B258" s="212"/>
      <c r="C258" s="212"/>
      <c r="D258" s="212"/>
      <c r="E258" s="212"/>
      <c r="F258" s="212"/>
      <c r="G258" s="212"/>
      <c r="H258" s="212"/>
      <c r="I258" s="212"/>
      <c r="J258" s="212" t="s">
        <v>268</v>
      </c>
      <c r="K258" s="212"/>
      <c r="L258" s="212"/>
      <c r="M258" s="212"/>
      <c r="N258" s="220">
        <f>SUM(Q205:Q206)</f>
        <v>0</v>
      </c>
      <c r="O258" s="220">
        <f>N258*O248*D249</f>
        <v>0</v>
      </c>
      <c r="P258" s="212"/>
      <c r="Q258" s="212"/>
      <c r="R258" s="212"/>
      <c r="S258" s="212"/>
      <c r="T258" s="212"/>
      <c r="U258" s="212"/>
      <c r="V258" s="212"/>
      <c r="W258" s="212"/>
      <c r="X258" s="212"/>
      <c r="Y258" s="214"/>
      <c r="Z258" s="214"/>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row>
    <row r="259" spans="1:70" ht="15.75">
      <c r="A259" s="212"/>
      <c r="B259" s="212"/>
      <c r="C259" s="212"/>
      <c r="D259" s="212"/>
      <c r="E259" s="212"/>
      <c r="F259" s="212"/>
      <c r="G259" s="212"/>
      <c r="H259" s="212"/>
      <c r="I259" s="212"/>
      <c r="J259" s="212" t="s">
        <v>302</v>
      </c>
      <c r="K259" s="212"/>
      <c r="L259" s="212"/>
      <c r="M259" s="212"/>
      <c r="N259" s="220">
        <f>Q197</f>
        <v>0</v>
      </c>
      <c r="O259" s="220">
        <f>N259*O248*D249</f>
        <v>0</v>
      </c>
      <c r="P259" s="212"/>
      <c r="Q259" s="212"/>
      <c r="R259" s="212"/>
      <c r="S259" s="212"/>
      <c r="T259" s="212"/>
      <c r="U259" s="212"/>
      <c r="V259" s="212"/>
      <c r="W259" s="212"/>
      <c r="X259" s="212"/>
      <c r="Y259" s="214"/>
      <c r="Z259" s="214"/>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row>
    <row r="260" spans="1:70" ht="15.75">
      <c r="A260" s="212"/>
      <c r="B260" s="212"/>
      <c r="C260" s="212"/>
      <c r="D260" s="212"/>
      <c r="E260" s="212"/>
      <c r="F260" s="212"/>
      <c r="G260" s="212"/>
      <c r="H260" s="212"/>
      <c r="I260" s="212"/>
      <c r="J260" s="212" t="s">
        <v>178</v>
      </c>
      <c r="K260" s="212"/>
      <c r="L260" s="212"/>
      <c r="M260" s="212"/>
      <c r="N260" s="220">
        <f>Q208</f>
        <v>0</v>
      </c>
      <c r="O260" s="220">
        <f>N260*O248*D249</f>
        <v>0</v>
      </c>
      <c r="P260" s="212"/>
      <c r="Q260" s="212"/>
      <c r="R260" s="212"/>
      <c r="S260" s="212"/>
      <c r="T260" s="212"/>
      <c r="U260" s="212"/>
      <c r="V260" s="212"/>
      <c r="W260" s="212"/>
      <c r="X260" s="212"/>
      <c r="Y260" s="214"/>
      <c r="Z260" s="214"/>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row>
    <row r="261" spans="1:70" ht="15.75">
      <c r="A261" s="212"/>
      <c r="B261" s="212"/>
      <c r="C261" s="212"/>
      <c r="D261" s="212"/>
      <c r="E261" s="212"/>
      <c r="F261" s="212"/>
      <c r="G261" s="212"/>
      <c r="H261" s="212"/>
      <c r="I261" s="212"/>
      <c r="J261" s="212" t="s">
        <v>179</v>
      </c>
      <c r="K261" s="212"/>
      <c r="L261" s="212"/>
      <c r="M261" s="212"/>
      <c r="N261" s="212"/>
      <c r="O261" s="220"/>
      <c r="P261" s="212"/>
      <c r="Q261" s="212"/>
      <c r="R261" s="212"/>
      <c r="S261" s="212"/>
      <c r="T261" s="212"/>
      <c r="U261" s="212"/>
      <c r="V261" s="212"/>
      <c r="W261" s="212"/>
      <c r="X261" s="212"/>
      <c r="Y261" s="214"/>
      <c r="Z261" s="214"/>
      <c r="AA261" s="212"/>
      <c r="AB261" s="212"/>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c r="AW261" s="212"/>
      <c r="AX261" s="212"/>
      <c r="AY261" s="212"/>
      <c r="AZ261" s="212"/>
      <c r="BA261" s="212"/>
      <c r="BB261" s="212"/>
      <c r="BC261" s="212"/>
      <c r="BD261" s="212"/>
      <c r="BE261" s="212"/>
      <c r="BF261" s="212"/>
      <c r="BG261" s="212"/>
      <c r="BH261" s="212"/>
      <c r="BI261" s="212"/>
      <c r="BJ261" s="212"/>
      <c r="BK261" s="212"/>
      <c r="BL261" s="212"/>
      <c r="BM261" s="212"/>
      <c r="BN261" s="212"/>
      <c r="BO261" s="212"/>
      <c r="BP261" s="212"/>
      <c r="BQ261" s="212"/>
      <c r="BR261" s="212"/>
    </row>
    <row r="262" spans="1:70" ht="15.75">
      <c r="A262" s="212"/>
      <c r="B262" s="212"/>
      <c r="C262" s="212"/>
      <c r="D262" s="212"/>
      <c r="E262" s="212"/>
      <c r="F262" s="212"/>
      <c r="G262" s="212"/>
      <c r="H262" s="212"/>
      <c r="I262" s="212"/>
      <c r="J262" s="212"/>
      <c r="K262" s="212" t="s">
        <v>1</v>
      </c>
      <c r="L262" s="212"/>
      <c r="M262" s="212"/>
      <c r="N262" s="220">
        <f>Q210</f>
        <v>0</v>
      </c>
      <c r="O262" s="220">
        <f>N262*O248*D249</f>
        <v>0</v>
      </c>
      <c r="P262" s="212"/>
      <c r="Q262" s="212"/>
      <c r="R262" s="212"/>
      <c r="S262" s="212"/>
      <c r="T262" s="212"/>
      <c r="U262" s="212"/>
      <c r="V262" s="212"/>
      <c r="W262" s="212"/>
      <c r="X262" s="212"/>
      <c r="Y262" s="214"/>
      <c r="Z262" s="214"/>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c r="AY262" s="212"/>
      <c r="AZ262" s="212"/>
      <c r="BA262" s="212"/>
      <c r="BB262" s="212"/>
      <c r="BC262" s="212"/>
      <c r="BD262" s="212"/>
      <c r="BE262" s="212"/>
      <c r="BF262" s="212"/>
      <c r="BG262" s="212"/>
      <c r="BH262" s="212"/>
      <c r="BI262" s="212"/>
      <c r="BJ262" s="212"/>
      <c r="BK262" s="212"/>
      <c r="BL262" s="212"/>
      <c r="BM262" s="212"/>
      <c r="BN262" s="212"/>
      <c r="BO262" s="212"/>
      <c r="BP262" s="212"/>
      <c r="BQ262" s="212"/>
      <c r="BR262" s="212"/>
    </row>
    <row r="263" spans="1:70" ht="15.75">
      <c r="A263" s="212"/>
      <c r="B263" s="212"/>
      <c r="C263" s="212"/>
      <c r="D263" s="212"/>
      <c r="E263" s="212"/>
      <c r="F263" s="212"/>
      <c r="G263" s="212"/>
      <c r="H263" s="212"/>
      <c r="I263" s="212"/>
      <c r="J263" s="212"/>
      <c r="K263" s="212" t="s">
        <v>2</v>
      </c>
      <c r="L263" s="212"/>
      <c r="M263" s="212"/>
      <c r="N263" s="220">
        <f>Q211</f>
        <v>0</v>
      </c>
      <c r="O263" s="220">
        <f>N263*O248*D249</f>
        <v>0</v>
      </c>
      <c r="P263" s="212"/>
      <c r="Q263" s="212"/>
      <c r="R263" s="212"/>
      <c r="S263" s="212"/>
      <c r="T263" s="212"/>
      <c r="U263" s="212"/>
      <c r="V263" s="212"/>
      <c r="W263" s="212"/>
      <c r="X263" s="212"/>
      <c r="Y263" s="214"/>
      <c r="Z263" s="214"/>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c r="BI263" s="212"/>
      <c r="BJ263" s="212"/>
      <c r="BK263" s="212"/>
      <c r="BL263" s="212"/>
      <c r="BM263" s="212"/>
      <c r="BN263" s="212"/>
      <c r="BO263" s="212"/>
      <c r="BP263" s="212"/>
      <c r="BQ263" s="212"/>
      <c r="BR263" s="212"/>
    </row>
    <row r="264" spans="1:70" ht="15.75">
      <c r="A264" s="212"/>
      <c r="B264" s="212"/>
      <c r="C264" s="212"/>
      <c r="D264" s="212"/>
      <c r="E264" s="212"/>
      <c r="F264" s="212"/>
      <c r="G264" s="212"/>
      <c r="H264" s="212"/>
      <c r="I264" s="212"/>
      <c r="J264" s="212"/>
      <c r="K264" s="212" t="s">
        <v>3</v>
      </c>
      <c r="L264" s="212"/>
      <c r="M264" s="212"/>
      <c r="N264" s="220">
        <f>Q212</f>
        <v>0</v>
      </c>
      <c r="O264" s="220">
        <f>N264*O248*D249</f>
        <v>0</v>
      </c>
      <c r="P264" s="212"/>
      <c r="Q264" s="212"/>
      <c r="R264" s="212"/>
      <c r="S264" s="212"/>
      <c r="T264" s="212"/>
      <c r="U264" s="212"/>
      <c r="V264" s="212"/>
      <c r="W264" s="212"/>
      <c r="X264" s="212"/>
      <c r="Y264" s="214"/>
      <c r="Z264" s="214"/>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c r="AY264" s="212"/>
      <c r="AZ264" s="212"/>
      <c r="BA264" s="212"/>
      <c r="BB264" s="212"/>
      <c r="BC264" s="212"/>
      <c r="BD264" s="212"/>
      <c r="BE264" s="212"/>
      <c r="BF264" s="212"/>
      <c r="BG264" s="212"/>
      <c r="BH264" s="212"/>
      <c r="BI264" s="212"/>
      <c r="BJ264" s="212"/>
      <c r="BK264" s="212"/>
      <c r="BL264" s="212"/>
      <c r="BM264" s="212"/>
      <c r="BN264" s="212"/>
      <c r="BO264" s="212"/>
      <c r="BP264" s="212"/>
      <c r="BQ264" s="212"/>
      <c r="BR264" s="212"/>
    </row>
    <row r="265" spans="1:70" ht="15.75">
      <c r="A265" s="212"/>
      <c r="B265" s="212"/>
      <c r="C265" s="212"/>
      <c r="D265" s="212"/>
      <c r="E265" s="212"/>
      <c r="F265" s="212"/>
      <c r="G265" s="212"/>
      <c r="H265" s="212"/>
      <c r="I265" s="212"/>
      <c r="J265" s="212"/>
      <c r="K265" s="212" t="s">
        <v>4</v>
      </c>
      <c r="L265" s="212"/>
      <c r="M265" s="212"/>
      <c r="N265" s="220">
        <f>Q213</f>
        <v>0</v>
      </c>
      <c r="O265" s="220">
        <f>N265*O248*D249</f>
        <v>0</v>
      </c>
      <c r="P265" s="212"/>
      <c r="Q265" s="212"/>
      <c r="R265" s="212"/>
      <c r="S265" s="212"/>
      <c r="T265" s="212"/>
      <c r="U265" s="212"/>
      <c r="V265" s="212"/>
      <c r="W265" s="212"/>
      <c r="X265" s="212"/>
      <c r="Y265" s="214"/>
      <c r="Z265" s="214"/>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2"/>
      <c r="BC265" s="212"/>
      <c r="BD265" s="212"/>
      <c r="BE265" s="212"/>
      <c r="BF265" s="212"/>
      <c r="BG265" s="212"/>
      <c r="BH265" s="212"/>
      <c r="BI265" s="212"/>
      <c r="BJ265" s="212"/>
      <c r="BK265" s="212"/>
      <c r="BL265" s="212"/>
      <c r="BM265" s="212"/>
      <c r="BN265" s="212"/>
      <c r="BO265" s="212"/>
      <c r="BP265" s="212"/>
      <c r="BQ265" s="212"/>
      <c r="BR265" s="212"/>
    </row>
    <row r="266" spans="1:70" ht="15.75">
      <c r="A266" s="212"/>
      <c r="B266" s="212"/>
      <c r="C266" s="212"/>
      <c r="D266" s="212"/>
      <c r="E266" s="212"/>
      <c r="F266" s="212"/>
      <c r="G266" s="212"/>
      <c r="H266" s="212"/>
      <c r="I266" s="212"/>
      <c r="J266" s="212"/>
      <c r="K266" s="212" t="s">
        <v>5</v>
      </c>
      <c r="L266" s="212"/>
      <c r="M266" s="212"/>
      <c r="N266" s="220">
        <f>Q214</f>
        <v>0</v>
      </c>
      <c r="O266" s="220">
        <f>N266*O248*D249</f>
        <v>0</v>
      </c>
      <c r="P266" s="212"/>
      <c r="Q266" s="212"/>
      <c r="R266" s="212"/>
      <c r="S266" s="212"/>
      <c r="T266" s="212"/>
      <c r="U266" s="212"/>
      <c r="V266" s="212"/>
      <c r="W266" s="212"/>
      <c r="X266" s="212"/>
      <c r="Y266" s="214"/>
      <c r="Z266" s="214"/>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row>
    <row r="267" spans="1:70" ht="15.75">
      <c r="A267" s="212"/>
      <c r="B267" s="212"/>
      <c r="C267" s="212"/>
      <c r="D267" s="212"/>
      <c r="E267" s="212"/>
      <c r="F267" s="212"/>
      <c r="G267" s="212"/>
      <c r="H267" s="212"/>
      <c r="I267" s="212"/>
      <c r="J267" s="212" t="s">
        <v>82</v>
      </c>
      <c r="K267" s="212"/>
      <c r="L267" s="212"/>
      <c r="M267" s="212"/>
      <c r="N267" s="220">
        <f>Q217</f>
        <v>0</v>
      </c>
      <c r="O267" s="220">
        <f>N267*O248*D249</f>
        <v>0</v>
      </c>
      <c r="P267" s="212"/>
      <c r="Q267" s="212"/>
      <c r="R267" s="212"/>
      <c r="S267" s="212"/>
      <c r="T267" s="212"/>
      <c r="U267" s="212"/>
      <c r="V267" s="212"/>
      <c r="W267" s="212"/>
      <c r="X267" s="212"/>
      <c r="Y267" s="214"/>
      <c r="Z267" s="214"/>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2"/>
      <c r="BQ267" s="212"/>
      <c r="BR267" s="212"/>
    </row>
    <row r="268" spans="1:70" ht="15.75">
      <c r="A268" s="212"/>
      <c r="B268" s="212"/>
      <c r="C268" s="212"/>
      <c r="D268" s="212"/>
      <c r="E268" s="212"/>
      <c r="F268" s="212"/>
      <c r="G268" s="212"/>
      <c r="H268" s="212"/>
      <c r="I268" s="212"/>
      <c r="J268" s="212" t="s">
        <v>185</v>
      </c>
      <c r="K268" s="212"/>
      <c r="L268" s="212"/>
      <c r="M268" s="212"/>
      <c r="N268" s="220">
        <f>Q219</f>
        <v>0</v>
      </c>
      <c r="O268" s="220">
        <f>N268*O248*D249</f>
        <v>0</v>
      </c>
      <c r="P268" s="212"/>
      <c r="Q268" s="212"/>
      <c r="R268" s="212"/>
      <c r="S268" s="212"/>
      <c r="T268" s="212"/>
      <c r="U268" s="212"/>
      <c r="V268" s="212"/>
      <c r="W268" s="212"/>
      <c r="X268" s="212"/>
      <c r="Y268" s="214"/>
      <c r="Z268" s="214"/>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row>
    <row r="269" spans="1:70" ht="15.75">
      <c r="A269" s="212"/>
      <c r="B269" s="212"/>
      <c r="C269" s="212"/>
      <c r="D269" s="212"/>
      <c r="E269" s="212"/>
      <c r="F269" s="212"/>
      <c r="G269" s="212"/>
      <c r="H269" s="212"/>
      <c r="I269" s="212"/>
      <c r="J269" s="212" t="s">
        <v>303</v>
      </c>
      <c r="K269" s="212"/>
      <c r="L269" s="212"/>
      <c r="M269" s="212"/>
      <c r="N269" s="220">
        <f>Q221</f>
        <v>0</v>
      </c>
      <c r="O269" s="220">
        <f>N269*O248*D249</f>
        <v>0</v>
      </c>
      <c r="P269" s="212"/>
      <c r="Q269" s="212"/>
      <c r="R269" s="212"/>
      <c r="S269" s="212"/>
      <c r="T269" s="212"/>
      <c r="U269" s="212"/>
      <c r="V269" s="212"/>
      <c r="W269" s="212"/>
      <c r="X269" s="212"/>
      <c r="Y269" s="214"/>
      <c r="Z269" s="214"/>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row>
    <row r="270" spans="1:70" ht="15.75">
      <c r="A270" s="212"/>
      <c r="B270" s="212"/>
      <c r="C270" s="212"/>
      <c r="D270" s="212"/>
      <c r="E270" s="212"/>
      <c r="F270" s="212"/>
      <c r="G270" s="212"/>
      <c r="H270" s="212"/>
      <c r="I270" s="212"/>
      <c r="J270" s="212" t="s">
        <v>24</v>
      </c>
      <c r="K270" s="212"/>
      <c r="L270" s="212"/>
      <c r="M270" s="212"/>
      <c r="N270" s="220">
        <f>Q223</f>
        <v>0</v>
      </c>
      <c r="O270" s="220">
        <f>N270*O248*D249</f>
        <v>0</v>
      </c>
      <c r="P270" s="212"/>
      <c r="Q270" s="212"/>
      <c r="R270" s="212"/>
      <c r="S270" s="212"/>
      <c r="T270" s="212"/>
      <c r="U270" s="212"/>
      <c r="V270" s="212"/>
      <c r="W270" s="212"/>
      <c r="X270" s="212"/>
      <c r="Y270" s="214"/>
      <c r="Z270" s="214"/>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row>
    <row r="271" spans="1:70" ht="15.75">
      <c r="A271" s="212"/>
      <c r="B271" s="212"/>
      <c r="C271" s="212"/>
      <c r="D271" s="212"/>
      <c r="E271" s="212"/>
      <c r="F271" s="212"/>
      <c r="G271" s="212"/>
      <c r="H271" s="212"/>
      <c r="I271" s="212"/>
      <c r="J271" s="212" t="s">
        <v>280</v>
      </c>
      <c r="K271" s="212"/>
      <c r="L271" s="212"/>
      <c r="M271" s="212"/>
      <c r="N271" s="220">
        <f>Q225</f>
        <v>0</v>
      </c>
      <c r="O271" s="220">
        <f>N271*O248*D249</f>
        <v>0</v>
      </c>
      <c r="P271" s="212"/>
      <c r="Q271" s="212"/>
      <c r="R271" s="212"/>
      <c r="S271" s="212"/>
      <c r="T271" s="212"/>
      <c r="U271" s="212"/>
      <c r="V271" s="212"/>
      <c r="W271" s="212"/>
      <c r="X271" s="212"/>
      <c r="Y271" s="214"/>
      <c r="Z271" s="214"/>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row>
    <row r="272" spans="1:70" ht="15.75">
      <c r="A272" s="212"/>
      <c r="B272" s="212"/>
      <c r="C272" s="212"/>
      <c r="D272" s="212"/>
      <c r="E272" s="212"/>
      <c r="F272" s="212"/>
      <c r="G272" s="212"/>
      <c r="H272" s="212"/>
      <c r="I272" s="212"/>
      <c r="J272" s="212" t="s">
        <v>281</v>
      </c>
      <c r="K272" s="212"/>
      <c r="L272" s="212"/>
      <c r="M272" s="212"/>
      <c r="N272" s="212"/>
      <c r="O272" s="220"/>
      <c r="P272" s="212"/>
      <c r="Q272" s="212"/>
      <c r="R272" s="212"/>
      <c r="S272" s="212"/>
      <c r="T272" s="212"/>
      <c r="U272" s="212"/>
      <c r="V272" s="212"/>
      <c r="W272" s="212"/>
      <c r="X272" s="212"/>
      <c r="Y272" s="214"/>
      <c r="Z272" s="214"/>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row>
    <row r="273" spans="1:70" ht="15.75">
      <c r="A273" s="212"/>
      <c r="B273" s="212"/>
      <c r="C273" s="212"/>
      <c r="D273" s="212"/>
      <c r="E273" s="212"/>
      <c r="F273" s="212"/>
      <c r="G273" s="212"/>
      <c r="H273" s="212"/>
      <c r="I273" s="212"/>
      <c r="J273" s="212"/>
      <c r="K273" s="212" t="s">
        <v>304</v>
      </c>
      <c r="L273" s="212"/>
      <c r="M273" s="212"/>
      <c r="N273" s="220">
        <f>Q227</f>
        <v>0</v>
      </c>
      <c r="O273" s="220">
        <f>N273*O248*D249</f>
        <v>0</v>
      </c>
      <c r="P273" s="212"/>
      <c r="Q273" s="212"/>
      <c r="R273" s="212"/>
      <c r="S273" s="212"/>
      <c r="T273" s="212"/>
      <c r="U273" s="212"/>
      <c r="V273" s="212"/>
      <c r="W273" s="212"/>
      <c r="X273" s="212"/>
      <c r="Y273" s="214"/>
      <c r="Z273" s="214"/>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row>
    <row r="274" spans="1:70" ht="15.75">
      <c r="A274" s="212"/>
      <c r="B274" s="212"/>
      <c r="C274" s="212"/>
      <c r="D274" s="212"/>
      <c r="E274" s="212"/>
      <c r="F274" s="212"/>
      <c r="G274" s="212"/>
      <c r="H274" s="212"/>
      <c r="I274" s="212"/>
      <c r="J274" s="212"/>
      <c r="K274" s="212" t="s">
        <v>192</v>
      </c>
      <c r="L274" s="212"/>
      <c r="M274" s="212"/>
      <c r="N274" s="220">
        <f>Q228</f>
        <v>0</v>
      </c>
      <c r="O274" s="220">
        <f>N274*O248*D249</f>
        <v>0</v>
      </c>
      <c r="P274" s="212"/>
      <c r="Q274" s="212"/>
      <c r="R274" s="212"/>
      <c r="S274" s="212"/>
      <c r="T274" s="212"/>
      <c r="U274" s="212"/>
      <c r="V274" s="212"/>
      <c r="W274" s="212"/>
      <c r="X274" s="212"/>
      <c r="Y274" s="214"/>
      <c r="Z274" s="214"/>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row>
    <row r="275" spans="1:70" ht="15.75">
      <c r="A275" s="212"/>
      <c r="B275" s="212"/>
      <c r="C275" s="212"/>
      <c r="D275" s="212"/>
      <c r="E275" s="212"/>
      <c r="F275" s="212"/>
      <c r="G275" s="212"/>
      <c r="H275" s="212"/>
      <c r="I275" s="212"/>
      <c r="J275" s="212"/>
      <c r="K275" s="212" t="s">
        <v>98</v>
      </c>
      <c r="L275" s="212"/>
      <c r="M275" s="212"/>
      <c r="N275" s="220">
        <f>Q229</f>
        <v>0</v>
      </c>
      <c r="O275" s="220">
        <f>N275*O248*D249</f>
        <v>0</v>
      </c>
      <c r="P275" s="212"/>
      <c r="Q275" s="212"/>
      <c r="R275" s="212"/>
      <c r="S275" s="212"/>
      <c r="T275" s="212"/>
      <c r="U275" s="212"/>
      <c r="V275" s="212"/>
      <c r="W275" s="212"/>
      <c r="X275" s="212"/>
      <c r="Y275" s="214"/>
      <c r="Z275" s="214"/>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row>
    <row r="276" spans="1:70" ht="15.75">
      <c r="A276" s="212"/>
      <c r="B276" s="212"/>
      <c r="C276" s="212"/>
      <c r="D276" s="212"/>
      <c r="E276" s="212"/>
      <c r="F276" s="212"/>
      <c r="G276" s="212"/>
      <c r="H276" s="212"/>
      <c r="I276" s="212"/>
      <c r="J276" s="212" t="s">
        <v>286</v>
      </c>
      <c r="K276" s="212"/>
      <c r="L276" s="212"/>
      <c r="M276" s="212"/>
      <c r="N276" s="220">
        <f>Q231</f>
        <v>0</v>
      </c>
      <c r="O276" s="220">
        <f>N276*O248*D249</f>
        <v>0</v>
      </c>
      <c r="P276" s="212"/>
      <c r="Q276" s="212"/>
      <c r="R276" s="212"/>
      <c r="S276" s="212"/>
      <c r="T276" s="212"/>
      <c r="U276" s="212"/>
      <c r="V276" s="212"/>
      <c r="W276" s="212"/>
      <c r="X276" s="212"/>
      <c r="Y276" s="214"/>
      <c r="Z276" s="214"/>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row>
    <row r="277" spans="1:70" ht="15.75">
      <c r="A277" s="212"/>
      <c r="B277" s="212"/>
      <c r="C277" s="212"/>
      <c r="D277" s="212"/>
      <c r="E277" s="212"/>
      <c r="F277" s="212"/>
      <c r="G277" s="212"/>
      <c r="H277" s="212"/>
      <c r="I277" s="212"/>
      <c r="J277" s="212" t="s">
        <v>305</v>
      </c>
      <c r="K277" s="212"/>
      <c r="L277" s="212"/>
      <c r="M277" s="212"/>
      <c r="N277" s="220">
        <f>R243</f>
        <v>0</v>
      </c>
      <c r="O277" s="220">
        <f>N277*O248*D249</f>
        <v>0</v>
      </c>
      <c r="P277" s="212"/>
      <c r="Q277" s="212"/>
      <c r="R277" s="212"/>
      <c r="S277" s="212"/>
      <c r="T277" s="212"/>
      <c r="U277" s="212"/>
      <c r="V277" s="212"/>
      <c r="W277" s="212"/>
      <c r="X277" s="212"/>
      <c r="Y277" s="214"/>
      <c r="Z277" s="214"/>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row>
    <row r="278" spans="1:70" ht="15.75">
      <c r="A278" s="212"/>
      <c r="B278" s="212"/>
      <c r="C278" s="212"/>
      <c r="D278" s="212"/>
      <c r="E278" s="212"/>
      <c r="F278" s="212"/>
      <c r="G278" s="212"/>
      <c r="H278" s="212"/>
      <c r="I278" s="212"/>
      <c r="J278" s="212" t="s">
        <v>88</v>
      </c>
      <c r="K278" s="212"/>
      <c r="L278" s="212"/>
      <c r="M278" s="212"/>
      <c r="N278" s="220">
        <f>R246</f>
        <v>0</v>
      </c>
      <c r="O278" s="220">
        <f>N278*O248*D249</f>
        <v>0</v>
      </c>
      <c r="P278" s="212"/>
      <c r="Q278" s="212"/>
      <c r="R278" s="212"/>
      <c r="S278" s="212"/>
      <c r="T278" s="212"/>
      <c r="U278" s="212"/>
      <c r="V278" s="212"/>
      <c r="W278" s="212"/>
      <c r="X278" s="212"/>
      <c r="Y278" s="214"/>
      <c r="Z278" s="214"/>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row>
    <row r="279" spans="1:70" ht="15.75">
      <c r="A279" s="212"/>
      <c r="B279" s="212"/>
      <c r="C279" s="212"/>
      <c r="D279" s="212"/>
      <c r="E279" s="212"/>
      <c r="F279" s="212"/>
      <c r="G279" s="212"/>
      <c r="H279" s="212"/>
      <c r="I279" s="212"/>
      <c r="J279" s="212" t="s">
        <v>297</v>
      </c>
      <c r="K279" s="212"/>
      <c r="L279" s="212"/>
      <c r="M279" s="212"/>
      <c r="N279" s="220">
        <f>SUM(N255:N278)</f>
        <v>0</v>
      </c>
      <c r="O279" s="220">
        <f>SUM(O255:O278)</f>
        <v>0</v>
      </c>
      <c r="P279" s="212"/>
      <c r="Q279" s="212"/>
      <c r="R279" s="212"/>
      <c r="S279" s="212"/>
      <c r="T279" s="212"/>
      <c r="U279" s="212"/>
      <c r="V279" s="212"/>
      <c r="W279" s="212"/>
      <c r="X279" s="212"/>
      <c r="Y279" s="214"/>
      <c r="Z279" s="214"/>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row>
    <row r="280" spans="1:70" ht="15.75">
      <c r="A280" s="212"/>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4"/>
      <c r="Z280" s="214"/>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row>
    <row r="281" spans="1:70" ht="15.75">
      <c r="A281" s="212"/>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4"/>
      <c r="Z281" s="214"/>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row>
    <row r="282" spans="1:70" ht="15.75">
      <c r="A282" s="212"/>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4"/>
      <c r="Z282" s="214"/>
      <c r="AA282" s="212"/>
      <c r="AB282" s="212"/>
      <c r="AC282" s="212"/>
      <c r="AD282" s="212"/>
      <c r="AE282" s="212"/>
      <c r="AF282" s="212"/>
      <c r="AG282" s="212"/>
      <c r="AH282" s="21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c r="BI282" s="212"/>
      <c r="BJ282" s="212"/>
      <c r="BK282" s="212"/>
      <c r="BL282" s="212"/>
      <c r="BM282" s="212"/>
      <c r="BN282" s="212"/>
      <c r="BO282" s="212"/>
      <c r="BP282" s="212"/>
      <c r="BQ282" s="212"/>
      <c r="BR282" s="212"/>
    </row>
    <row r="283" spans="1:70" ht="15.75">
      <c r="A283" s="212"/>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4"/>
      <c r="Z283" s="214"/>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12"/>
      <c r="BJ283" s="212"/>
      <c r="BK283" s="212"/>
      <c r="BL283" s="212"/>
      <c r="BM283" s="212"/>
      <c r="BN283" s="212"/>
      <c r="BO283" s="212"/>
      <c r="BP283" s="212"/>
      <c r="BQ283" s="212"/>
      <c r="BR283" s="212"/>
    </row>
    <row r="284" spans="1:70" ht="15.75">
      <c r="A284" s="212"/>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4"/>
      <c r="Z284" s="214"/>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row>
    <row r="285" spans="1:70" ht="15.75">
      <c r="A285" s="212"/>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4"/>
      <c r="Z285" s="214"/>
      <c r="AA285" s="212"/>
      <c r="AB285" s="212"/>
      <c r="AC285" s="212"/>
      <c r="AD285" s="212"/>
      <c r="AE285" s="212"/>
      <c r="AF285" s="212"/>
      <c r="AG285" s="212"/>
      <c r="AH285" s="212"/>
      <c r="AI285" s="212"/>
      <c r="AJ285" s="212"/>
      <c r="AK285" s="212"/>
      <c r="AL285" s="212"/>
      <c r="AM285" s="212"/>
      <c r="AN285" s="212"/>
      <c r="AO285" s="212"/>
      <c r="AP285" s="212"/>
      <c r="AQ285" s="212"/>
      <c r="AR285" s="212"/>
      <c r="AS285" s="212"/>
      <c r="AT285" s="212"/>
      <c r="AU285" s="212"/>
      <c r="AV285" s="212"/>
      <c r="AW285" s="212"/>
      <c r="AX285" s="212"/>
      <c r="AY285" s="212"/>
      <c r="AZ285" s="212"/>
      <c r="BA285" s="212"/>
      <c r="BB285" s="212"/>
      <c r="BC285" s="212"/>
      <c r="BD285" s="212"/>
      <c r="BE285" s="212"/>
      <c r="BF285" s="212"/>
      <c r="BG285" s="212"/>
      <c r="BH285" s="212"/>
      <c r="BI285" s="212"/>
      <c r="BJ285" s="212"/>
      <c r="BK285" s="212"/>
      <c r="BL285" s="212"/>
      <c r="BM285" s="212"/>
      <c r="BN285" s="212"/>
      <c r="BO285" s="212"/>
      <c r="BP285" s="212"/>
      <c r="BQ285" s="212"/>
      <c r="BR285" s="212"/>
    </row>
    <row r="286" spans="1:70" ht="15.75">
      <c r="A286" s="212"/>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4"/>
      <c r="Z286" s="214"/>
      <c r="AA286" s="212"/>
      <c r="AB286" s="212"/>
      <c r="AC286" s="212"/>
      <c r="AD286" s="212"/>
      <c r="AE286" s="212"/>
      <c r="AF286" s="212"/>
      <c r="AG286" s="212"/>
      <c r="AH286" s="212"/>
      <c r="AI286" s="212"/>
      <c r="AJ286" s="212"/>
      <c r="AK286" s="212"/>
      <c r="AL286" s="212"/>
      <c r="AM286" s="212"/>
      <c r="AN286" s="212"/>
      <c r="AO286" s="212"/>
      <c r="AP286" s="212"/>
      <c r="AQ286" s="212"/>
      <c r="AR286" s="212"/>
      <c r="AS286" s="212"/>
      <c r="AT286" s="212"/>
      <c r="AU286" s="212"/>
      <c r="AV286" s="212"/>
      <c r="AW286" s="212"/>
      <c r="AX286" s="212"/>
      <c r="AY286" s="212"/>
      <c r="AZ286" s="212"/>
      <c r="BA286" s="212"/>
      <c r="BB286" s="212"/>
      <c r="BC286" s="212"/>
      <c r="BD286" s="212"/>
      <c r="BE286" s="212"/>
      <c r="BF286" s="212"/>
      <c r="BG286" s="212"/>
      <c r="BH286" s="212"/>
      <c r="BI286" s="212"/>
      <c r="BJ286" s="212"/>
      <c r="BK286" s="212"/>
      <c r="BL286" s="212"/>
      <c r="BM286" s="212"/>
      <c r="BN286" s="212"/>
      <c r="BO286" s="212"/>
      <c r="BP286" s="212"/>
      <c r="BQ286" s="212"/>
      <c r="BR286" s="212"/>
    </row>
    <row r="287" spans="1:70" ht="15.75">
      <c r="A287" s="212"/>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4"/>
      <c r="Z287" s="214"/>
      <c r="AA287" s="212"/>
      <c r="AB287" s="212"/>
      <c r="AC287" s="212"/>
      <c r="AD287" s="212"/>
      <c r="AE287" s="212"/>
      <c r="AF287" s="212"/>
      <c r="AG287" s="212"/>
      <c r="AH287" s="212"/>
      <c r="AI287" s="212"/>
      <c r="AJ287" s="212"/>
      <c r="AK287" s="212"/>
      <c r="AL287" s="212"/>
      <c r="AM287" s="212"/>
      <c r="AN287" s="212"/>
      <c r="AO287" s="212"/>
      <c r="AP287" s="212"/>
      <c r="AQ287" s="212"/>
      <c r="AR287" s="212"/>
      <c r="AS287" s="212"/>
      <c r="AT287" s="212"/>
      <c r="AU287" s="212"/>
      <c r="AV287" s="212"/>
      <c r="AW287" s="212"/>
      <c r="AX287" s="212"/>
      <c r="AY287" s="212"/>
      <c r="AZ287" s="212"/>
      <c r="BA287" s="212"/>
      <c r="BB287" s="212"/>
      <c r="BC287" s="212"/>
      <c r="BD287" s="212"/>
      <c r="BE287" s="212"/>
      <c r="BF287" s="212"/>
      <c r="BG287" s="212"/>
      <c r="BH287" s="212"/>
      <c r="BI287" s="212"/>
      <c r="BJ287" s="212"/>
      <c r="BK287" s="212"/>
      <c r="BL287" s="212"/>
      <c r="BM287" s="212"/>
      <c r="BN287" s="212"/>
      <c r="BO287" s="212"/>
      <c r="BP287" s="212"/>
      <c r="BQ287" s="212"/>
      <c r="BR287" s="212"/>
    </row>
    <row r="288" spans="1:70" ht="15.75">
      <c r="A288" s="212"/>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4"/>
      <c r="Z288" s="214"/>
      <c r="AA288" s="212"/>
      <c r="AB288" s="212"/>
      <c r="AC288" s="212"/>
      <c r="AD288" s="212"/>
      <c r="AE288" s="212"/>
      <c r="AF288" s="212"/>
      <c r="AG288" s="212"/>
      <c r="AH288" s="212"/>
      <c r="AI288" s="212"/>
      <c r="AJ288" s="212"/>
      <c r="AK288" s="212"/>
      <c r="AL288" s="212"/>
      <c r="AM288" s="212"/>
      <c r="AN288" s="212"/>
      <c r="AO288" s="212"/>
      <c r="AP288" s="212"/>
      <c r="AQ288" s="212"/>
      <c r="AR288" s="212"/>
      <c r="AS288" s="212"/>
      <c r="AT288" s="212"/>
      <c r="AU288" s="212"/>
      <c r="AV288" s="212"/>
      <c r="AW288" s="212"/>
      <c r="AX288" s="212"/>
      <c r="AY288" s="212"/>
      <c r="AZ288" s="212"/>
      <c r="BA288" s="212"/>
      <c r="BB288" s="212"/>
      <c r="BC288" s="212"/>
      <c r="BD288" s="212"/>
      <c r="BE288" s="212"/>
      <c r="BF288" s="212"/>
      <c r="BG288" s="212"/>
      <c r="BH288" s="212"/>
      <c r="BI288" s="212"/>
      <c r="BJ288" s="212"/>
      <c r="BK288" s="212"/>
      <c r="BL288" s="212"/>
      <c r="BM288" s="212"/>
      <c r="BN288" s="212"/>
      <c r="BO288" s="212"/>
      <c r="BP288" s="212"/>
      <c r="BQ288" s="212"/>
      <c r="BR288" s="212"/>
    </row>
    <row r="289" spans="1:70" ht="15.75">
      <c r="A289" s="212"/>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4"/>
      <c r="Z289" s="214"/>
      <c r="AA289" s="212"/>
      <c r="AB289" s="212"/>
      <c r="AC289" s="212"/>
      <c r="AD289" s="212"/>
      <c r="AE289" s="212"/>
      <c r="AF289" s="212"/>
      <c r="AG289" s="212"/>
      <c r="AH289" s="212"/>
      <c r="AI289" s="212"/>
      <c r="AJ289" s="212"/>
      <c r="AK289" s="212"/>
      <c r="AL289" s="212"/>
      <c r="AM289" s="212"/>
      <c r="AN289" s="212"/>
      <c r="AO289" s="212"/>
      <c r="AP289" s="212"/>
      <c r="AQ289" s="212"/>
      <c r="AR289" s="212"/>
      <c r="AS289" s="212"/>
      <c r="AT289" s="212"/>
      <c r="AU289" s="212"/>
      <c r="AV289" s="212"/>
      <c r="AW289" s="212"/>
      <c r="AX289" s="212"/>
      <c r="AY289" s="212"/>
      <c r="AZ289" s="212"/>
      <c r="BA289" s="212"/>
      <c r="BB289" s="212"/>
      <c r="BC289" s="212"/>
      <c r="BD289" s="212"/>
      <c r="BE289" s="212"/>
      <c r="BF289" s="212"/>
      <c r="BG289" s="212"/>
      <c r="BH289" s="212"/>
      <c r="BI289" s="212"/>
      <c r="BJ289" s="212"/>
      <c r="BK289" s="212"/>
      <c r="BL289" s="212"/>
      <c r="BM289" s="212"/>
      <c r="BN289" s="212"/>
      <c r="BO289" s="212"/>
      <c r="BP289" s="212"/>
      <c r="BQ289" s="212"/>
      <c r="BR289" s="212"/>
    </row>
    <row r="290" spans="1:70" ht="15.75">
      <c r="A290" s="212"/>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4"/>
      <c r="Z290" s="214"/>
      <c r="AA290" s="212"/>
      <c r="AB290" s="212"/>
      <c r="AC290" s="212"/>
      <c r="AD290" s="212"/>
      <c r="AE290" s="212"/>
      <c r="AF290" s="212"/>
      <c r="AG290" s="212"/>
      <c r="AH290" s="212"/>
      <c r="AI290" s="212"/>
      <c r="AJ290" s="212"/>
      <c r="AK290" s="212"/>
      <c r="AL290" s="212"/>
      <c r="AM290" s="212"/>
      <c r="AN290" s="212"/>
      <c r="AO290" s="212"/>
      <c r="AP290" s="212"/>
      <c r="AQ290" s="212"/>
      <c r="AR290" s="212"/>
      <c r="AS290" s="212"/>
      <c r="AT290" s="212"/>
      <c r="AU290" s="212"/>
      <c r="AV290" s="212"/>
      <c r="AW290" s="212"/>
      <c r="AX290" s="212"/>
      <c r="AY290" s="212"/>
      <c r="AZ290" s="212"/>
      <c r="BA290" s="212"/>
      <c r="BB290" s="212"/>
      <c r="BC290" s="212"/>
      <c r="BD290" s="212"/>
      <c r="BE290" s="212"/>
      <c r="BF290" s="212"/>
      <c r="BG290" s="212"/>
      <c r="BH290" s="212"/>
      <c r="BI290" s="212"/>
      <c r="BJ290" s="212"/>
      <c r="BK290" s="212"/>
      <c r="BL290" s="212"/>
      <c r="BM290" s="212"/>
      <c r="BN290" s="212"/>
      <c r="BO290" s="212"/>
      <c r="BP290" s="212"/>
      <c r="BQ290" s="212"/>
      <c r="BR290" s="212"/>
    </row>
    <row r="291" spans="1:70" ht="15.75">
      <c r="A291" s="212"/>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4"/>
      <c r="Z291" s="214"/>
      <c r="AA291" s="212"/>
      <c r="AB291" s="212"/>
      <c r="AC291" s="212"/>
      <c r="AD291" s="212"/>
      <c r="AE291" s="212"/>
      <c r="AF291" s="212"/>
      <c r="AG291" s="212"/>
      <c r="AH291" s="212"/>
      <c r="AI291" s="212"/>
      <c r="AJ291" s="212"/>
      <c r="AK291" s="212"/>
      <c r="AL291" s="212"/>
      <c r="AM291" s="212"/>
      <c r="AN291" s="212"/>
      <c r="AO291" s="212"/>
      <c r="AP291" s="212"/>
      <c r="AQ291" s="212"/>
      <c r="AR291" s="212"/>
      <c r="AS291" s="212"/>
      <c r="AT291" s="212"/>
      <c r="AU291" s="212"/>
      <c r="AV291" s="212"/>
      <c r="AW291" s="212"/>
      <c r="AX291" s="212"/>
      <c r="AY291" s="212"/>
      <c r="AZ291" s="212"/>
      <c r="BA291" s="212"/>
      <c r="BB291" s="212"/>
      <c r="BC291" s="212"/>
      <c r="BD291" s="212"/>
      <c r="BE291" s="212"/>
      <c r="BF291" s="212"/>
      <c r="BG291" s="212"/>
      <c r="BH291" s="212"/>
      <c r="BI291" s="212"/>
      <c r="BJ291" s="212"/>
      <c r="BK291" s="212"/>
      <c r="BL291" s="212"/>
      <c r="BM291" s="212"/>
      <c r="BN291" s="212"/>
      <c r="BO291" s="212"/>
      <c r="BP291" s="212"/>
      <c r="BQ291" s="212"/>
      <c r="BR291" s="212"/>
    </row>
    <row r="292" spans="1:70" ht="15.75">
      <c r="A292" s="212"/>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4"/>
      <c r="Z292" s="214"/>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2"/>
      <c r="AY292" s="212"/>
      <c r="AZ292" s="212"/>
      <c r="BA292" s="212"/>
      <c r="BB292" s="212"/>
      <c r="BC292" s="212"/>
      <c r="BD292" s="212"/>
      <c r="BE292" s="212"/>
      <c r="BF292" s="212"/>
      <c r="BG292" s="212"/>
      <c r="BH292" s="212"/>
      <c r="BI292" s="212"/>
      <c r="BJ292" s="212"/>
      <c r="BK292" s="212"/>
      <c r="BL292" s="212"/>
      <c r="BM292" s="212"/>
      <c r="BN292" s="212"/>
      <c r="BO292" s="212"/>
      <c r="BP292" s="212"/>
      <c r="BQ292" s="212"/>
      <c r="BR292" s="212"/>
    </row>
    <row r="293" spans="1:70" ht="15.75">
      <c r="A293" s="212"/>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4"/>
      <c r="Z293" s="214"/>
      <c r="AA293" s="212"/>
      <c r="AB293" s="212"/>
      <c r="AC293" s="212"/>
      <c r="AD293" s="212"/>
      <c r="AE293" s="212"/>
      <c r="AF293" s="212"/>
      <c r="AG293" s="212"/>
      <c r="AH293" s="212"/>
      <c r="AI293" s="212"/>
      <c r="AJ293" s="212"/>
      <c r="AK293" s="212"/>
      <c r="AL293" s="212"/>
      <c r="AM293" s="212"/>
      <c r="AN293" s="212"/>
      <c r="AO293" s="212"/>
      <c r="AP293" s="212"/>
      <c r="AQ293" s="212"/>
      <c r="AR293" s="212"/>
      <c r="AS293" s="212"/>
      <c r="AT293" s="212"/>
      <c r="AU293" s="212"/>
      <c r="AV293" s="212"/>
      <c r="AW293" s="212"/>
      <c r="AX293" s="212"/>
      <c r="AY293" s="212"/>
      <c r="AZ293" s="212"/>
      <c r="BA293" s="212"/>
      <c r="BB293" s="212"/>
      <c r="BC293" s="212"/>
      <c r="BD293" s="212"/>
      <c r="BE293" s="212"/>
      <c r="BF293" s="212"/>
      <c r="BG293" s="212"/>
      <c r="BH293" s="212"/>
      <c r="BI293" s="212"/>
      <c r="BJ293" s="212"/>
      <c r="BK293" s="212"/>
      <c r="BL293" s="212"/>
      <c r="BM293" s="212"/>
      <c r="BN293" s="212"/>
      <c r="BO293" s="212"/>
      <c r="BP293" s="212"/>
      <c r="BQ293" s="212"/>
      <c r="BR293" s="212"/>
    </row>
    <row r="294" spans="1:70" ht="15.75">
      <c r="A294" s="212"/>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4"/>
      <c r="Z294" s="214"/>
      <c r="AA294" s="212"/>
      <c r="AB294" s="212"/>
      <c r="AC294" s="212"/>
      <c r="AD294" s="212"/>
      <c r="AE294" s="212"/>
      <c r="AF294" s="212"/>
      <c r="AG294" s="212"/>
      <c r="AH294" s="212"/>
      <c r="AI294" s="212"/>
      <c r="AJ294" s="212"/>
      <c r="AK294" s="212"/>
      <c r="AL294" s="212"/>
      <c r="AM294" s="212"/>
      <c r="AN294" s="212"/>
      <c r="AO294" s="212"/>
      <c r="AP294" s="212"/>
      <c r="AQ294" s="212"/>
      <c r="AR294" s="212"/>
      <c r="AS294" s="212"/>
      <c r="AT294" s="212"/>
      <c r="AU294" s="212"/>
      <c r="AV294" s="212"/>
      <c r="AW294" s="212"/>
      <c r="AX294" s="212"/>
      <c r="AY294" s="212"/>
      <c r="AZ294" s="212"/>
      <c r="BA294" s="212"/>
      <c r="BB294" s="212"/>
      <c r="BC294" s="212"/>
      <c r="BD294" s="212"/>
      <c r="BE294" s="212"/>
      <c r="BF294" s="212"/>
      <c r="BG294" s="212"/>
      <c r="BH294" s="212"/>
      <c r="BI294" s="212"/>
      <c r="BJ294" s="212"/>
      <c r="BK294" s="212"/>
      <c r="BL294" s="212"/>
      <c r="BM294" s="212"/>
      <c r="BN294" s="212"/>
      <c r="BO294" s="212"/>
      <c r="BP294" s="212"/>
      <c r="BQ294" s="212"/>
      <c r="BR294" s="212"/>
    </row>
    <row r="295" spans="1:70" ht="15.75">
      <c r="A295" s="212"/>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4"/>
      <c r="Z295" s="214"/>
      <c r="AA295" s="212"/>
      <c r="AB295" s="212"/>
      <c r="AC295" s="212"/>
      <c r="AD295" s="212"/>
      <c r="AE295" s="212"/>
      <c r="AF295" s="212"/>
      <c r="AG295" s="212"/>
      <c r="AH295" s="212"/>
      <c r="AI295" s="212"/>
      <c r="AJ295" s="212"/>
      <c r="AK295" s="212"/>
      <c r="AL295" s="212"/>
      <c r="AM295" s="212"/>
      <c r="AN295" s="212"/>
      <c r="AO295" s="212"/>
      <c r="AP295" s="212"/>
      <c r="AQ295" s="212"/>
      <c r="AR295" s="212"/>
      <c r="AS295" s="212"/>
      <c r="AT295" s="212"/>
      <c r="AU295" s="212"/>
      <c r="AV295" s="212"/>
      <c r="AW295" s="212"/>
      <c r="AX295" s="212"/>
      <c r="AY295" s="212"/>
      <c r="AZ295" s="212"/>
      <c r="BA295" s="212"/>
      <c r="BB295" s="212"/>
      <c r="BC295" s="212"/>
      <c r="BD295" s="212"/>
      <c r="BE295" s="212"/>
      <c r="BF295" s="212"/>
      <c r="BG295" s="212"/>
      <c r="BH295" s="212"/>
      <c r="BI295" s="212"/>
      <c r="BJ295" s="212"/>
      <c r="BK295" s="212"/>
      <c r="BL295" s="212"/>
      <c r="BM295" s="212"/>
      <c r="BN295" s="212"/>
      <c r="BO295" s="212"/>
      <c r="BP295" s="212"/>
      <c r="BQ295" s="212"/>
      <c r="BR295" s="212"/>
    </row>
    <row r="296" spans="1:70" ht="15.75">
      <c r="A296" s="212"/>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4"/>
      <c r="Z296" s="214"/>
      <c r="AA296" s="212"/>
      <c r="AB296" s="212"/>
      <c r="AC296" s="212"/>
      <c r="AD296" s="212"/>
      <c r="AE296" s="212"/>
      <c r="AF296" s="212"/>
      <c r="AG296" s="212"/>
      <c r="AH296" s="212"/>
      <c r="AI296" s="212"/>
      <c r="AJ296" s="212"/>
      <c r="AK296" s="212"/>
      <c r="AL296" s="212"/>
      <c r="AM296" s="212"/>
      <c r="AN296" s="212"/>
      <c r="AO296" s="212"/>
      <c r="AP296" s="212"/>
      <c r="AQ296" s="212"/>
      <c r="AR296" s="212"/>
      <c r="AS296" s="212"/>
      <c r="AT296" s="212"/>
      <c r="AU296" s="212"/>
      <c r="AV296" s="212"/>
      <c r="AW296" s="212"/>
      <c r="AX296" s="212"/>
      <c r="AY296" s="212"/>
      <c r="AZ296" s="212"/>
      <c r="BA296" s="212"/>
      <c r="BB296" s="212"/>
      <c r="BC296" s="212"/>
      <c r="BD296" s="212"/>
      <c r="BE296" s="212"/>
      <c r="BF296" s="212"/>
      <c r="BG296" s="212"/>
      <c r="BH296" s="212"/>
      <c r="BI296" s="212"/>
      <c r="BJ296" s="212"/>
      <c r="BK296" s="212"/>
      <c r="BL296" s="212"/>
      <c r="BM296" s="212"/>
      <c r="BN296" s="212"/>
      <c r="BO296" s="212"/>
      <c r="BP296" s="212"/>
      <c r="BQ296" s="212"/>
      <c r="BR296" s="212"/>
    </row>
    <row r="297" spans="1:70" ht="15.75">
      <c r="A297" s="212"/>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4"/>
      <c r="Z297" s="214"/>
      <c r="AA297" s="212"/>
      <c r="AB297" s="212"/>
      <c r="AC297" s="212"/>
      <c r="AD297" s="212"/>
      <c r="AE297" s="212"/>
      <c r="AF297" s="212"/>
      <c r="AG297" s="212"/>
      <c r="AH297" s="212"/>
      <c r="AI297" s="212"/>
      <c r="AJ297" s="212"/>
      <c r="AK297" s="212"/>
      <c r="AL297" s="212"/>
      <c r="AM297" s="212"/>
      <c r="AN297" s="212"/>
      <c r="AO297" s="212"/>
      <c r="AP297" s="212"/>
      <c r="AQ297" s="212"/>
      <c r="AR297" s="212"/>
      <c r="AS297" s="212"/>
      <c r="AT297" s="212"/>
      <c r="AU297" s="212"/>
      <c r="AV297" s="212" t="s">
        <v>216</v>
      </c>
      <c r="AW297" s="212">
        <f>IF(Díjkalkuláció!H28=0,"",Díjkalkuláció!H28)</f>
      </c>
      <c r="AX297" s="212"/>
      <c r="AY297" s="212"/>
      <c r="AZ297" s="212"/>
      <c r="BA297" s="212"/>
      <c r="BB297" s="212"/>
      <c r="BC297" s="212"/>
      <c r="BD297" s="212"/>
      <c r="BE297" s="212"/>
      <c r="BF297" s="212"/>
      <c r="BG297" s="212"/>
      <c r="BH297" s="212"/>
      <c r="BI297" s="212"/>
      <c r="BJ297" s="212"/>
      <c r="BK297" s="212"/>
      <c r="BL297" s="212"/>
      <c r="BM297" s="212"/>
      <c r="BN297" s="212"/>
      <c r="BO297" s="212"/>
      <c r="BP297" s="212"/>
      <c r="BQ297" s="212"/>
      <c r="BR297" s="212"/>
    </row>
    <row r="298" spans="1:70" ht="15.75">
      <c r="A298" s="212"/>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4"/>
      <c r="Z298" s="214"/>
      <c r="AA298" s="212"/>
      <c r="AB298" s="212"/>
      <c r="AC298" s="212"/>
      <c r="AD298" s="212"/>
      <c r="AE298" s="212"/>
      <c r="AF298" s="212"/>
      <c r="AG298" s="212"/>
      <c r="AH298" s="212"/>
      <c r="AI298" s="212"/>
      <c r="AJ298" s="212"/>
      <c r="AK298" s="212"/>
      <c r="AL298" s="212"/>
      <c r="AM298" s="212"/>
      <c r="AN298" s="212"/>
      <c r="AO298" s="212"/>
      <c r="AP298" s="212"/>
      <c r="AQ298" s="212"/>
      <c r="AR298" s="212"/>
      <c r="AS298" s="212"/>
      <c r="AT298" s="212"/>
      <c r="AU298" s="212"/>
      <c r="AV298" s="217" t="s">
        <v>35</v>
      </c>
      <c r="AW298" s="212">
        <f>IF(Díjkalkuláció!H36=0,"",Díjkalkuláció!H36)</f>
      </c>
      <c r="AX298" s="212"/>
      <c r="AY298" s="212"/>
      <c r="AZ298" s="212"/>
      <c r="BA298" s="212"/>
      <c r="BB298" s="212"/>
      <c r="BC298" s="212"/>
      <c r="BD298" s="212"/>
      <c r="BE298" s="212"/>
      <c r="BF298" s="212"/>
      <c r="BG298" s="212"/>
      <c r="BH298" s="212"/>
      <c r="BI298" s="212"/>
      <c r="BJ298" s="212"/>
      <c r="BK298" s="212"/>
      <c r="BL298" s="212"/>
      <c r="BM298" s="212"/>
      <c r="BN298" s="212"/>
      <c r="BO298" s="212"/>
      <c r="BP298" s="212"/>
      <c r="BQ298" s="212"/>
      <c r="BR298" s="212"/>
    </row>
    <row r="299" spans="1:70" ht="15.75">
      <c r="A299" s="212"/>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4"/>
      <c r="Z299" s="214"/>
      <c r="AA299" s="212"/>
      <c r="AB299" s="212"/>
      <c r="AC299" s="212"/>
      <c r="AD299" s="212"/>
      <c r="AE299" s="212"/>
      <c r="AF299" s="212"/>
      <c r="AG299" s="212"/>
      <c r="AH299" s="212"/>
      <c r="AI299" s="212"/>
      <c r="AJ299" s="212"/>
      <c r="AK299" s="212"/>
      <c r="AL299" s="212"/>
      <c r="AM299" s="212"/>
      <c r="AN299" s="212"/>
      <c r="AO299" s="212"/>
      <c r="AP299" s="212"/>
      <c r="AQ299" s="212"/>
      <c r="AR299" s="212"/>
      <c r="AS299" s="212"/>
      <c r="AT299" s="212"/>
      <c r="AU299" s="212"/>
      <c r="AV299" s="217" t="s">
        <v>244</v>
      </c>
      <c r="AW299" s="212">
        <f>IF(Díjkalkuláció!H41=0,"",Díjkalkuláció!H41)</f>
      </c>
      <c r="AX299" s="212"/>
      <c r="AY299" s="212"/>
      <c r="AZ299" s="212"/>
      <c r="BA299" s="212"/>
      <c r="BB299" s="212"/>
      <c r="BC299" s="212"/>
      <c r="BD299" s="212"/>
      <c r="BE299" s="212"/>
      <c r="BF299" s="212"/>
      <c r="BG299" s="212"/>
      <c r="BH299" s="212"/>
      <c r="BI299" s="212"/>
      <c r="BJ299" s="212"/>
      <c r="BK299" s="212"/>
      <c r="BL299" s="212"/>
      <c r="BM299" s="212"/>
      <c r="BN299" s="212"/>
      <c r="BO299" s="212"/>
      <c r="BP299" s="212"/>
      <c r="BQ299" s="212"/>
      <c r="BR299" s="212"/>
    </row>
    <row r="300" spans="1:70" ht="15.75">
      <c r="A300" s="212"/>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4"/>
      <c r="Z300" s="214"/>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c r="AW300" s="212">
        <f>IF(Díjkalkuláció!H42=0,"",Díjkalkuláció!H42)</f>
      </c>
      <c r="AX300" s="212"/>
      <c r="AY300" s="212"/>
      <c r="AZ300" s="212"/>
      <c r="BA300" s="212"/>
      <c r="BB300" s="212"/>
      <c r="BC300" s="212"/>
      <c r="BD300" s="212"/>
      <c r="BE300" s="212"/>
      <c r="BF300" s="212"/>
      <c r="BG300" s="212"/>
      <c r="BH300" s="212"/>
      <c r="BI300" s="212"/>
      <c r="BJ300" s="212"/>
      <c r="BK300" s="212"/>
      <c r="BL300" s="212"/>
      <c r="BM300" s="212"/>
      <c r="BN300" s="212"/>
      <c r="BO300" s="212"/>
      <c r="BP300" s="212"/>
      <c r="BQ300" s="212"/>
      <c r="BR300" s="212"/>
    </row>
    <row r="301" spans="1:70" ht="15.75">
      <c r="A301" s="212"/>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4"/>
      <c r="Z301" s="214"/>
      <c r="AA301" s="212"/>
      <c r="AB301" s="212"/>
      <c r="AC301" s="212"/>
      <c r="AD301" s="212"/>
      <c r="AE301" s="212"/>
      <c r="AF301" s="212"/>
      <c r="AG301" s="212"/>
      <c r="AH301" s="212"/>
      <c r="AI301" s="212"/>
      <c r="AJ301" s="212"/>
      <c r="AK301" s="212"/>
      <c r="AL301" s="212"/>
      <c r="AM301" s="212"/>
      <c r="AN301" s="212"/>
      <c r="AO301" s="212"/>
      <c r="AP301" s="212"/>
      <c r="AQ301" s="212"/>
      <c r="AR301" s="212"/>
      <c r="AS301" s="212"/>
      <c r="AT301" s="212"/>
      <c r="AU301" s="212"/>
      <c r="AV301" s="212"/>
      <c r="AW301" s="212">
        <f>IF(Díjkalkuláció!H43=0,"",Díjkalkuláció!H43)</f>
      </c>
      <c r="AX301" s="212"/>
      <c r="AY301" s="212"/>
      <c r="AZ301" s="212"/>
      <c r="BA301" s="212"/>
      <c r="BB301" s="212"/>
      <c r="BC301" s="212"/>
      <c r="BD301" s="212"/>
      <c r="BE301" s="212"/>
      <c r="BF301" s="212"/>
      <c r="BG301" s="212"/>
      <c r="BH301" s="212"/>
      <c r="BI301" s="212"/>
      <c r="BJ301" s="212"/>
      <c r="BK301" s="212"/>
      <c r="BL301" s="212"/>
      <c r="BM301" s="212"/>
      <c r="BN301" s="212"/>
      <c r="BO301" s="212"/>
      <c r="BP301" s="212"/>
      <c r="BQ301" s="212"/>
      <c r="BR301" s="212"/>
    </row>
    <row r="302" ht="15.75">
      <c r="AP302" s="212"/>
    </row>
  </sheetData>
  <sheetProtection/>
  <mergeCells count="17">
    <mergeCell ref="Q63:R63"/>
    <mergeCell ref="AH50:AI50"/>
    <mergeCell ref="AH38:AI38"/>
    <mergeCell ref="AH39:AH40"/>
    <mergeCell ref="AI39:AM39"/>
    <mergeCell ref="AH51:AH52"/>
    <mergeCell ref="AI51:AM51"/>
    <mergeCell ref="Y23:Z23"/>
    <mergeCell ref="AA23:AB23"/>
    <mergeCell ref="A149:C149"/>
    <mergeCell ref="A166:C166"/>
    <mergeCell ref="C75:D75"/>
    <mergeCell ref="B124:I124"/>
    <mergeCell ref="A91:J91"/>
    <mergeCell ref="A92:D92"/>
    <mergeCell ref="Q61:R61"/>
    <mergeCell ref="Q62:R62"/>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Munka1"/>
  <dimension ref="A1:A1"/>
  <sheetViews>
    <sheetView zoomScalePageLayoutView="0" workbookViewId="0" topLeftCell="C1">
      <selection activeCell="A1" sqref="A1:B16384"/>
    </sheetView>
  </sheetViews>
  <sheetFormatPr defaultColWidth="9.140625" defaultRowHeight="12.75"/>
  <cols>
    <col min="1" max="1" width="10.140625" style="0" hidden="1" customWidth="1"/>
    <col min="2" max="2" width="0" style="0" hidden="1" customWidth="1"/>
  </cols>
  <sheetData>
    <row r="1" ht="12.75">
      <c r="A1" s="66">
        <v>41425</v>
      </c>
    </row>
  </sheetData>
  <sheetProtection password="CA45"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njudit</dc:creator>
  <cp:keywords/>
  <dc:description/>
  <cp:lastModifiedBy>u70525</cp:lastModifiedBy>
  <cp:lastPrinted>2012-10-25T08:37:33Z</cp:lastPrinted>
  <dcterms:created xsi:type="dcterms:W3CDTF">2007-08-03T21:31:37Z</dcterms:created>
  <dcterms:modified xsi:type="dcterms:W3CDTF">2013-04-16T06:45:33Z</dcterms:modified>
  <cp:category/>
  <cp:version/>
  <cp:contentType/>
  <cp:contentStatus/>
</cp:coreProperties>
</file>