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aib\Documents\OC\"/>
    </mc:Choice>
  </mc:AlternateContent>
  <xr:revisionPtr revIDLastSave="0" documentId="8_{69EB7F74-E15B-4A9C-B949-4BC3BD4DF6E1}" xr6:coauthVersionLast="45" xr6:coauthVersionMax="45" xr10:uidLastSave="{00000000-0000-0000-0000-000000000000}"/>
  <bookViews>
    <workbookView xWindow="-120" yWindow="-120" windowWidth="20730" windowHeight="11760" xr2:uid="{5FE1D9F1-FDD2-41DA-819B-CDFCD7850A37}"/>
  </bookViews>
  <sheets>
    <sheet name="Össz." sheetId="2" r:id="rId1"/>
    <sheet name="EV" sheetId="1" r:id="rId2"/>
    <sheet name="KAT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T16" i="2"/>
  <c r="N16" i="2"/>
  <c r="H16" i="2"/>
  <c r="H10" i="2"/>
  <c r="J8" i="2"/>
  <c r="I8" i="2"/>
  <c r="H8" i="2"/>
  <c r="C10" i="2"/>
  <c r="AB13" i="2"/>
  <c r="AA13" i="2"/>
  <c r="Z13" i="2"/>
  <c r="Z14" i="2"/>
  <c r="Z16" i="2" s="1"/>
  <c r="AB8" i="2"/>
  <c r="AA8" i="2"/>
  <c r="Z8" i="2"/>
  <c r="P15" i="2"/>
  <c r="N5" i="2"/>
  <c r="N3" i="2"/>
  <c r="P5" i="2"/>
  <c r="O5" i="2"/>
  <c r="AB12" i="2"/>
  <c r="AA12" i="2"/>
  <c r="J11" i="2"/>
  <c r="J12" i="2" s="1"/>
  <c r="I11" i="2"/>
  <c r="I12" i="2" s="1"/>
  <c r="H11" i="2"/>
  <c r="H12" i="2" s="1"/>
  <c r="J7" i="2"/>
  <c r="I7" i="2"/>
  <c r="H7" i="2"/>
  <c r="J6" i="2"/>
  <c r="I6" i="2"/>
  <c r="H6" i="2"/>
  <c r="H5" i="2"/>
  <c r="J4" i="2"/>
  <c r="J5" i="2" s="1"/>
  <c r="J15" i="2" s="1"/>
  <c r="I4" i="2"/>
  <c r="I5" i="2" s="1"/>
  <c r="I15" i="2" s="1"/>
  <c r="H4" i="2"/>
  <c r="J3" i="2"/>
  <c r="I3" i="2"/>
  <c r="I17" i="2" s="1"/>
  <c r="H3" i="2"/>
  <c r="H17" i="2" s="1"/>
  <c r="T7" i="2"/>
  <c r="T3" i="2"/>
  <c r="T17" i="2" s="1"/>
  <c r="E4" i="3"/>
  <c r="E8" i="3" s="1"/>
  <c r="D4" i="3"/>
  <c r="D8" i="3" s="1"/>
  <c r="C8" i="3"/>
  <c r="D6" i="3"/>
  <c r="J10" i="2" l="1"/>
  <c r="J13" i="2" s="1"/>
  <c r="H13" i="2"/>
  <c r="I10" i="2"/>
  <c r="I13" i="2" s="1"/>
  <c r="J17" i="2"/>
  <c r="U7" i="2"/>
  <c r="V7" i="2"/>
  <c r="O7" i="2"/>
  <c r="P7" i="2"/>
  <c r="N7" i="2"/>
  <c r="U9" i="2"/>
  <c r="V9" i="2"/>
  <c r="T9" i="2"/>
  <c r="U8" i="2"/>
  <c r="V8" i="2"/>
  <c r="T8" i="2"/>
  <c r="T6" i="2"/>
  <c r="R5" i="2"/>
  <c r="U4" i="2"/>
  <c r="V4" i="2"/>
  <c r="T4" i="2"/>
  <c r="U3" i="2"/>
  <c r="V3" i="2"/>
  <c r="V6" i="2"/>
  <c r="U6" i="2"/>
  <c r="U17" i="2"/>
  <c r="AB7" i="2"/>
  <c r="AB9" i="2"/>
  <c r="AA7" i="2"/>
  <c r="AA9" i="2"/>
  <c r="Z7" i="2"/>
  <c r="Z9" i="2"/>
  <c r="V5" i="2" l="1"/>
  <c r="V15" i="2" s="1"/>
  <c r="I14" i="2"/>
  <c r="J14" i="2"/>
  <c r="J16" i="2" s="1"/>
  <c r="J18" i="2" s="1"/>
  <c r="U5" i="2"/>
  <c r="U15" i="2" s="1"/>
  <c r="T5" i="2"/>
  <c r="T10" i="2" s="1"/>
  <c r="T11" i="2" s="1"/>
  <c r="T13" i="2" s="1"/>
  <c r="V10" i="2"/>
  <c r="V17" i="2"/>
  <c r="U10" i="2"/>
  <c r="U11" i="2" s="1"/>
  <c r="U12" i="2" s="1"/>
  <c r="AB4" i="2"/>
  <c r="AA4" i="2"/>
  <c r="AB3" i="2"/>
  <c r="AA3" i="2"/>
  <c r="Z4" i="2"/>
  <c r="Z3" i="2"/>
  <c r="AA6" i="2"/>
  <c r="AB6" i="2"/>
  <c r="Z6" i="2"/>
  <c r="AA5" i="2"/>
  <c r="AB5" i="2"/>
  <c r="Z5" i="2"/>
  <c r="H18" i="2" l="1"/>
  <c r="V11" i="2"/>
  <c r="V12" i="2" s="1"/>
  <c r="I16" i="2"/>
  <c r="I18" i="2" s="1"/>
  <c r="AA10" i="2"/>
  <c r="AA11" i="2" s="1"/>
  <c r="U13" i="2"/>
  <c r="AB10" i="2"/>
  <c r="AB11" i="2" s="1"/>
  <c r="Z10" i="2"/>
  <c r="Z11" i="2" s="1"/>
  <c r="V13" i="2" l="1"/>
  <c r="T18" i="2"/>
  <c r="U14" i="2"/>
  <c r="AA14" i="2"/>
  <c r="AA16" i="2" s="1"/>
  <c r="AB14" i="2"/>
  <c r="AB16" i="2" s="1"/>
  <c r="C3" i="2"/>
  <c r="D3" i="2"/>
  <c r="C4" i="2"/>
  <c r="C5" i="2" s="1"/>
  <c r="D4" i="2"/>
  <c r="D5" i="2" s="1"/>
  <c r="D15" i="2" s="1"/>
  <c r="C6" i="2"/>
  <c r="D6" i="2"/>
  <c r="C7" i="2"/>
  <c r="D7" i="2"/>
  <c r="O3" i="2"/>
  <c r="O17" i="2" s="1"/>
  <c r="P3" i="2"/>
  <c r="F15" i="2"/>
  <c r="C17" i="2" l="1"/>
  <c r="V14" i="2"/>
  <c r="V16" i="2" s="1"/>
  <c r="V18" i="2" s="1"/>
  <c r="U16" i="2"/>
  <c r="U18" i="2" s="1"/>
  <c r="N17" i="2"/>
  <c r="D10" i="2"/>
  <c r="D17" i="2"/>
  <c r="P17" i="2"/>
  <c r="P9" i="2"/>
  <c r="O9" i="2"/>
  <c r="P8" i="2"/>
  <c r="O8" i="2"/>
  <c r="N9" i="2"/>
  <c r="N8" i="2"/>
  <c r="O6" i="2"/>
  <c r="N6" i="2"/>
  <c r="P6" i="2"/>
  <c r="E6" i="2"/>
  <c r="N10" i="2" l="1"/>
  <c r="C11" i="2"/>
  <c r="C13" i="2"/>
  <c r="D11" i="2"/>
  <c r="D12" i="2" s="1"/>
  <c r="D13" i="2" s="1"/>
  <c r="D14" i="2" s="1"/>
  <c r="N11" i="2"/>
  <c r="P10" i="2"/>
  <c r="P11" i="2" s="1"/>
  <c r="O10" i="2"/>
  <c r="O11" i="2" s="1"/>
  <c r="E3" i="2"/>
  <c r="D2" i="3"/>
  <c r="D5" i="3" s="1"/>
  <c r="E2" i="3"/>
  <c r="D3" i="3"/>
  <c r="E3" i="3"/>
  <c r="C3" i="3"/>
  <c r="C2" i="3"/>
  <c r="E5" i="3"/>
  <c r="E6" i="3" s="1"/>
  <c r="O12" i="2" l="1"/>
  <c r="O13" i="2" s="1"/>
  <c r="P13" i="2"/>
  <c r="P14" i="2" s="1"/>
  <c r="P12" i="2"/>
  <c r="N13" i="2"/>
  <c r="C18" i="2"/>
  <c r="C5" i="3"/>
  <c r="C6" i="3" s="1"/>
  <c r="E17" i="2"/>
  <c r="O15" i="2" l="1"/>
  <c r="O14" i="2"/>
  <c r="O16" i="2" s="1"/>
  <c r="O18" i="2" s="1"/>
  <c r="P16" i="2"/>
  <c r="P18" i="2" s="1"/>
  <c r="D16" i="2"/>
  <c r="D18" i="2" s="1"/>
  <c r="N18" i="2" l="1"/>
  <c r="I11" i="1"/>
  <c r="C8" i="1"/>
  <c r="D24" i="1"/>
  <c r="E4" i="2"/>
  <c r="E5" i="2" s="1"/>
  <c r="E15" i="2" s="1"/>
  <c r="E7" i="2"/>
  <c r="D23" i="1"/>
  <c r="C13" i="1"/>
  <c r="B8" i="1"/>
  <c r="D13" i="1"/>
  <c r="E10" i="2" l="1"/>
  <c r="D16" i="1"/>
  <c r="C17" i="1"/>
  <c r="E11" i="2" l="1"/>
  <c r="E12" i="2" s="1"/>
  <c r="E13" i="2"/>
  <c r="C14" i="1"/>
  <c r="D15" i="1"/>
  <c r="C15" i="1"/>
  <c r="B9" i="1"/>
  <c r="B11" i="1" s="1"/>
  <c r="C9" i="1"/>
  <c r="C11" i="1" s="1"/>
  <c r="C2" i="1"/>
  <c r="C4" i="1" s="1"/>
  <c r="C5" i="1"/>
  <c r="B2" i="1"/>
  <c r="B5" i="1" s="1"/>
  <c r="C3" i="1" l="1"/>
  <c r="D14" i="1" s="1"/>
  <c r="D17" i="1" s="1"/>
  <c r="D18" i="1" s="1"/>
  <c r="E14" i="2"/>
  <c r="B3" i="1"/>
  <c r="B6" i="1" s="1"/>
  <c r="B4" i="1"/>
  <c r="D19" i="1"/>
  <c r="C6" i="1"/>
  <c r="D20" i="1" l="1"/>
  <c r="E16" i="2"/>
  <c r="E18" i="2" s="1"/>
  <c r="D21" i="1" l="1"/>
  <c r="D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Hirkó Ágnes</author>
  </authors>
  <commentList>
    <comment ref="M1" authorId="0" shapeId="0" xr:uid="{974B59D5-4C76-498E-9ECD-1568266FAD80}">
      <text>
        <r>
          <rPr>
            <b/>
            <sz val="9"/>
            <color indexed="81"/>
            <rFont val="Tahoma"/>
            <family val="2"/>
            <charset val="238"/>
          </rPr>
          <t>Hirkó Ágnes:</t>
        </r>
        <r>
          <rPr>
            <sz val="9"/>
            <color indexed="81"/>
            <rFont val="Tahoma"/>
            <family val="2"/>
            <charset val="238"/>
          </rPr>
          <t xml:space="preserve">
KKT vagy BT számára a legjobb</t>
        </r>
      </text>
    </comment>
    <comment ref="L5" authorId="0" shapeId="0" xr:uid="{5CAD1BEB-37D0-42B9-BCED-604A989D6A4C}">
      <text>
        <r>
          <rPr>
            <b/>
            <sz val="9"/>
            <color indexed="81"/>
            <rFont val="Tahoma"/>
            <family val="2"/>
            <charset val="238"/>
          </rPr>
          <t>Hirkó Ágnes:</t>
        </r>
        <r>
          <rPr>
            <sz val="9"/>
            <color indexed="81"/>
            <rFont val="Tahoma"/>
            <family val="2"/>
            <charset val="238"/>
          </rPr>
          <t xml:space="preserve">
várható, 2020-ban 12%
</t>
        </r>
      </text>
    </comment>
    <comment ref="L6" authorId="0" shapeId="0" xr:uid="{C5319F11-0A96-4443-8534-A597E038B555}">
      <text>
        <r>
          <rPr>
            <b/>
            <sz val="9"/>
            <color indexed="81"/>
            <rFont val="Tahoma"/>
            <charset val="1"/>
          </rPr>
          <t>Hirkó Ágnes:</t>
        </r>
        <r>
          <rPr>
            <sz val="9"/>
            <color indexed="81"/>
            <rFont val="Tahoma"/>
            <charset val="1"/>
          </rPr>
          <t xml:space="preserve">
HIPA-KIVA alap 120%-a, személyi jellegű kifizetések és jóváhagyott osztalék összege
</t>
        </r>
      </text>
    </comment>
    <comment ref="L12" authorId="0" shapeId="0" xr:uid="{F6E95261-081C-4487-B646-1FFB6B4ADAAC}">
      <text>
        <r>
          <rPr>
            <b/>
            <sz val="9"/>
            <color indexed="81"/>
            <rFont val="Tahoma"/>
            <family val="2"/>
            <charset val="238"/>
          </rPr>
          <t>Hirkó Ágnes:</t>
        </r>
        <r>
          <rPr>
            <sz val="9"/>
            <color indexed="81"/>
            <rFont val="Tahoma"/>
            <family val="2"/>
            <charset val="238"/>
          </rPr>
          <t xml:space="preserve">
várható, 2020-ban 12%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Hirkó Ágnes</author>
  </authors>
  <commentList>
    <comment ref="E22" authorId="0" shapeId="0" xr:uid="{8D1D661B-64C0-4F69-9EEF-F327B2087BB2}">
      <text>
        <r>
          <rPr>
            <b/>
            <sz val="9"/>
            <color indexed="81"/>
            <rFont val="Tahoma"/>
            <family val="2"/>
            <charset val="238"/>
          </rPr>
          <t>Hirkó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<sst xmlns="http://schemas.openxmlformats.org/spreadsheetml/2006/main" count="116" uniqueCount="45">
  <si>
    <t>ipa</t>
  </si>
  <si>
    <t>járulék 15,5%</t>
  </si>
  <si>
    <t>éves nettó munkabér</t>
  </si>
  <si>
    <t>éves bruttó munkabér gar.bérmin</t>
  </si>
  <si>
    <t>könyvelő éves díja</t>
  </si>
  <si>
    <t>Éves ktg-ek összesen</t>
  </si>
  <si>
    <t>Éves bevétel</t>
  </si>
  <si>
    <t>TAO=vállalkozói szja (Adóalap)</t>
  </si>
  <si>
    <t>Adózott eredmény</t>
  </si>
  <si>
    <t xml:space="preserve">osztalék SZJA </t>
  </si>
  <si>
    <t>osztalék szocho</t>
  </si>
  <si>
    <t>osztalék szocho ez miez???</t>
  </si>
  <si>
    <t>Adóalap</t>
  </si>
  <si>
    <t>szocho</t>
  </si>
  <si>
    <t>szakképzési</t>
  </si>
  <si>
    <t>szumm</t>
  </si>
  <si>
    <t>járulék fizetési alap!</t>
  </si>
  <si>
    <t>min.bér/gar.bérmin.</t>
  </si>
  <si>
    <t>TB járulék</t>
  </si>
  <si>
    <t>Nettó jöv./hó</t>
  </si>
  <si>
    <t>min.bér 24x-ese -&gt;adófizetési felső határ</t>
  </si>
  <si>
    <t>korrigált szocho a tábla szerint, de hogy jött ki nekik ez a szám? Nekem D22-es CELLA</t>
  </si>
  <si>
    <t>Bevétel</t>
  </si>
  <si>
    <t>EV átalányadó</t>
  </si>
  <si>
    <t>Éves bruttó munkabér</t>
  </si>
  <si>
    <t>Járulékfizetési alap/hó</t>
  </si>
  <si>
    <t>Könyvelő éves díj</t>
  </si>
  <si>
    <t>Költségek összesen</t>
  </si>
  <si>
    <t>Ami marad</t>
  </si>
  <si>
    <t xml:space="preserve"> + Nettó munkabér</t>
  </si>
  <si>
    <t>15% SZJA; 18,5% TB</t>
  </si>
  <si>
    <t>Adó</t>
  </si>
  <si>
    <t>HIPA</t>
  </si>
  <si>
    <t>"havi" KATA</t>
  </si>
  <si>
    <t>KIVA adó</t>
  </si>
  <si>
    <t xml:space="preserve">Éves Szocho </t>
  </si>
  <si>
    <t>Bankszámla vezetés éves díja</t>
  </si>
  <si>
    <t>KIVA - gazd-i társaságoknak és egyéni cégként bejegyzett egyéni vállalkozóknak</t>
  </si>
  <si>
    <t>Ügyvédi ktg</t>
  </si>
  <si>
    <t>KATA</t>
  </si>
  <si>
    <t>Járulékok (15,5%+1,5%)</t>
  </si>
  <si>
    <t>KFT "rendes" adózás</t>
  </si>
  <si>
    <t>EV tételes ktg elszámolás</t>
  </si>
  <si>
    <t>átterhelve</t>
  </si>
  <si>
    <t>nettó osztalék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</si>
</sst>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164" fontId="0" fillId="0" borderId="1" xfId="2" applyNumberFormat="1" applyFont="1" applyBorder="1"/>
    <xf numFmtId="165" fontId="0" fillId="0" borderId="1" xfId="1" applyNumberFormat="1" applyFont="1" applyBorder="1"/>
    <xf numFmtId="165" fontId="0" fillId="0" borderId="0" xfId="0" applyNumberFormat="1"/>
    <xf numFmtId="9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0" fillId="0" borderId="2" xfId="0" applyNumberFormat="1" applyBorder="1"/>
    <xf numFmtId="165" fontId="2" fillId="0" borderId="0" xfId="0" applyNumberFormat="1" applyFont="1"/>
    <xf numFmtId="0" fontId="2" fillId="0" borderId="0" xfId="0" applyFont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4" xfId="0" applyBorder="1"/>
    <xf numFmtId="165" fontId="0" fillId="0" borderId="3" xfId="1" applyNumberFormat="1" applyFont="1" applyBorder="1"/>
    <xf numFmtId="165" fontId="5" fillId="0" borderId="0" xfId="1" applyNumberFormat="1" applyFont="1"/>
    <xf numFmtId="10" fontId="6" fillId="0" borderId="0" xfId="0" applyNumberFormat="1" applyFont="1"/>
    <xf numFmtId="164" fontId="5" fillId="0" borderId="0" xfId="0" applyNumberFormat="1" applyFont="1"/>
    <xf numFmtId="9" fontId="5" fillId="0" borderId="0" xfId="0" applyNumberFormat="1" applyFont="1"/>
    <xf numFmtId="0" fontId="5" fillId="0" borderId="0" xfId="0" applyFont="1"/>
    <xf numFmtId="165" fontId="0" fillId="0" borderId="6" xfId="1" applyNumberFormat="1" applyFont="1" applyBorder="1"/>
    <xf numFmtId="0" fontId="0" fillId="0" borderId="7" xfId="0" applyBorder="1"/>
    <xf numFmtId="165" fontId="0" fillId="0" borderId="8" xfId="1" applyNumberFormat="1" applyFont="1" applyBorder="1"/>
    <xf numFmtId="0" fontId="2" fillId="0" borderId="9" xfId="0" applyFont="1" applyBorder="1"/>
    <xf numFmtId="165" fontId="2" fillId="0" borderId="10" xfId="1" applyNumberFormat="1" applyFont="1" applyBorder="1"/>
    <xf numFmtId="0" fontId="0" fillId="0" borderId="9" xfId="0" applyBorder="1"/>
    <xf numFmtId="165" fontId="0" fillId="0" borderId="10" xfId="1" applyNumberFormat="1" applyFont="1" applyBorder="1"/>
    <xf numFmtId="0" fontId="0" fillId="0" borderId="11" xfId="0" applyBorder="1"/>
    <xf numFmtId="165" fontId="0" fillId="0" borderId="12" xfId="1" applyNumberFormat="1" applyFont="1" applyBorder="1"/>
    <xf numFmtId="9" fontId="10" fillId="0" borderId="0" xfId="0" applyNumberFormat="1" applyFont="1"/>
    <xf numFmtId="0" fontId="0" fillId="3" borderId="4" xfId="0" applyFill="1" applyBorder="1"/>
    <xf numFmtId="165" fontId="0" fillId="3" borderId="3" xfId="1" applyNumberFormat="1" applyFont="1" applyFill="1" applyBorder="1"/>
    <xf numFmtId="0" fontId="0" fillId="5" borderId="4" xfId="0" applyFill="1" applyBorder="1"/>
    <xf numFmtId="165" fontId="0" fillId="5" borderId="6" xfId="1" applyNumberFormat="1" applyFont="1" applyFill="1" applyBorder="1"/>
    <xf numFmtId="0" fontId="7" fillId="5" borderId="4" xfId="0" applyFont="1" applyFill="1" applyBorder="1"/>
    <xf numFmtId="165" fontId="7" fillId="5" borderId="6" xfId="1" applyNumberFormat="1" applyFont="1" applyFill="1" applyBorder="1"/>
    <xf numFmtId="0" fontId="0" fillId="6" borderId="4" xfId="0" applyFill="1" applyBorder="1"/>
    <xf numFmtId="165" fontId="0" fillId="6" borderId="6" xfId="1" applyNumberFormat="1" applyFont="1" applyFill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5" borderId="5" xfId="1" applyNumberFormat="1" applyFont="1" applyFill="1" applyBorder="1"/>
    <xf numFmtId="165" fontId="0" fillId="3" borderId="5" xfId="1" applyNumberFormat="1" applyFont="1" applyFill="1" applyBorder="1"/>
    <xf numFmtId="165" fontId="0" fillId="3" borderId="6" xfId="1" applyNumberFormat="1" applyFont="1" applyFill="1" applyBorder="1"/>
    <xf numFmtId="165" fontId="7" fillId="5" borderId="5" xfId="1" applyNumberFormat="1" applyFont="1" applyFill="1" applyBorder="1"/>
    <xf numFmtId="9" fontId="5" fillId="0" borderId="0" xfId="2" applyFont="1"/>
    <xf numFmtId="165" fontId="0" fillId="0" borderId="15" xfId="1" applyNumberFormat="1" applyFont="1" applyBorder="1"/>
    <xf numFmtId="165" fontId="2" fillId="0" borderId="16" xfId="1" applyNumberFormat="1" applyFont="1" applyBorder="1"/>
    <xf numFmtId="165" fontId="0" fillId="0" borderId="17" xfId="1" applyNumberFormat="1" applyFont="1" applyBorder="1"/>
    <xf numFmtId="165" fontId="0" fillId="0" borderId="16" xfId="1" applyNumberFormat="1" applyFont="1" applyBorder="1"/>
    <xf numFmtId="165" fontId="0" fillId="5" borderId="3" xfId="1" applyNumberFormat="1" applyFont="1" applyFill="1" applyBorder="1"/>
    <xf numFmtId="165" fontId="0" fillId="6" borderId="3" xfId="1" applyNumberFormat="1" applyFont="1" applyFill="1" applyBorder="1"/>
    <xf numFmtId="165" fontId="7" fillId="5" borderId="3" xfId="1" applyNumberFormat="1" applyFont="1" applyFill="1" applyBorder="1"/>
    <xf numFmtId="165" fontId="0" fillId="0" borderId="0" xfId="0" applyNumberFormat="1" applyFill="1"/>
    <xf numFmtId="0" fontId="0" fillId="0" borderId="0" xfId="0" applyFill="1" applyBorder="1"/>
    <xf numFmtId="0" fontId="0" fillId="3" borderId="3" xfId="0" applyFill="1" applyBorder="1"/>
    <xf numFmtId="0" fontId="0" fillId="3" borderId="7" xfId="0" applyFill="1" applyBorder="1"/>
    <xf numFmtId="165" fontId="0" fillId="3" borderId="13" xfId="1" applyNumberFormat="1" applyFont="1" applyFill="1" applyBorder="1"/>
    <xf numFmtId="165" fontId="0" fillId="3" borderId="8" xfId="1" applyNumberFormat="1" applyFont="1" applyFill="1" applyBorder="1"/>
    <xf numFmtId="165" fontId="0" fillId="0" borderId="13" xfId="1" applyNumberFormat="1" applyFont="1" applyFill="1" applyBorder="1"/>
    <xf numFmtId="165" fontId="0" fillId="0" borderId="8" xfId="1" applyNumberFormat="1" applyFont="1" applyFill="1" applyBorder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165" fontId="0" fillId="0" borderId="10" xfId="1" applyNumberFormat="1" applyFont="1" applyFill="1" applyBorder="1"/>
    <xf numFmtId="0" fontId="5" fillId="0" borderId="0" xfId="0" applyFont="1" applyFill="1" applyBorder="1"/>
    <xf numFmtId="165" fontId="6" fillId="0" borderId="0" xfId="1" applyNumberFormat="1" applyFont="1"/>
    <xf numFmtId="0" fontId="0" fillId="7" borderId="0" xfId="0" applyFill="1" applyBorder="1"/>
    <xf numFmtId="0" fontId="0" fillId="7" borderId="0" xfId="0" applyFill="1"/>
    <xf numFmtId="165" fontId="0" fillId="7" borderId="0" xfId="1" applyNumberFormat="1" applyFont="1" applyFill="1"/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9" fontId="0" fillId="0" borderId="0" xfId="2" applyFont="1"/>
    <xf numFmtId="9" fontId="0" fillId="7" borderId="0" xfId="2" applyFont="1" applyFill="1"/>
    <xf numFmtId="165" fontId="0" fillId="5" borderId="5" xfId="0" applyNumberFormat="1" applyFill="1" applyBorder="1"/>
    <xf numFmtId="165" fontId="0" fillId="5" borderId="6" xfId="0" applyNumberFormat="1" applyFill="1" applyBorder="1"/>
    <xf numFmtId="164" fontId="5" fillId="0" borderId="0" xfId="0" applyNumberFormat="1" applyFont="1" applyFill="1"/>
    <xf numFmtId="0" fontId="0" fillId="0" borderId="11" xfId="0" applyFill="1" applyBorder="1"/>
    <xf numFmtId="165" fontId="0" fillId="0" borderId="17" xfId="1" applyNumberFormat="1" applyFont="1" applyFill="1" applyBorder="1"/>
    <xf numFmtId="165" fontId="0" fillId="0" borderId="12" xfId="1" applyNumberFormat="1" applyFont="1" applyFill="1" applyBorder="1"/>
    <xf numFmtId="3" fontId="5" fillId="0" borderId="0" xfId="0" applyNumberFormat="1" applyFont="1" applyFill="1"/>
    <xf numFmtId="0" fontId="0" fillId="0" borderId="0" xfId="0" applyFill="1"/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0A9F-4FF5-4F61-87AF-15DBC2B1F298}">
  <dimension ref="A1:AC25"/>
  <sheetViews>
    <sheetView tabSelected="1" zoomScale="75" zoomScaleNormal="75" workbookViewId="0">
      <selection activeCell="A16" sqref="A16"/>
    </sheetView>
  </sheetViews>
  <sheetFormatPr defaultRowHeight="15" x14ac:dyDescent="0.25"/>
  <cols>
    <col min="1" max="1" width="9.7109375" customWidth="1"/>
    <col min="2" max="2" width="28.5703125" bestFit="1" customWidth="1"/>
    <col min="3" max="4" width="12.85546875" customWidth="1"/>
    <col min="5" max="5" width="14" bestFit="1" customWidth="1"/>
    <col min="6" max="6" width="8.85546875" customWidth="1"/>
    <col min="7" max="7" width="28.5703125" bestFit="1" customWidth="1"/>
    <col min="8" max="9" width="11.140625" bestFit="1" customWidth="1"/>
    <col min="10" max="10" width="12.28515625" bestFit="1" customWidth="1"/>
    <col min="11" max="11" width="8.85546875" customWidth="1"/>
    <col min="12" max="12" width="8.28515625" customWidth="1"/>
    <col min="13" max="13" width="27.28515625" bestFit="1" customWidth="1"/>
    <col min="14" max="14" width="12.85546875" customWidth="1"/>
    <col min="15" max="15" width="12.5703125" customWidth="1"/>
    <col min="16" max="16" width="12.42578125" customWidth="1"/>
    <col min="17" max="17" width="1.7109375" customWidth="1"/>
    <col min="18" max="18" width="9.140625" customWidth="1"/>
    <col min="19" max="19" width="32.140625" bestFit="1" customWidth="1"/>
    <col min="20" max="21" width="11.28515625" bestFit="1" customWidth="1"/>
    <col min="22" max="22" width="12.28515625" bestFit="1" customWidth="1"/>
    <col min="25" max="25" width="19.85546875" customWidth="1"/>
    <col min="26" max="26" width="11.42578125" customWidth="1"/>
    <col min="27" max="27" width="11.140625" customWidth="1"/>
    <col min="28" max="28" width="12.5703125" customWidth="1"/>
    <col min="29" max="29" width="1.7109375" customWidth="1"/>
  </cols>
  <sheetData>
    <row r="1" spans="1:29" ht="33" customHeight="1" thickBot="1" x14ac:dyDescent="0.3">
      <c r="B1" s="73" t="s">
        <v>42</v>
      </c>
      <c r="C1" s="74"/>
      <c r="D1" s="74"/>
      <c r="E1" s="75"/>
      <c r="F1" s="67"/>
      <c r="G1" s="73" t="s">
        <v>23</v>
      </c>
      <c r="H1" s="74"/>
      <c r="I1" s="74"/>
      <c r="J1" s="75"/>
      <c r="K1" s="67"/>
      <c r="L1" s="55"/>
      <c r="M1" s="70" t="s">
        <v>37</v>
      </c>
      <c r="N1" s="71"/>
      <c r="O1" s="71"/>
      <c r="P1" s="72"/>
      <c r="Q1" s="67"/>
      <c r="S1" s="73" t="s">
        <v>41</v>
      </c>
      <c r="T1" s="74"/>
      <c r="U1" s="74"/>
      <c r="V1" s="75"/>
      <c r="X1" s="55"/>
      <c r="Y1" s="73" t="s">
        <v>39</v>
      </c>
      <c r="Z1" s="74"/>
      <c r="AA1" s="74"/>
      <c r="AB1" s="75"/>
      <c r="AC1" s="68"/>
    </row>
    <row r="2" spans="1:29" ht="15.75" thickBot="1" x14ac:dyDescent="0.3">
      <c r="B2" s="32" t="s">
        <v>22</v>
      </c>
      <c r="C2" s="33">
        <v>3000000</v>
      </c>
      <c r="D2" s="33">
        <v>6000000</v>
      </c>
      <c r="E2" s="33">
        <v>12000000</v>
      </c>
      <c r="F2" s="67"/>
      <c r="G2" s="32" t="s">
        <v>22</v>
      </c>
      <c r="H2" s="33">
        <v>3000000</v>
      </c>
      <c r="I2" s="33">
        <v>6000000</v>
      </c>
      <c r="J2" s="33">
        <v>12000000</v>
      </c>
      <c r="K2" s="67"/>
      <c r="L2" s="55"/>
      <c r="M2" s="56" t="s">
        <v>22</v>
      </c>
      <c r="N2" s="33">
        <v>3000000</v>
      </c>
      <c r="O2" s="33">
        <v>6000000</v>
      </c>
      <c r="P2" s="33">
        <v>12000000</v>
      </c>
      <c r="Q2" s="67"/>
      <c r="S2" s="32" t="s">
        <v>22</v>
      </c>
      <c r="T2" s="33">
        <v>3000000</v>
      </c>
      <c r="U2" s="33">
        <v>6000000</v>
      </c>
      <c r="V2" s="33">
        <v>12000000</v>
      </c>
      <c r="X2" s="55"/>
      <c r="Y2" s="57" t="s">
        <v>22</v>
      </c>
      <c r="Z2" s="58">
        <v>3000000</v>
      </c>
      <c r="AA2" s="58">
        <v>6000000</v>
      </c>
      <c r="AB2" s="59">
        <v>12000000</v>
      </c>
      <c r="AC2" s="68"/>
    </row>
    <row r="3" spans="1:29" x14ac:dyDescent="0.25">
      <c r="A3" s="17">
        <v>210600</v>
      </c>
      <c r="B3" s="23" t="s">
        <v>24</v>
      </c>
      <c r="C3" s="47">
        <f t="shared" ref="C3:D3" si="0">-$A3*12</f>
        <v>-2527200</v>
      </c>
      <c r="D3" s="24">
        <f t="shared" si="0"/>
        <v>-2527200</v>
      </c>
      <c r="E3" s="24">
        <f>-$A3*12</f>
        <v>-2527200</v>
      </c>
      <c r="F3" s="69"/>
      <c r="G3" s="23" t="s">
        <v>24</v>
      </c>
      <c r="H3" s="47">
        <f t="shared" ref="H3:I3" si="1">-$A3*12</f>
        <v>-2527200</v>
      </c>
      <c r="I3" s="24">
        <f t="shared" si="1"/>
        <v>-2527200</v>
      </c>
      <c r="J3" s="24">
        <f>-$A3*12</f>
        <v>-2527200</v>
      </c>
      <c r="K3" s="69"/>
      <c r="L3" s="17">
        <v>210600</v>
      </c>
      <c r="M3" s="23" t="s">
        <v>24</v>
      </c>
      <c r="N3" s="47">
        <f>-$L3*12</f>
        <v>-2527200</v>
      </c>
      <c r="O3" s="24">
        <f>-$L3*12</f>
        <v>-2527200</v>
      </c>
      <c r="P3" s="24">
        <f>-$L3*12</f>
        <v>-2527200</v>
      </c>
      <c r="Q3" s="68"/>
      <c r="R3" s="17">
        <v>210600</v>
      </c>
      <c r="S3" s="23" t="s">
        <v>24</v>
      </c>
      <c r="T3" s="47">
        <f>-$R3*12</f>
        <v>-2527200</v>
      </c>
      <c r="U3" s="47">
        <f t="shared" ref="U3:V3" si="2">-$R3*12</f>
        <v>-2527200</v>
      </c>
      <c r="V3" s="47">
        <f t="shared" si="2"/>
        <v>-2527200</v>
      </c>
      <c r="X3" s="65">
        <v>0</v>
      </c>
      <c r="Y3" s="23" t="s">
        <v>24</v>
      </c>
      <c r="Z3" s="60">
        <f>$X3</f>
        <v>0</v>
      </c>
      <c r="AA3" s="60">
        <f>$X3</f>
        <v>0</v>
      </c>
      <c r="AB3" s="61">
        <f>$X3</f>
        <v>0</v>
      </c>
      <c r="AC3" s="68"/>
    </row>
    <row r="4" spans="1:29" x14ac:dyDescent="0.25">
      <c r="A4" s="18">
        <v>1.125</v>
      </c>
      <c r="B4" s="25" t="s">
        <v>25</v>
      </c>
      <c r="C4" s="48">
        <f t="shared" ref="C4:D4" si="3">210600*112.5%</f>
        <v>236925</v>
      </c>
      <c r="D4" s="26">
        <f t="shared" si="3"/>
        <v>236925</v>
      </c>
      <c r="E4" s="26">
        <f>210600*112.5%</f>
        <v>236925</v>
      </c>
      <c r="F4" s="69"/>
      <c r="G4" s="25" t="s">
        <v>25</v>
      </c>
      <c r="H4" s="48">
        <f t="shared" ref="H4:I4" si="4">210600*112.5%</f>
        <v>236925</v>
      </c>
      <c r="I4" s="26">
        <f t="shared" si="4"/>
        <v>236925</v>
      </c>
      <c r="J4" s="26">
        <f>210600*112.5%</f>
        <v>236925</v>
      </c>
      <c r="K4" s="69"/>
      <c r="L4" s="17">
        <v>210600</v>
      </c>
      <c r="M4" s="25" t="s">
        <v>25</v>
      </c>
      <c r="N4" s="48">
        <v>210600</v>
      </c>
      <c r="O4" s="26">
        <v>210600</v>
      </c>
      <c r="P4" s="26">
        <v>210600</v>
      </c>
      <c r="Q4" s="68"/>
      <c r="R4" s="66">
        <v>210600</v>
      </c>
      <c r="S4" s="25" t="s">
        <v>25</v>
      </c>
      <c r="T4" s="48">
        <f>$R4</f>
        <v>210600</v>
      </c>
      <c r="U4" s="48">
        <f t="shared" ref="U4:V4" si="5">$R4</f>
        <v>210600</v>
      </c>
      <c r="V4" s="48">
        <f t="shared" si="5"/>
        <v>210600</v>
      </c>
      <c r="X4" s="65">
        <v>0</v>
      </c>
      <c r="Y4" s="25" t="s">
        <v>25</v>
      </c>
      <c r="Z4" s="63">
        <f>$X4</f>
        <v>0</v>
      </c>
      <c r="AA4" s="63">
        <f>$X4</f>
        <v>0</v>
      </c>
      <c r="AB4" s="64">
        <f>$X4</f>
        <v>0</v>
      </c>
      <c r="AC4" s="68"/>
    </row>
    <row r="5" spans="1:29" ht="15.75" thickBot="1" x14ac:dyDescent="0.3">
      <c r="A5" s="19">
        <v>0.155</v>
      </c>
      <c r="B5" s="29" t="s">
        <v>35</v>
      </c>
      <c r="C5" s="49">
        <f>-C4*15.5%*12</f>
        <v>-440680.5</v>
      </c>
      <c r="D5" s="30">
        <f t="shared" ref="D5" si="6">-D4*15.5%*12</f>
        <v>-440680.5</v>
      </c>
      <c r="E5" s="30">
        <f>-E4*15.5%*12</f>
        <v>-440680.5</v>
      </c>
      <c r="F5" s="69"/>
      <c r="G5" s="29" t="s">
        <v>35</v>
      </c>
      <c r="H5" s="49">
        <f>-H4*15.5%*12</f>
        <v>-440680.5</v>
      </c>
      <c r="I5" s="30">
        <f t="shared" ref="I5" si="7">-I4*15.5%*12</f>
        <v>-440680.5</v>
      </c>
      <c r="J5" s="30">
        <f>-J4*15.5%*12</f>
        <v>-440680.5</v>
      </c>
      <c r="K5" s="69"/>
      <c r="L5" s="46">
        <v>0.11</v>
      </c>
      <c r="M5" s="29" t="s">
        <v>34</v>
      </c>
      <c r="N5" s="49">
        <f>-N4*$L5*12</f>
        <v>-277992</v>
      </c>
      <c r="O5" s="30">
        <f>-O4*$L5*12</f>
        <v>-277992</v>
      </c>
      <c r="P5" s="30">
        <f>-P4*$L5*12</f>
        <v>-277992</v>
      </c>
      <c r="Q5" s="68"/>
      <c r="R5" s="19">
        <f>15.5%+1.5%</f>
        <v>0.16999999999999998</v>
      </c>
      <c r="S5" s="29" t="s">
        <v>40</v>
      </c>
      <c r="T5" s="49">
        <f>-T4*$R5*12</f>
        <v>-429624</v>
      </c>
      <c r="U5" s="49">
        <f t="shared" ref="U5:V5" si="8">-U4*$R5*12</f>
        <v>-429624</v>
      </c>
      <c r="V5" s="49">
        <f t="shared" si="8"/>
        <v>-429624</v>
      </c>
      <c r="X5" s="17">
        <v>50000</v>
      </c>
      <c r="Y5" s="29" t="s">
        <v>33</v>
      </c>
      <c r="Z5" s="41">
        <f>-$X5*12</f>
        <v>-600000</v>
      </c>
      <c r="AA5" s="41">
        <f>-$X5*12</f>
        <v>-600000</v>
      </c>
      <c r="AB5" s="30">
        <f>-$X5*12</f>
        <v>-600000</v>
      </c>
      <c r="AC5" s="68"/>
    </row>
    <row r="6" spans="1:29" x14ac:dyDescent="0.25">
      <c r="A6" s="20">
        <v>0.02</v>
      </c>
      <c r="B6" s="23" t="s">
        <v>32</v>
      </c>
      <c r="C6" s="47">
        <f t="shared" ref="C6:D6" si="9">-C2*2%</f>
        <v>-60000</v>
      </c>
      <c r="D6" s="24">
        <f t="shared" si="9"/>
        <v>-120000</v>
      </c>
      <c r="E6" s="24">
        <f>-E2*2%</f>
        <v>-240000</v>
      </c>
      <c r="F6" s="69"/>
      <c r="G6" s="23" t="s">
        <v>32</v>
      </c>
      <c r="H6" s="47">
        <f t="shared" ref="H6:I6" si="10">-H2*2%</f>
        <v>-60000</v>
      </c>
      <c r="I6" s="24">
        <f t="shared" si="10"/>
        <v>-120000</v>
      </c>
      <c r="J6" s="24">
        <f>-J2*2%</f>
        <v>-240000</v>
      </c>
      <c r="K6" s="69"/>
      <c r="L6" s="20">
        <v>0.02</v>
      </c>
      <c r="M6" s="23" t="s">
        <v>32</v>
      </c>
      <c r="N6" s="47">
        <f t="shared" ref="N6" si="11">(-N4*120%*12)*2%</f>
        <v>-60652.800000000003</v>
      </c>
      <c r="O6" s="24">
        <f>(-O4*120%*12)*2%</f>
        <v>-60652.800000000003</v>
      </c>
      <c r="P6" s="24">
        <f>(-P4*120%*12)*2%</f>
        <v>-60652.800000000003</v>
      </c>
      <c r="Q6" s="68"/>
      <c r="R6" s="20">
        <v>0.02</v>
      </c>
      <c r="S6" s="23" t="s">
        <v>32</v>
      </c>
      <c r="T6" s="47">
        <f>-T2*2%</f>
        <v>-60000</v>
      </c>
      <c r="U6" s="24">
        <f t="shared" ref="U6" si="12">-U2*2%</f>
        <v>-120000</v>
      </c>
      <c r="V6" s="24">
        <f>-V2*2%</f>
        <v>-240000</v>
      </c>
      <c r="X6" s="17">
        <v>50000</v>
      </c>
      <c r="Y6" s="23" t="s">
        <v>32</v>
      </c>
      <c r="Z6" s="40">
        <f>-$X6</f>
        <v>-50000</v>
      </c>
      <c r="AA6" s="40">
        <f>-$X6</f>
        <v>-50000</v>
      </c>
      <c r="AB6" s="24">
        <f>-$X6</f>
        <v>-50000</v>
      </c>
      <c r="AC6" s="68"/>
    </row>
    <row r="7" spans="1:29" x14ac:dyDescent="0.25">
      <c r="A7" s="17">
        <v>20000</v>
      </c>
      <c r="B7" s="27" t="s">
        <v>26</v>
      </c>
      <c r="C7" s="50">
        <f t="shared" ref="C7:D7" si="13">-20000*12</f>
        <v>-240000</v>
      </c>
      <c r="D7" s="28">
        <f t="shared" si="13"/>
        <v>-240000</v>
      </c>
      <c r="E7" s="28">
        <f>-20000*12</f>
        <v>-240000</v>
      </c>
      <c r="F7" s="69"/>
      <c r="G7" s="27" t="s">
        <v>26</v>
      </c>
      <c r="H7" s="50">
        <f t="shared" ref="H7:I7" si="14">-20000*12</f>
        <v>-240000</v>
      </c>
      <c r="I7" s="28">
        <f t="shared" si="14"/>
        <v>-240000</v>
      </c>
      <c r="J7" s="28">
        <f>-20000*12</f>
        <v>-240000</v>
      </c>
      <c r="K7" s="69"/>
      <c r="L7" s="17">
        <v>325000</v>
      </c>
      <c r="M7" s="27" t="s">
        <v>26</v>
      </c>
      <c r="N7" s="50">
        <f>-$L7</f>
        <v>-325000</v>
      </c>
      <c r="O7" s="50">
        <f t="shared" ref="O7:P7" si="15">-$L7</f>
        <v>-325000</v>
      </c>
      <c r="P7" s="50">
        <f t="shared" si="15"/>
        <v>-325000</v>
      </c>
      <c r="Q7" s="68"/>
      <c r="R7" s="17">
        <v>325000</v>
      </c>
      <c r="S7" s="27" t="s">
        <v>26</v>
      </c>
      <c r="T7" s="50">
        <f>-$R7</f>
        <v>-325000</v>
      </c>
      <c r="U7" s="50">
        <f t="shared" ref="U7:V7" si="16">-$R7</f>
        <v>-325000</v>
      </c>
      <c r="V7" s="50">
        <f t="shared" si="16"/>
        <v>-325000</v>
      </c>
      <c r="X7" s="65">
        <v>0</v>
      </c>
      <c r="Y7" s="27" t="s">
        <v>26</v>
      </c>
      <c r="Z7" s="62">
        <f>-$X7</f>
        <v>0</v>
      </c>
      <c r="AA7" s="62">
        <f>-$X7</f>
        <v>0</v>
      </c>
      <c r="AB7" s="28">
        <f>-$X7</f>
        <v>0</v>
      </c>
      <c r="AC7" s="68"/>
    </row>
    <row r="8" spans="1:29" x14ac:dyDescent="0.25">
      <c r="A8" s="17"/>
      <c r="B8" s="27" t="s">
        <v>36</v>
      </c>
      <c r="C8" s="50">
        <v>0</v>
      </c>
      <c r="D8" s="28">
        <v>0</v>
      </c>
      <c r="E8" s="28">
        <v>0</v>
      </c>
      <c r="F8" s="69"/>
      <c r="G8" s="27" t="s">
        <v>36</v>
      </c>
      <c r="H8" s="50">
        <f>-$L8</f>
        <v>-60000</v>
      </c>
      <c r="I8" s="28">
        <f t="shared" ref="I8:J8" si="17">-$L8</f>
        <v>-60000</v>
      </c>
      <c r="J8" s="28">
        <f t="shared" si="17"/>
        <v>-60000</v>
      </c>
      <c r="K8" s="69"/>
      <c r="L8" s="17">
        <v>60000</v>
      </c>
      <c r="M8" s="27" t="s">
        <v>36</v>
      </c>
      <c r="N8" s="50">
        <f>-$L8</f>
        <v>-60000</v>
      </c>
      <c r="O8" s="28">
        <f t="shared" ref="O8:P9" si="18">-$L8</f>
        <v>-60000</v>
      </c>
      <c r="P8" s="28">
        <f t="shared" si="18"/>
        <v>-60000</v>
      </c>
      <c r="Q8" s="68"/>
      <c r="R8" s="17">
        <v>60000</v>
      </c>
      <c r="S8" s="27" t="s">
        <v>36</v>
      </c>
      <c r="T8" s="50">
        <f>-$R8</f>
        <v>-60000</v>
      </c>
      <c r="U8" s="50">
        <f t="shared" ref="U8:V9" si="19">-$R8</f>
        <v>-60000</v>
      </c>
      <c r="V8" s="50">
        <f t="shared" si="19"/>
        <v>-60000</v>
      </c>
      <c r="X8" s="65">
        <v>0</v>
      </c>
      <c r="Y8" s="27" t="s">
        <v>36</v>
      </c>
      <c r="Z8" s="50">
        <f>-$R8</f>
        <v>-60000</v>
      </c>
      <c r="AA8" s="50">
        <f t="shared" ref="AA8:AB8" si="20">-$R8</f>
        <v>-60000</v>
      </c>
      <c r="AB8" s="50">
        <f t="shared" si="20"/>
        <v>-60000</v>
      </c>
      <c r="AC8" s="68"/>
    </row>
    <row r="9" spans="1:29" ht="15.75" thickBot="1" x14ac:dyDescent="0.3">
      <c r="A9" s="17"/>
      <c r="B9" s="29" t="s">
        <v>38</v>
      </c>
      <c r="C9" s="49">
        <v>0</v>
      </c>
      <c r="D9" s="30">
        <v>0</v>
      </c>
      <c r="E9" s="30">
        <v>0</v>
      </c>
      <c r="F9" s="69"/>
      <c r="G9" s="29" t="s">
        <v>38</v>
      </c>
      <c r="H9" s="49">
        <v>0</v>
      </c>
      <c r="I9" s="30">
        <v>0</v>
      </c>
      <c r="J9" s="30">
        <v>0</v>
      </c>
      <c r="K9" s="69"/>
      <c r="L9" s="17">
        <v>100000</v>
      </c>
      <c r="M9" s="29" t="s">
        <v>38</v>
      </c>
      <c r="N9" s="49">
        <f>-$L9</f>
        <v>-100000</v>
      </c>
      <c r="O9" s="30">
        <f t="shared" si="18"/>
        <v>-100000</v>
      </c>
      <c r="P9" s="30">
        <f t="shared" si="18"/>
        <v>-100000</v>
      </c>
      <c r="Q9" s="68"/>
      <c r="R9" s="17">
        <v>100000</v>
      </c>
      <c r="S9" s="29" t="s">
        <v>38</v>
      </c>
      <c r="T9" s="50">
        <f>-$R9</f>
        <v>-100000</v>
      </c>
      <c r="U9" s="50">
        <f t="shared" si="19"/>
        <v>-100000</v>
      </c>
      <c r="V9" s="50">
        <f t="shared" si="19"/>
        <v>-100000</v>
      </c>
      <c r="X9" s="65">
        <v>0</v>
      </c>
      <c r="Y9" s="29" t="s">
        <v>38</v>
      </c>
      <c r="Z9" s="41">
        <f>-$X9</f>
        <v>0</v>
      </c>
      <c r="AA9" s="41">
        <f>-$X9</f>
        <v>0</v>
      </c>
      <c r="AB9" s="30">
        <f>-$X9</f>
        <v>0</v>
      </c>
      <c r="AC9" s="68"/>
    </row>
    <row r="10" spans="1:29" ht="15.75" thickBot="1" x14ac:dyDescent="0.3">
      <c r="A10" s="21"/>
      <c r="B10" s="34" t="s">
        <v>27</v>
      </c>
      <c r="C10" s="51">
        <f>C3+SUM(C5:C9)</f>
        <v>-3267880.5</v>
      </c>
      <c r="D10" s="35">
        <f t="shared" ref="D10" si="21">D3+SUM(D5:D9)</f>
        <v>-3327880.5</v>
      </c>
      <c r="E10" s="35">
        <f>E3+SUM(E5:E9)</f>
        <v>-3447880.5</v>
      </c>
      <c r="F10" s="69"/>
      <c r="G10" s="34" t="s">
        <v>27</v>
      </c>
      <c r="H10" s="51">
        <f>H3+SUM(H5:H9)</f>
        <v>-3327880.5</v>
      </c>
      <c r="I10" s="35">
        <f t="shared" ref="I10" si="22">I3+SUM(I5:I9)</f>
        <v>-3387880.5</v>
      </c>
      <c r="J10" s="35">
        <f>J3+SUM(J5:J9)</f>
        <v>-3507880.5</v>
      </c>
      <c r="K10" s="69"/>
      <c r="L10" s="17"/>
      <c r="M10" s="34" t="s">
        <v>27</v>
      </c>
      <c r="N10" s="51">
        <f>N3+SUM(N5:N9)</f>
        <v>-3350844.8</v>
      </c>
      <c r="O10" s="35">
        <f t="shared" ref="O10" si="23">O3+SUM(O5:O9)</f>
        <v>-3350844.8</v>
      </c>
      <c r="P10" s="35">
        <f>P3+SUM(P5:P9)</f>
        <v>-3350844.8</v>
      </c>
      <c r="Q10" s="68"/>
      <c r="R10" s="21"/>
      <c r="S10" s="34" t="s">
        <v>27</v>
      </c>
      <c r="T10" s="51">
        <f>T3+SUM(T5:T9)</f>
        <v>-3501824</v>
      </c>
      <c r="U10" s="35">
        <f t="shared" ref="U10" si="24">U3+SUM(U5:U9)</f>
        <v>-3561824</v>
      </c>
      <c r="V10" s="35">
        <f>V3+SUM(V5:V9)</f>
        <v>-3681824</v>
      </c>
      <c r="W10" s="76">
        <v>0.4</v>
      </c>
      <c r="Y10" s="34" t="s">
        <v>27</v>
      </c>
      <c r="Z10" s="51">
        <f>Z3+SUM(Z5:Z9)</f>
        <v>-710000</v>
      </c>
      <c r="AA10" s="35">
        <f t="shared" ref="AA10" si="25">AA3+SUM(AA5:AA9)</f>
        <v>-710000</v>
      </c>
      <c r="AB10" s="35">
        <f>AB3+SUM(AB5:AB9)</f>
        <v>-710000</v>
      </c>
      <c r="AC10" s="68"/>
    </row>
    <row r="11" spans="1:29" ht="15.75" thickBot="1" x14ac:dyDescent="0.3">
      <c r="A11" s="21"/>
      <c r="B11" s="38" t="s">
        <v>12</v>
      </c>
      <c r="C11" s="52">
        <f>C2+C10</f>
        <v>-267880.5</v>
      </c>
      <c r="D11" s="39">
        <f>D2+D10</f>
        <v>2672119.5</v>
      </c>
      <c r="E11" s="39">
        <f>E2+E10</f>
        <v>8552119.5</v>
      </c>
      <c r="F11" s="77">
        <v>0.4</v>
      </c>
      <c r="G11" s="38" t="s">
        <v>12</v>
      </c>
      <c r="H11" s="52">
        <f>+H2*(1-$F$11)</f>
        <v>1800000</v>
      </c>
      <c r="I11" s="52">
        <f>+I2*(1-$F$11)</f>
        <v>3600000</v>
      </c>
      <c r="J11" s="52">
        <f>+J2*(1-$F$11)</f>
        <v>7200000</v>
      </c>
      <c r="K11" s="69"/>
      <c r="L11" s="17"/>
      <c r="M11" s="38" t="s">
        <v>12</v>
      </c>
      <c r="N11" s="52">
        <f>N2+N10</f>
        <v>-350844.79999999981</v>
      </c>
      <c r="O11" s="39">
        <f>O2+O10</f>
        <v>2649155.2000000002</v>
      </c>
      <c r="P11" s="39">
        <f>P2+P10</f>
        <v>8649155.1999999993</v>
      </c>
      <c r="Q11" s="68"/>
      <c r="R11" s="21"/>
      <c r="S11" s="38" t="s">
        <v>12</v>
      </c>
      <c r="T11" s="52">
        <f>T2+T10</f>
        <v>-501824</v>
      </c>
      <c r="U11" s="39">
        <f>U2+U10</f>
        <v>2438176</v>
      </c>
      <c r="V11" s="39">
        <f>V2+V10</f>
        <v>8318176</v>
      </c>
      <c r="Y11" s="38" t="s">
        <v>12</v>
      </c>
      <c r="Z11" s="52">
        <f>Z2+Z10</f>
        <v>2290000</v>
      </c>
      <c r="AA11" s="39">
        <f>AA2+AA10</f>
        <v>5290000</v>
      </c>
      <c r="AB11" s="39">
        <f>AB2+AB10</f>
        <v>11290000</v>
      </c>
      <c r="AC11" s="68"/>
    </row>
    <row r="12" spans="1:29" ht="15.75" thickBot="1" x14ac:dyDescent="0.3">
      <c r="A12" s="20">
        <v>0.09</v>
      </c>
      <c r="B12" s="23" t="s">
        <v>7</v>
      </c>
      <c r="C12" s="47">
        <v>0</v>
      </c>
      <c r="D12" s="47">
        <f t="shared" ref="D12" si="26">-D11*$A12</f>
        <v>-240490.755</v>
      </c>
      <c r="E12" s="47">
        <f>-E11*$A12</f>
        <v>-769690.755</v>
      </c>
      <c r="F12" s="69"/>
      <c r="G12" s="23" t="s">
        <v>7</v>
      </c>
      <c r="H12" s="47">
        <f>-H11*$A12</f>
        <v>-162000</v>
      </c>
      <c r="I12" s="47">
        <f>-I11*$A12</f>
        <v>-324000</v>
      </c>
      <c r="J12" s="47">
        <f>-J11*$A12</f>
        <v>-648000</v>
      </c>
      <c r="K12" s="69"/>
      <c r="L12" s="46">
        <v>0.11</v>
      </c>
      <c r="M12" s="29" t="s">
        <v>34</v>
      </c>
      <c r="N12" s="49">
        <v>0</v>
      </c>
      <c r="O12" s="30">
        <f>-O11*$L12</f>
        <v>-291407.07200000004</v>
      </c>
      <c r="P12" s="30">
        <f>-P11*$L12</f>
        <v>-951407.07199999993</v>
      </c>
      <c r="Q12" s="68"/>
      <c r="R12" s="20">
        <v>0.09</v>
      </c>
      <c r="S12" s="23" t="s">
        <v>7</v>
      </c>
      <c r="T12" s="47">
        <v>0</v>
      </c>
      <c r="U12" s="47">
        <f>-U11*$A12</f>
        <v>-219435.84</v>
      </c>
      <c r="V12" s="47">
        <f>-V11*$A12</f>
        <v>-748635.84</v>
      </c>
      <c r="X12" s="46">
        <v>0.4</v>
      </c>
      <c r="Y12" s="29" t="s">
        <v>31</v>
      </c>
      <c r="Z12" s="41"/>
      <c r="AA12" s="41">
        <f>-(AA$2-Z2)*$X$12</f>
        <v>-1200000</v>
      </c>
      <c r="AB12" s="41">
        <f>-(AB$2-Z2)*$X$12</f>
        <v>-3600000</v>
      </c>
      <c r="AC12" s="68"/>
    </row>
    <row r="13" spans="1:29" ht="15.75" thickBot="1" x14ac:dyDescent="0.3">
      <c r="A13" s="20"/>
      <c r="B13" s="38" t="s">
        <v>8</v>
      </c>
      <c r="C13" s="52">
        <f>+C2+C10+C12</f>
        <v>-267880.5</v>
      </c>
      <c r="D13" s="52">
        <f>+D2+D10+D12</f>
        <v>2431628.7450000001</v>
      </c>
      <c r="E13" s="52">
        <f>+E2+E10+E12</f>
        <v>7782428.7450000001</v>
      </c>
      <c r="F13" s="69"/>
      <c r="G13" s="38" t="s">
        <v>8</v>
      </c>
      <c r="H13" s="52">
        <f>+H2+H10+H12</f>
        <v>-489880.5</v>
      </c>
      <c r="I13" s="52">
        <f>+I2+I10+I12</f>
        <v>2288119.5</v>
      </c>
      <c r="J13" s="52">
        <f>+J2+J10+J12</f>
        <v>7844119.5</v>
      </c>
      <c r="K13" s="69"/>
      <c r="L13" s="54"/>
      <c r="M13" s="38" t="s">
        <v>8</v>
      </c>
      <c r="N13" s="52">
        <f>N11+N12</f>
        <v>-350844.79999999981</v>
      </c>
      <c r="O13" s="39">
        <f t="shared" ref="O13:P13" si="27">O11+O12</f>
        <v>2357748.128</v>
      </c>
      <c r="P13" s="39">
        <f t="shared" si="27"/>
        <v>7697748.1279999996</v>
      </c>
      <c r="Q13" s="68"/>
      <c r="R13" s="20"/>
      <c r="S13" s="38" t="s">
        <v>8</v>
      </c>
      <c r="T13" s="52">
        <f t="shared" ref="T13:U13" si="28">T11+T12</f>
        <v>-501824</v>
      </c>
      <c r="U13" s="39">
        <f t="shared" si="28"/>
        <v>2218740.16</v>
      </c>
      <c r="V13" s="39">
        <f>V11+V12</f>
        <v>7569540.1600000001</v>
      </c>
      <c r="Y13" s="34" t="s">
        <v>27</v>
      </c>
      <c r="Z13" s="42">
        <f>SUM(Z5:Z9)</f>
        <v>-710000</v>
      </c>
      <c r="AA13" s="42">
        <f t="shared" ref="AA13:AB13" si="29">SUM(AA5:AA9)</f>
        <v>-710000</v>
      </c>
      <c r="AB13" s="42">
        <f t="shared" si="29"/>
        <v>-710000</v>
      </c>
      <c r="AC13" s="68"/>
    </row>
    <row r="14" spans="1:29" ht="15.75" thickBot="1" x14ac:dyDescent="0.3">
      <c r="A14" s="20">
        <v>0.15</v>
      </c>
      <c r="B14" s="27" t="s">
        <v>9</v>
      </c>
      <c r="C14" s="50">
        <v>0</v>
      </c>
      <c r="D14" s="28">
        <f>-D13*15%</f>
        <v>-364744.31174999999</v>
      </c>
      <c r="E14" s="28">
        <f>-E13*15%</f>
        <v>-1167364.3117499999</v>
      </c>
      <c r="F14" s="69"/>
      <c r="G14" s="27" t="s">
        <v>9</v>
      </c>
      <c r="H14" s="50">
        <v>0</v>
      </c>
      <c r="I14" s="28">
        <f t="shared" ref="I14" si="30">-I13*15%</f>
        <v>-343217.92499999999</v>
      </c>
      <c r="J14" s="28">
        <f>-J13*15%</f>
        <v>-1176617.925</v>
      </c>
      <c r="K14" s="69"/>
      <c r="L14" s="20">
        <v>0.15</v>
      </c>
      <c r="M14" s="27" t="s">
        <v>9</v>
      </c>
      <c r="N14" s="50">
        <v>0</v>
      </c>
      <c r="O14" s="28">
        <f t="shared" ref="O14:P14" si="31">-O13*$L14</f>
        <v>-353662.21919999999</v>
      </c>
      <c r="P14" s="28">
        <f t="shared" si="31"/>
        <v>-1154662.2191999999</v>
      </c>
      <c r="Q14" s="68"/>
      <c r="R14" s="20">
        <v>0.15</v>
      </c>
      <c r="S14" s="27" t="s">
        <v>9</v>
      </c>
      <c r="T14" s="50">
        <v>0</v>
      </c>
      <c r="U14" s="28">
        <f t="shared" ref="U14" si="32">-U13*15%</f>
        <v>-332811.02400000003</v>
      </c>
      <c r="V14" s="28">
        <f>-V13*15%</f>
        <v>-1135431.024</v>
      </c>
      <c r="Y14" s="36" t="s">
        <v>28</v>
      </c>
      <c r="Z14" s="45">
        <f>Z2+Z13</f>
        <v>2290000</v>
      </c>
      <c r="AA14" s="45">
        <f>AA2+AA13</f>
        <v>5290000</v>
      </c>
      <c r="AB14" s="37">
        <f>AB2+AB13</f>
        <v>11290000</v>
      </c>
      <c r="AC14" s="68"/>
    </row>
    <row r="15" spans="1:29" s="85" customFormat="1" ht="15.75" thickBot="1" x14ac:dyDescent="0.3">
      <c r="A15" s="80">
        <v>0.155</v>
      </c>
      <c r="B15" s="81" t="s">
        <v>10</v>
      </c>
      <c r="C15" s="82">
        <v>0</v>
      </c>
      <c r="D15" s="83">
        <f>-646000-D5</f>
        <v>-205319.5</v>
      </c>
      <c r="E15" s="83">
        <f>-646000-E5</f>
        <v>-205319.5</v>
      </c>
      <c r="F15" s="84">
        <f>207204/A15</f>
        <v>1336800</v>
      </c>
      <c r="G15" s="81" t="s">
        <v>10</v>
      </c>
      <c r="H15" s="82">
        <v>0</v>
      </c>
      <c r="I15" s="83">
        <f>-646000-I5</f>
        <v>-205319.5</v>
      </c>
      <c r="J15" s="83">
        <f>-646000-J5</f>
        <v>-205319.5</v>
      </c>
      <c r="K15" s="84"/>
      <c r="L15" s="80">
        <v>0.155</v>
      </c>
      <c r="M15" s="81" t="s">
        <v>10</v>
      </c>
      <c r="N15" s="82">
        <v>0</v>
      </c>
      <c r="O15" s="83">
        <f>-O13*$L15</f>
        <v>-365450.95984000002</v>
      </c>
      <c r="P15" s="83">
        <f>-646000</f>
        <v>-646000</v>
      </c>
      <c r="R15" s="80">
        <v>0.155</v>
      </c>
      <c r="S15" s="81" t="s">
        <v>10</v>
      </c>
      <c r="T15" s="82">
        <v>0</v>
      </c>
      <c r="U15" s="83">
        <f>-646000-U5</f>
        <v>-216376</v>
      </c>
      <c r="V15" s="83">
        <f>-646000-V5</f>
        <v>-216376</v>
      </c>
    </row>
    <row r="16" spans="1:29" ht="15.75" thickBot="1" x14ac:dyDescent="0.3">
      <c r="A16" s="20"/>
      <c r="B16" s="15" t="s">
        <v>44</v>
      </c>
      <c r="C16" s="16">
        <f>+C13</f>
        <v>-267880.5</v>
      </c>
      <c r="D16" s="22">
        <f>D13+D14+D15</f>
        <v>1861564.9332500002</v>
      </c>
      <c r="E16" s="22">
        <f>E13+E14+E15</f>
        <v>6409744.9332500007</v>
      </c>
      <c r="F16" s="69"/>
      <c r="G16" s="15" t="s">
        <v>44</v>
      </c>
      <c r="H16" s="16">
        <f>+H13</f>
        <v>-489880.5</v>
      </c>
      <c r="I16" s="22">
        <f>I13+I14+I15</f>
        <v>1739582.075</v>
      </c>
      <c r="J16" s="22">
        <f>J13+J14+J15</f>
        <v>6462182.0750000002</v>
      </c>
      <c r="K16" s="69"/>
      <c r="M16" s="15" t="s">
        <v>44</v>
      </c>
      <c r="N16" s="16">
        <f>+N13</f>
        <v>-350844.79999999981</v>
      </c>
      <c r="O16" s="22">
        <f t="shared" ref="O16:P16" si="33">O13+O14+O15</f>
        <v>1638634.9489600002</v>
      </c>
      <c r="P16" s="22">
        <f t="shared" si="33"/>
        <v>5897085.9087999994</v>
      </c>
      <c r="Q16" s="68"/>
      <c r="R16" s="20"/>
      <c r="S16" s="15" t="s">
        <v>44</v>
      </c>
      <c r="T16" s="16">
        <f>+T13</f>
        <v>-501824</v>
      </c>
      <c r="U16" s="22">
        <f>U13+U14+U15</f>
        <v>1669553.1360000002</v>
      </c>
      <c r="V16" s="22">
        <f>V13+V14+V15</f>
        <v>6217733.1359999999</v>
      </c>
      <c r="Y16" s="34" t="s">
        <v>43</v>
      </c>
      <c r="Z16" s="78">
        <f>+Z14-Z12</f>
        <v>2290000</v>
      </c>
      <c r="AA16" s="78">
        <f>+AA14+AA12</f>
        <v>4090000</v>
      </c>
      <c r="AB16" s="79">
        <f>+AB14+AB12</f>
        <v>7690000</v>
      </c>
      <c r="AC16" s="68"/>
    </row>
    <row r="17" spans="1:29" ht="15.75" thickBot="1" x14ac:dyDescent="0.3">
      <c r="A17" s="31" t="s">
        <v>30</v>
      </c>
      <c r="B17" s="15" t="s">
        <v>29</v>
      </c>
      <c r="C17" s="16">
        <f>-C3*(100%-(18.5%+15%))</f>
        <v>1680588</v>
      </c>
      <c r="D17" s="22">
        <f>-D3*(100%-(18.5%+15%))</f>
        <v>1680588</v>
      </c>
      <c r="E17" s="22">
        <f>-E3*(100%-(18.5%+15%))</f>
        <v>1680588</v>
      </c>
      <c r="F17" s="69"/>
      <c r="G17" s="15" t="s">
        <v>29</v>
      </c>
      <c r="H17" s="16">
        <f>-H3*(100%-(18.5%+15%))</f>
        <v>1680588</v>
      </c>
      <c r="I17" s="22">
        <f>-I3*(100%-(18.5%+15%))</f>
        <v>1680588</v>
      </c>
      <c r="J17" s="22">
        <f>-J3*(100%-(18.5%+15%))</f>
        <v>1680588</v>
      </c>
      <c r="K17" s="69"/>
      <c r="M17" s="15" t="s">
        <v>29</v>
      </c>
      <c r="N17" s="16">
        <f>-N3*(100%-(18.5%+15%))</f>
        <v>1680588</v>
      </c>
      <c r="O17" s="22">
        <f t="shared" ref="O17:P17" si="34">-O3*(100%-(18.5%+15%))</f>
        <v>1680588</v>
      </c>
      <c r="P17" s="22">
        <f t="shared" si="34"/>
        <v>1680588</v>
      </c>
      <c r="Q17" s="68"/>
      <c r="R17" s="31" t="s">
        <v>30</v>
      </c>
      <c r="S17" s="15" t="s">
        <v>29</v>
      </c>
      <c r="T17" s="16">
        <f>-T3*(100%-(18.5%+15%))</f>
        <v>1680588</v>
      </c>
      <c r="U17" s="22">
        <f>-U3*(100%-(18.5%+15%))</f>
        <v>1680588</v>
      </c>
      <c r="V17" s="22">
        <f>-V3*(100%-(18.5%+15%))</f>
        <v>1680588</v>
      </c>
      <c r="AC17" s="68"/>
    </row>
    <row r="18" spans="1:29" ht="15.75" thickBot="1" x14ac:dyDescent="0.3">
      <c r="A18" s="20"/>
      <c r="B18" s="36" t="s">
        <v>28</v>
      </c>
      <c r="C18" s="53">
        <f t="shared" ref="C18:D18" si="35">+C16+C17</f>
        <v>1412707.5</v>
      </c>
      <c r="D18" s="37">
        <f t="shared" si="35"/>
        <v>3542152.9332500002</v>
      </c>
      <c r="E18" s="37">
        <f>+E16+E17</f>
        <v>8090332.9332500007</v>
      </c>
      <c r="F18" s="68"/>
      <c r="G18" s="36" t="s">
        <v>28</v>
      </c>
      <c r="H18" s="53">
        <f t="shared" ref="H18:I18" si="36">+H16+H17</f>
        <v>1190707.5</v>
      </c>
      <c r="I18" s="37">
        <f t="shared" si="36"/>
        <v>3420170.0750000002</v>
      </c>
      <c r="J18" s="37">
        <f>+J16+J17</f>
        <v>8142770.0750000002</v>
      </c>
      <c r="K18" s="68"/>
      <c r="M18" s="36" t="s">
        <v>28</v>
      </c>
      <c r="N18" s="53">
        <f>+N16+N17</f>
        <v>1329743.2000000002</v>
      </c>
      <c r="O18" s="37">
        <f t="shared" ref="O18:P18" si="37">+O16+O17</f>
        <v>3319222.9489600002</v>
      </c>
      <c r="P18" s="37">
        <f t="shared" si="37"/>
        <v>7577673.9087999994</v>
      </c>
      <c r="Q18" s="68"/>
      <c r="R18" s="20"/>
      <c r="S18" s="36" t="s">
        <v>28</v>
      </c>
      <c r="T18" s="53">
        <f>+T16+T17</f>
        <v>1178764</v>
      </c>
      <c r="U18" s="37">
        <f t="shared" ref="U18" si="38">+U16+U17</f>
        <v>3350141.1359999999</v>
      </c>
      <c r="V18" s="37">
        <f>+V16+V17</f>
        <v>7898321.1359999999</v>
      </c>
      <c r="AC18" s="68"/>
    </row>
    <row r="19" spans="1:29" x14ac:dyDescent="0.25">
      <c r="A19" s="20"/>
      <c r="AC19" s="68"/>
    </row>
    <row r="20" spans="1:29" x14ac:dyDescent="0.25">
      <c r="A20" s="20"/>
    </row>
    <row r="21" spans="1:29" x14ac:dyDescent="0.25">
      <c r="A21" s="20"/>
    </row>
    <row r="22" spans="1:29" x14ac:dyDescent="0.25">
      <c r="A22" s="20"/>
    </row>
    <row r="23" spans="1:29" x14ac:dyDescent="0.25">
      <c r="A23" s="20"/>
    </row>
    <row r="24" spans="1:29" x14ac:dyDescent="0.25">
      <c r="A24" s="20"/>
    </row>
    <row r="25" spans="1:29" x14ac:dyDescent="0.25">
      <c r="A25" s="20"/>
    </row>
  </sheetData>
  <mergeCells count="5">
    <mergeCell ref="M1:P1"/>
    <mergeCell ref="B1:E1"/>
    <mergeCell ref="Y1:AB1"/>
    <mergeCell ref="S1:V1"/>
    <mergeCell ref="G1:J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AEEC-01F1-4BA7-9C47-4003C4BCB0AB}">
  <dimension ref="A1:M24"/>
  <sheetViews>
    <sheetView zoomScale="80" zoomScaleNormal="80" workbookViewId="0"/>
  </sheetViews>
  <sheetFormatPr defaultRowHeight="15" x14ac:dyDescent="0.25"/>
  <cols>
    <col min="2" max="2" width="11.42578125" bestFit="1" customWidth="1"/>
    <col min="3" max="3" width="11.28515625" bestFit="1" customWidth="1"/>
    <col min="4" max="4" width="12.85546875" bestFit="1" customWidth="1"/>
  </cols>
  <sheetData>
    <row r="1" spans="1:9" x14ac:dyDescent="0.25">
      <c r="B1" s="2">
        <v>161000</v>
      </c>
      <c r="C1" s="2">
        <v>210600</v>
      </c>
      <c r="D1" t="s">
        <v>17</v>
      </c>
    </row>
    <row r="2" spans="1:9" x14ac:dyDescent="0.25">
      <c r="A2" s="3">
        <v>1.125</v>
      </c>
      <c r="B2" s="4">
        <f>$A$2*B1</f>
        <v>181125</v>
      </c>
      <c r="C2" s="4">
        <f>$A$2*C1</f>
        <v>236925</v>
      </c>
      <c r="D2" t="s">
        <v>16</v>
      </c>
    </row>
    <row r="3" spans="1:9" x14ac:dyDescent="0.25">
      <c r="A3" s="1">
        <v>0.155</v>
      </c>
      <c r="B3" s="2">
        <f>$A$3*$B$2</f>
        <v>28074.375</v>
      </c>
      <c r="C3" s="2">
        <f>$A$3*$C$2</f>
        <v>36723.375</v>
      </c>
      <c r="D3" t="s">
        <v>13</v>
      </c>
    </row>
    <row r="4" spans="1:9" x14ac:dyDescent="0.25">
      <c r="A4" s="1">
        <v>1.4999999999999999E-2</v>
      </c>
      <c r="B4" s="2">
        <f>$A$4*$B$2</f>
        <v>2716.875</v>
      </c>
      <c r="C4" s="2">
        <f>$A$4*$C$2</f>
        <v>3553.875</v>
      </c>
      <c r="D4" t="s">
        <v>14</v>
      </c>
    </row>
    <row r="5" spans="1:9" x14ac:dyDescent="0.25">
      <c r="A5" s="1">
        <v>0.17</v>
      </c>
      <c r="B5" s="2">
        <f>$A$5*$B$2</f>
        <v>30791.250000000004</v>
      </c>
      <c r="C5" s="2">
        <f>$A$5*$C$2</f>
        <v>40277.25</v>
      </c>
      <c r="D5" t="s">
        <v>15</v>
      </c>
    </row>
    <row r="6" spans="1:9" x14ac:dyDescent="0.25">
      <c r="B6" s="5">
        <f>SUM(B2:B5)</f>
        <v>242707.5</v>
      </c>
      <c r="C6" s="5">
        <f>SUM(C2:C5)</f>
        <v>317479.5</v>
      </c>
    </row>
    <row r="8" spans="1:9" x14ac:dyDescent="0.25">
      <c r="A8" s="1">
        <v>0.185</v>
      </c>
      <c r="B8" s="5">
        <f>+$A$8*B1</f>
        <v>29785</v>
      </c>
      <c r="C8" s="5">
        <f>+$A$8*C1</f>
        <v>38961</v>
      </c>
      <c r="D8" t="s">
        <v>18</v>
      </c>
    </row>
    <row r="9" spans="1:9" x14ac:dyDescent="0.25">
      <c r="A9" s="7"/>
      <c r="B9" s="8">
        <f>+B1-B8</f>
        <v>131215</v>
      </c>
      <c r="C9" s="8">
        <f>+C1-C8</f>
        <v>171639</v>
      </c>
      <c r="D9" s="7" t="s">
        <v>19</v>
      </c>
      <c r="E9" s="7"/>
      <c r="F9" s="7"/>
    </row>
    <row r="10" spans="1:9" x14ac:dyDescent="0.25">
      <c r="D10" s="5">
        <v>12000000</v>
      </c>
      <c r="E10" t="s">
        <v>6</v>
      </c>
    </row>
    <row r="11" spans="1:9" x14ac:dyDescent="0.25">
      <c r="B11" s="5">
        <f>+B9*12</f>
        <v>1574580</v>
      </c>
      <c r="C11" s="5">
        <f>+C9*12</f>
        <v>2059668</v>
      </c>
      <c r="E11" t="s">
        <v>2</v>
      </c>
      <c r="I11">
        <f>1680588/12</f>
        <v>140049</v>
      </c>
    </row>
    <row r="13" spans="1:9" x14ac:dyDescent="0.25">
      <c r="C13" s="5">
        <f>2527200/12</f>
        <v>210600</v>
      </c>
      <c r="D13" s="5">
        <f>210600*12</f>
        <v>2527200</v>
      </c>
      <c r="E13" t="s">
        <v>3</v>
      </c>
    </row>
    <row r="14" spans="1:9" x14ac:dyDescent="0.25">
      <c r="C14" s="5">
        <f>440681/12</f>
        <v>36723.416666666664</v>
      </c>
      <c r="D14" s="5">
        <f>C3*12</f>
        <v>440680.5</v>
      </c>
      <c r="E14" t="s">
        <v>1</v>
      </c>
    </row>
    <row r="15" spans="1:9" x14ac:dyDescent="0.25">
      <c r="C15" s="5">
        <f>240000/12</f>
        <v>20000</v>
      </c>
      <c r="D15" s="5">
        <f>12000000*0.02</f>
        <v>240000</v>
      </c>
      <c r="E15" t="s">
        <v>0</v>
      </c>
    </row>
    <row r="16" spans="1:9" x14ac:dyDescent="0.25">
      <c r="D16" s="8">
        <f>20000*12</f>
        <v>240000</v>
      </c>
      <c r="E16" t="s">
        <v>4</v>
      </c>
    </row>
    <row r="17" spans="1:13" x14ac:dyDescent="0.25">
      <c r="C17" s="5">
        <f>12000000-8552120</f>
        <v>3447880</v>
      </c>
      <c r="D17" s="5">
        <f>SUM(D13:D16)</f>
        <v>3447880.5</v>
      </c>
      <c r="E17" t="s">
        <v>5</v>
      </c>
    </row>
    <row r="18" spans="1:13" x14ac:dyDescent="0.25">
      <c r="D18" s="8">
        <f>D10-D17</f>
        <v>8552119.5</v>
      </c>
      <c r="E18" t="s">
        <v>12</v>
      </c>
    </row>
    <row r="19" spans="1:13" x14ac:dyDescent="0.25">
      <c r="A19" s="6">
        <v>0.09</v>
      </c>
      <c r="D19" s="9">
        <f>D18*$A$19</f>
        <v>769690.755</v>
      </c>
      <c r="E19" t="s">
        <v>7</v>
      </c>
    </row>
    <row r="20" spans="1:13" x14ac:dyDescent="0.25">
      <c r="D20" s="5">
        <f>D18-D19</f>
        <v>7782428.7450000001</v>
      </c>
      <c r="E20" t="s">
        <v>8</v>
      </c>
    </row>
    <row r="21" spans="1:13" x14ac:dyDescent="0.25">
      <c r="A21" s="6">
        <v>0.15</v>
      </c>
      <c r="D21" s="5">
        <f>D20*$A$21</f>
        <v>1167364.3117499999</v>
      </c>
      <c r="E21" t="s">
        <v>9</v>
      </c>
    </row>
    <row r="22" spans="1:13" x14ac:dyDescent="0.25">
      <c r="A22" s="14">
        <v>0.155</v>
      </c>
      <c r="B22" s="13"/>
      <c r="C22" s="13"/>
      <c r="D22" s="12">
        <f>D20*$A$22</f>
        <v>1206276.455475</v>
      </c>
      <c r="E22" s="13" t="s">
        <v>11</v>
      </c>
      <c r="F22" s="13"/>
      <c r="G22" s="13"/>
    </row>
    <row r="23" spans="1:13" x14ac:dyDescent="0.25">
      <c r="D23" s="10">
        <f>B1*24</f>
        <v>3864000</v>
      </c>
      <c r="E23" s="11" t="s">
        <v>20</v>
      </c>
    </row>
    <row r="24" spans="1:13" x14ac:dyDescent="0.25">
      <c r="D24" s="12">
        <f>207204/A22</f>
        <v>1336800</v>
      </c>
      <c r="E24" s="13" t="s">
        <v>21</v>
      </c>
      <c r="F24" s="13"/>
      <c r="G24" s="13"/>
      <c r="H24" s="13"/>
      <c r="I24" s="13"/>
      <c r="J24" s="13"/>
      <c r="K24" s="13"/>
      <c r="L24" s="13"/>
      <c r="M24" s="1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7870-08A6-4550-88F8-6FEE07DB907C}">
  <dimension ref="A1:E11"/>
  <sheetViews>
    <sheetView workbookViewId="0">
      <selection activeCell="C8" sqref="C8"/>
    </sheetView>
  </sheetViews>
  <sheetFormatPr defaultRowHeight="15" x14ac:dyDescent="0.25"/>
  <cols>
    <col min="1" max="1" width="10.42578125" bestFit="1" customWidth="1"/>
    <col min="2" max="2" width="18.42578125" bestFit="1" customWidth="1"/>
    <col min="3" max="4" width="12.85546875" bestFit="1" customWidth="1"/>
    <col min="5" max="5" width="14" bestFit="1" customWidth="1"/>
  </cols>
  <sheetData>
    <row r="1" spans="1:5" ht="15.75" thickBot="1" x14ac:dyDescent="0.3">
      <c r="B1" s="32" t="s">
        <v>22</v>
      </c>
      <c r="C1" s="43">
        <v>3000000</v>
      </c>
      <c r="D1" s="43">
        <v>6000000</v>
      </c>
      <c r="E1" s="44">
        <v>12000000</v>
      </c>
    </row>
    <row r="2" spans="1:5" x14ac:dyDescent="0.25">
      <c r="A2" s="2">
        <v>50000</v>
      </c>
      <c r="B2" s="23" t="s">
        <v>33</v>
      </c>
      <c r="C2" s="40">
        <f>-$A2*12</f>
        <v>-600000</v>
      </c>
      <c r="D2" s="40">
        <f t="shared" ref="D2:E2" si="0">-$A2*12</f>
        <v>-600000</v>
      </c>
      <c r="E2" s="40">
        <f t="shared" si="0"/>
        <v>-600000</v>
      </c>
    </row>
    <row r="3" spans="1:5" ht="15.75" thickBot="1" x14ac:dyDescent="0.3">
      <c r="A3" s="2">
        <v>50000</v>
      </c>
      <c r="B3" s="29" t="s">
        <v>32</v>
      </c>
      <c r="C3" s="41">
        <f>-$A3</f>
        <v>-50000</v>
      </c>
      <c r="D3" s="41">
        <f t="shared" ref="D3:E3" si="1">-$A3</f>
        <v>-50000</v>
      </c>
      <c r="E3" s="41">
        <f t="shared" si="1"/>
        <v>-50000</v>
      </c>
    </row>
    <row r="4" spans="1:5" ht="15.75" thickBot="1" x14ac:dyDescent="0.3">
      <c r="A4" s="6">
        <v>0.4</v>
      </c>
      <c r="B4" t="s">
        <v>31</v>
      </c>
      <c r="C4" s="2">
        <v>0</v>
      </c>
      <c r="D4" s="2">
        <f>(D$1-C1)*$A4</f>
        <v>1200000</v>
      </c>
      <c r="E4" s="2">
        <f>(E$1-C1)*$A4</f>
        <v>3600000</v>
      </c>
    </row>
    <row r="5" spans="1:5" ht="15.75" thickBot="1" x14ac:dyDescent="0.3">
      <c r="B5" s="34" t="s">
        <v>27</v>
      </c>
      <c r="C5" s="42">
        <f>SUM(C2:C3)</f>
        <v>-650000</v>
      </c>
      <c r="D5" s="42">
        <f t="shared" ref="D5:E5" si="2">SUM(D2:D3)</f>
        <v>-650000</v>
      </c>
      <c r="E5" s="35">
        <f t="shared" si="2"/>
        <v>-650000</v>
      </c>
    </row>
    <row r="6" spans="1:5" ht="15.75" thickBot="1" x14ac:dyDescent="0.3">
      <c r="B6" s="36" t="s">
        <v>28</v>
      </c>
      <c r="C6" s="45">
        <f>C1+C5</f>
        <v>2350000</v>
      </c>
      <c r="D6" s="45">
        <f>D1+D5</f>
        <v>5350000</v>
      </c>
      <c r="E6" s="37">
        <f t="shared" ref="D6:E6" si="3">E1+E5</f>
        <v>11350000</v>
      </c>
    </row>
    <row r="7" spans="1:5" x14ac:dyDescent="0.25">
      <c r="C7" s="2"/>
      <c r="D7" s="2"/>
      <c r="E7" s="2"/>
    </row>
    <row r="8" spans="1:5" x14ac:dyDescent="0.25">
      <c r="C8" s="2">
        <f>+C6-C4</f>
        <v>2350000</v>
      </c>
      <c r="D8" s="2">
        <f>+D6-D4</f>
        <v>4150000</v>
      </c>
      <c r="E8" s="2">
        <f>+E6-E4</f>
        <v>7750000</v>
      </c>
    </row>
    <row r="9" spans="1:5" x14ac:dyDescent="0.25">
      <c r="C9" s="2"/>
      <c r="D9" s="2"/>
      <c r="E9" s="2"/>
    </row>
    <row r="10" spans="1:5" x14ac:dyDescent="0.25">
      <c r="C10" s="2"/>
      <c r="D10" s="2"/>
      <c r="E10" s="2"/>
    </row>
    <row r="11" spans="1:5" x14ac:dyDescent="0.25">
      <c r="C11" s="2"/>
      <c r="D11" s="2"/>
      <c r="E1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Össz.</vt:lpstr>
      <vt:lpstr>EV</vt:lpstr>
      <vt:lpstr>KATA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Hirkó Ágnes</dc:creator>
  <cp:lastModifiedBy>belaib</cp:lastModifiedBy>
  <dcterms:created xsi:type="dcterms:W3CDTF">2020-09-23T07:45:45Z</dcterms:created>
  <dcterms:modified xsi:type="dcterms:W3CDTF">2020-10-01T14:23:44Z</dcterms:modified>
</cp:coreProperties>
</file>